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lliemae-my.sharepoint.com/personal/devendra_naidu_elliemae_com/Documents/Reports/FAM/2021/01_Jan 2021/"/>
    </mc:Choice>
  </mc:AlternateContent>
  <xr:revisionPtr revIDLastSave="36" documentId="11_F32B3271853602DEA116A81EA15CFCC00DE84446" xr6:coauthVersionLast="46" xr6:coauthVersionMax="46" xr10:uidLastSave="{FD5A8267-B000-48B6-A746-DE6E251EE786}"/>
  <bookViews>
    <workbookView xWindow="-98" yWindow="-98" windowWidth="19396" windowHeight="10395" activeTab="2" xr2:uid="{00000000-000D-0000-FFFF-FFFF00000000}"/>
  </bookViews>
  <sheets>
    <sheet name="Report Properties" sheetId="1" r:id="rId1"/>
    <sheet name="DATA_VALIDATION" sheetId="2" r:id="rId2"/>
    <sheet name="Sheet1" sheetId="3" r:id="rId3"/>
  </sheets>
  <definedNames>
    <definedName name="_xlnm._FilterDatabase" localSheetId="1" hidden="1">DATA_VALIDATION!$A$1:$BE$3164</definedName>
    <definedName name="_xlnm._FilterDatabase" localSheetId="2" hidden="1">Sheet1!$A$1:$B$2376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164" i="2" l="1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</calcChain>
</file>

<file path=xl/sharedStrings.xml><?xml version="1.0" encoding="utf-8"?>
<sst xmlns="http://schemas.openxmlformats.org/spreadsheetml/2006/main" count="61130" uniqueCount="7455">
  <si>
    <t>Site Address:</t>
  </si>
  <si>
    <t>FAM.docvelocity-na8.net</t>
  </si>
  <si>
    <t>Report Name:</t>
  </si>
  <si>
    <t>Daily Completion Report - Data Validaiton</t>
  </si>
  <si>
    <t>Report Type:</t>
  </si>
  <si>
    <t>Completed Workitem Report</t>
  </si>
  <si>
    <t>Report Period:</t>
  </si>
  <si>
    <t>Month-to-date</t>
  </si>
  <si>
    <t>Queue Id:</t>
  </si>
  <si>
    <t>QUEDDFFC9F3-C0AB-C0D9-1972-16A6060ADC3D</t>
  </si>
  <si>
    <t>Queue Name:</t>
  </si>
  <si>
    <t>**Data Validation</t>
  </si>
  <si>
    <t>Report Date/Time:</t>
  </si>
  <si>
    <t>Report Timezone:</t>
  </si>
  <si>
    <t>Eastern Time</t>
  </si>
  <si>
    <t>Start Time:</t>
  </si>
  <si>
    <t>End Time:</t>
  </si>
  <si>
    <t>Distribution List:</t>
  </si>
  <si>
    <t>shrikrishna.sutar@elliemae.com</t>
  </si>
  <si>
    <t/>
  </si>
  <si>
    <t>devendra.naidu@elliemae.com</t>
  </si>
  <si>
    <t>Workitem ID</t>
  </si>
  <si>
    <t>Workitem Type Name</t>
  </si>
  <si>
    <t>Folder Identifier</t>
  </si>
  <si>
    <t>Work Context</t>
  </si>
  <si>
    <t>Folder ID</t>
  </si>
  <si>
    <t>Inbox ID</t>
  </si>
  <si>
    <t>Thread ID</t>
  </si>
  <si>
    <t>Payload Type</t>
  </si>
  <si>
    <t>Payload Ref</t>
  </si>
  <si>
    <t>Work Unit Count</t>
  </si>
  <si>
    <t>Disposition status</t>
  </si>
  <si>
    <t>Command ID</t>
  </si>
  <si>
    <t>Disposition Context</t>
  </si>
  <si>
    <t>Pass# at time of Completion</t>
  </si>
  <si>
    <t>Workitem Creation Date</t>
  </si>
  <si>
    <t>Workitem Completion Date</t>
  </si>
  <si>
    <t>Waiting Time in Queue (in Seconds)</t>
  </si>
  <si>
    <t>Total duration for all Passes</t>
  </si>
  <si>
    <t>Escalated</t>
  </si>
  <si>
    <t>Picked By</t>
  </si>
  <si>
    <t>Prioritized</t>
  </si>
  <si>
    <t>Pass#1 Complete By(User name)</t>
  </si>
  <si>
    <t>Pass#1 Completed On(Date/Time)</t>
  </si>
  <si>
    <t>Duration for Pass#1 Complete (Seconds)</t>
  </si>
  <si>
    <t>Pass#1 Fields Validated By User</t>
  </si>
  <si>
    <t>Pass#1 Fields Validated By System</t>
  </si>
  <si>
    <t>Pass#1 Total Fields Validated</t>
  </si>
  <si>
    <t>Pass#1 Fields Invalidated</t>
  </si>
  <si>
    <t>Pass#1 Fields Corrected</t>
  </si>
  <si>
    <t>Pass#1 Total Fields Notvalidated</t>
  </si>
  <si>
    <t>Pass#1 Total Fields Purged</t>
  </si>
  <si>
    <t>Pass#1 Documents Excluded</t>
  </si>
  <si>
    <t>Pass#1 Documents Sorted/Updated</t>
  </si>
  <si>
    <t>Pass#2 Complete By(User name)</t>
  </si>
  <si>
    <t>Pass#2 Completed On(Date/Time)</t>
  </si>
  <si>
    <t>Duration for Pass#2 Complete (Seconds)</t>
  </si>
  <si>
    <t>Pass#2 Fields Validated By User</t>
  </si>
  <si>
    <t>Pass#2 Fields Validated By System</t>
  </si>
  <si>
    <t>Pass#2 Total Fields Validated</t>
  </si>
  <si>
    <t>Pass#2 Fields Invalidated</t>
  </si>
  <si>
    <t>Pass#2 Fields Corrected</t>
  </si>
  <si>
    <t>Pass#2 Total Fields Notvalidated</t>
  </si>
  <si>
    <t>Pass#2 Total Fields Purged</t>
  </si>
  <si>
    <t>Pass#2 Documents Excluded</t>
  </si>
  <si>
    <t>Pass#2 Documents Sorted/Updated</t>
  </si>
  <si>
    <t>Pass#3 Complete By(User name)</t>
  </si>
  <si>
    <t>Pass#3 Completed On(Date/Time)</t>
  </si>
  <si>
    <t>Duration for Pass#3 Complete (Seconds)</t>
  </si>
  <si>
    <t>Pass#3 Fields Validated By User</t>
  </si>
  <si>
    <t>Pass#3 Fields Validated By System</t>
  </si>
  <si>
    <t>Pass#3 Total Fields Validated</t>
  </si>
  <si>
    <t>Pass#3 Fields Invalidated</t>
  </si>
  <si>
    <t>Pass#3 Fields Corrected</t>
  </si>
  <si>
    <t>Pass#3 Total Fields Notvalidated</t>
  </si>
  <si>
    <t>Pass#3 Total Fields Purged</t>
  </si>
  <si>
    <t>Pass#3 Documents Excluded</t>
  </si>
  <si>
    <t>Pass#3 Documents Sorted/Updated</t>
  </si>
  <si>
    <t>WI2101100066</t>
  </si>
  <si>
    <t>DATA_VALIDATION</t>
  </si>
  <si>
    <t>150030037605</t>
  </si>
  <si>
    <t>Folder</t>
  </si>
  <si>
    <t>Mailitem</t>
  </si>
  <si>
    <t>MI21011310635</t>
  </si>
  <si>
    <t>COMPLETED</t>
  </si>
  <si>
    <t>MARK_AS_COMPLETED</t>
  </si>
  <si>
    <t>Queue</t>
  </si>
  <si>
    <t>N/A</t>
  </si>
  <si>
    <t>Saloni Uttekar</t>
  </si>
  <si>
    <t>Rohit Mawal</t>
  </si>
  <si>
    <t>Lawrence Bishop</t>
  </si>
  <si>
    <t>WI2101100067</t>
  </si>
  <si>
    <t>150030037769</t>
  </si>
  <si>
    <t>MI21011310653</t>
  </si>
  <si>
    <t>Aparna Chavan</t>
  </si>
  <si>
    <t>WI2101100080</t>
  </si>
  <si>
    <t>150030035068</t>
  </si>
  <si>
    <t>MI21011310938</t>
  </si>
  <si>
    <t>Hemanshi Deshlahara</t>
  </si>
  <si>
    <t>WI2101100091</t>
  </si>
  <si>
    <t>150030035701</t>
  </si>
  <si>
    <t>MI21011311066</t>
  </si>
  <si>
    <t>WI2101100094</t>
  </si>
  <si>
    <t>150030034795</t>
  </si>
  <si>
    <t>MI21011311093</t>
  </si>
  <si>
    <t>Aditya Tade</t>
  </si>
  <si>
    <t>WI2101100096</t>
  </si>
  <si>
    <t>MI21011311113</t>
  </si>
  <si>
    <t>Ashish Sutar</t>
  </si>
  <si>
    <t>WI2101100105</t>
  </si>
  <si>
    <t>150030035196</t>
  </si>
  <si>
    <t>MI21011311290</t>
  </si>
  <si>
    <t>Supriya Khape</t>
  </si>
  <si>
    <t>WI2101100117</t>
  </si>
  <si>
    <t>150030037689</t>
  </si>
  <si>
    <t>MI21011311409</t>
  </si>
  <si>
    <t>WI2101100119</t>
  </si>
  <si>
    <t>150030035161</t>
  </si>
  <si>
    <t>MI21011311535</t>
  </si>
  <si>
    <t>WI2101100164</t>
  </si>
  <si>
    <t>150080000773</t>
  </si>
  <si>
    <t>MI21011312108</t>
  </si>
  <si>
    <t>WI2101100187</t>
  </si>
  <si>
    <t>150030035661</t>
  </si>
  <si>
    <t>MI21011312480</t>
  </si>
  <si>
    <t>WI2101100195</t>
  </si>
  <si>
    <t>150030037806</t>
  </si>
  <si>
    <t>MI21011312635</t>
  </si>
  <si>
    <t>Vikash Suryakanth Parmar</t>
  </si>
  <si>
    <t>WI2101100198</t>
  </si>
  <si>
    <t>150030037178</t>
  </si>
  <si>
    <t>MI21011312748</t>
  </si>
  <si>
    <t>Prajakta Jagannath Mane</t>
  </si>
  <si>
    <t>WI2101100214</t>
  </si>
  <si>
    <t>150030036004</t>
  </si>
  <si>
    <t>MI21011313193</t>
  </si>
  <si>
    <t>WI2101100217</t>
  </si>
  <si>
    <t>150030037776</t>
  </si>
  <si>
    <t>MI21011313200</t>
  </si>
  <si>
    <t>WI2101100218</t>
  </si>
  <si>
    <t>150030037797</t>
  </si>
  <si>
    <t>MI21011313272</t>
  </si>
  <si>
    <t>Archana Bhujbal</t>
  </si>
  <si>
    <t>WI2101100224</t>
  </si>
  <si>
    <t>150030035589</t>
  </si>
  <si>
    <t>MI21011313389</t>
  </si>
  <si>
    <t>Anuja Patil</t>
  </si>
  <si>
    <t>Smriti Gauchan</t>
  </si>
  <si>
    <t>WI2101100226</t>
  </si>
  <si>
    <t>150030035778</t>
  </si>
  <si>
    <t>MI21011313405</t>
  </si>
  <si>
    <t>WI2101100228</t>
  </si>
  <si>
    <t>150030037787</t>
  </si>
  <si>
    <t>MI21011313433</t>
  </si>
  <si>
    <t>WI2101100236</t>
  </si>
  <si>
    <t>150030037755</t>
  </si>
  <si>
    <t>MI21011313612</t>
  </si>
  <si>
    <t>WI2101100252</t>
  </si>
  <si>
    <t>150030035414</t>
  </si>
  <si>
    <t>MI21011313770</t>
  </si>
  <si>
    <t>Sumit Jarhad</t>
  </si>
  <si>
    <t>WI2101100268</t>
  </si>
  <si>
    <t>WI2101100269</t>
  </si>
  <si>
    <t>150030037363</t>
  </si>
  <si>
    <t>MI21011314134</t>
  </si>
  <si>
    <t>WI2101100286</t>
  </si>
  <si>
    <t>150030034524</t>
  </si>
  <si>
    <t>MI21011314553</t>
  </si>
  <si>
    <t>Vinay Pawar</t>
  </si>
  <si>
    <t>WI2101100291</t>
  </si>
  <si>
    <t>MI21011314635</t>
  </si>
  <si>
    <t>Sanjay Kharade</t>
  </si>
  <si>
    <t>WI2101100299</t>
  </si>
  <si>
    <t>150030037537</t>
  </si>
  <si>
    <t>MI21011314849</t>
  </si>
  <si>
    <t>WI2101100309</t>
  </si>
  <si>
    <t>WI2101100317</t>
  </si>
  <si>
    <t>150030034045</t>
  </si>
  <si>
    <t>MI21011315163</t>
  </si>
  <si>
    <t>Snehal Sathe</t>
  </si>
  <si>
    <t>WI2101100325</t>
  </si>
  <si>
    <t>111000003506</t>
  </si>
  <si>
    <t>MI21011311906</t>
  </si>
  <si>
    <t>DELETED</t>
  </si>
  <si>
    <t>WI2101100362</t>
  </si>
  <si>
    <t>MI21011315970</t>
  </si>
  <si>
    <t>WI2101100365</t>
  </si>
  <si>
    <t>150030037650</t>
  </si>
  <si>
    <t>MI21011315926</t>
  </si>
  <si>
    <t>WI2101100368</t>
  </si>
  <si>
    <t>150030034497</t>
  </si>
  <si>
    <t>MI21011316061</t>
  </si>
  <si>
    <t>WI2101100371</t>
  </si>
  <si>
    <t>150030037119</t>
  </si>
  <si>
    <t>MI21011316065</t>
  </si>
  <si>
    <t>WI2101100372</t>
  </si>
  <si>
    <t>150030037679</t>
  </si>
  <si>
    <t>MI21011316033</t>
  </si>
  <si>
    <t>WI2101100375</t>
  </si>
  <si>
    <t>WI2101100399</t>
  </si>
  <si>
    <t>150030037805</t>
  </si>
  <si>
    <t>MI21011316303</t>
  </si>
  <si>
    <t>WI2101100410</t>
  </si>
  <si>
    <t>150030037735</t>
  </si>
  <si>
    <t>MI21011316425</t>
  </si>
  <si>
    <t>WI2101100465</t>
  </si>
  <si>
    <t>150030037792</t>
  </si>
  <si>
    <t>MI21011317232</t>
  </si>
  <si>
    <t>WI2101100471</t>
  </si>
  <si>
    <t>150030037786</t>
  </si>
  <si>
    <t>MI21011317309</t>
  </si>
  <si>
    <t>WI2101100473</t>
  </si>
  <si>
    <t>150030033960</t>
  </si>
  <si>
    <t>MI21011317535</t>
  </si>
  <si>
    <t>WI2101100526</t>
  </si>
  <si>
    <t>150100001331</t>
  </si>
  <si>
    <t>MI21011318287</t>
  </si>
  <si>
    <t>WI2101100542</t>
  </si>
  <si>
    <t>150030034758</t>
  </si>
  <si>
    <t>MI21011318681</t>
  </si>
  <si>
    <t>WI2101100552</t>
  </si>
  <si>
    <t>150030035022</t>
  </si>
  <si>
    <t>MI21011318861</t>
  </si>
  <si>
    <t>WI2101100556</t>
  </si>
  <si>
    <t>150030037816</t>
  </si>
  <si>
    <t>MI21011318798</t>
  </si>
  <si>
    <t>WI2101100574</t>
  </si>
  <si>
    <t>WI2101100595</t>
  </si>
  <si>
    <t>150030036014</t>
  </si>
  <si>
    <t>MI21011319156</t>
  </si>
  <si>
    <t>WI2101100596</t>
  </si>
  <si>
    <t>150100001242</t>
  </si>
  <si>
    <t>MI21011319327</t>
  </si>
  <si>
    <t>WI2101100657</t>
  </si>
  <si>
    <t>150030037757</t>
  </si>
  <si>
    <t>MI21011319878</t>
  </si>
  <si>
    <t>WI2101100676</t>
  </si>
  <si>
    <t>150030033909</t>
  </si>
  <si>
    <t>MI21011320339</t>
  </si>
  <si>
    <t>WI2101100716</t>
  </si>
  <si>
    <t>150030036173</t>
  </si>
  <si>
    <t>MI21011320671</t>
  </si>
  <si>
    <t>Mohini Shinde</t>
  </si>
  <si>
    <t>WI2101100790</t>
  </si>
  <si>
    <t>150030034952</t>
  </si>
  <si>
    <t>MI21011321540</t>
  </si>
  <si>
    <t>WI2101100797</t>
  </si>
  <si>
    <t>150030035027</t>
  </si>
  <si>
    <t>MI21011321665</t>
  </si>
  <si>
    <t>WI2101100818</t>
  </si>
  <si>
    <t>150030035013</t>
  </si>
  <si>
    <t>MI21011321848</t>
  </si>
  <si>
    <t>WI2101100873</t>
  </si>
  <si>
    <t>150030034005</t>
  </si>
  <si>
    <t>MI21011322601</t>
  </si>
  <si>
    <t>Pooja Randhe</t>
  </si>
  <si>
    <t>WI2101100879</t>
  </si>
  <si>
    <t>150030037471</t>
  </si>
  <si>
    <t>MI21011322537</t>
  </si>
  <si>
    <t>Ketan Pathak</t>
  </si>
  <si>
    <t>WI2101100896</t>
  </si>
  <si>
    <t>MI21011322641</t>
  </si>
  <si>
    <t>Dashrath Soren</t>
  </si>
  <si>
    <t>WI210110090</t>
  </si>
  <si>
    <t>150030035069</t>
  </si>
  <si>
    <t>MI2101122843</t>
  </si>
  <si>
    <t>Amruta Erande</t>
  </si>
  <si>
    <t>Kishor Gunjal</t>
  </si>
  <si>
    <t>WI2101100948</t>
  </si>
  <si>
    <t>150030037838</t>
  </si>
  <si>
    <t>MI21011323559</t>
  </si>
  <si>
    <t>WI210110095</t>
  </si>
  <si>
    <t>150030035179</t>
  </si>
  <si>
    <t>MI2101122849</t>
  </si>
  <si>
    <t>WI2101101026</t>
  </si>
  <si>
    <t>150030035037</t>
  </si>
  <si>
    <t>MI21011324755</t>
  </si>
  <si>
    <t>WI210110104</t>
  </si>
  <si>
    <t>150030033473</t>
  </si>
  <si>
    <t>MI2101120018</t>
  </si>
  <si>
    <t>WI2101101043</t>
  </si>
  <si>
    <t>WI2101101123</t>
  </si>
  <si>
    <t>150030036170</t>
  </si>
  <si>
    <t>MI21011325632</t>
  </si>
  <si>
    <t>WI2101101127</t>
  </si>
  <si>
    <t>150030034684</t>
  </si>
  <si>
    <t>MI21011325800</t>
  </si>
  <si>
    <t>WI2101101172</t>
  </si>
  <si>
    <t>150030035695</t>
  </si>
  <si>
    <t>MI21011326073</t>
  </si>
  <si>
    <t>WI2101101188</t>
  </si>
  <si>
    <t>150030035144</t>
  </si>
  <si>
    <t>MI21011326336</t>
  </si>
  <si>
    <t>WI2101101201</t>
  </si>
  <si>
    <t>150030034381</t>
  </si>
  <si>
    <t>MI21011326434</t>
  </si>
  <si>
    <t>WI2101101213</t>
  </si>
  <si>
    <t>150030034287</t>
  </si>
  <si>
    <t>MI21011326805</t>
  </si>
  <si>
    <t>WI2101101225</t>
  </si>
  <si>
    <t>WI2101101287</t>
  </si>
  <si>
    <t>150030034713</t>
  </si>
  <si>
    <t>MI21011327978</t>
  </si>
  <si>
    <t>WI2101101320</t>
  </si>
  <si>
    <t>WI2101101418</t>
  </si>
  <si>
    <t>150030031828</t>
  </si>
  <si>
    <t>MI21011329194</t>
  </si>
  <si>
    <t>WI2101101508</t>
  </si>
  <si>
    <t>MI21011330508</t>
  </si>
  <si>
    <t>WI2101101630</t>
  </si>
  <si>
    <t>112300000854</t>
  </si>
  <si>
    <t>MI21011331452</t>
  </si>
  <si>
    <t>WI2101101703</t>
  </si>
  <si>
    <t>150030035491</t>
  </si>
  <si>
    <t>MI21011332454</t>
  </si>
  <si>
    <t>WI2101101851</t>
  </si>
  <si>
    <t>MI21011333996</t>
  </si>
  <si>
    <t>WI2101101874</t>
  </si>
  <si>
    <t>150030037730</t>
  </si>
  <si>
    <t>MI21011334485</t>
  </si>
  <si>
    <t>WI2101101886</t>
  </si>
  <si>
    <t>150030036820</t>
  </si>
  <si>
    <t>MI21011332437</t>
  </si>
  <si>
    <t>WI2101101897</t>
  </si>
  <si>
    <t>MI21011334946</t>
  </si>
  <si>
    <t>WI2101101923</t>
  </si>
  <si>
    <t>150030037451</t>
  </si>
  <si>
    <t>MI21011335211</t>
  </si>
  <si>
    <t>WI2101101960</t>
  </si>
  <si>
    <t>150030037873</t>
  </si>
  <si>
    <t>MI21011335475</t>
  </si>
  <si>
    <t>WI2101101986</t>
  </si>
  <si>
    <t>MI21011336042</t>
  </si>
  <si>
    <t>WI2101101991</t>
  </si>
  <si>
    <t>MI21011336159</t>
  </si>
  <si>
    <t>WI2101101993</t>
  </si>
  <si>
    <t>WI2101101995</t>
  </si>
  <si>
    <t>WI2101102001</t>
  </si>
  <si>
    <t>150030037903</t>
  </si>
  <si>
    <t>MI21011336287</t>
  </si>
  <si>
    <t>WI2101102027</t>
  </si>
  <si>
    <t>150030034556</t>
  </si>
  <si>
    <t>MI21011336624</t>
  </si>
  <si>
    <t>Suraj Toradmal</t>
  </si>
  <si>
    <t>WI2101102047</t>
  </si>
  <si>
    <t>WI2101102079</t>
  </si>
  <si>
    <t>150030034445</t>
  </si>
  <si>
    <t>MI21011337693</t>
  </si>
  <si>
    <t>WI2101102205</t>
  </si>
  <si>
    <t>150030035053</t>
  </si>
  <si>
    <t>MI21011339638</t>
  </si>
  <si>
    <t>WI2101102221</t>
  </si>
  <si>
    <t>150030037879</t>
  </si>
  <si>
    <t>MI21011339986</t>
  </si>
  <si>
    <t>WI2101102239</t>
  </si>
  <si>
    <t>150030034895</t>
  </si>
  <si>
    <t>MI21011340309</t>
  </si>
  <si>
    <t>WI2101102242</t>
  </si>
  <si>
    <t>150030031510</t>
  </si>
  <si>
    <t>MI21011340352</t>
  </si>
  <si>
    <t>WI2101102261</t>
  </si>
  <si>
    <t>150030035261</t>
  </si>
  <si>
    <t>MI21011340601</t>
  </si>
  <si>
    <t>WI2101102262</t>
  </si>
  <si>
    <t>150030034792</t>
  </si>
  <si>
    <t>MI21011340608</t>
  </si>
  <si>
    <t>WI2101102286</t>
  </si>
  <si>
    <t>150030035649</t>
  </si>
  <si>
    <t>MI21011340954</t>
  </si>
  <si>
    <t>WI2101102361</t>
  </si>
  <si>
    <t>150030034833</t>
  </si>
  <si>
    <t>MI21011341591</t>
  </si>
  <si>
    <t>WI2101102380</t>
  </si>
  <si>
    <t>WI2101102404</t>
  </si>
  <si>
    <t>150030036792</t>
  </si>
  <si>
    <t>MI21011342422</t>
  </si>
  <si>
    <t>WI2101102408</t>
  </si>
  <si>
    <t>MI21011342525</t>
  </si>
  <si>
    <t>WI2101102410</t>
  </si>
  <si>
    <t>MI21011342513</t>
  </si>
  <si>
    <t>WI2101102434</t>
  </si>
  <si>
    <t>MI21011342902</t>
  </si>
  <si>
    <t>WI2101102435</t>
  </si>
  <si>
    <t>150030035764</t>
  </si>
  <si>
    <t>MI21011342823</t>
  </si>
  <si>
    <t>WI2101102457</t>
  </si>
  <si>
    <t>WI210110250</t>
  </si>
  <si>
    <t>150030036027</t>
  </si>
  <si>
    <t>MI2101127491</t>
  </si>
  <si>
    <t>WI2101102547</t>
  </si>
  <si>
    <t>MI21011343975</t>
  </si>
  <si>
    <t>WI2101102554</t>
  </si>
  <si>
    <t>150030035063</t>
  </si>
  <si>
    <t>MI21011344336</t>
  </si>
  <si>
    <t>WI2101102580</t>
  </si>
  <si>
    <t>WI2101102604</t>
  </si>
  <si>
    <t>150030037642</t>
  </si>
  <si>
    <t>MI21011344735</t>
  </si>
  <si>
    <t>WI2101102629</t>
  </si>
  <si>
    <t>MI21011345576</t>
  </si>
  <si>
    <t>WI2101102638</t>
  </si>
  <si>
    <t>MI21011345797</t>
  </si>
  <si>
    <t>WI2101102642</t>
  </si>
  <si>
    <t>150030031626</t>
  </si>
  <si>
    <t>MI21011345728</t>
  </si>
  <si>
    <t>WI2101102661</t>
  </si>
  <si>
    <t>MI21011346227</t>
  </si>
  <si>
    <t>WI2101102724</t>
  </si>
  <si>
    <t>150030037900</t>
  </si>
  <si>
    <t>MI21011347584</t>
  </si>
  <si>
    <t>WI2101102733</t>
  </si>
  <si>
    <t>150030037743</t>
  </si>
  <si>
    <t>MI21011347832</t>
  </si>
  <si>
    <t>WI2101102742</t>
  </si>
  <si>
    <t>150030036093</t>
  </si>
  <si>
    <t>MI21011347919</t>
  </si>
  <si>
    <t>WI21011028</t>
  </si>
  <si>
    <t>150030035983</t>
  </si>
  <si>
    <t>MI21017574</t>
  </si>
  <si>
    <t>Poonam Patil</t>
  </si>
  <si>
    <t>WI2101102805</t>
  </si>
  <si>
    <t>150030033584</t>
  </si>
  <si>
    <t>MI21011348561</t>
  </si>
  <si>
    <t>WI2101102815</t>
  </si>
  <si>
    <t>MI21011348623</t>
  </si>
  <si>
    <t>WI2101102859</t>
  </si>
  <si>
    <t>150030037775</t>
  </si>
  <si>
    <t>MI21011349120</t>
  </si>
  <si>
    <t>WI2101102931</t>
  </si>
  <si>
    <t>150030037474</t>
  </si>
  <si>
    <t>MI21011350241</t>
  </si>
  <si>
    <t>WI2101102934</t>
  </si>
  <si>
    <t>MI21011350304</t>
  </si>
  <si>
    <t>WI2101102952</t>
  </si>
  <si>
    <t>WI2101102978</t>
  </si>
  <si>
    <t>150030037647</t>
  </si>
  <si>
    <t>MI21011350777</t>
  </si>
  <si>
    <t>WI2101102993</t>
  </si>
  <si>
    <t>WI2101102998</t>
  </si>
  <si>
    <t>150030035262</t>
  </si>
  <si>
    <t>MI21011351079</t>
  </si>
  <si>
    <t>WI2101103251</t>
  </si>
  <si>
    <t>150030035849</t>
  </si>
  <si>
    <t>MI21011355022</t>
  </si>
  <si>
    <t>WI210110333</t>
  </si>
  <si>
    <t>150030035683</t>
  </si>
  <si>
    <t>MI2101128429</t>
  </si>
  <si>
    <t>WI2101103332</t>
  </si>
  <si>
    <t>MI21011355947</t>
  </si>
  <si>
    <t>WI210110341</t>
  </si>
  <si>
    <t>150030034901</t>
  </si>
  <si>
    <t>MI2101128510</t>
  </si>
  <si>
    <t>WI210110457</t>
  </si>
  <si>
    <t>150030034961</t>
  </si>
  <si>
    <t>MI2101130452</t>
  </si>
  <si>
    <t>WI210110460</t>
  </si>
  <si>
    <t>150030036031</t>
  </si>
  <si>
    <t>MI2101130382</t>
  </si>
  <si>
    <t>WI210110607</t>
  </si>
  <si>
    <t>WI210110672</t>
  </si>
  <si>
    <t>MI2101133018</t>
  </si>
  <si>
    <t>WI210111156</t>
  </si>
  <si>
    <t>150030033142</t>
  </si>
  <si>
    <t>MI2101137066</t>
  </si>
  <si>
    <t>WI210111821</t>
  </si>
  <si>
    <t>115750001921</t>
  </si>
  <si>
    <t>MI210192723</t>
  </si>
  <si>
    <t>WI210111835</t>
  </si>
  <si>
    <t>MI2101145792</t>
  </si>
  <si>
    <t>WI210111841</t>
  </si>
  <si>
    <t>150030032628</t>
  </si>
  <si>
    <t>MI2101145874</t>
  </si>
  <si>
    <t>WI210111849</t>
  </si>
  <si>
    <t>150030034299</t>
  </si>
  <si>
    <t>MI2101146094</t>
  </si>
  <si>
    <t>WI210111854</t>
  </si>
  <si>
    <t>150030035974</t>
  </si>
  <si>
    <t>MI2101146135</t>
  </si>
  <si>
    <t>WI210111855</t>
  </si>
  <si>
    <t>110660002048</t>
  </si>
  <si>
    <t>MI2101109890</t>
  </si>
  <si>
    <t>Cesar Puemape</t>
  </si>
  <si>
    <t>WI210111856</t>
  </si>
  <si>
    <t>MI2101146197</t>
  </si>
  <si>
    <t>WI210111904</t>
  </si>
  <si>
    <t>150030035420</t>
  </si>
  <si>
    <t>MI2101147022</t>
  </si>
  <si>
    <t>WI210111956</t>
  </si>
  <si>
    <t>MI2101148064</t>
  </si>
  <si>
    <t>WI210111963</t>
  </si>
  <si>
    <t>WI210111970</t>
  </si>
  <si>
    <t>150030034040</t>
  </si>
  <si>
    <t>MI2101148256</t>
  </si>
  <si>
    <t>WI210112016</t>
  </si>
  <si>
    <t>MI2101149203</t>
  </si>
  <si>
    <t>WI210112018</t>
  </si>
  <si>
    <t>150030035129</t>
  </si>
  <si>
    <t>MI2101149398</t>
  </si>
  <si>
    <t>WI210112022</t>
  </si>
  <si>
    <t>WI210112026</t>
  </si>
  <si>
    <t>150030035067</t>
  </si>
  <si>
    <t>MI2101149517</t>
  </si>
  <si>
    <t>WI210112028</t>
  </si>
  <si>
    <t>150030033808</t>
  </si>
  <si>
    <t>MI2101149632</t>
  </si>
  <si>
    <t>WI210112035</t>
  </si>
  <si>
    <t>WI210112038</t>
  </si>
  <si>
    <t>150030035173</t>
  </si>
  <si>
    <t>MI2101149738</t>
  </si>
  <si>
    <t>WI210112041</t>
  </si>
  <si>
    <t>150030034292</t>
  </si>
  <si>
    <t>MI2101149821</t>
  </si>
  <si>
    <t>WI210112051</t>
  </si>
  <si>
    <t>MI2101149919</t>
  </si>
  <si>
    <t>WI210112052</t>
  </si>
  <si>
    <t>MI2101149943</t>
  </si>
  <si>
    <t>WI210112070</t>
  </si>
  <si>
    <t>MI2101150342</t>
  </si>
  <si>
    <t>WI210112075</t>
  </si>
  <si>
    <t>WI210112079</t>
  </si>
  <si>
    <t>MI2101150546</t>
  </si>
  <si>
    <t>WI210112093</t>
  </si>
  <si>
    <t>150030036274</t>
  </si>
  <si>
    <t>MI2101150805</t>
  </si>
  <si>
    <t>WI210112099</t>
  </si>
  <si>
    <t>150030036366</t>
  </si>
  <si>
    <t>MI2101150913</t>
  </si>
  <si>
    <t>WI210112103</t>
  </si>
  <si>
    <t>150030034402</t>
  </si>
  <si>
    <t>MI2101151005</t>
  </si>
  <si>
    <t>WI210112113</t>
  </si>
  <si>
    <t>150030036347</t>
  </si>
  <si>
    <t>MI2101151012</t>
  </si>
  <si>
    <t>WI210112126</t>
  </si>
  <si>
    <t>150030035523</t>
  </si>
  <si>
    <t>MI2101151204</t>
  </si>
  <si>
    <t>WI210112133</t>
  </si>
  <si>
    <t>MI2101151263</t>
  </si>
  <si>
    <t>WI210112134</t>
  </si>
  <si>
    <t>WI210112135</t>
  </si>
  <si>
    <t>150030036253</t>
  </si>
  <si>
    <t>MI2101151090</t>
  </si>
  <si>
    <t>WI210112137</t>
  </si>
  <si>
    <t>WI210112154</t>
  </si>
  <si>
    <t>150030036365</t>
  </si>
  <si>
    <t>MI2101151482</t>
  </si>
  <si>
    <t>WI210112168</t>
  </si>
  <si>
    <t>150030036279</t>
  </si>
  <si>
    <t>MI2101151735</t>
  </si>
  <si>
    <t>Sean Secord</t>
  </si>
  <si>
    <t>WI210112176</t>
  </si>
  <si>
    <t>150030036313</t>
  </si>
  <si>
    <t>MI2101151861</t>
  </si>
  <si>
    <t>WI210112206</t>
  </si>
  <si>
    <t>150030036198</t>
  </si>
  <si>
    <t>MI2101152168</t>
  </si>
  <si>
    <t>WI210112208</t>
  </si>
  <si>
    <t>MI2101152316</t>
  </si>
  <si>
    <t>WI210112212</t>
  </si>
  <si>
    <t>MI2101152412</t>
  </si>
  <si>
    <t>WI210112241</t>
  </si>
  <si>
    <t>150030036315</t>
  </si>
  <si>
    <t>MI2101152728</t>
  </si>
  <si>
    <t>WI210112260</t>
  </si>
  <si>
    <t>150030036252</t>
  </si>
  <si>
    <t>MI2101152840</t>
  </si>
  <si>
    <t>WI210112322</t>
  </si>
  <si>
    <t>150030036260</t>
  </si>
  <si>
    <t>MI2101153413</t>
  </si>
  <si>
    <t>WI210112323</t>
  </si>
  <si>
    <t>150030036345</t>
  </si>
  <si>
    <t>MI2101153680</t>
  </si>
  <si>
    <t>WI210112355</t>
  </si>
  <si>
    <t>150030036205</t>
  </si>
  <si>
    <t>MI2101153962</t>
  </si>
  <si>
    <t>WI210112361</t>
  </si>
  <si>
    <t>150030036273</t>
  </si>
  <si>
    <t>MI2101154085</t>
  </si>
  <si>
    <t>WI210112377</t>
  </si>
  <si>
    <t>WI210112399</t>
  </si>
  <si>
    <t>150030036145</t>
  </si>
  <si>
    <t>MI2101154658</t>
  </si>
  <si>
    <t>WI210112429</t>
  </si>
  <si>
    <t>150030036221</t>
  </si>
  <si>
    <t>MI2101154790</t>
  </si>
  <si>
    <t>WI210112443</t>
  </si>
  <si>
    <t>MI2101155052</t>
  </si>
  <si>
    <t>WI210112512</t>
  </si>
  <si>
    <t>150030036311</t>
  </si>
  <si>
    <t>MI2101155884</t>
  </si>
  <si>
    <t>WI210112530</t>
  </si>
  <si>
    <t>150030036438</t>
  </si>
  <si>
    <t>MI2101156026</t>
  </si>
  <si>
    <t>WI210112536</t>
  </si>
  <si>
    <t>150030036297</t>
  </si>
  <si>
    <t>MI2101156205</t>
  </si>
  <si>
    <t>WI210112552</t>
  </si>
  <si>
    <t>150030036338</t>
  </si>
  <si>
    <t>MI2101156393</t>
  </si>
  <si>
    <t>WI210112577</t>
  </si>
  <si>
    <t>150030036326</t>
  </si>
  <si>
    <t>MI2101156671</t>
  </si>
  <si>
    <t>WI210112604</t>
  </si>
  <si>
    <t>150030035503</t>
  </si>
  <si>
    <t>MI2101157005</t>
  </si>
  <si>
    <t>WI210112624</t>
  </si>
  <si>
    <t>150030036219</t>
  </si>
  <si>
    <t>MI2101157197</t>
  </si>
  <si>
    <t>WI210112630</t>
  </si>
  <si>
    <t>WI210112672</t>
  </si>
  <si>
    <t>150030036356</t>
  </si>
  <si>
    <t>MI2101157703</t>
  </si>
  <si>
    <t>WI210112673</t>
  </si>
  <si>
    <t>150030033511</t>
  </si>
  <si>
    <t>MI2101157818</t>
  </si>
  <si>
    <t>WI210112741</t>
  </si>
  <si>
    <t>150030036283</t>
  </si>
  <si>
    <t>MI2101158628</t>
  </si>
  <si>
    <t>WI210112854</t>
  </si>
  <si>
    <t>150030036393</t>
  </si>
  <si>
    <t>MI2101159555</t>
  </si>
  <si>
    <t>WI210112859</t>
  </si>
  <si>
    <t>150030036126</t>
  </si>
  <si>
    <t>MI2101159736</t>
  </si>
  <si>
    <t>WI210112875</t>
  </si>
  <si>
    <t>150030033568</t>
  </si>
  <si>
    <t>MI2101160128</t>
  </si>
  <si>
    <t>WI210112905</t>
  </si>
  <si>
    <t>150030036370</t>
  </si>
  <si>
    <t>MI2101160568</t>
  </si>
  <si>
    <t>WI210112932</t>
  </si>
  <si>
    <t>150030036226</t>
  </si>
  <si>
    <t>MI2101160735</t>
  </si>
  <si>
    <t>WI210112936</t>
  </si>
  <si>
    <t>150030036230</t>
  </si>
  <si>
    <t>MI2101160867</t>
  </si>
  <si>
    <t>WI210112963</t>
  </si>
  <si>
    <t>150030036386</t>
  </si>
  <si>
    <t>MI2101161213</t>
  </si>
  <si>
    <t>WI210113049</t>
  </si>
  <si>
    <t>150030034100</t>
  </si>
  <si>
    <t>MI2101162500</t>
  </si>
  <si>
    <t>WI210113050</t>
  </si>
  <si>
    <t>150030036175</t>
  </si>
  <si>
    <t>MI2101162562</t>
  </si>
  <si>
    <t>WI210113084</t>
  </si>
  <si>
    <t>MI2101163099</t>
  </si>
  <si>
    <t>WI210113086</t>
  </si>
  <si>
    <t>MI2101163322</t>
  </si>
  <si>
    <t>WI210113138</t>
  </si>
  <si>
    <t>MI2101163869</t>
  </si>
  <si>
    <t>WI210113160</t>
  </si>
  <si>
    <t>WI210113176</t>
  </si>
  <si>
    <t>150030036204</t>
  </si>
  <si>
    <t>MI2101164066</t>
  </si>
  <si>
    <t>WI210113181</t>
  </si>
  <si>
    <t>150030034514</t>
  </si>
  <si>
    <t>MI2101164438</t>
  </si>
  <si>
    <t>WI210113230</t>
  </si>
  <si>
    <t>150030036385</t>
  </si>
  <si>
    <t>MI2101164723</t>
  </si>
  <si>
    <t>WI210113289</t>
  </si>
  <si>
    <t>MI2101165325</t>
  </si>
  <si>
    <t>WI210113333</t>
  </si>
  <si>
    <t>150030034765</t>
  </si>
  <si>
    <t>MI2101165821</t>
  </si>
  <si>
    <t>WI210113336</t>
  </si>
  <si>
    <t>150030034132</t>
  </si>
  <si>
    <t>MI2101165824</t>
  </si>
  <si>
    <t>WI210113367</t>
  </si>
  <si>
    <t>WI210113379</t>
  </si>
  <si>
    <t>WI210113388</t>
  </si>
  <si>
    <t>150030036169</t>
  </si>
  <si>
    <t>MI2101166439</t>
  </si>
  <si>
    <t>WI210113401</t>
  </si>
  <si>
    <t>150030035941</t>
  </si>
  <si>
    <t>MI2101166640</t>
  </si>
  <si>
    <t>WI210113438</t>
  </si>
  <si>
    <t>WI210113476</t>
  </si>
  <si>
    <t>WI210113554</t>
  </si>
  <si>
    <t>150030034543</t>
  </si>
  <si>
    <t>MI2101168463</t>
  </si>
  <si>
    <t>WI210113568</t>
  </si>
  <si>
    <t>150030036383</t>
  </si>
  <si>
    <t>MI2101168673</t>
  </si>
  <si>
    <t>WI210113573</t>
  </si>
  <si>
    <t>MI2101168761</t>
  </si>
  <si>
    <t>WI210113684</t>
  </si>
  <si>
    <t>MI2101170280</t>
  </si>
  <si>
    <t>WI210113769</t>
  </si>
  <si>
    <t>150030035973</t>
  </si>
  <si>
    <t>MI2101171218</t>
  </si>
  <si>
    <t>WI210113885</t>
  </si>
  <si>
    <t>150030035147</t>
  </si>
  <si>
    <t>MI2101172534</t>
  </si>
  <si>
    <t>WI210113921</t>
  </si>
  <si>
    <t>WI210113965</t>
  </si>
  <si>
    <t>150030035255</t>
  </si>
  <si>
    <t>MI2101173292</t>
  </si>
  <si>
    <t>WI210113988</t>
  </si>
  <si>
    <t>WI210114045</t>
  </si>
  <si>
    <t>WI210114073</t>
  </si>
  <si>
    <t>150030036280</t>
  </si>
  <si>
    <t>MI2101174578</t>
  </si>
  <si>
    <t>WI21011424</t>
  </si>
  <si>
    <t>150030035298</t>
  </si>
  <si>
    <t>MI210111639</t>
  </si>
  <si>
    <t>WI21011425</t>
  </si>
  <si>
    <t>150030034862</t>
  </si>
  <si>
    <t>MI210111645</t>
  </si>
  <si>
    <t>WI21011426</t>
  </si>
  <si>
    <t>150030034974</t>
  </si>
  <si>
    <t>MI210111722</t>
  </si>
  <si>
    <t>WI21011429</t>
  </si>
  <si>
    <t>150030035319</t>
  </si>
  <si>
    <t>MI210111813</t>
  </si>
  <si>
    <t>WI210114305</t>
  </si>
  <si>
    <t>150030035310</t>
  </si>
  <si>
    <t>MI2101176497</t>
  </si>
  <si>
    <t>WI210114329</t>
  </si>
  <si>
    <t>WI210114346</t>
  </si>
  <si>
    <t>150030035232</t>
  </si>
  <si>
    <t>MI2101176952</t>
  </si>
  <si>
    <t>WI210114373</t>
  </si>
  <si>
    <t>WI21011439</t>
  </si>
  <si>
    <t>150030034651</t>
  </si>
  <si>
    <t>MI210111879</t>
  </si>
  <si>
    <t>WI210114392</t>
  </si>
  <si>
    <t>150030035238</t>
  </si>
  <si>
    <t>MI2101177424</t>
  </si>
  <si>
    <t>WI21011440</t>
  </si>
  <si>
    <t>150030036190</t>
  </si>
  <si>
    <t>MI210111923</t>
  </si>
  <si>
    <t>WI21011441</t>
  </si>
  <si>
    <t>150030035477</t>
  </si>
  <si>
    <t>MI210111965</t>
  </si>
  <si>
    <t>Devendra Naidu</t>
  </si>
  <si>
    <t>WI21011445</t>
  </si>
  <si>
    <t>150030036130</t>
  </si>
  <si>
    <t>MI210112061</t>
  </si>
  <si>
    <t>WI21011448</t>
  </si>
  <si>
    <t>150030036113</t>
  </si>
  <si>
    <t>MI210112172</t>
  </si>
  <si>
    <t>WI21011449</t>
  </si>
  <si>
    <t>150030031970</t>
  </si>
  <si>
    <t>MI210112252</t>
  </si>
  <si>
    <t>WI21011450</t>
  </si>
  <si>
    <t>MI210112269</t>
  </si>
  <si>
    <t>WI21011451</t>
  </si>
  <si>
    <t>MI210112278</t>
  </si>
  <si>
    <t>WI21011455</t>
  </si>
  <si>
    <t>150030032731</t>
  </si>
  <si>
    <t>MI210112325</t>
  </si>
  <si>
    <t>WI21011459</t>
  </si>
  <si>
    <t>WI210114659</t>
  </si>
  <si>
    <t>150030036318</t>
  </si>
  <si>
    <t>MI2101180250</t>
  </si>
  <si>
    <t>WI21011470</t>
  </si>
  <si>
    <t>150030034135</t>
  </si>
  <si>
    <t>MI210112688</t>
  </si>
  <si>
    <t>WI21011474</t>
  </si>
  <si>
    <t>150030032772</t>
  </si>
  <si>
    <t>MI210112755</t>
  </si>
  <si>
    <t>WI21011478</t>
  </si>
  <si>
    <t>MI210112790</t>
  </si>
  <si>
    <t>WI210114817</t>
  </si>
  <si>
    <t>150030036430</t>
  </si>
  <si>
    <t>MI2101182476</t>
  </si>
  <si>
    <t>WI21011482</t>
  </si>
  <si>
    <t>150030035843</t>
  </si>
  <si>
    <t>MI210112822</t>
  </si>
  <si>
    <t>WI21011483</t>
  </si>
  <si>
    <t>MI210112840</t>
  </si>
  <si>
    <t>WI210114856</t>
  </si>
  <si>
    <t>150030034034</t>
  </si>
  <si>
    <t>MI2101182799</t>
  </si>
  <si>
    <t>WI210114867</t>
  </si>
  <si>
    <t>MI2101182884</t>
  </si>
  <si>
    <t>WI21011490</t>
  </si>
  <si>
    <t>150030032675</t>
  </si>
  <si>
    <t>MI210112966</t>
  </si>
  <si>
    <t>WI210114901</t>
  </si>
  <si>
    <t>150030035470</t>
  </si>
  <si>
    <t>MI2101183286</t>
  </si>
  <si>
    <t>WI21011491</t>
  </si>
  <si>
    <t>MI210112970</t>
  </si>
  <si>
    <t>WI210114918</t>
  </si>
  <si>
    <t>WI210114924</t>
  </si>
  <si>
    <t>WI210114932</t>
  </si>
  <si>
    <t>MI2101183721</t>
  </si>
  <si>
    <t>WI21011496</t>
  </si>
  <si>
    <t>150030035813</t>
  </si>
  <si>
    <t>MI210113026</t>
  </si>
  <si>
    <t>WI210114962</t>
  </si>
  <si>
    <t>150030036149</t>
  </si>
  <si>
    <t>MI2101184044</t>
  </si>
  <si>
    <t>WI210114966</t>
  </si>
  <si>
    <t>150030036414</t>
  </si>
  <si>
    <t>MI2101183845</t>
  </si>
  <si>
    <t>WI210115022</t>
  </si>
  <si>
    <t>MI2101184601</t>
  </si>
  <si>
    <t>WI210115051</t>
  </si>
  <si>
    <t>150100001263</t>
  </si>
  <si>
    <t>MI2101184876</t>
  </si>
  <si>
    <t>WI210115055</t>
  </si>
  <si>
    <t>WI210115071</t>
  </si>
  <si>
    <t>150030036354</t>
  </si>
  <si>
    <t>MI2101184749</t>
  </si>
  <si>
    <t>WI210115115</t>
  </si>
  <si>
    <t>150030036440</t>
  </si>
  <si>
    <t>MI2101185869</t>
  </si>
  <si>
    <t>WI210115178</t>
  </si>
  <si>
    <t>MI2101186678</t>
  </si>
  <si>
    <t>WI210115191</t>
  </si>
  <si>
    <t>MI2101186890</t>
  </si>
  <si>
    <t>WI210115201</t>
  </si>
  <si>
    <t>150030035917</t>
  </si>
  <si>
    <t>MI2101187040</t>
  </si>
  <si>
    <t>WI210115275</t>
  </si>
  <si>
    <t>150030036179</t>
  </si>
  <si>
    <t>MI2101187838</t>
  </si>
  <si>
    <t>WI210115309</t>
  </si>
  <si>
    <t>MI2101188569</t>
  </si>
  <si>
    <t>WI210115326</t>
  </si>
  <si>
    <t>150030036381</t>
  </si>
  <si>
    <t>MI2101188691</t>
  </si>
  <si>
    <t>WI210115336</t>
  </si>
  <si>
    <t>150030036359</t>
  </si>
  <si>
    <t>MI2101188869</t>
  </si>
  <si>
    <t>WI210115413</t>
  </si>
  <si>
    <t>150030034702</t>
  </si>
  <si>
    <t>MI2101189398</t>
  </si>
  <si>
    <t>WI210115416</t>
  </si>
  <si>
    <t>MI2101189449</t>
  </si>
  <si>
    <t>WI210115429</t>
  </si>
  <si>
    <t>150030036403</t>
  </si>
  <si>
    <t>MI2101189529</t>
  </si>
  <si>
    <t>WI210115513</t>
  </si>
  <si>
    <t>150030036268</t>
  </si>
  <si>
    <t>MI2101190932</t>
  </si>
  <si>
    <t>WI210115530</t>
  </si>
  <si>
    <t>WI21011561</t>
  </si>
  <si>
    <t>150030034300</t>
  </si>
  <si>
    <t>MI210113572</t>
  </si>
  <si>
    <t>WI210115637</t>
  </si>
  <si>
    <t>150030034523</t>
  </si>
  <si>
    <t>MI2101192397</t>
  </si>
  <si>
    <t>WI210115718</t>
  </si>
  <si>
    <t>MI2101193213</t>
  </si>
  <si>
    <t>WI210115761</t>
  </si>
  <si>
    <t>WI210115775</t>
  </si>
  <si>
    <t>150030036413</t>
  </si>
  <si>
    <t>MI2101194103</t>
  </si>
  <si>
    <t>WI21011593</t>
  </si>
  <si>
    <t>150030032442</t>
  </si>
  <si>
    <t>MI210113813</t>
  </si>
  <si>
    <t>WI210115949</t>
  </si>
  <si>
    <t>150030035419</t>
  </si>
  <si>
    <t>MI2101196805</t>
  </si>
  <si>
    <t>WI210115956</t>
  </si>
  <si>
    <t>150030034117</t>
  </si>
  <si>
    <t>MI2101196977</t>
  </si>
  <si>
    <t>WI210115963</t>
  </si>
  <si>
    <t>MI2101197018</t>
  </si>
  <si>
    <t>WI210115975</t>
  </si>
  <si>
    <t>150100001182</t>
  </si>
  <si>
    <t>MI2101197231</t>
  </si>
  <si>
    <t>WI21011599</t>
  </si>
  <si>
    <t>150030034386</t>
  </si>
  <si>
    <t>MI210113901</t>
  </si>
  <si>
    <t>WI21011607</t>
  </si>
  <si>
    <t>MI210114041</t>
  </si>
  <si>
    <t>WI210116149</t>
  </si>
  <si>
    <t>MI2101199005</t>
  </si>
  <si>
    <t>WI210116216</t>
  </si>
  <si>
    <t>150100001214</t>
  </si>
  <si>
    <t>MI2101199857</t>
  </si>
  <si>
    <t>WI21011622</t>
  </si>
  <si>
    <t>150030033667</t>
  </si>
  <si>
    <t>MI210114328</t>
  </si>
  <si>
    <t>WI210116239</t>
  </si>
  <si>
    <t>150030034498</t>
  </si>
  <si>
    <t>MI2101200139</t>
  </si>
  <si>
    <t>WI21011638</t>
  </si>
  <si>
    <t>150030032440</t>
  </si>
  <si>
    <t>MI210114425</t>
  </si>
  <si>
    <t>WI21011641</t>
  </si>
  <si>
    <t>MI210114438</t>
  </si>
  <si>
    <t>WI21011643</t>
  </si>
  <si>
    <t>MI210114497</t>
  </si>
  <si>
    <t>WI21011646</t>
  </si>
  <si>
    <t>WI210116505</t>
  </si>
  <si>
    <t>150030035099</t>
  </si>
  <si>
    <t>MI2101204051</t>
  </si>
  <si>
    <t>WI210116639</t>
  </si>
  <si>
    <t>150030034626</t>
  </si>
  <si>
    <t>MI2101205677</t>
  </si>
  <si>
    <t>WI21011664</t>
  </si>
  <si>
    <t>WI210116640</t>
  </si>
  <si>
    <t>MI2101205679</t>
  </si>
  <si>
    <t>WI210116666</t>
  </si>
  <si>
    <t>MI2101206153</t>
  </si>
  <si>
    <t>WI210116960</t>
  </si>
  <si>
    <t>WI210116984</t>
  </si>
  <si>
    <t>150100001275</t>
  </si>
  <si>
    <t>MI2101210979</t>
  </si>
  <si>
    <t>WI210116988</t>
  </si>
  <si>
    <t>150100001148</t>
  </si>
  <si>
    <t>MI2101211091</t>
  </si>
  <si>
    <t>WI210116992</t>
  </si>
  <si>
    <t>150030035355</t>
  </si>
  <si>
    <t>MI2101211156</t>
  </si>
  <si>
    <t>WI210116994</t>
  </si>
  <si>
    <t>WI210116996</t>
  </si>
  <si>
    <t>150100001272</t>
  </si>
  <si>
    <t>MI2101211226</t>
  </si>
  <si>
    <t>WI210117004</t>
  </si>
  <si>
    <t>150100001219</t>
  </si>
  <si>
    <t>MI2101211341</t>
  </si>
  <si>
    <t>Ujwala Ajabe</t>
  </si>
  <si>
    <t>WI210117012</t>
  </si>
  <si>
    <t>150030034624</t>
  </si>
  <si>
    <t>MI2101211443</t>
  </si>
  <si>
    <t>WI210117022</t>
  </si>
  <si>
    <t>WI210117028</t>
  </si>
  <si>
    <t>WI210117059</t>
  </si>
  <si>
    <t>150030033748</t>
  </si>
  <si>
    <t>MI2101211914</t>
  </si>
  <si>
    <t>WI210117084</t>
  </si>
  <si>
    <t>MI2101212160</t>
  </si>
  <si>
    <t>WI21011710</t>
  </si>
  <si>
    <t>150030035141</t>
  </si>
  <si>
    <t>MI210115081</t>
  </si>
  <si>
    <t>WI210117111</t>
  </si>
  <si>
    <t>150030033589</t>
  </si>
  <si>
    <t>MI2101212289</t>
  </si>
  <si>
    <t>WI21011712</t>
  </si>
  <si>
    <t>MI210115352</t>
  </si>
  <si>
    <t>WI21011715</t>
  </si>
  <si>
    <t>MI210115335</t>
  </si>
  <si>
    <t>WI210117153</t>
  </si>
  <si>
    <t>MI2101212654</t>
  </si>
  <si>
    <t>WI210117159</t>
  </si>
  <si>
    <t>WI210117160</t>
  </si>
  <si>
    <t>150030035545</t>
  </si>
  <si>
    <t>MI2101212697</t>
  </si>
  <si>
    <t>WI210117163</t>
  </si>
  <si>
    <t>MI2101212661</t>
  </si>
  <si>
    <t>WI210117168</t>
  </si>
  <si>
    <t>MI2101212817</t>
  </si>
  <si>
    <t>WI21011717</t>
  </si>
  <si>
    <t>150030036041</t>
  </si>
  <si>
    <t>MI210115398</t>
  </si>
  <si>
    <t>WI210117255</t>
  </si>
  <si>
    <t>WI210117286</t>
  </si>
  <si>
    <t>150030036131</t>
  </si>
  <si>
    <t>MI2101213690</t>
  </si>
  <si>
    <t>WI210117310</t>
  </si>
  <si>
    <t>150100001217</t>
  </si>
  <si>
    <t>MI2101213805</t>
  </si>
  <si>
    <t>WI210117321</t>
  </si>
  <si>
    <t>150030035789</t>
  </si>
  <si>
    <t>MI2101213928</t>
  </si>
  <si>
    <t>WI210117334</t>
  </si>
  <si>
    <t>150030035115</t>
  </si>
  <si>
    <t>MI2101214033</t>
  </si>
  <si>
    <t>WI210117340</t>
  </si>
  <si>
    <t>150030036101</t>
  </si>
  <si>
    <t>MI2101214059</t>
  </si>
  <si>
    <t>WI210117348</t>
  </si>
  <si>
    <t>150030034539</t>
  </si>
  <si>
    <t>MI2101214113</t>
  </si>
  <si>
    <t>WI210117354</t>
  </si>
  <si>
    <t>MI2101214198</t>
  </si>
  <si>
    <t>WI210117367</t>
  </si>
  <si>
    <t>150030035897</t>
  </si>
  <si>
    <t>MI2101214460</t>
  </si>
  <si>
    <t>WI210117374</t>
  </si>
  <si>
    <t>MI2101214604</t>
  </si>
  <si>
    <t>WI210117383</t>
  </si>
  <si>
    <t>150030034627</t>
  </si>
  <si>
    <t>MI2101214617</t>
  </si>
  <si>
    <t>WI210117386</t>
  </si>
  <si>
    <t>MI2101214651</t>
  </si>
  <si>
    <t>WI210117388</t>
  </si>
  <si>
    <t>MI2101214727</t>
  </si>
  <si>
    <t>WI210117417</t>
  </si>
  <si>
    <t>150030036312</t>
  </si>
  <si>
    <t>MI2101215155</t>
  </si>
  <si>
    <t>WI210117431</t>
  </si>
  <si>
    <t>150030036405</t>
  </si>
  <si>
    <t>MI2101215403</t>
  </si>
  <si>
    <t>WI210117432</t>
  </si>
  <si>
    <t>115030002520</t>
  </si>
  <si>
    <t>MI2101183412</t>
  </si>
  <si>
    <t>WI210117452</t>
  </si>
  <si>
    <t>150030036409</t>
  </si>
  <si>
    <t>MI2101215662</t>
  </si>
  <si>
    <t>WI210117461</t>
  </si>
  <si>
    <t>150030032645</t>
  </si>
  <si>
    <t>MI2101215743</t>
  </si>
  <si>
    <t>WI210117465</t>
  </si>
  <si>
    <t>150030034003</t>
  </si>
  <si>
    <t>MI2101215782</t>
  </si>
  <si>
    <t>WI21011749</t>
  </si>
  <si>
    <t>150030036089</t>
  </si>
  <si>
    <t>MI210115883</t>
  </si>
  <si>
    <t>WI210117491</t>
  </si>
  <si>
    <t>150030036200</t>
  </si>
  <si>
    <t>MI2101216057</t>
  </si>
  <si>
    <t>WI210117504</t>
  </si>
  <si>
    <t>150030036462</t>
  </si>
  <si>
    <t>MI2101216045</t>
  </si>
  <si>
    <t>WI210117507</t>
  </si>
  <si>
    <t>MI2101216105</t>
  </si>
  <si>
    <t>WI210117517</t>
  </si>
  <si>
    <t>150030036362</t>
  </si>
  <si>
    <t>MI2101216108</t>
  </si>
  <si>
    <t>WI210117518</t>
  </si>
  <si>
    <t>150030036487</t>
  </si>
  <si>
    <t>MI2101216135</t>
  </si>
  <si>
    <t>WI210117579</t>
  </si>
  <si>
    <t>150030036418</t>
  </si>
  <si>
    <t>MI2101216574</t>
  </si>
  <si>
    <t>WI210117598</t>
  </si>
  <si>
    <t>150030036355</t>
  </si>
  <si>
    <t>MI2101216873</t>
  </si>
  <si>
    <t>WI210117603</t>
  </si>
  <si>
    <t>150030036216</t>
  </si>
  <si>
    <t>MI2101216978</t>
  </si>
  <si>
    <t>WI210117612</t>
  </si>
  <si>
    <t>150030036330</t>
  </si>
  <si>
    <t>MI2101217210</t>
  </si>
  <si>
    <t>WI210117613</t>
  </si>
  <si>
    <t>150030034127</t>
  </si>
  <si>
    <t>MI2101217315</t>
  </si>
  <si>
    <t>WI210117616</t>
  </si>
  <si>
    <t>150030036294</t>
  </si>
  <si>
    <t>MI2101217225</t>
  </si>
  <si>
    <t>WI210117624</t>
  </si>
  <si>
    <t>150030033850</t>
  </si>
  <si>
    <t>MI2101217470</t>
  </si>
  <si>
    <t>WI21011763</t>
  </si>
  <si>
    <t>150030035901</t>
  </si>
  <si>
    <t>MI210116132</t>
  </si>
  <si>
    <t>WI210117630</t>
  </si>
  <si>
    <t>MI2101217593</t>
  </si>
  <si>
    <t>WI210117643</t>
  </si>
  <si>
    <t>MI2101217675</t>
  </si>
  <si>
    <t>WI210117644</t>
  </si>
  <si>
    <t>MI2101217693</t>
  </si>
  <si>
    <t>WI210117651</t>
  </si>
  <si>
    <t>MI2101217937</t>
  </si>
  <si>
    <t>WI210117663</t>
  </si>
  <si>
    <t>150030034294</t>
  </si>
  <si>
    <t>MI2101218005</t>
  </si>
  <si>
    <t>WI21011769</t>
  </si>
  <si>
    <t>150030036098</t>
  </si>
  <si>
    <t>MI210116117</t>
  </si>
  <si>
    <t>WI210117709</t>
  </si>
  <si>
    <t>150030036351</t>
  </si>
  <si>
    <t>MI2101218818</t>
  </si>
  <si>
    <t>WI21011773</t>
  </si>
  <si>
    <t>MI210116218</t>
  </si>
  <si>
    <t>WI210117730</t>
  </si>
  <si>
    <t>150030036404</t>
  </si>
  <si>
    <t>MI2101219219</t>
  </si>
  <si>
    <t>WI210117732</t>
  </si>
  <si>
    <t>150030036424</t>
  </si>
  <si>
    <t>MI2101219251</t>
  </si>
  <si>
    <t>WI210117744</t>
  </si>
  <si>
    <t>150030036459</t>
  </si>
  <si>
    <t>MI2101219408</t>
  </si>
  <si>
    <t>WI21011776</t>
  </si>
  <si>
    <t>115370001312</t>
  </si>
  <si>
    <t>MI210113315</t>
  </si>
  <si>
    <t>WI210117765</t>
  </si>
  <si>
    <t>150030034595</t>
  </si>
  <si>
    <t>MI2101219792</t>
  </si>
  <si>
    <t>WI210117773</t>
  </si>
  <si>
    <t>WI21011778</t>
  </si>
  <si>
    <t>MI210116207</t>
  </si>
  <si>
    <t>WI210117783</t>
  </si>
  <si>
    <t>WI210117785</t>
  </si>
  <si>
    <t>150030036324</t>
  </si>
  <si>
    <t>MI2101219910</t>
  </si>
  <si>
    <t>WI210117795</t>
  </si>
  <si>
    <t>150030036382</t>
  </si>
  <si>
    <t>MI2101220052</t>
  </si>
  <si>
    <t>WI21011780</t>
  </si>
  <si>
    <t>MI210116228</t>
  </si>
  <si>
    <t>WI210117800</t>
  </si>
  <si>
    <t>150030035559</t>
  </si>
  <si>
    <t>MI2101220215</t>
  </si>
  <si>
    <t>WI210117820</t>
  </si>
  <si>
    <t>150030036435</t>
  </si>
  <si>
    <t>MI2101220344</t>
  </si>
  <si>
    <t>WI21011783</t>
  </si>
  <si>
    <t>MI210116227</t>
  </si>
  <si>
    <t>WI210117848</t>
  </si>
  <si>
    <t>150030034955</t>
  </si>
  <si>
    <t>MI2101220790</t>
  </si>
  <si>
    <t>WI210117851</t>
  </si>
  <si>
    <t>150030032421</t>
  </si>
  <si>
    <t>MI2101220817</t>
  </si>
  <si>
    <t>WI210117853</t>
  </si>
  <si>
    <t>150030036133</t>
  </si>
  <si>
    <t>MI2101220803</t>
  </si>
  <si>
    <t>WI210117858</t>
  </si>
  <si>
    <t>150030032135</t>
  </si>
  <si>
    <t>MI2101220850</t>
  </si>
  <si>
    <t>WI210117871</t>
  </si>
  <si>
    <t>150030035030</t>
  </si>
  <si>
    <t>MI2101220857</t>
  </si>
  <si>
    <t>WI210117897</t>
  </si>
  <si>
    <t>150030032981</t>
  </si>
  <si>
    <t>MI2101221379</t>
  </si>
  <si>
    <t>WI210117898</t>
  </si>
  <si>
    <t>MI2101221443</t>
  </si>
  <si>
    <t>WI210117901</t>
  </si>
  <si>
    <t>150030036496</t>
  </si>
  <si>
    <t>MI2101221448</t>
  </si>
  <si>
    <t>WI21011792</t>
  </si>
  <si>
    <t>150030036123</t>
  </si>
  <si>
    <t>MI210116298</t>
  </si>
  <si>
    <t>WI210117924</t>
  </si>
  <si>
    <t>150030036199</t>
  </si>
  <si>
    <t>MI2101221628</t>
  </si>
  <si>
    <t>WI210117931</t>
  </si>
  <si>
    <t>WI210117941</t>
  </si>
  <si>
    <t>WI21011796</t>
  </si>
  <si>
    <t>150030036055</t>
  </si>
  <si>
    <t>MI210116495</t>
  </si>
  <si>
    <t>WI210118095</t>
  </si>
  <si>
    <t>150030035322</t>
  </si>
  <si>
    <t>MI2101223632</t>
  </si>
  <si>
    <t>WI210118097</t>
  </si>
  <si>
    <t>150030036020</t>
  </si>
  <si>
    <t>MI2101223691</t>
  </si>
  <si>
    <t>WI210118100</t>
  </si>
  <si>
    <t>150030036234</t>
  </si>
  <si>
    <t>MI2101223680</t>
  </si>
  <si>
    <t>WI21011813</t>
  </si>
  <si>
    <t>150030036171</t>
  </si>
  <si>
    <t>MI210116690</t>
  </si>
  <si>
    <t>WI210118167</t>
  </si>
  <si>
    <t>150030036281</t>
  </si>
  <si>
    <t>MI2101224521</t>
  </si>
  <si>
    <t>WI210118242</t>
  </si>
  <si>
    <t>150030034242</t>
  </si>
  <si>
    <t>MI2101225406</t>
  </si>
  <si>
    <t>WI21011825</t>
  </si>
  <si>
    <t>150030034171</t>
  </si>
  <si>
    <t>MI210116990</t>
  </si>
  <si>
    <t>WI210118338</t>
  </si>
  <si>
    <t>MI2101226447</t>
  </si>
  <si>
    <t>WI210118340</t>
  </si>
  <si>
    <t>MI2101226460</t>
  </si>
  <si>
    <t>WI210118411</t>
  </si>
  <si>
    <t>MI2101226967</t>
  </si>
  <si>
    <t>WI21011843</t>
  </si>
  <si>
    <t>150030036003</t>
  </si>
  <si>
    <t>MI210117120</t>
  </si>
  <si>
    <t>WI210118639</t>
  </si>
  <si>
    <t>150100001276</t>
  </si>
  <si>
    <t>MI2101229249</t>
  </si>
  <si>
    <t>WI210118686</t>
  </si>
  <si>
    <t>MI2101229721</t>
  </si>
  <si>
    <t>WI210118709</t>
  </si>
  <si>
    <t>150030036400</t>
  </si>
  <si>
    <t>MI2101230145</t>
  </si>
  <si>
    <t>WI210118768</t>
  </si>
  <si>
    <t>WI210118825</t>
  </si>
  <si>
    <t>150030036390</t>
  </si>
  <si>
    <t>MI2101231811</t>
  </si>
  <si>
    <t>WI210118842</t>
  </si>
  <si>
    <t>150030036231</t>
  </si>
  <si>
    <t>MI2101232006</t>
  </si>
  <si>
    <t>WI21011885</t>
  </si>
  <si>
    <t>150030036132</t>
  </si>
  <si>
    <t>MI210117670</t>
  </si>
  <si>
    <t>WI210118876</t>
  </si>
  <si>
    <t>150030032982</t>
  </si>
  <si>
    <t>MI2101232509</t>
  </si>
  <si>
    <t>WI210118896</t>
  </si>
  <si>
    <t>150030032854</t>
  </si>
  <si>
    <t>MI2101233076</t>
  </si>
  <si>
    <t>WI210118903</t>
  </si>
  <si>
    <t>150030035246</t>
  </si>
  <si>
    <t>MI2101233089</t>
  </si>
  <si>
    <t>WI210118928</t>
  </si>
  <si>
    <t>MI2101233323</t>
  </si>
  <si>
    <t>WI210118960</t>
  </si>
  <si>
    <t>WI210118961</t>
  </si>
  <si>
    <t>150030034351</t>
  </si>
  <si>
    <t>MI2101233503</t>
  </si>
  <si>
    <t>WI210118978</t>
  </si>
  <si>
    <t>WI21011898</t>
  </si>
  <si>
    <t>150030036077</t>
  </si>
  <si>
    <t>MI210117859</t>
  </si>
  <si>
    <t>WI21011901</t>
  </si>
  <si>
    <t>150030035697</t>
  </si>
  <si>
    <t>MI210118077</t>
  </si>
  <si>
    <t>WI210119018</t>
  </si>
  <si>
    <t>150030036269</t>
  </si>
  <si>
    <t>MI2101233868</t>
  </si>
  <si>
    <t>WI21011903</t>
  </si>
  <si>
    <t>150030035655</t>
  </si>
  <si>
    <t>MI210118093</t>
  </si>
  <si>
    <t>WI210119035</t>
  </si>
  <si>
    <t>150030034850</t>
  </si>
  <si>
    <t>MI2101233942</t>
  </si>
  <si>
    <t>WI210119047</t>
  </si>
  <si>
    <t>MI2101234065</t>
  </si>
  <si>
    <t>WI21011906</t>
  </si>
  <si>
    <t>150030035220</t>
  </si>
  <si>
    <t>MI210118115</t>
  </si>
  <si>
    <t>WI210119060</t>
  </si>
  <si>
    <t>WI210119062</t>
  </si>
  <si>
    <t>WI210119063</t>
  </si>
  <si>
    <t>150030033706</t>
  </si>
  <si>
    <t>MI2101234399</t>
  </si>
  <si>
    <t>WI210119098</t>
  </si>
  <si>
    <t>WI210119132</t>
  </si>
  <si>
    <t>MI2101235156</t>
  </si>
  <si>
    <t>WI210119134</t>
  </si>
  <si>
    <t>150030035020</t>
  </si>
  <si>
    <t>MI2101235059</t>
  </si>
  <si>
    <t>WI210119177</t>
  </si>
  <si>
    <t>WI210119194</t>
  </si>
  <si>
    <t>WI210119199</t>
  </si>
  <si>
    <t>150030036222</t>
  </si>
  <si>
    <t>MI2101235787</t>
  </si>
  <si>
    <t>WI210119249</t>
  </si>
  <si>
    <t>MI2101236649</t>
  </si>
  <si>
    <t>WI210119374</t>
  </si>
  <si>
    <t>150030036112</t>
  </si>
  <si>
    <t>MI2101238031</t>
  </si>
  <si>
    <t>WI210119381</t>
  </si>
  <si>
    <t>MI2101238048</t>
  </si>
  <si>
    <t>WI210119383</t>
  </si>
  <si>
    <t>MI2101238106</t>
  </si>
  <si>
    <t>WI210119384</t>
  </si>
  <si>
    <t>MI2101238171</t>
  </si>
  <si>
    <t>WI210119423</t>
  </si>
  <si>
    <t>WI21011944</t>
  </si>
  <si>
    <t>MI210118746</t>
  </si>
  <si>
    <t>WI21011956</t>
  </si>
  <si>
    <t>150080000760</t>
  </si>
  <si>
    <t>MI210118869</t>
  </si>
  <si>
    <t>WI210119607</t>
  </si>
  <si>
    <t>150030034785</t>
  </si>
  <si>
    <t>MI2101241240</t>
  </si>
  <si>
    <t>WI210119631</t>
  </si>
  <si>
    <t>WI210119660</t>
  </si>
  <si>
    <t>150030036515</t>
  </si>
  <si>
    <t>MI2101241678</t>
  </si>
  <si>
    <t>WI21011967</t>
  </si>
  <si>
    <t>MI210119164</t>
  </si>
  <si>
    <t>WI21011986</t>
  </si>
  <si>
    <t>150030035925</t>
  </si>
  <si>
    <t>MI210119617</t>
  </si>
  <si>
    <t>WI210119900</t>
  </si>
  <si>
    <t>MI2101245338</t>
  </si>
  <si>
    <t>WI210119938</t>
  </si>
  <si>
    <t>150030036452</t>
  </si>
  <si>
    <t>MI2101245349</t>
  </si>
  <si>
    <t>WI210119970</t>
  </si>
  <si>
    <t>150030036307</t>
  </si>
  <si>
    <t>MI2101245817</t>
  </si>
  <si>
    <t>WI210120056</t>
  </si>
  <si>
    <t>150030036536</t>
  </si>
  <si>
    <t>MI2101246726</t>
  </si>
  <si>
    <t>WI210120061</t>
  </si>
  <si>
    <t>150030036305</t>
  </si>
  <si>
    <t>MI2101246763</t>
  </si>
  <si>
    <t>WI21012024</t>
  </si>
  <si>
    <t>MI210120063</t>
  </si>
  <si>
    <t>WI210120284</t>
  </si>
  <si>
    <t>150030033524</t>
  </si>
  <si>
    <t>MI2101249001</t>
  </si>
  <si>
    <t>WI210120293</t>
  </si>
  <si>
    <t>MI2101249154</t>
  </si>
  <si>
    <t>WI210120337</t>
  </si>
  <si>
    <t>WI21012041</t>
  </si>
  <si>
    <t>150080000758</t>
  </si>
  <si>
    <t>MI210120394</t>
  </si>
  <si>
    <t>WI21012044</t>
  </si>
  <si>
    <t>150030035882</t>
  </si>
  <si>
    <t>MI210120513</t>
  </si>
  <si>
    <t>WI210120447</t>
  </si>
  <si>
    <t>150030034996</t>
  </si>
  <si>
    <t>MI2101251112</t>
  </si>
  <si>
    <t>WI210120478</t>
  </si>
  <si>
    <t>WI21012052</t>
  </si>
  <si>
    <t>150030036021</t>
  </si>
  <si>
    <t>MI210120701</t>
  </si>
  <si>
    <t>WI210120606</t>
  </si>
  <si>
    <t>150030036412</t>
  </si>
  <si>
    <t>MI2101252767</t>
  </si>
  <si>
    <t>WI21012074</t>
  </si>
  <si>
    <t>MI210121132</t>
  </si>
  <si>
    <t>WI21012077</t>
  </si>
  <si>
    <t>MI210121244</t>
  </si>
  <si>
    <t>WI210120772</t>
  </si>
  <si>
    <t>150030036378</t>
  </si>
  <si>
    <t>MI2101253984</t>
  </si>
  <si>
    <t>WI21012078</t>
  </si>
  <si>
    <t>150030036002</t>
  </si>
  <si>
    <t>MI210121199</t>
  </si>
  <si>
    <t>WI210120831</t>
  </si>
  <si>
    <t>MI2101254793</t>
  </si>
  <si>
    <t>WI210120879</t>
  </si>
  <si>
    <t>WI21012088</t>
  </si>
  <si>
    <t>150030036104</t>
  </si>
  <si>
    <t>MI210121328</t>
  </si>
  <si>
    <t>WI210120902</t>
  </si>
  <si>
    <t>150030035213</t>
  </si>
  <si>
    <t>MI2101255961</t>
  </si>
  <si>
    <t>WI210120914</t>
  </si>
  <si>
    <t>MI2101256095</t>
  </si>
  <si>
    <t>WI210120935</t>
  </si>
  <si>
    <t>150030034919</t>
  </si>
  <si>
    <t>MI2101256337</t>
  </si>
  <si>
    <t>WI210120946</t>
  </si>
  <si>
    <t>MI2101256463</t>
  </si>
  <si>
    <t>WI210120947</t>
  </si>
  <si>
    <t>MI2101256479</t>
  </si>
  <si>
    <t>WI210120955</t>
  </si>
  <si>
    <t>MI2101256526</t>
  </si>
  <si>
    <t>WI210120956</t>
  </si>
  <si>
    <t>MI2101256485</t>
  </si>
  <si>
    <t>WI210120986</t>
  </si>
  <si>
    <t>150030036504</t>
  </si>
  <si>
    <t>MI2101256577</t>
  </si>
  <si>
    <t>WI210120998</t>
  </si>
  <si>
    <t>MI2101257000</t>
  </si>
  <si>
    <t>WI210121004</t>
  </si>
  <si>
    <t>MI2101257036</t>
  </si>
  <si>
    <t>WI210121015</t>
  </si>
  <si>
    <t>MI2101257043</t>
  </si>
  <si>
    <t>WI210121016</t>
  </si>
  <si>
    <t>MI2101257101</t>
  </si>
  <si>
    <t>WI210121044</t>
  </si>
  <si>
    <t>150030036474</t>
  </si>
  <si>
    <t>MI2101257249</t>
  </si>
  <si>
    <t>WI21012112</t>
  </si>
  <si>
    <t>150030035910</t>
  </si>
  <si>
    <t>MI210121705</t>
  </si>
  <si>
    <t>WI21012116</t>
  </si>
  <si>
    <t>150030036117</t>
  </si>
  <si>
    <t>MI210121770</t>
  </si>
  <si>
    <t>WI210121285</t>
  </si>
  <si>
    <t>150030035324</t>
  </si>
  <si>
    <t>MI2101261121</t>
  </si>
  <si>
    <t>WI210121313</t>
  </si>
  <si>
    <t>WI210121477</t>
  </si>
  <si>
    <t>150030035134</t>
  </si>
  <si>
    <t>MI2101263485</t>
  </si>
  <si>
    <t>WI210121516</t>
  </si>
  <si>
    <t>150100001205</t>
  </si>
  <si>
    <t>MI2101264127</t>
  </si>
  <si>
    <t>WI21012152</t>
  </si>
  <si>
    <t>150030034477</t>
  </si>
  <si>
    <t>MI210122429</t>
  </si>
  <si>
    <t>WI210121548</t>
  </si>
  <si>
    <t>WI210121555</t>
  </si>
  <si>
    <t>WI21012174</t>
  </si>
  <si>
    <t>150030035952</t>
  </si>
  <si>
    <t>MI210123008</t>
  </si>
  <si>
    <t>WI21012178</t>
  </si>
  <si>
    <t>150030036150</t>
  </si>
  <si>
    <t>MI210122890</t>
  </si>
  <si>
    <t>WI210121889</t>
  </si>
  <si>
    <t>MI2101269098</t>
  </si>
  <si>
    <t>WI210121893</t>
  </si>
  <si>
    <t>MI2101269143</t>
  </si>
  <si>
    <t>WI21012196</t>
  </si>
  <si>
    <t>MI210123424</t>
  </si>
  <si>
    <t>WI21012206</t>
  </si>
  <si>
    <t>150030036180</t>
  </si>
  <si>
    <t>MI210123453</t>
  </si>
  <si>
    <t>WI210122136</t>
  </si>
  <si>
    <t>150100001201</t>
  </si>
  <si>
    <t>MI2101271969</t>
  </si>
  <si>
    <t>WI210122215</t>
  </si>
  <si>
    <t>WI210122227</t>
  </si>
  <si>
    <t>150030034592</t>
  </si>
  <si>
    <t>MI2101274082</t>
  </si>
  <si>
    <t>WI210122234</t>
  </si>
  <si>
    <t>MI2101274173</t>
  </si>
  <si>
    <t>WI210122240</t>
  </si>
  <si>
    <t>150030036433</t>
  </si>
  <si>
    <t>MI2101274455</t>
  </si>
  <si>
    <t>WI210122248</t>
  </si>
  <si>
    <t>150030033966</t>
  </si>
  <si>
    <t>MI2101274615</t>
  </si>
  <si>
    <t>WI210122250</t>
  </si>
  <si>
    <t>WI210122268</t>
  </si>
  <si>
    <t>150030034364</t>
  </si>
  <si>
    <t>MI2101275044</t>
  </si>
  <si>
    <t>WI210122271</t>
  </si>
  <si>
    <t>150030035059</t>
  </si>
  <si>
    <t>MI2101275115</t>
  </si>
  <si>
    <t>WI210122272</t>
  </si>
  <si>
    <t>WI210122273</t>
  </si>
  <si>
    <t>MI2101275168</t>
  </si>
  <si>
    <t>WI210122274</t>
  </si>
  <si>
    <t>MI2101275193</t>
  </si>
  <si>
    <t>WI210122276</t>
  </si>
  <si>
    <t>MI2101275313</t>
  </si>
  <si>
    <t>WI210122288</t>
  </si>
  <si>
    <t>WI210122289</t>
  </si>
  <si>
    <t>150030035418</t>
  </si>
  <si>
    <t>MI2101275624</t>
  </si>
  <si>
    <t>WI21012229</t>
  </si>
  <si>
    <t>150030036182</t>
  </si>
  <si>
    <t>MI210123416</t>
  </si>
  <si>
    <t>Sangeeta Kumari</t>
  </si>
  <si>
    <t>WI210122290</t>
  </si>
  <si>
    <t>MI2101275651</t>
  </si>
  <si>
    <t>WI210122292</t>
  </si>
  <si>
    <t>MI2101275698</t>
  </si>
  <si>
    <t>WI210122293</t>
  </si>
  <si>
    <t>MI2101275715</t>
  </si>
  <si>
    <t>WI210122295</t>
  </si>
  <si>
    <t>150030035106</t>
  </si>
  <si>
    <t>MI2101275734</t>
  </si>
  <si>
    <t>WI210122301</t>
  </si>
  <si>
    <t>WI210122308</t>
  </si>
  <si>
    <t>150030033329</t>
  </si>
  <si>
    <t>MI2101275798</t>
  </si>
  <si>
    <t>WI210122309</t>
  </si>
  <si>
    <t>150030035711</t>
  </si>
  <si>
    <t>MI2101275843</t>
  </si>
  <si>
    <t>WI210122355</t>
  </si>
  <si>
    <t>150100001240</t>
  </si>
  <si>
    <t>MI2101276527</t>
  </si>
  <si>
    <t>WI210122356</t>
  </si>
  <si>
    <t>MI2101276535</t>
  </si>
  <si>
    <t>WI210122406</t>
  </si>
  <si>
    <t>150030034303</t>
  </si>
  <si>
    <t>MI2101277222</t>
  </si>
  <si>
    <t>WI210122470</t>
  </si>
  <si>
    <t>150030034583</t>
  </si>
  <si>
    <t>MI2101278128</t>
  </si>
  <si>
    <t>WI210122477</t>
  </si>
  <si>
    <t>MI2101278196</t>
  </si>
  <si>
    <t>WI210122534</t>
  </si>
  <si>
    <t>MI2101279198</t>
  </si>
  <si>
    <t>WI210122558</t>
  </si>
  <si>
    <t>150030035306</t>
  </si>
  <si>
    <t>MI2101279497</t>
  </si>
  <si>
    <t>WI210122565</t>
  </si>
  <si>
    <t>MI2101279621</t>
  </si>
  <si>
    <t>WI210122597</t>
  </si>
  <si>
    <t>MI2101280070</t>
  </si>
  <si>
    <t>WI210122614</t>
  </si>
  <si>
    <t>150030036156</t>
  </si>
  <si>
    <t>MI2101280156</t>
  </si>
  <si>
    <t>WI210122615</t>
  </si>
  <si>
    <t>150030036070</t>
  </si>
  <si>
    <t>MI2101280189</t>
  </si>
  <si>
    <t>WI210122626</t>
  </si>
  <si>
    <t>150030036520</t>
  </si>
  <si>
    <t>MI2101280302</t>
  </si>
  <si>
    <t>WI210122628</t>
  </si>
  <si>
    <t>150030036319</t>
  </si>
  <si>
    <t>MI2101280388</t>
  </si>
  <si>
    <t>WI210122664</t>
  </si>
  <si>
    <t>150030036148</t>
  </si>
  <si>
    <t>MI2101281024</t>
  </si>
  <si>
    <t>WI210122667</t>
  </si>
  <si>
    <t>MI2101281097</t>
  </si>
  <si>
    <t>WI210122692</t>
  </si>
  <si>
    <t>MI2101281598</t>
  </si>
  <si>
    <t>WI210122699</t>
  </si>
  <si>
    <t>150030036523</t>
  </si>
  <si>
    <t>MI2101281537</t>
  </si>
  <si>
    <t>WI210122706</t>
  </si>
  <si>
    <t>150030036548</t>
  </si>
  <si>
    <t>MI2101281709</t>
  </si>
  <si>
    <t>WI210122717</t>
  </si>
  <si>
    <t>150030036398</t>
  </si>
  <si>
    <t>MI2101281880</t>
  </si>
  <si>
    <t>WI210122718</t>
  </si>
  <si>
    <t>MI2101281877</t>
  </si>
  <si>
    <t>WI210122755</t>
  </si>
  <si>
    <t>150030036596</t>
  </si>
  <si>
    <t>MI2101282217</t>
  </si>
  <si>
    <t>WI210122766</t>
  </si>
  <si>
    <t>150100001273</t>
  </si>
  <si>
    <t>MI2101282326</t>
  </si>
  <si>
    <t>WI21012279</t>
  </si>
  <si>
    <t>150030035132</t>
  </si>
  <si>
    <t>MI210124400</t>
  </si>
  <si>
    <t>WI210122795</t>
  </si>
  <si>
    <t>WI210122796</t>
  </si>
  <si>
    <t>150030035656</t>
  </si>
  <si>
    <t>MI2101282844</t>
  </si>
  <si>
    <t>WI210122802</t>
  </si>
  <si>
    <t>150100001192</t>
  </si>
  <si>
    <t>MI2101282958</t>
  </si>
  <si>
    <t>WI210122838</t>
  </si>
  <si>
    <t>150030036508</t>
  </si>
  <si>
    <t>MI2101283078</t>
  </si>
  <si>
    <t>WI210122853</t>
  </si>
  <si>
    <t>MI2101283245</t>
  </si>
  <si>
    <t>WI210122903</t>
  </si>
  <si>
    <t>MI2101283886</t>
  </si>
  <si>
    <t>WI210122922</t>
  </si>
  <si>
    <t>MI2101284100</t>
  </si>
  <si>
    <t>WI210122924</t>
  </si>
  <si>
    <t>WI210122954</t>
  </si>
  <si>
    <t>WI210122971</t>
  </si>
  <si>
    <t>150030036420</t>
  </si>
  <si>
    <t>MI2101285156</t>
  </si>
  <si>
    <t>WI210122994</t>
  </si>
  <si>
    <t>MI2101285339</t>
  </si>
  <si>
    <t>WI210123017</t>
  </si>
  <si>
    <t>MI2101285590</t>
  </si>
  <si>
    <t>WI21012302</t>
  </si>
  <si>
    <t>150030035678</t>
  </si>
  <si>
    <t>MI210124775</t>
  </si>
  <si>
    <t>WI210123166</t>
  </si>
  <si>
    <t>150030036556</t>
  </si>
  <si>
    <t>MI2101287331</t>
  </si>
  <si>
    <t>WI210123188</t>
  </si>
  <si>
    <t>150030036340</t>
  </si>
  <si>
    <t>MI2101287792</t>
  </si>
  <si>
    <t>WI21012319</t>
  </si>
  <si>
    <t>150030036066</t>
  </si>
  <si>
    <t>MI210125212</t>
  </si>
  <si>
    <t>WI210123211</t>
  </si>
  <si>
    <t>150100001278</t>
  </si>
  <si>
    <t>MI2101288127</t>
  </si>
  <si>
    <t>WI210123225</t>
  </si>
  <si>
    <t>MI2101288370</t>
  </si>
  <si>
    <t>WI210123277</t>
  </si>
  <si>
    <t>150030036327</t>
  </si>
  <si>
    <t>MI2101288866</t>
  </si>
  <si>
    <t>WI210123293</t>
  </si>
  <si>
    <t>150030036399</t>
  </si>
  <si>
    <t>MI2101289155</t>
  </si>
  <si>
    <t>WI210123412</t>
  </si>
  <si>
    <t>150030034289</t>
  </si>
  <si>
    <t>MI2101290684</t>
  </si>
  <si>
    <t>WI210123436</t>
  </si>
  <si>
    <t>MI2101290792</t>
  </si>
  <si>
    <t>WI210123589</t>
  </si>
  <si>
    <t>MI2101292529</t>
  </si>
  <si>
    <t>WI21012362</t>
  </si>
  <si>
    <t>WI210123649</t>
  </si>
  <si>
    <t>MI2101293024</t>
  </si>
  <si>
    <t>WI21012366</t>
  </si>
  <si>
    <t>150030033727</t>
  </si>
  <si>
    <t>MI210126194</t>
  </si>
  <si>
    <t>WI21012367</t>
  </si>
  <si>
    <t>WI210123675</t>
  </si>
  <si>
    <t>150030036486</t>
  </si>
  <si>
    <t>MI2101293198</t>
  </si>
  <si>
    <t>WI210123687</t>
  </si>
  <si>
    <t>MI2101293174</t>
  </si>
  <si>
    <t>WI210123706</t>
  </si>
  <si>
    <t>150030036570</t>
  </si>
  <si>
    <t>MI2101293466</t>
  </si>
  <si>
    <t>WI210123715</t>
  </si>
  <si>
    <t>WI21012372</t>
  </si>
  <si>
    <t>150030033345</t>
  </si>
  <si>
    <t>MI210126330</t>
  </si>
  <si>
    <t>WI210123796</t>
  </si>
  <si>
    <t>150030035109</t>
  </si>
  <si>
    <t>MI2101294710</t>
  </si>
  <si>
    <t>WI210123798</t>
  </si>
  <si>
    <t>150100001270</t>
  </si>
  <si>
    <t>MI2101294714</t>
  </si>
  <si>
    <t>WI210123824</t>
  </si>
  <si>
    <t>MI2101294997</t>
  </si>
  <si>
    <t>WI21012387</t>
  </si>
  <si>
    <t>MI210126611</t>
  </si>
  <si>
    <t>WI210123888</t>
  </si>
  <si>
    <t>MI2101295370</t>
  </si>
  <si>
    <t>WI210123897</t>
  </si>
  <si>
    <t>MI2101295404</t>
  </si>
  <si>
    <t>WI210123969</t>
  </si>
  <si>
    <t>WI210124246</t>
  </si>
  <si>
    <t>150080000743</t>
  </si>
  <si>
    <t>MI2101298177</t>
  </si>
  <si>
    <t>WI210124277</t>
  </si>
  <si>
    <t>150030034701</t>
  </si>
  <si>
    <t>MI2101298624</t>
  </si>
  <si>
    <t>WI210124322</t>
  </si>
  <si>
    <t>MI2101298875</t>
  </si>
  <si>
    <t>WI210124464</t>
  </si>
  <si>
    <t>MI2101300347</t>
  </si>
  <si>
    <t>WI210124539</t>
  </si>
  <si>
    <t>150030034427</t>
  </si>
  <si>
    <t>MI2101300944</t>
  </si>
  <si>
    <t>WI21012485</t>
  </si>
  <si>
    <t>150030036043</t>
  </si>
  <si>
    <t>MI210127463</t>
  </si>
  <si>
    <t>WI210124880</t>
  </si>
  <si>
    <t>MI2101305073</t>
  </si>
  <si>
    <t>WI210124898</t>
  </si>
  <si>
    <t>150030036493</t>
  </si>
  <si>
    <t>MI2101305384</t>
  </si>
  <si>
    <t>WI210124946</t>
  </si>
  <si>
    <t>WI210125075</t>
  </si>
  <si>
    <t>150030035286</t>
  </si>
  <si>
    <t>MI2101307054</t>
  </si>
  <si>
    <t>WI210125102</t>
  </si>
  <si>
    <t>WI210125147</t>
  </si>
  <si>
    <t>150030036228</t>
  </si>
  <si>
    <t>MI2101307742</t>
  </si>
  <si>
    <t>WI210125251</t>
  </si>
  <si>
    <t>150030036518</t>
  </si>
  <si>
    <t>MI2101309552</t>
  </si>
  <si>
    <t>WI210125273</t>
  </si>
  <si>
    <t>MI2101310194</t>
  </si>
  <si>
    <t>WI210125303</t>
  </si>
  <si>
    <t>150030035524</t>
  </si>
  <si>
    <t>MI2101310478</t>
  </si>
  <si>
    <t>WI210125322</t>
  </si>
  <si>
    <t>WI210125360</t>
  </si>
  <si>
    <t>MI2101311116</t>
  </si>
  <si>
    <t>WI210125364</t>
  </si>
  <si>
    <t>150030036529</t>
  </si>
  <si>
    <t>MI2101311075</t>
  </si>
  <si>
    <t>WI210125379</t>
  </si>
  <si>
    <t>WI210125408</t>
  </si>
  <si>
    <t>WI210125531</t>
  </si>
  <si>
    <t>150030036613</t>
  </si>
  <si>
    <t>MI2101313157</t>
  </si>
  <si>
    <t>WI210125564</t>
  </si>
  <si>
    <t>150030036634</t>
  </si>
  <si>
    <t>MI2101313751</t>
  </si>
  <si>
    <t>WI210125570</t>
  </si>
  <si>
    <t>150030036588</t>
  </si>
  <si>
    <t>MI2101313839</t>
  </si>
  <si>
    <t>WI210125625</t>
  </si>
  <si>
    <t>150030036480</t>
  </si>
  <si>
    <t>MI2101314514</t>
  </si>
  <si>
    <t>WI210125630</t>
  </si>
  <si>
    <t>MI2101314773</t>
  </si>
  <si>
    <t>WI21012568</t>
  </si>
  <si>
    <t>150030034369</t>
  </si>
  <si>
    <t>MI210128405</t>
  </si>
  <si>
    <t>WI210125846</t>
  </si>
  <si>
    <t>MI2101317093</t>
  </si>
  <si>
    <t>WI21012585</t>
  </si>
  <si>
    <t>150030036009</t>
  </si>
  <si>
    <t>MI210128488</t>
  </si>
  <si>
    <t>WI210125891</t>
  </si>
  <si>
    <t>MI2101317487</t>
  </si>
  <si>
    <t>WI21012590</t>
  </si>
  <si>
    <t>150030036140</t>
  </si>
  <si>
    <t>MI210128527</t>
  </si>
  <si>
    <t>WI210125974</t>
  </si>
  <si>
    <t>150030036611</t>
  </si>
  <si>
    <t>MI2101318441</t>
  </si>
  <si>
    <t>WI210126017</t>
  </si>
  <si>
    <t>150030036375</t>
  </si>
  <si>
    <t>MI2101318773</t>
  </si>
  <si>
    <t>WI21012605</t>
  </si>
  <si>
    <t>150030036146</t>
  </si>
  <si>
    <t>MI210128812</t>
  </si>
  <si>
    <t>WI210126056</t>
  </si>
  <si>
    <t>150030036380</t>
  </si>
  <si>
    <t>MI2101319323</t>
  </si>
  <si>
    <t>WI210126080</t>
  </si>
  <si>
    <t>WI210126184</t>
  </si>
  <si>
    <t>MI2101320528</t>
  </si>
  <si>
    <t>WI210126214</t>
  </si>
  <si>
    <t>150030033918</t>
  </si>
  <si>
    <t>MI2101320670</t>
  </si>
  <si>
    <t>WI210126231</t>
  </si>
  <si>
    <t>150030036594</t>
  </si>
  <si>
    <t>MI2101320926</t>
  </si>
  <si>
    <t>WI210126262</t>
  </si>
  <si>
    <t>150100001261</t>
  </si>
  <si>
    <t>MI2101321413</t>
  </si>
  <si>
    <t>WI210126333</t>
  </si>
  <si>
    <t>WI210126461</t>
  </si>
  <si>
    <t>150030034899</t>
  </si>
  <si>
    <t>MI2101324061</t>
  </si>
  <si>
    <t>WI210126468</t>
  </si>
  <si>
    <t>WI210126499</t>
  </si>
  <si>
    <t>150030035111</t>
  </si>
  <si>
    <t>MI2101325239</t>
  </si>
  <si>
    <t>WI210126571</t>
  </si>
  <si>
    <t>150030034689</t>
  </si>
  <si>
    <t>MI2101326403</t>
  </si>
  <si>
    <t>WI210126630</t>
  </si>
  <si>
    <t>WI210126631</t>
  </si>
  <si>
    <t>150030032598</t>
  </si>
  <si>
    <t>MI2101327307</t>
  </si>
  <si>
    <t>WI210126699</t>
  </si>
  <si>
    <t>150100001255</t>
  </si>
  <si>
    <t>MI2101328381</t>
  </si>
  <si>
    <t>WI210126798</t>
  </si>
  <si>
    <t>MI2101329666</t>
  </si>
  <si>
    <t>WI21012688</t>
  </si>
  <si>
    <t>150030035986</t>
  </si>
  <si>
    <t>MI210129815</t>
  </si>
  <si>
    <t>WI210127150</t>
  </si>
  <si>
    <t>150030035906</t>
  </si>
  <si>
    <t>MI2101336189</t>
  </si>
  <si>
    <t>WI210127151</t>
  </si>
  <si>
    <t>MI2101336194</t>
  </si>
  <si>
    <t>WI210127152</t>
  </si>
  <si>
    <t>MI2101336213</t>
  </si>
  <si>
    <t>WI210127153</t>
  </si>
  <si>
    <t>MI2101336221</t>
  </si>
  <si>
    <t>WI210127155</t>
  </si>
  <si>
    <t>MI2101336226</t>
  </si>
  <si>
    <t>WI210127157</t>
  </si>
  <si>
    <t>150030035775</t>
  </si>
  <si>
    <t>MI2101336272</t>
  </si>
  <si>
    <t>WI21012786</t>
  </si>
  <si>
    <t>150030036059</t>
  </si>
  <si>
    <t>MI210130885</t>
  </si>
  <si>
    <t>WI210127878</t>
  </si>
  <si>
    <t>150030035580</t>
  </si>
  <si>
    <t>MI2101349720</t>
  </si>
  <si>
    <t>WI210127879</t>
  </si>
  <si>
    <t>MI2101349726</t>
  </si>
  <si>
    <t>WI210127880</t>
  </si>
  <si>
    <t>150100001271</t>
  </si>
  <si>
    <t>MI2101349758</t>
  </si>
  <si>
    <t>WI210127882</t>
  </si>
  <si>
    <t>MI2101349777</t>
  </si>
  <si>
    <t>WI210127884</t>
  </si>
  <si>
    <t>WI210127885</t>
  </si>
  <si>
    <t>MI2101349811</t>
  </si>
  <si>
    <t>WI210127886</t>
  </si>
  <si>
    <t>150030035840</t>
  </si>
  <si>
    <t>MI2101349915</t>
  </si>
  <si>
    <t>WI210127887</t>
  </si>
  <si>
    <t>150030035780</t>
  </si>
  <si>
    <t>MI2101349959</t>
  </si>
  <si>
    <t>WI210127903</t>
  </si>
  <si>
    <t>150030034998</t>
  </si>
  <si>
    <t>MI2101350634</t>
  </si>
  <si>
    <t>WI210127904</t>
  </si>
  <si>
    <t>150030036505</t>
  </si>
  <si>
    <t>MI2101350648</t>
  </si>
  <si>
    <t>WI210127910</t>
  </si>
  <si>
    <t>150030033328</t>
  </si>
  <si>
    <t>MI2101350723</t>
  </si>
  <si>
    <t>WI210127912</t>
  </si>
  <si>
    <t>150030032899</t>
  </si>
  <si>
    <t>MI2101350854</t>
  </si>
  <si>
    <t>WI210127913</t>
  </si>
  <si>
    <t>MI2101350875</t>
  </si>
  <si>
    <t>WI210127917</t>
  </si>
  <si>
    <t>150030034821</t>
  </si>
  <si>
    <t>MI2101350917</t>
  </si>
  <si>
    <t>WI210127963</t>
  </si>
  <si>
    <t>MI2101351415</t>
  </si>
  <si>
    <t>WI210127965</t>
  </si>
  <si>
    <t>MI2101351461</t>
  </si>
  <si>
    <t>WI210127973</t>
  </si>
  <si>
    <t>MI2101351698</t>
  </si>
  <si>
    <t>WI210127982</t>
  </si>
  <si>
    <t>MI2101351874</t>
  </si>
  <si>
    <t>WI210127984</t>
  </si>
  <si>
    <t>150030031962</t>
  </si>
  <si>
    <t>MI2101351951</t>
  </si>
  <si>
    <t>WI210127989</t>
  </si>
  <si>
    <t>WI21012802</t>
  </si>
  <si>
    <t>MI210131199</t>
  </si>
  <si>
    <t>WI210128023</t>
  </si>
  <si>
    <t>150030034570</t>
  </si>
  <si>
    <t>MI2101352628</t>
  </si>
  <si>
    <t>WI210128040</t>
  </si>
  <si>
    <t>150030032657</t>
  </si>
  <si>
    <t>MI2101352883</t>
  </si>
  <si>
    <t>WI210128043</t>
  </si>
  <si>
    <t>MI2101352899</t>
  </si>
  <si>
    <t>WI210128055</t>
  </si>
  <si>
    <t>MI2101353038</t>
  </si>
  <si>
    <t>WI210128061</t>
  </si>
  <si>
    <t>150030034392</t>
  </si>
  <si>
    <t>MI2101353154</t>
  </si>
  <si>
    <t>WI210128063</t>
  </si>
  <si>
    <t>MI2101353200</t>
  </si>
  <si>
    <t>WI210128064</t>
  </si>
  <si>
    <t>150030032583</t>
  </si>
  <si>
    <t>MI2101353332</t>
  </si>
  <si>
    <t>WI210128072</t>
  </si>
  <si>
    <t>MI2101353409</t>
  </si>
  <si>
    <t>WI210128126</t>
  </si>
  <si>
    <t>150030036641</t>
  </si>
  <si>
    <t>MI2101353955</t>
  </si>
  <si>
    <t>WI210128159</t>
  </si>
  <si>
    <t>113130004216</t>
  </si>
  <si>
    <t>MI2101353622</t>
  </si>
  <si>
    <t>Tori Hill</t>
  </si>
  <si>
    <t>WI210128169</t>
  </si>
  <si>
    <t>150030036559</t>
  </si>
  <si>
    <t>MI2101354411</t>
  </si>
  <si>
    <t>WI21012824</t>
  </si>
  <si>
    <t>MI210131407</t>
  </si>
  <si>
    <t>WI210128282</t>
  </si>
  <si>
    <t>150030036372</t>
  </si>
  <si>
    <t>MI2101356142</t>
  </si>
  <si>
    <t>WI210128305</t>
  </si>
  <si>
    <t>150030035979</t>
  </si>
  <si>
    <t>MI2101356452</t>
  </si>
  <si>
    <t>WI210128328</t>
  </si>
  <si>
    <t>150030036655</t>
  </si>
  <si>
    <t>MI2101356672</t>
  </si>
  <si>
    <t>WI210128349</t>
  </si>
  <si>
    <t>150030036602</t>
  </si>
  <si>
    <t>MI2101357117</t>
  </si>
  <si>
    <t>WI210128368</t>
  </si>
  <si>
    <t>150030034373</t>
  </si>
  <si>
    <t>MI2101357292</t>
  </si>
  <si>
    <t>WI210128395</t>
  </si>
  <si>
    <t>150030036062</t>
  </si>
  <si>
    <t>MI2101357623</t>
  </si>
  <si>
    <t>WI210128410</t>
  </si>
  <si>
    <t>WI210128596</t>
  </si>
  <si>
    <t>150030036690</t>
  </si>
  <si>
    <t>MI2101361479</t>
  </si>
  <si>
    <t>WI210128597</t>
  </si>
  <si>
    <t>150030033548</t>
  </si>
  <si>
    <t>MI2101361655</t>
  </si>
  <si>
    <t>WI210128622</t>
  </si>
  <si>
    <t>WI210128638</t>
  </si>
  <si>
    <t>150030036605</t>
  </si>
  <si>
    <t>MI2101362035</t>
  </si>
  <si>
    <t>WI210128641</t>
  </si>
  <si>
    <t>150030036473</t>
  </si>
  <si>
    <t>MI2101362087</t>
  </si>
  <si>
    <t>WI21012870</t>
  </si>
  <si>
    <t>150030035704</t>
  </si>
  <si>
    <t>MI210131918</t>
  </si>
  <si>
    <t>WI210128744</t>
  </si>
  <si>
    <t>MI2101363743</t>
  </si>
  <si>
    <t>WI210128763</t>
  </si>
  <si>
    <t>MI2101364248</t>
  </si>
  <si>
    <t>WI210128795</t>
  </si>
  <si>
    <t>150030032941</t>
  </si>
  <si>
    <t>MI2101364881</t>
  </si>
  <si>
    <t>WI210128857</t>
  </si>
  <si>
    <t>150030034052</t>
  </si>
  <si>
    <t>MI2101365592</t>
  </si>
  <si>
    <t>WI210128859</t>
  </si>
  <si>
    <t>MI2101365540</t>
  </si>
  <si>
    <t>WI210128901</t>
  </si>
  <si>
    <t>150030035989</t>
  </si>
  <si>
    <t>MI2101366277</t>
  </si>
  <si>
    <t>WI210128904</t>
  </si>
  <si>
    <t>150030035992</t>
  </si>
  <si>
    <t>MI2101366348</t>
  </si>
  <si>
    <t>WI210128913</t>
  </si>
  <si>
    <t>150100001167</t>
  </si>
  <si>
    <t>MI2101366459</t>
  </si>
  <si>
    <t>WI210128914</t>
  </si>
  <si>
    <t>150030036597</t>
  </si>
  <si>
    <t>MI2101366349</t>
  </si>
  <si>
    <t>WI210128915</t>
  </si>
  <si>
    <t>150030036607</t>
  </si>
  <si>
    <t>MI2101366532</t>
  </si>
  <si>
    <t>WI210128962</t>
  </si>
  <si>
    <t>WI21012898</t>
  </si>
  <si>
    <t>150030035687</t>
  </si>
  <si>
    <t>MI210132488</t>
  </si>
  <si>
    <t>WI210128981</t>
  </si>
  <si>
    <t>WI21012901</t>
  </si>
  <si>
    <t>150030034830</t>
  </si>
  <si>
    <t>MI210132625</t>
  </si>
  <si>
    <t>WI21012904</t>
  </si>
  <si>
    <t>MI210132636</t>
  </si>
  <si>
    <t>WI210129058</t>
  </si>
  <si>
    <t>150030035062</t>
  </si>
  <si>
    <t>MI2101368140</t>
  </si>
  <si>
    <t>WI210129088</t>
  </si>
  <si>
    <t>WI210129101</t>
  </si>
  <si>
    <t>150030036049</t>
  </si>
  <si>
    <t>MI2101368561</t>
  </si>
  <si>
    <t>WI210129132</t>
  </si>
  <si>
    <t>MI2101368803</t>
  </si>
  <si>
    <t>WI210129165</t>
  </si>
  <si>
    <t>MI2101369185</t>
  </si>
  <si>
    <t>WI210129167</t>
  </si>
  <si>
    <t>150030036514</t>
  </si>
  <si>
    <t>MI2101369080</t>
  </si>
  <si>
    <t>WI210129206</t>
  </si>
  <si>
    <t>150030035023</t>
  </si>
  <si>
    <t>MI2101369911</t>
  </si>
  <si>
    <t>WI210129224</t>
  </si>
  <si>
    <t>WI210129228</t>
  </si>
  <si>
    <t>150030035841</t>
  </si>
  <si>
    <t>MI2101370176</t>
  </si>
  <si>
    <t>WI210129236</t>
  </si>
  <si>
    <t>WI210129242</t>
  </si>
  <si>
    <t>150030032042</t>
  </si>
  <si>
    <t>MI2101370240</t>
  </si>
  <si>
    <t>WI210129244</t>
  </si>
  <si>
    <t>150030036660</t>
  </si>
  <si>
    <t>MI2101370441</t>
  </si>
  <si>
    <t>WI210129246</t>
  </si>
  <si>
    <t>150030036453</t>
  </si>
  <si>
    <t>MI2101370279</t>
  </si>
  <si>
    <t>WI210129248</t>
  </si>
  <si>
    <t>150100001243</t>
  </si>
  <si>
    <t>MI2101370503</t>
  </si>
  <si>
    <t>WI210129249</t>
  </si>
  <si>
    <t>MI2101370525</t>
  </si>
  <si>
    <t>WI210129256</t>
  </si>
  <si>
    <t>MI2101370614</t>
  </si>
  <si>
    <t>WI210129287</t>
  </si>
  <si>
    <t>MI2101370907</t>
  </si>
  <si>
    <t>WI210129290</t>
  </si>
  <si>
    <t>WI210129354</t>
  </si>
  <si>
    <t>150030035686</t>
  </si>
  <si>
    <t>MI2101371615</t>
  </si>
  <si>
    <t>WI210129356</t>
  </si>
  <si>
    <t>150030036287</t>
  </si>
  <si>
    <t>MI2101371260</t>
  </si>
  <si>
    <t>WI21012936</t>
  </si>
  <si>
    <t>MI210133199</t>
  </si>
  <si>
    <t>WI210129367</t>
  </si>
  <si>
    <t>150030034302</t>
  </si>
  <si>
    <t>MI2101371723</t>
  </si>
  <si>
    <t>WI210129379</t>
  </si>
  <si>
    <t>150030036064</t>
  </si>
  <si>
    <t>MI2101371635</t>
  </si>
  <si>
    <t>WI210129442</t>
  </si>
  <si>
    <t>150030036547</t>
  </si>
  <si>
    <t>MI2101372221</t>
  </si>
  <si>
    <t>WI210129508</t>
  </si>
  <si>
    <t>150030035343</t>
  </si>
  <si>
    <t>MI2101373121</t>
  </si>
  <si>
    <t>WI210129548</t>
  </si>
  <si>
    <t>150030034260</t>
  </si>
  <si>
    <t>MI2101373744</t>
  </si>
  <si>
    <t>WI210129577</t>
  </si>
  <si>
    <t>MI2101374185</t>
  </si>
  <si>
    <t>WI210129578</t>
  </si>
  <si>
    <t>150030034264</t>
  </si>
  <si>
    <t>MI2101374253</t>
  </si>
  <si>
    <t>WI210129622</t>
  </si>
  <si>
    <t>WI21012963</t>
  </si>
  <si>
    <t>MI210133439</t>
  </si>
  <si>
    <t>WI210129631</t>
  </si>
  <si>
    <t>150030036495</t>
  </si>
  <si>
    <t>MI2101374945</t>
  </si>
  <si>
    <t>WI210129656</t>
  </si>
  <si>
    <t>150030036542</t>
  </si>
  <si>
    <t>MI2101375567</t>
  </si>
  <si>
    <t>WI210129686</t>
  </si>
  <si>
    <t>MI2101376298</t>
  </si>
  <si>
    <t>WI210129769</t>
  </si>
  <si>
    <t>WI210129792</t>
  </si>
  <si>
    <t>150030036125</t>
  </si>
  <si>
    <t>MI2101377810</t>
  </si>
  <si>
    <t>WI210129876</t>
  </si>
  <si>
    <t>150030036428</t>
  </si>
  <si>
    <t>MI2101379644</t>
  </si>
  <si>
    <t>WI210129942</t>
  </si>
  <si>
    <t>150030036677</t>
  </si>
  <si>
    <t>MI2101380510</t>
  </si>
  <si>
    <t>WI21013003</t>
  </si>
  <si>
    <t>MI210134084</t>
  </si>
  <si>
    <t>WI210130054</t>
  </si>
  <si>
    <t>150030034474</t>
  </si>
  <si>
    <t>MI2101381825</t>
  </si>
  <si>
    <t>WI21013016</t>
  </si>
  <si>
    <t>MI210134194</t>
  </si>
  <si>
    <t>WI210130166</t>
  </si>
  <si>
    <t>150030034947</t>
  </si>
  <si>
    <t>MI2101383499</t>
  </si>
  <si>
    <t>WI210130174</t>
  </si>
  <si>
    <t>150030036646</t>
  </si>
  <si>
    <t>MI2101383616</t>
  </si>
  <si>
    <t>WI210130182</t>
  </si>
  <si>
    <t>150100001236</t>
  </si>
  <si>
    <t>MI2101383581</t>
  </si>
  <si>
    <t>WI210130211</t>
  </si>
  <si>
    <t>WI210130368</t>
  </si>
  <si>
    <t>150030036293</t>
  </si>
  <si>
    <t>MI2101385081</t>
  </si>
  <si>
    <t>WI210130572</t>
  </si>
  <si>
    <t>150030033068</t>
  </si>
  <si>
    <t>MI2101387694</t>
  </si>
  <si>
    <t>WI210130588</t>
  </si>
  <si>
    <t>150030034182</t>
  </si>
  <si>
    <t>MI2101387885</t>
  </si>
  <si>
    <t>WI210130649</t>
  </si>
  <si>
    <t>150030036513</t>
  </si>
  <si>
    <t>MI2101388717</t>
  </si>
  <si>
    <t>WI210130657</t>
  </si>
  <si>
    <t>150030033483</t>
  </si>
  <si>
    <t>MI2101388879</t>
  </si>
  <si>
    <t>WI210130663</t>
  </si>
  <si>
    <t>150030036723</t>
  </si>
  <si>
    <t>MI2101388857</t>
  </si>
  <si>
    <t>WI210130667</t>
  </si>
  <si>
    <t>MI2101388783</t>
  </si>
  <si>
    <t>WI210130719</t>
  </si>
  <si>
    <t>150030034249</t>
  </si>
  <si>
    <t>MI2101389333</t>
  </si>
  <si>
    <t>WI210130729</t>
  </si>
  <si>
    <t>MI2101389481</t>
  </si>
  <si>
    <t>WI210130769</t>
  </si>
  <si>
    <t>MI2101390072</t>
  </si>
  <si>
    <t>WI21013079</t>
  </si>
  <si>
    <t>MI210134914</t>
  </si>
  <si>
    <t>WI210130790</t>
  </si>
  <si>
    <t>MI2101390378</t>
  </si>
  <si>
    <t>WI210130797</t>
  </si>
  <si>
    <t>MI2101390472</t>
  </si>
  <si>
    <t>WI210130818</t>
  </si>
  <si>
    <t>150030035752</t>
  </si>
  <si>
    <t>MI2101390685</t>
  </si>
  <si>
    <t>WI210130821</t>
  </si>
  <si>
    <t>150030034589</t>
  </si>
  <si>
    <t>MI2101390697</t>
  </si>
  <si>
    <t>WI210130856</t>
  </si>
  <si>
    <t>WI210130862</t>
  </si>
  <si>
    <t>MI2101391249</t>
  </si>
  <si>
    <t>WI210130868</t>
  </si>
  <si>
    <t>150030036377</t>
  </si>
  <si>
    <t>MI2101391169</t>
  </si>
  <si>
    <t>WI210130877</t>
  </si>
  <si>
    <t>150030036731</t>
  </si>
  <si>
    <t>MI2101391278</t>
  </si>
  <si>
    <t>WI210130901</t>
  </si>
  <si>
    <t>150030036586</t>
  </si>
  <si>
    <t>MI2101391774</t>
  </si>
  <si>
    <t>WI210130970</t>
  </si>
  <si>
    <t>150030036447</t>
  </si>
  <si>
    <t>MI2101393133</t>
  </si>
  <si>
    <t>WI21013099</t>
  </si>
  <si>
    <t>150030036029</t>
  </si>
  <si>
    <t>MI210134696</t>
  </si>
  <si>
    <t>WI210131032</t>
  </si>
  <si>
    <t>150030036343</t>
  </si>
  <si>
    <t>MI2101393855</t>
  </si>
  <si>
    <t>WI210131063</t>
  </si>
  <si>
    <t>150030034301</t>
  </si>
  <si>
    <t>MI2101394288</t>
  </si>
  <si>
    <t>WI21013111</t>
  </si>
  <si>
    <t>150080000757</t>
  </si>
  <si>
    <t>MI210134985</t>
  </si>
  <si>
    <t>WI210131125</t>
  </si>
  <si>
    <t>150030036463</t>
  </si>
  <si>
    <t>MI2101395282</t>
  </si>
  <si>
    <t>WI21013121</t>
  </si>
  <si>
    <t>150030036102</t>
  </si>
  <si>
    <t>MI210135255</t>
  </si>
  <si>
    <t>WI210131227</t>
  </si>
  <si>
    <t>150030036566</t>
  </si>
  <si>
    <t>MI2101396394</t>
  </si>
  <si>
    <t>WI210131241</t>
  </si>
  <si>
    <t>150030034319</t>
  </si>
  <si>
    <t>MI2101396451</t>
  </si>
  <si>
    <t>WI210131415</t>
  </si>
  <si>
    <t>112300000788</t>
  </si>
  <si>
    <t>MI2101399073</t>
  </si>
  <si>
    <t>WI210131427</t>
  </si>
  <si>
    <t>150030036703</t>
  </si>
  <si>
    <t>MI2101399125</t>
  </si>
  <si>
    <t>WI210131433</t>
  </si>
  <si>
    <t>MI2101399410</t>
  </si>
  <si>
    <t>WI210131449</t>
  </si>
  <si>
    <t>150030036213</t>
  </si>
  <si>
    <t>MI2101399577</t>
  </si>
  <si>
    <t>WI210131465</t>
  </si>
  <si>
    <t>MI2101400011</t>
  </si>
  <si>
    <t>WI210131506</t>
  </si>
  <si>
    <t>150030034487</t>
  </si>
  <si>
    <t>MI2101400671</t>
  </si>
  <si>
    <t>WI210131555</t>
  </si>
  <si>
    <t>150030033853</t>
  </si>
  <si>
    <t>MI2101401343</t>
  </si>
  <si>
    <t>WI210131594</t>
  </si>
  <si>
    <t>WI21013161</t>
  </si>
  <si>
    <t>150030036038</t>
  </si>
  <si>
    <t>MI210135863</t>
  </si>
  <si>
    <t>WI210131788</t>
  </si>
  <si>
    <t>MI2101404255</t>
  </si>
  <si>
    <t>WI21013182</t>
  </si>
  <si>
    <t>150030035619</t>
  </si>
  <si>
    <t>MI210136354</t>
  </si>
  <si>
    <t>WI210131853</t>
  </si>
  <si>
    <t>150100001208</t>
  </si>
  <si>
    <t>MI2101405065</t>
  </si>
  <si>
    <t>WI210131871</t>
  </si>
  <si>
    <t>WI21013209</t>
  </si>
  <si>
    <t>MI210136749</t>
  </si>
  <si>
    <t>WI21013241</t>
  </si>
  <si>
    <t>MI210137214</t>
  </si>
  <si>
    <t>WI210132565</t>
  </si>
  <si>
    <t>150030035352</t>
  </si>
  <si>
    <t>MI2101415141</t>
  </si>
  <si>
    <t>WI210132571</t>
  </si>
  <si>
    <t>MI2101415219</t>
  </si>
  <si>
    <t>WI21013263</t>
  </si>
  <si>
    <t>150030036050</t>
  </si>
  <si>
    <t>MI210137268</t>
  </si>
  <si>
    <t>WI21013290</t>
  </si>
  <si>
    <t>111830002085</t>
  </si>
  <si>
    <t>MI210126605</t>
  </si>
  <si>
    <t>WI210133019</t>
  </si>
  <si>
    <t>WI210133026</t>
  </si>
  <si>
    <t>WI210133030</t>
  </si>
  <si>
    <t>118790000587</t>
  </si>
  <si>
    <t>MI2101358771</t>
  </si>
  <si>
    <t>WI210133032</t>
  </si>
  <si>
    <t>MI2101420416</t>
  </si>
  <si>
    <t>WI210133053</t>
  </si>
  <si>
    <t>150030035966</t>
  </si>
  <si>
    <t>MI2101420825</t>
  </si>
  <si>
    <t>WI210133063</t>
  </si>
  <si>
    <t>MI2101420891</t>
  </si>
  <si>
    <t>WI210133064</t>
  </si>
  <si>
    <t>MI2101420918</t>
  </si>
  <si>
    <t>WI210133090</t>
  </si>
  <si>
    <t>150100001283</t>
  </si>
  <si>
    <t>MI2101421238</t>
  </si>
  <si>
    <t>WI210133091</t>
  </si>
  <si>
    <t>150030035991</t>
  </si>
  <si>
    <t>MI2101421305</t>
  </si>
  <si>
    <t>WI210133092</t>
  </si>
  <si>
    <t>MI2101421359</t>
  </si>
  <si>
    <t>WI210133097</t>
  </si>
  <si>
    <t>150030034232</t>
  </si>
  <si>
    <t>MI2101421720</t>
  </si>
  <si>
    <t>WI210133115</t>
  </si>
  <si>
    <t>150030033120</t>
  </si>
  <si>
    <t>MI2101422433</t>
  </si>
  <si>
    <t>WI210133142</t>
  </si>
  <si>
    <t>150030036617</t>
  </si>
  <si>
    <t>MI2101422950</t>
  </si>
  <si>
    <t>WI210133148</t>
  </si>
  <si>
    <t>150030034876</t>
  </si>
  <si>
    <t>MI2101423041</t>
  </si>
  <si>
    <t>WI210133158</t>
  </si>
  <si>
    <t>150100001226</t>
  </si>
  <si>
    <t>MI2101423315</t>
  </si>
  <si>
    <t>WI210133171</t>
  </si>
  <si>
    <t>150100001266</t>
  </si>
  <si>
    <t>MI2101423347</t>
  </si>
  <si>
    <t>WI210133172</t>
  </si>
  <si>
    <t>MI2101423407</t>
  </si>
  <si>
    <t>WI210133173</t>
  </si>
  <si>
    <t>MI2101423437</t>
  </si>
  <si>
    <t>WI210133176</t>
  </si>
  <si>
    <t>MI2101423497</t>
  </si>
  <si>
    <t>WI210133177</t>
  </si>
  <si>
    <t>MI2101423469</t>
  </si>
  <si>
    <t>WI210133184</t>
  </si>
  <si>
    <t>MI2101423735</t>
  </si>
  <si>
    <t>WI210133185</t>
  </si>
  <si>
    <t>MI2101423780</t>
  </si>
  <si>
    <t>WI210133186</t>
  </si>
  <si>
    <t>150030036164</t>
  </si>
  <si>
    <t>MI2101423794</t>
  </si>
  <si>
    <t>WI210133189</t>
  </si>
  <si>
    <t>MI2101423846</t>
  </si>
  <si>
    <t>WI210133194</t>
  </si>
  <si>
    <t>MI2101423877</t>
  </si>
  <si>
    <t>WI210133200</t>
  </si>
  <si>
    <t>MI2101423938</t>
  </si>
  <si>
    <t>WI210133203</t>
  </si>
  <si>
    <t>MI2101423939</t>
  </si>
  <si>
    <t>WI21013321</t>
  </si>
  <si>
    <t>MI210138284</t>
  </si>
  <si>
    <t>WI210133233</t>
  </si>
  <si>
    <t>150030034241</t>
  </si>
  <si>
    <t>MI2101424604</t>
  </si>
  <si>
    <t>WI210133281</t>
  </si>
  <si>
    <t>150030036535</t>
  </si>
  <si>
    <t>MI2101425273</t>
  </si>
  <si>
    <t>WI210133290</t>
  </si>
  <si>
    <t>150030036637</t>
  </si>
  <si>
    <t>MI2101425288</t>
  </si>
  <si>
    <t>WI210133326</t>
  </si>
  <si>
    <t>150030036599</t>
  </si>
  <si>
    <t>MI2101425897</t>
  </si>
  <si>
    <t>WI210133327</t>
  </si>
  <si>
    <t>150030036753</t>
  </si>
  <si>
    <t>MI2101425870</t>
  </si>
  <si>
    <t>WI21013333</t>
  </si>
  <si>
    <t>150030036075</t>
  </si>
  <si>
    <t>MI210138306</t>
  </si>
  <si>
    <t>WI210133372</t>
  </si>
  <si>
    <t>150030036738</t>
  </si>
  <si>
    <t>MI2101426576</t>
  </si>
  <si>
    <t>WI210133376</t>
  </si>
  <si>
    <t>WI21013339</t>
  </si>
  <si>
    <t>MI210138349</t>
  </si>
  <si>
    <t>WI210133396</t>
  </si>
  <si>
    <t>MI2101426987</t>
  </si>
  <si>
    <t>WI21013340</t>
  </si>
  <si>
    <t>150030035623</t>
  </si>
  <si>
    <t>MI210138518</t>
  </si>
  <si>
    <t>WI210133417</t>
  </si>
  <si>
    <t>MI2101427140</t>
  </si>
  <si>
    <t>WI210133431</t>
  </si>
  <si>
    <t>150030033771</t>
  </si>
  <si>
    <t>MI2101427356</t>
  </si>
  <si>
    <t>WI210133434</t>
  </si>
  <si>
    <t>150030034729</t>
  </si>
  <si>
    <t>MI2101427413</t>
  </si>
  <si>
    <t>WI210133437</t>
  </si>
  <si>
    <t>MI2101427416</t>
  </si>
  <si>
    <t>WI210133461</t>
  </si>
  <si>
    <t>150030036197</t>
  </si>
  <si>
    <t>MI2101427519</t>
  </si>
  <si>
    <t>WI210133464</t>
  </si>
  <si>
    <t>150030036647</t>
  </si>
  <si>
    <t>MI2101426937</t>
  </si>
  <si>
    <t>WI210133481</t>
  </si>
  <si>
    <t>MI2101427581</t>
  </si>
  <si>
    <t>WI210133486</t>
  </si>
  <si>
    <t>MI2101427679</t>
  </si>
  <si>
    <t>WI210133493</t>
  </si>
  <si>
    <t>150080000764</t>
  </si>
  <si>
    <t>MI2101427860</t>
  </si>
  <si>
    <t>WI210133539</t>
  </si>
  <si>
    <t>150030034881</t>
  </si>
  <si>
    <t>MI2101428516</t>
  </si>
  <si>
    <t>WI210133545</t>
  </si>
  <si>
    <t>150030036671</t>
  </si>
  <si>
    <t>MI2101428567</t>
  </si>
  <si>
    <t>WI21013355</t>
  </si>
  <si>
    <t>150030036160</t>
  </si>
  <si>
    <t>MI210138698</t>
  </si>
  <si>
    <t>WI210133569</t>
  </si>
  <si>
    <t>150030036572</t>
  </si>
  <si>
    <t>MI2101428742</t>
  </si>
  <si>
    <t>WI210133619</t>
  </si>
  <si>
    <t>150030036560</t>
  </si>
  <si>
    <t>MI2101429509</t>
  </si>
  <si>
    <t>WI210133653</t>
  </si>
  <si>
    <t>150030036739</t>
  </si>
  <si>
    <t>MI2101429871</t>
  </si>
  <si>
    <t>WI210133668</t>
  </si>
  <si>
    <t>150030036729</t>
  </si>
  <si>
    <t>MI2101430358</t>
  </si>
  <si>
    <t>WI210133691</t>
  </si>
  <si>
    <t>150030033736</t>
  </si>
  <si>
    <t>MI2101430234</t>
  </si>
  <si>
    <t>WI210133712</t>
  </si>
  <si>
    <t>MI2101430538</t>
  </si>
  <si>
    <t>WI210133732</t>
  </si>
  <si>
    <t>WI21013374</t>
  </si>
  <si>
    <t>150030036060</t>
  </si>
  <si>
    <t>MI210139026</t>
  </si>
  <si>
    <t>WI210133776</t>
  </si>
  <si>
    <t>WI210133786</t>
  </si>
  <si>
    <t>150100001247</t>
  </si>
  <si>
    <t>MI2101432695</t>
  </si>
  <si>
    <t>WI210133813</t>
  </si>
  <si>
    <t>150030036295</t>
  </si>
  <si>
    <t>MI2101432972</t>
  </si>
  <si>
    <t>WI210133816</t>
  </si>
  <si>
    <t>150030036609</t>
  </si>
  <si>
    <t>MI2101433020</t>
  </si>
  <si>
    <t>WI210133826</t>
  </si>
  <si>
    <t>150030036494</t>
  </si>
  <si>
    <t>MI2101433134</t>
  </si>
  <si>
    <t>WI210133832</t>
  </si>
  <si>
    <t>WI210133843</t>
  </si>
  <si>
    <t>150030036604</t>
  </si>
  <si>
    <t>MI2101433481</t>
  </si>
  <si>
    <t>WI210133845</t>
  </si>
  <si>
    <t>MI2101433630</t>
  </si>
  <si>
    <t>WI21013388</t>
  </si>
  <si>
    <t>150030035808</t>
  </si>
  <si>
    <t>MI210139351</t>
  </si>
  <si>
    <t>WI210133926</t>
  </si>
  <si>
    <t>150100001282</t>
  </si>
  <si>
    <t>MI2101434587</t>
  </si>
  <si>
    <t>WI210133965</t>
  </si>
  <si>
    <t>150030036665</t>
  </si>
  <si>
    <t>MI2101435102</t>
  </si>
  <si>
    <t>WI210133998</t>
  </si>
  <si>
    <t>150030035456</t>
  </si>
  <si>
    <t>MI2101435755</t>
  </si>
  <si>
    <t>WI210134034</t>
  </si>
  <si>
    <t>WI210134038</t>
  </si>
  <si>
    <t>150030036010</t>
  </si>
  <si>
    <t>MI2101436406</t>
  </si>
  <si>
    <t>WI210134087</t>
  </si>
  <si>
    <t>MI2101437061</t>
  </si>
  <si>
    <t>WI210134088</t>
  </si>
  <si>
    <t>150030036657</t>
  </si>
  <si>
    <t>MI2101437078</t>
  </si>
  <si>
    <t>WI210134115</t>
  </si>
  <si>
    <t>MI2101437372</t>
  </si>
  <si>
    <t>WI210134117</t>
  </si>
  <si>
    <t>150030032580</t>
  </si>
  <si>
    <t>MI2101437398</t>
  </si>
  <si>
    <t>WI210134163</t>
  </si>
  <si>
    <t>MI2101437629</t>
  </si>
  <si>
    <t>WI210134169</t>
  </si>
  <si>
    <t>MI2101437660</t>
  </si>
  <si>
    <t>WI210134170</t>
  </si>
  <si>
    <t>MI2101437628</t>
  </si>
  <si>
    <t>WI210134176</t>
  </si>
  <si>
    <t>MI2101437668</t>
  </si>
  <si>
    <t>WI210134178</t>
  </si>
  <si>
    <t>MI2101437680</t>
  </si>
  <si>
    <t>WI210134188</t>
  </si>
  <si>
    <t>MI2101437711</t>
  </si>
  <si>
    <t>WI210134194</t>
  </si>
  <si>
    <t>150030036697</t>
  </si>
  <si>
    <t>MI2101438107</t>
  </si>
  <si>
    <t>WI210134195</t>
  </si>
  <si>
    <t>WI210134208</t>
  </si>
  <si>
    <t>MI2101438245</t>
  </si>
  <si>
    <t>WI210134215</t>
  </si>
  <si>
    <t>150030035473</t>
  </si>
  <si>
    <t>MI2101438376</t>
  </si>
  <si>
    <t>WI210134245</t>
  </si>
  <si>
    <t>MI2101438395</t>
  </si>
  <si>
    <t>WI210134266</t>
  </si>
  <si>
    <t>150030036695</t>
  </si>
  <si>
    <t>MI2101438992</t>
  </si>
  <si>
    <t>WI210134380</t>
  </si>
  <si>
    <t>MI2101440574</t>
  </si>
  <si>
    <t>WI210134412</t>
  </si>
  <si>
    <t>MI2101440887</t>
  </si>
  <si>
    <t>WI210134442</t>
  </si>
  <si>
    <t>MI2101440983</t>
  </si>
  <si>
    <t>WI210134443</t>
  </si>
  <si>
    <t>WI210134454</t>
  </si>
  <si>
    <t>WI210134473</t>
  </si>
  <si>
    <t>150030036745</t>
  </si>
  <si>
    <t>MI2101441455</t>
  </si>
  <si>
    <t>WI210134481</t>
  </si>
  <si>
    <t>150030035852</t>
  </si>
  <si>
    <t>MI2101441571</t>
  </si>
  <si>
    <t>WI210134519</t>
  </si>
  <si>
    <t>150030034545</t>
  </si>
  <si>
    <t>MI2101442077</t>
  </si>
  <si>
    <t>WI210134621</t>
  </si>
  <si>
    <t>150030036497</t>
  </si>
  <si>
    <t>MI2101443107</t>
  </si>
  <si>
    <t>WI210134632</t>
  </si>
  <si>
    <t>150030035964</t>
  </si>
  <si>
    <t>MI2101443059</t>
  </si>
  <si>
    <t>WI21013466</t>
  </si>
  <si>
    <t>150030036071</t>
  </si>
  <si>
    <t>MI210140204</t>
  </si>
  <si>
    <t>WI210134661</t>
  </si>
  <si>
    <t>150030036764</t>
  </si>
  <si>
    <t>MI2101443194</t>
  </si>
  <si>
    <t>WI21013477</t>
  </si>
  <si>
    <t>WI210134780</t>
  </si>
  <si>
    <t>150030036608</t>
  </si>
  <si>
    <t>MI2101444179</t>
  </si>
  <si>
    <t>WI210134831</t>
  </si>
  <si>
    <t>150100001220</t>
  </si>
  <si>
    <t>MI2101445125</t>
  </si>
  <si>
    <t>WI210135059</t>
  </si>
  <si>
    <t>150030033125</t>
  </si>
  <si>
    <t>MI2101447130</t>
  </si>
  <si>
    <t>WI210135079</t>
  </si>
  <si>
    <t>MI2101447728</t>
  </si>
  <si>
    <t>WI210135095</t>
  </si>
  <si>
    <t>150030034826</t>
  </si>
  <si>
    <t>MI2101447970</t>
  </si>
  <si>
    <t>WI210135101</t>
  </si>
  <si>
    <t>MI2101448036</t>
  </si>
  <si>
    <t>WI210135105</t>
  </si>
  <si>
    <t>WI21013517</t>
  </si>
  <si>
    <t>MI210140564</t>
  </si>
  <si>
    <t>WI210135177</t>
  </si>
  <si>
    <t>150030035118</t>
  </si>
  <si>
    <t>MI2101448635</t>
  </si>
  <si>
    <t>WI210135182</t>
  </si>
  <si>
    <t>MI2101448996</t>
  </si>
  <si>
    <t>WI210135203</t>
  </si>
  <si>
    <t>MI2101449138</t>
  </si>
  <si>
    <t>WI210135265</t>
  </si>
  <si>
    <t>150030036730</t>
  </si>
  <si>
    <t>MI2101450079</t>
  </si>
  <si>
    <t>WI210135326</t>
  </si>
  <si>
    <t>WI210135399</t>
  </si>
  <si>
    <t>150030036477</t>
  </si>
  <si>
    <t>MI2101452192</t>
  </si>
  <si>
    <t>WI210135435</t>
  </si>
  <si>
    <t>MI2101452549</t>
  </si>
  <si>
    <t>WI210135449</t>
  </si>
  <si>
    <t>150030036395</t>
  </si>
  <si>
    <t>MI2101452890</t>
  </si>
  <si>
    <t>WI210135486</t>
  </si>
  <si>
    <t>150030036736</t>
  </si>
  <si>
    <t>MI2101453293</t>
  </si>
  <si>
    <t>WI210135488</t>
  </si>
  <si>
    <t>150100001241</t>
  </si>
  <si>
    <t>MI2101453409</t>
  </si>
  <si>
    <t>WI210135490</t>
  </si>
  <si>
    <t>MI2101453414</t>
  </si>
  <si>
    <t>WI210135501</t>
  </si>
  <si>
    <t>150030035510</t>
  </si>
  <si>
    <t>MI2101453504</t>
  </si>
  <si>
    <t>WI210135502</t>
  </si>
  <si>
    <t>MI2101453506</t>
  </si>
  <si>
    <t>WI210135509</t>
  </si>
  <si>
    <t>MI2101453380</t>
  </si>
  <si>
    <t>WI210135518</t>
  </si>
  <si>
    <t>WI210135526</t>
  </si>
  <si>
    <t>MI2101453745</t>
  </si>
  <si>
    <t>WI210135543</t>
  </si>
  <si>
    <t>MI2101453801</t>
  </si>
  <si>
    <t>WI21013556</t>
  </si>
  <si>
    <t>150030036155</t>
  </si>
  <si>
    <t>MI210141178</t>
  </si>
  <si>
    <t>WI210135686</t>
  </si>
  <si>
    <t>MI2101455912</t>
  </si>
  <si>
    <t>WI210135768</t>
  </si>
  <si>
    <t>150030036784</t>
  </si>
  <si>
    <t>MI2101457005</t>
  </si>
  <si>
    <t>WI210135795</t>
  </si>
  <si>
    <t>150030036240</t>
  </si>
  <si>
    <t>MI2101457392</t>
  </si>
  <si>
    <t>WI210135841</t>
  </si>
  <si>
    <t>150030033940</t>
  </si>
  <si>
    <t>MI2101458029</t>
  </si>
  <si>
    <t>WI210135849</t>
  </si>
  <si>
    <t>MI2101458231</t>
  </si>
  <si>
    <t>WI210136070</t>
  </si>
  <si>
    <t>150030036192</t>
  </si>
  <si>
    <t>MI2101459886</t>
  </si>
  <si>
    <t>WI210136088</t>
  </si>
  <si>
    <t>150100001284</t>
  </si>
  <si>
    <t>MI2101460054</t>
  </si>
  <si>
    <t>WI210136101</t>
  </si>
  <si>
    <t>150030036702</t>
  </si>
  <si>
    <t>MI2101459809</t>
  </si>
  <si>
    <t>WI210136108</t>
  </si>
  <si>
    <t>150030036163</t>
  </si>
  <si>
    <t>MI2101460096</t>
  </si>
  <si>
    <t>WI210136128</t>
  </si>
  <si>
    <t>150030034165</t>
  </si>
  <si>
    <t>MI2101460542</t>
  </si>
  <si>
    <t>WI210136156</t>
  </si>
  <si>
    <t>MI2101460680</t>
  </si>
  <si>
    <t>WI21013616</t>
  </si>
  <si>
    <t>150030034699</t>
  </si>
  <si>
    <t>MI210141927</t>
  </si>
  <si>
    <t>WI210136168</t>
  </si>
  <si>
    <t>MI2101460965</t>
  </si>
  <si>
    <t>WI210136176</t>
  </si>
  <si>
    <t>MI2101461006</t>
  </si>
  <si>
    <t>WI210136178</t>
  </si>
  <si>
    <t>MI2101461095</t>
  </si>
  <si>
    <t>WI210136193</t>
  </si>
  <si>
    <t>111830002123</t>
  </si>
  <si>
    <t>MI2101426004</t>
  </si>
  <si>
    <t>WI210136198</t>
  </si>
  <si>
    <t>150030036333</t>
  </si>
  <si>
    <t>MI2101461455</t>
  </si>
  <si>
    <t>WI210136205</t>
  </si>
  <si>
    <t>MI2101461712</t>
  </si>
  <si>
    <t>WI210136238</t>
  </si>
  <si>
    <t>MI2101462232</t>
  </si>
  <si>
    <t>WI210136250</t>
  </si>
  <si>
    <t>MI2101462191</t>
  </si>
  <si>
    <t>WI210136262</t>
  </si>
  <si>
    <t>MI2101462509</t>
  </si>
  <si>
    <t>WI210136268</t>
  </si>
  <si>
    <t>MI2101462600</t>
  </si>
  <si>
    <t>WI210136301</t>
  </si>
  <si>
    <t>150030033510</t>
  </si>
  <si>
    <t>MI2101463184</t>
  </si>
  <si>
    <t>WI210136317</t>
  </si>
  <si>
    <t>150030036808</t>
  </si>
  <si>
    <t>MI2101463023</t>
  </si>
  <si>
    <t>WI210136323</t>
  </si>
  <si>
    <t>MI2101463284</t>
  </si>
  <si>
    <t>WI210136340</t>
  </si>
  <si>
    <t>MI2101463287</t>
  </si>
  <si>
    <t>WI210136343</t>
  </si>
  <si>
    <t>150030036788</t>
  </si>
  <si>
    <t>MI2101463259</t>
  </si>
  <si>
    <t>WI210136345</t>
  </si>
  <si>
    <t>WI210136366</t>
  </si>
  <si>
    <t>WI210136369</t>
  </si>
  <si>
    <t>WI210136397</t>
  </si>
  <si>
    <t>150030036740</t>
  </si>
  <si>
    <t>MI2101463930</t>
  </si>
  <si>
    <t>WI210136425</t>
  </si>
  <si>
    <t>WI210136522</t>
  </si>
  <si>
    <t>MI2101464934</t>
  </si>
  <si>
    <t>WI210136530</t>
  </si>
  <si>
    <t>150030036771</t>
  </si>
  <si>
    <t>MI2101464634</t>
  </si>
  <si>
    <t>WI210136579</t>
  </si>
  <si>
    <t>150030036048</t>
  </si>
  <si>
    <t>MI2101465400</t>
  </si>
  <si>
    <t>WI210136847</t>
  </si>
  <si>
    <t>MI2101468128</t>
  </si>
  <si>
    <t>WI210136905</t>
  </si>
  <si>
    <t>150030033945</t>
  </si>
  <si>
    <t>MI2101468687</t>
  </si>
  <si>
    <t>WI210136906</t>
  </si>
  <si>
    <t>MI2101468793</t>
  </si>
  <si>
    <t>WI210136919</t>
  </si>
  <si>
    <t>150030035043</t>
  </si>
  <si>
    <t>MI2101468837</t>
  </si>
  <si>
    <t>WI210136938</t>
  </si>
  <si>
    <t>MI2101469189</t>
  </si>
  <si>
    <t>WI210137042</t>
  </si>
  <si>
    <t>MI2101470292</t>
  </si>
  <si>
    <t>WI210137056</t>
  </si>
  <si>
    <t>MI2101470503</t>
  </si>
  <si>
    <t>WI210137294</t>
  </si>
  <si>
    <t>MI2101473426</t>
  </si>
  <si>
    <t>WI210137298</t>
  </si>
  <si>
    <t>MI2101473471</t>
  </si>
  <si>
    <t>WI210137764</t>
  </si>
  <si>
    <t>MI2101478940</t>
  </si>
  <si>
    <t>WI21013782</t>
  </si>
  <si>
    <t>150100001177</t>
  </si>
  <si>
    <t>MI210142952</t>
  </si>
  <si>
    <t>WI210137852</t>
  </si>
  <si>
    <t>150030034746</t>
  </si>
  <si>
    <t>MI2101479958</t>
  </si>
  <si>
    <t>WI210137860</t>
  </si>
  <si>
    <t>MI2101480057</t>
  </si>
  <si>
    <t>WI210137864</t>
  </si>
  <si>
    <t>150030035594</t>
  </si>
  <si>
    <t>MI2101480141</t>
  </si>
  <si>
    <t>WI210137938</t>
  </si>
  <si>
    <t>MI2101481321</t>
  </si>
  <si>
    <t>WI21013807</t>
  </si>
  <si>
    <t>150030035996</t>
  </si>
  <si>
    <t>MI210143017</t>
  </si>
  <si>
    <t>WI210138854</t>
  </si>
  <si>
    <t>WI210138871</t>
  </si>
  <si>
    <t>118790000589</t>
  </si>
  <si>
    <t>MI2101434858</t>
  </si>
  <si>
    <t>Kelly Musselman</t>
  </si>
  <si>
    <t>WI210138872</t>
  </si>
  <si>
    <t>115750002172</t>
  </si>
  <si>
    <t>MI2101429108</t>
  </si>
  <si>
    <t>WI210138889</t>
  </si>
  <si>
    <t>112550002591</t>
  </si>
  <si>
    <t>MI2101436185</t>
  </si>
  <si>
    <t>WI210138924</t>
  </si>
  <si>
    <t>150030036804</t>
  </si>
  <si>
    <t>MI2101491247</t>
  </si>
  <si>
    <t>WI210138937</t>
  </si>
  <si>
    <t>MI2101491293</t>
  </si>
  <si>
    <t>WI210138945</t>
  </si>
  <si>
    <t>150030034812</t>
  </si>
  <si>
    <t>MI2101491462</t>
  </si>
  <si>
    <t>WI210138952</t>
  </si>
  <si>
    <t>150030036369</t>
  </si>
  <si>
    <t>MI2101491590</t>
  </si>
  <si>
    <t>WI210138956</t>
  </si>
  <si>
    <t>MI2101491643</t>
  </si>
  <si>
    <t>WI210138974</t>
  </si>
  <si>
    <t>150030034983</t>
  </si>
  <si>
    <t>MI2101491784</t>
  </si>
  <si>
    <t>WI210138975</t>
  </si>
  <si>
    <t>150030033000</t>
  </si>
  <si>
    <t>MI2101491852</t>
  </si>
  <si>
    <t>WI210138976</t>
  </si>
  <si>
    <t>MI2101491859</t>
  </si>
  <si>
    <t>WI210138989</t>
  </si>
  <si>
    <t>150030036353</t>
  </si>
  <si>
    <t>MI2101492065</t>
  </si>
  <si>
    <t>WI210139000</t>
  </si>
  <si>
    <t>150030035314</t>
  </si>
  <si>
    <t>MI2101492166</t>
  </si>
  <si>
    <t>WI210139004</t>
  </si>
  <si>
    <t>150030036681</t>
  </si>
  <si>
    <t>MI2101492334</t>
  </si>
  <si>
    <t>WI210139011</t>
  </si>
  <si>
    <t>MI2101492666</t>
  </si>
  <si>
    <t>WI210139012</t>
  </si>
  <si>
    <t>150030035487</t>
  </si>
  <si>
    <t>MI2101492710</t>
  </si>
  <si>
    <t>WI210139033</t>
  </si>
  <si>
    <t>150030034939</t>
  </si>
  <si>
    <t>MI2101493022</t>
  </si>
  <si>
    <t>WI210139052</t>
  </si>
  <si>
    <t>MI2101493352</t>
  </si>
  <si>
    <t>WI210139055</t>
  </si>
  <si>
    <t>150030035167</t>
  </si>
  <si>
    <t>MI2101493364</t>
  </si>
  <si>
    <t>WI210139058</t>
  </si>
  <si>
    <t>WI210139153</t>
  </si>
  <si>
    <t>MI2101495125</t>
  </si>
  <si>
    <t>WI210139181</t>
  </si>
  <si>
    <t>MI2101495697</t>
  </si>
  <si>
    <t>WI210139190</t>
  </si>
  <si>
    <t>MI2101495695</t>
  </si>
  <si>
    <t>WI210139203</t>
  </si>
  <si>
    <t>150030036746</t>
  </si>
  <si>
    <t>MI2101495719</t>
  </si>
  <si>
    <t>WI210139204</t>
  </si>
  <si>
    <t>150030036818</t>
  </si>
  <si>
    <t>MI2101495747</t>
  </si>
  <si>
    <t>WI210139208</t>
  </si>
  <si>
    <t>MI2101495875</t>
  </si>
  <si>
    <t>WI210139209</t>
  </si>
  <si>
    <t>MI2101495758</t>
  </si>
  <si>
    <t>WI210139227</t>
  </si>
  <si>
    <t>150030036237</t>
  </si>
  <si>
    <t>MI2101495949</t>
  </si>
  <si>
    <t>WI210139235</t>
  </si>
  <si>
    <t>150030036625</t>
  </si>
  <si>
    <t>MI2101496001</t>
  </si>
  <si>
    <t>WI210139239</t>
  </si>
  <si>
    <t>WI210139242</t>
  </si>
  <si>
    <t>150030036789</t>
  </si>
  <si>
    <t>MI2101496084</t>
  </si>
  <si>
    <t>WI210139247</t>
  </si>
  <si>
    <t>150030036648</t>
  </si>
  <si>
    <t>MI2101496149</t>
  </si>
  <si>
    <t>WI210139249</t>
  </si>
  <si>
    <t>MI2101496260</t>
  </si>
  <si>
    <t>WI210139265</t>
  </si>
  <si>
    <t>150030033833</t>
  </si>
  <si>
    <t>MI2101496323</t>
  </si>
  <si>
    <t>WI21013927</t>
  </si>
  <si>
    <t>150030035626</t>
  </si>
  <si>
    <t>MI210144323</t>
  </si>
  <si>
    <t>WI210139316</t>
  </si>
  <si>
    <t>150030036653</t>
  </si>
  <si>
    <t>MI2101497119</t>
  </si>
  <si>
    <t>WI210139437</t>
  </si>
  <si>
    <t>150030036595</t>
  </si>
  <si>
    <t>MI2101498595</t>
  </si>
  <si>
    <t>WI210139438</t>
  </si>
  <si>
    <t>150030033269</t>
  </si>
  <si>
    <t>MI2101498617</t>
  </si>
  <si>
    <t>WI210139451</t>
  </si>
  <si>
    <t>150030036732</t>
  </si>
  <si>
    <t>MI2101498828</t>
  </si>
  <si>
    <t>WI210139465</t>
  </si>
  <si>
    <t>MI2101499267</t>
  </si>
  <si>
    <t>WI210139507</t>
  </si>
  <si>
    <t>150030036317</t>
  </si>
  <si>
    <t>MI2101499695</t>
  </si>
  <si>
    <t>WI210139518</t>
  </si>
  <si>
    <t>150030036807</t>
  </si>
  <si>
    <t>MI2101500056</t>
  </si>
  <si>
    <t>WI210139540</t>
  </si>
  <si>
    <t>MI2101500405</t>
  </si>
  <si>
    <t>WI21013958</t>
  </si>
  <si>
    <t>MI210144544</t>
  </si>
  <si>
    <t>WI210139589</t>
  </si>
  <si>
    <t>MI2101500945</t>
  </si>
  <si>
    <t>WI210139592</t>
  </si>
  <si>
    <t>150030036869</t>
  </si>
  <si>
    <t>MI2101500823</t>
  </si>
  <si>
    <t>WI210139593</t>
  </si>
  <si>
    <t>150030035618</t>
  </si>
  <si>
    <t>MI2101500951</t>
  </si>
  <si>
    <t>WI210139602</t>
  </si>
  <si>
    <t>MI2101501061</t>
  </si>
  <si>
    <t>WI210139627</t>
  </si>
  <si>
    <t>150030036184</t>
  </si>
  <si>
    <t>MI2101500974</t>
  </si>
  <si>
    <t>WI210139630</t>
  </si>
  <si>
    <t>WI210139645</t>
  </si>
  <si>
    <t>150030036349</t>
  </si>
  <si>
    <t>MI2101501346</t>
  </si>
  <si>
    <t>WI210139736</t>
  </si>
  <si>
    <t>113170002880</t>
  </si>
  <si>
    <t>MI2101500031</t>
  </si>
  <si>
    <t>WI210139756</t>
  </si>
  <si>
    <t>150030036782</t>
  </si>
  <si>
    <t>MI2101502648</t>
  </si>
  <si>
    <t>WI210139770</t>
  </si>
  <si>
    <t>MI2101502790</t>
  </si>
  <si>
    <t>WI210139827</t>
  </si>
  <si>
    <t>150030036860</t>
  </si>
  <si>
    <t>MI2101503404</t>
  </si>
  <si>
    <t>WI210139853</t>
  </si>
  <si>
    <t>150030036886</t>
  </si>
  <si>
    <t>MI2101503591</t>
  </si>
  <si>
    <t>WI210139972</t>
  </si>
  <si>
    <t>MI2101504412</t>
  </si>
  <si>
    <t>WI210140025</t>
  </si>
  <si>
    <t>150030036760</t>
  </si>
  <si>
    <t>MI2101504617</t>
  </si>
  <si>
    <t>WI21014003</t>
  </si>
  <si>
    <t>MI210144760</t>
  </si>
  <si>
    <t>WI210140074</t>
  </si>
  <si>
    <t>150030032486</t>
  </si>
  <si>
    <t>MI2101505459</t>
  </si>
  <si>
    <t>WI210140096</t>
  </si>
  <si>
    <t>150030036670</t>
  </si>
  <si>
    <t>MI2101505672</t>
  </si>
  <si>
    <t>WI210140108</t>
  </si>
  <si>
    <t>150030036797</t>
  </si>
  <si>
    <t>MI2101505763</t>
  </si>
  <si>
    <t>WI21014011</t>
  </si>
  <si>
    <t>150030036158</t>
  </si>
  <si>
    <t>MI210145101</t>
  </si>
  <si>
    <t>WI210140203</t>
  </si>
  <si>
    <t>150030033961</t>
  </si>
  <si>
    <t>MI2101506824</t>
  </si>
  <si>
    <t>WI210140204</t>
  </si>
  <si>
    <t>150030036866</t>
  </si>
  <si>
    <t>MI2101506762</t>
  </si>
  <si>
    <t>WI210140208</t>
  </si>
  <si>
    <t>WI210140225</t>
  </si>
  <si>
    <t>150030034884</t>
  </si>
  <si>
    <t>MI2101507029</t>
  </si>
  <si>
    <t>WI210140259</t>
  </si>
  <si>
    <t>MI2101507366</t>
  </si>
  <si>
    <t>WI210140286</t>
  </si>
  <si>
    <t>MI2101507703</t>
  </si>
  <si>
    <t>WI210140296</t>
  </si>
  <si>
    <t>WI210140297</t>
  </si>
  <si>
    <t>WI210140329</t>
  </si>
  <si>
    <t>MI2101508641</t>
  </si>
  <si>
    <t>WI21014036</t>
  </si>
  <si>
    <t>WI210140365</t>
  </si>
  <si>
    <t>150030035432</t>
  </si>
  <si>
    <t>MI2101509185</t>
  </si>
  <si>
    <t>WI210140374</t>
  </si>
  <si>
    <t>150030036544</t>
  </si>
  <si>
    <t>MI2101509006</t>
  </si>
  <si>
    <t>WI210140376</t>
  </si>
  <si>
    <t>MI2101509301</t>
  </si>
  <si>
    <t>WI210140380</t>
  </si>
  <si>
    <t>WI210140401</t>
  </si>
  <si>
    <t>150030036679</t>
  </si>
  <si>
    <t>MI2101509416</t>
  </si>
  <si>
    <t>WI210140425</t>
  </si>
  <si>
    <t>WI210140449</t>
  </si>
  <si>
    <t>150030035100</t>
  </si>
  <si>
    <t>MI2101510206</t>
  </si>
  <si>
    <t>WI210140453</t>
  </si>
  <si>
    <t>150030036728</t>
  </si>
  <si>
    <t>MI2101510255</t>
  </si>
  <si>
    <t>WI210140460</t>
  </si>
  <si>
    <t>MI2101510166</t>
  </si>
  <si>
    <t>WI210140472</t>
  </si>
  <si>
    <t>150080000746</t>
  </si>
  <si>
    <t>MI2101510338</t>
  </si>
  <si>
    <t>WI210140481</t>
  </si>
  <si>
    <t>150030036331</t>
  </si>
  <si>
    <t>MI2101510406</t>
  </si>
  <si>
    <t>WI210140493</t>
  </si>
  <si>
    <t>MI2101510665</t>
  </si>
  <si>
    <t>WI210140522</t>
  </si>
  <si>
    <t>MI2101511020</t>
  </si>
  <si>
    <t>WI210140528</t>
  </si>
  <si>
    <t>MI2101511113</t>
  </si>
  <si>
    <t>WI210140549</t>
  </si>
  <si>
    <t>WI21014061</t>
  </si>
  <si>
    <t>150030034942</t>
  </si>
  <si>
    <t>MI210145714</t>
  </si>
  <si>
    <t>WI210140633</t>
  </si>
  <si>
    <t>MI2101512149</t>
  </si>
  <si>
    <t>WI210140683</t>
  </si>
  <si>
    <t>150030036856</t>
  </si>
  <si>
    <t>MI2101512658</t>
  </si>
  <si>
    <t>WI210140689</t>
  </si>
  <si>
    <t>150030036785</t>
  </si>
  <si>
    <t>MI2101512769</t>
  </si>
  <si>
    <t>WI21014073</t>
  </si>
  <si>
    <t>150030034868</t>
  </si>
  <si>
    <t>MI210145720</t>
  </si>
  <si>
    <t>WI210140730</t>
  </si>
  <si>
    <t>150030034705</t>
  </si>
  <si>
    <t>MI2101513472</t>
  </si>
  <si>
    <t>WI210140746</t>
  </si>
  <si>
    <t>150030035345</t>
  </si>
  <si>
    <t>MI2101513578</t>
  </si>
  <si>
    <t>WI21014077</t>
  </si>
  <si>
    <t>111610000111</t>
  </si>
  <si>
    <t>MI210143047</t>
  </si>
  <si>
    <t>Jenny Palena</t>
  </si>
  <si>
    <t>WI210140779</t>
  </si>
  <si>
    <t>WI210140801</t>
  </si>
  <si>
    <t>150030035334</t>
  </si>
  <si>
    <t>MI2101514341</t>
  </si>
  <si>
    <t>WI210140824</t>
  </si>
  <si>
    <t>150030036794</t>
  </si>
  <si>
    <t>MI2101514503</t>
  </si>
  <si>
    <t>WI210140832</t>
  </si>
  <si>
    <t>150030032448</t>
  </si>
  <si>
    <t>MI2101514888</t>
  </si>
  <si>
    <t>WI210140845</t>
  </si>
  <si>
    <t>MI2101515047</t>
  </si>
  <si>
    <t>WI210140850</t>
  </si>
  <si>
    <t>MI2101515101</t>
  </si>
  <si>
    <t>WI210140860</t>
  </si>
  <si>
    <t>MI2101515136</t>
  </si>
  <si>
    <t>WI210140866</t>
  </si>
  <si>
    <t>150030035889</t>
  </si>
  <si>
    <t>MI2101515290</t>
  </si>
  <si>
    <t>WI210140872</t>
  </si>
  <si>
    <t>150030032269</t>
  </si>
  <si>
    <t>MI2101515268</t>
  </si>
  <si>
    <t>WI210140887</t>
  </si>
  <si>
    <t>150030034480</t>
  </si>
  <si>
    <t>MI2101515257</t>
  </si>
  <si>
    <t>WI210140907</t>
  </si>
  <si>
    <t>150030036829</t>
  </si>
  <si>
    <t>MI2101515577</t>
  </si>
  <si>
    <t>WI21014095</t>
  </si>
  <si>
    <t>150030036144</t>
  </si>
  <si>
    <t>MI210146085</t>
  </si>
  <si>
    <t>WI210140996</t>
  </si>
  <si>
    <t>MI2101516901</t>
  </si>
  <si>
    <t>WI210141017</t>
  </si>
  <si>
    <t>MI2101517285</t>
  </si>
  <si>
    <t>WI210141043</t>
  </si>
  <si>
    <t>150030035201</t>
  </si>
  <si>
    <t>MI2101517861</t>
  </si>
  <si>
    <t>WI210141063</t>
  </si>
  <si>
    <t>113130001560</t>
  </si>
  <si>
    <t>MI2101505571</t>
  </si>
  <si>
    <t>WI210141070</t>
  </si>
  <si>
    <t>150030035124</t>
  </si>
  <si>
    <t>MI2101517975</t>
  </si>
  <si>
    <t>WI210141083</t>
  </si>
  <si>
    <t>MI2101517994</t>
  </si>
  <si>
    <t>WI210141089</t>
  </si>
  <si>
    <t>WI210141098</t>
  </si>
  <si>
    <t>MI2101518036</t>
  </si>
  <si>
    <t>WI210141099</t>
  </si>
  <si>
    <t>150030034231</t>
  </si>
  <si>
    <t>MI2101518135</t>
  </si>
  <si>
    <t>WI210141153</t>
  </si>
  <si>
    <t>113170002890</t>
  </si>
  <si>
    <t>MI2101502331</t>
  </si>
  <si>
    <t>WI210141189</t>
  </si>
  <si>
    <t>150030035421</t>
  </si>
  <si>
    <t>MI2101519214</t>
  </si>
  <si>
    <t>WI210141203</t>
  </si>
  <si>
    <t>150030033714</t>
  </si>
  <si>
    <t>MI2101519477</t>
  </si>
  <si>
    <t>WI210141204</t>
  </si>
  <si>
    <t>150030036772</t>
  </si>
  <si>
    <t>MI2101519358</t>
  </si>
  <si>
    <t>WI210141224</t>
  </si>
  <si>
    <t>150030036766</t>
  </si>
  <si>
    <t>MI2101519749</t>
  </si>
  <si>
    <t>WI210141262</t>
  </si>
  <si>
    <t>150030036668</t>
  </si>
  <si>
    <t>MI2101520037</t>
  </si>
  <si>
    <t>WI21014127</t>
  </si>
  <si>
    <t>150030035827</t>
  </si>
  <si>
    <t>MI210146687</t>
  </si>
  <si>
    <t>WI210141274</t>
  </si>
  <si>
    <t>MI2101520007</t>
  </si>
  <si>
    <t>WI210141347</t>
  </si>
  <si>
    <t>150030034817</t>
  </si>
  <si>
    <t>MI2101520979</t>
  </si>
  <si>
    <t>WI210141438</t>
  </si>
  <si>
    <t>MI2101522120</t>
  </si>
  <si>
    <t>WI210141493</t>
  </si>
  <si>
    <t>MI2101522608</t>
  </si>
  <si>
    <t>WI210141572</t>
  </si>
  <si>
    <t>150030036650</t>
  </si>
  <si>
    <t>MI2101523048</t>
  </si>
  <si>
    <t>WI210141631</t>
  </si>
  <si>
    <t>150030034581</t>
  </si>
  <si>
    <t>MI2101523748</t>
  </si>
  <si>
    <t>WI210141673</t>
  </si>
  <si>
    <t>150030036742</t>
  </si>
  <si>
    <t>MI2101524503</t>
  </si>
  <si>
    <t>WI210141684</t>
  </si>
  <si>
    <t>150030036852</t>
  </si>
  <si>
    <t>MI2101524489</t>
  </si>
  <si>
    <t>WI210141694</t>
  </si>
  <si>
    <t>MI2101524818</t>
  </si>
  <si>
    <t>WI210141703</t>
  </si>
  <si>
    <t>WI210141735</t>
  </si>
  <si>
    <t>WI210141754</t>
  </si>
  <si>
    <t>WI21014178</t>
  </si>
  <si>
    <t>MI210147280</t>
  </si>
  <si>
    <t>WI210141897</t>
  </si>
  <si>
    <t>150030033081</t>
  </si>
  <si>
    <t>MI2101527369</t>
  </si>
  <si>
    <t>WI210141898</t>
  </si>
  <si>
    <t>150030036879</t>
  </si>
  <si>
    <t>MI2101527229</t>
  </si>
  <si>
    <t>WI210141906</t>
  </si>
  <si>
    <t>MI2101527392</t>
  </si>
  <si>
    <t>WI210141909</t>
  </si>
  <si>
    <t>MI2101527511</t>
  </si>
  <si>
    <t>WI210141913</t>
  </si>
  <si>
    <t>MI2101527507</t>
  </si>
  <si>
    <t>WI210141914</t>
  </si>
  <si>
    <t>MI2101527510</t>
  </si>
  <si>
    <t>WI210141918</t>
  </si>
  <si>
    <t>MI2101527540</t>
  </si>
  <si>
    <t>WI210141919</t>
  </si>
  <si>
    <t>MI2101527592</t>
  </si>
  <si>
    <t>WI210141923</t>
  </si>
  <si>
    <t>MI2101527719</t>
  </si>
  <si>
    <t>WI210141930</t>
  </si>
  <si>
    <t>150030036616</t>
  </si>
  <si>
    <t>MI2101527820</t>
  </si>
  <si>
    <t>WI210141997</t>
  </si>
  <si>
    <t>150030036822</t>
  </si>
  <si>
    <t>MI2101528704</t>
  </si>
  <si>
    <t>WI210142047</t>
  </si>
  <si>
    <t>150030036051</t>
  </si>
  <si>
    <t>MI2101529486</t>
  </si>
  <si>
    <t>WI210142072</t>
  </si>
  <si>
    <t>150030035247</t>
  </si>
  <si>
    <t>MI2101529890</t>
  </si>
  <si>
    <t>WI210142085</t>
  </si>
  <si>
    <t>150030034344</t>
  </si>
  <si>
    <t>MI2101530190</t>
  </si>
  <si>
    <t>WI21014214</t>
  </si>
  <si>
    <t>WI210142155</t>
  </si>
  <si>
    <t>MI2101531188</t>
  </si>
  <si>
    <t>WI210142158</t>
  </si>
  <si>
    <t>WI210142180</t>
  </si>
  <si>
    <t>MI2101531535</t>
  </si>
  <si>
    <t>WI210142212</t>
  </si>
  <si>
    <t>150030036799</t>
  </si>
  <si>
    <t>MI2101531824</t>
  </si>
  <si>
    <t>WI210142218</t>
  </si>
  <si>
    <t>MI2101531888</t>
  </si>
  <si>
    <t>WI210142219</t>
  </si>
  <si>
    <t>MI2101531971</t>
  </si>
  <si>
    <t>WI210142224</t>
  </si>
  <si>
    <t>MI2101532013</t>
  </si>
  <si>
    <t>WI210142233</t>
  </si>
  <si>
    <t>MI2101532075</t>
  </si>
  <si>
    <t>WI210142237</t>
  </si>
  <si>
    <t>MI2101532093</t>
  </si>
  <si>
    <t>WI210142265</t>
  </si>
  <si>
    <t>MI2101532461</t>
  </si>
  <si>
    <t>WI210142304</t>
  </si>
  <si>
    <t>MI2101532972</t>
  </si>
  <si>
    <t>WI210142307</t>
  </si>
  <si>
    <t>MI2101532996</t>
  </si>
  <si>
    <t>WI210142313</t>
  </si>
  <si>
    <t>MI2101533121</t>
  </si>
  <si>
    <t>WI210142324</t>
  </si>
  <si>
    <t>MI2101533219</t>
  </si>
  <si>
    <t>WI210142329</t>
  </si>
  <si>
    <t>MI2101533185</t>
  </si>
  <si>
    <t>WI21014233</t>
  </si>
  <si>
    <t>150030034967</t>
  </si>
  <si>
    <t>MI210148248</t>
  </si>
  <si>
    <t>WI210142348</t>
  </si>
  <si>
    <t>MI2101533335</t>
  </si>
  <si>
    <t>WI210142349</t>
  </si>
  <si>
    <t>MI2101533434</t>
  </si>
  <si>
    <t>WI210142350</t>
  </si>
  <si>
    <t>MI2101533516</t>
  </si>
  <si>
    <t>WI210142353</t>
  </si>
  <si>
    <t>MI2101533510</t>
  </si>
  <si>
    <t>WI210142356</t>
  </si>
  <si>
    <t>MI2101533531</t>
  </si>
  <si>
    <t>WI210142372</t>
  </si>
  <si>
    <t>MI2101533771</t>
  </si>
  <si>
    <t>WI210142400</t>
  </si>
  <si>
    <t>MI2101534205</t>
  </si>
  <si>
    <t>WI210142412</t>
  </si>
  <si>
    <t>WI210142435</t>
  </si>
  <si>
    <t>WI210142458</t>
  </si>
  <si>
    <t>MI2101535135</t>
  </si>
  <si>
    <t>WI210142475</t>
  </si>
  <si>
    <t>WI21014249</t>
  </si>
  <si>
    <t>WI21014256</t>
  </si>
  <si>
    <t>WI210142667</t>
  </si>
  <si>
    <t>MI2101537137</t>
  </si>
  <si>
    <t>WI210142673</t>
  </si>
  <si>
    <t>MI2101537281</t>
  </si>
  <si>
    <t>WI210142700</t>
  </si>
  <si>
    <t>MI2101537599</t>
  </si>
  <si>
    <t>WI210142709</t>
  </si>
  <si>
    <t>MI2101537954</t>
  </si>
  <si>
    <t>WI210142710</t>
  </si>
  <si>
    <t>MI2101537984</t>
  </si>
  <si>
    <t>WI210142806</t>
  </si>
  <si>
    <t>MI2101539457</t>
  </si>
  <si>
    <t>WI210142813</t>
  </si>
  <si>
    <t>150030035486</t>
  </si>
  <si>
    <t>MI2101539725</t>
  </si>
  <si>
    <t>WI210142919</t>
  </si>
  <si>
    <t>WI210142949</t>
  </si>
  <si>
    <t>150030033707</t>
  </si>
  <si>
    <t>MI2101541338</t>
  </si>
  <si>
    <t>WI210143031</t>
  </si>
  <si>
    <t>MI2101542421</t>
  </si>
  <si>
    <t>WI210143039</t>
  </si>
  <si>
    <t>WI21014306</t>
  </si>
  <si>
    <t>MI210149065</t>
  </si>
  <si>
    <t>WI21014308</t>
  </si>
  <si>
    <t>MI210149015</t>
  </si>
  <si>
    <t>WI21014316</t>
  </si>
  <si>
    <t>MI210149124</t>
  </si>
  <si>
    <t>WI210143225</t>
  </si>
  <si>
    <t>MI2101545214</t>
  </si>
  <si>
    <t>WI21014324</t>
  </si>
  <si>
    <t>MI210149210</t>
  </si>
  <si>
    <t>WI210143315</t>
  </si>
  <si>
    <t>MI2101546795</t>
  </si>
  <si>
    <t>WI210143323</t>
  </si>
  <si>
    <t>150030033640</t>
  </si>
  <si>
    <t>MI2101435720</t>
  </si>
  <si>
    <t>WI21014336</t>
  </si>
  <si>
    <t>MI210149479</t>
  </si>
  <si>
    <t>WI21014340</t>
  </si>
  <si>
    <t>MI210149562</t>
  </si>
  <si>
    <t>WI21014341</t>
  </si>
  <si>
    <t>MI210149637</t>
  </si>
  <si>
    <t>WI210143423</t>
  </si>
  <si>
    <t>150030035315</t>
  </si>
  <si>
    <t>MI2101548423</t>
  </si>
  <si>
    <t>WI21014346</t>
  </si>
  <si>
    <t>WI21014350</t>
  </si>
  <si>
    <t>MI210149753</t>
  </si>
  <si>
    <t>WI21014352</t>
  </si>
  <si>
    <t>MI210149963</t>
  </si>
  <si>
    <t>WI210143710</t>
  </si>
  <si>
    <t>MI2101551747</t>
  </si>
  <si>
    <t>WI210143778</t>
  </si>
  <si>
    <t>MI2101551884</t>
  </si>
  <si>
    <t>WI210143948</t>
  </si>
  <si>
    <t>MI2101553969</t>
  </si>
  <si>
    <t>WI21014398</t>
  </si>
  <si>
    <t>MI210150438</t>
  </si>
  <si>
    <t>WI21014403</t>
  </si>
  <si>
    <t>MI210150546</t>
  </si>
  <si>
    <t>WI210144172</t>
  </si>
  <si>
    <t>150030035476</t>
  </si>
  <si>
    <t>MI2101556765</t>
  </si>
  <si>
    <t>WI210144248</t>
  </si>
  <si>
    <t>WI210144249</t>
  </si>
  <si>
    <t>WI210144252</t>
  </si>
  <si>
    <t>WI210144253</t>
  </si>
  <si>
    <t>MI2101558172</t>
  </si>
  <si>
    <t>WI210144276</t>
  </si>
  <si>
    <t>WI21014428</t>
  </si>
  <si>
    <t>150030036046</t>
  </si>
  <si>
    <t>MI210150782</t>
  </si>
  <si>
    <t>WI210144280</t>
  </si>
  <si>
    <t>150030035988</t>
  </si>
  <si>
    <t>MI2101558510</t>
  </si>
  <si>
    <t>WI210144281</t>
  </si>
  <si>
    <t>MI2101558512</t>
  </si>
  <si>
    <t>WI210144282</t>
  </si>
  <si>
    <t>MI2101558528</t>
  </si>
  <si>
    <t>WI210144286</t>
  </si>
  <si>
    <t>150030033365</t>
  </si>
  <si>
    <t>MI2101558758</t>
  </si>
  <si>
    <t>WI210144287</t>
  </si>
  <si>
    <t>MI2101558769</t>
  </si>
  <si>
    <t>WI210144290</t>
  </si>
  <si>
    <t>MI2101558778</t>
  </si>
  <si>
    <t>WI210144291</t>
  </si>
  <si>
    <t>MI2101558783</t>
  </si>
  <si>
    <t>WI210144292</t>
  </si>
  <si>
    <t>MI2101558800</t>
  </si>
  <si>
    <t>WI210144295</t>
  </si>
  <si>
    <t>150030036791</t>
  </si>
  <si>
    <t>MI2101558868</t>
  </si>
  <si>
    <t>WI210144344</t>
  </si>
  <si>
    <t>MI2101559488</t>
  </si>
  <si>
    <t>WI210144353</t>
  </si>
  <si>
    <t>MI2101559603</t>
  </si>
  <si>
    <t>WI210144358</t>
  </si>
  <si>
    <t>MI2101559639</t>
  </si>
  <si>
    <t>WI210144359</t>
  </si>
  <si>
    <t>MI2101559698</t>
  </si>
  <si>
    <t>WI210144364</t>
  </si>
  <si>
    <t>MI2101559769</t>
  </si>
  <si>
    <t>WI210144369</t>
  </si>
  <si>
    <t>150030034990</t>
  </si>
  <si>
    <t>MI2101559836</t>
  </si>
  <si>
    <t>WI210144370</t>
  </si>
  <si>
    <t>MI2101559855</t>
  </si>
  <si>
    <t>WI210144379</t>
  </si>
  <si>
    <t>150030036275</t>
  </si>
  <si>
    <t>MI2101560036</t>
  </si>
  <si>
    <t>WI210144381</t>
  </si>
  <si>
    <t>WI210144397</t>
  </si>
  <si>
    <t>MI2101560436</t>
  </si>
  <si>
    <t>WI210144401</t>
  </si>
  <si>
    <t>MI2101560489</t>
  </si>
  <si>
    <t>WI210144406</t>
  </si>
  <si>
    <t>150030034062</t>
  </si>
  <si>
    <t>MI2101560549</t>
  </si>
  <si>
    <t>WI210144407</t>
  </si>
  <si>
    <t>MI2101560608</t>
  </si>
  <si>
    <t>WI210144409</t>
  </si>
  <si>
    <t>MI2101560709</t>
  </si>
  <si>
    <t>WI210144415</t>
  </si>
  <si>
    <t>MI2101560811</t>
  </si>
  <si>
    <t>WI210144421</t>
  </si>
  <si>
    <t>MI2101560570</t>
  </si>
  <si>
    <t>WI210144424</t>
  </si>
  <si>
    <t>MI2101560945</t>
  </si>
  <si>
    <t>WI210144427</t>
  </si>
  <si>
    <t>150030034760</t>
  </si>
  <si>
    <t>MI2101560881</t>
  </si>
  <si>
    <t>WI210144432</t>
  </si>
  <si>
    <t>150030034778</t>
  </si>
  <si>
    <t>MI2101561094</t>
  </si>
  <si>
    <t>WI210144444</t>
  </si>
  <si>
    <t>WI210144445</t>
  </si>
  <si>
    <t>MI2101561137</t>
  </si>
  <si>
    <t>WI210144448</t>
  </si>
  <si>
    <t>MI2101561223</t>
  </si>
  <si>
    <t>WI210144453</t>
  </si>
  <si>
    <t>150030036769</t>
  </si>
  <si>
    <t>MI2101561222</t>
  </si>
  <si>
    <t>WI210144458</t>
  </si>
  <si>
    <t>MI2101561428</t>
  </si>
  <si>
    <t>WI210144461</t>
  </si>
  <si>
    <t>WI210144462</t>
  </si>
  <si>
    <t>MI2101561464</t>
  </si>
  <si>
    <t>WI210144463</t>
  </si>
  <si>
    <t>WI210144467</t>
  </si>
  <si>
    <t>MI2101561520</t>
  </si>
  <si>
    <t>WI210144473</t>
  </si>
  <si>
    <t>WI210144478</t>
  </si>
  <si>
    <t>150030033921</t>
  </si>
  <si>
    <t>MI2101561775</t>
  </si>
  <si>
    <t>WI210144503</t>
  </si>
  <si>
    <t>MI2101561967</t>
  </si>
  <si>
    <t>WI210144509</t>
  </si>
  <si>
    <t>MI2101561988</t>
  </si>
  <si>
    <t>WI210144517</t>
  </si>
  <si>
    <t>150030034587</t>
  </si>
  <si>
    <t>MI2101562090</t>
  </si>
  <si>
    <t>WI210144537</t>
  </si>
  <si>
    <t>WI210144553</t>
  </si>
  <si>
    <t>WI210144566</t>
  </si>
  <si>
    <t>MI2101562773</t>
  </si>
  <si>
    <t>WI210144589</t>
  </si>
  <si>
    <t>150030034948</t>
  </si>
  <si>
    <t>MI2101563115</t>
  </si>
  <si>
    <t>WI210144598</t>
  </si>
  <si>
    <t>150030036533</t>
  </si>
  <si>
    <t>MI2101563308</t>
  </si>
  <si>
    <t>WI210144612</t>
  </si>
  <si>
    <t>150030036780</t>
  </si>
  <si>
    <t>MI2101563576</t>
  </si>
  <si>
    <t>WI210144615</t>
  </si>
  <si>
    <t>150030036935</t>
  </si>
  <si>
    <t>MI2101563570</t>
  </si>
  <si>
    <t>WI210144639</t>
  </si>
  <si>
    <t>150030035307</t>
  </si>
  <si>
    <t>MI2101564182</t>
  </si>
  <si>
    <t>WI210144688</t>
  </si>
  <si>
    <t>WI210144708</t>
  </si>
  <si>
    <t>150030036910</t>
  </si>
  <si>
    <t>MI2101564993</t>
  </si>
  <si>
    <t>WI210144713</t>
  </si>
  <si>
    <t>MI2101565096</t>
  </si>
  <si>
    <t>WI210144716</t>
  </si>
  <si>
    <t>MI2101565132</t>
  </si>
  <si>
    <t>WI210144738</t>
  </si>
  <si>
    <t>150030034774</t>
  </si>
  <si>
    <t>MI2101565386</t>
  </si>
  <si>
    <t>WI210144758</t>
  </si>
  <si>
    <t>150030034921</t>
  </si>
  <si>
    <t>MI2101564794</t>
  </si>
  <si>
    <t>WI210144819</t>
  </si>
  <si>
    <t>112300000805</t>
  </si>
  <si>
    <t>MI2101566512</t>
  </si>
  <si>
    <t>WI210144827</t>
  </si>
  <si>
    <t>150030034375</t>
  </si>
  <si>
    <t>MI2101566604</t>
  </si>
  <si>
    <t>WI210144833</t>
  </si>
  <si>
    <t>WI210144902</t>
  </si>
  <si>
    <t>150030036630</t>
  </si>
  <si>
    <t>MI2101567441</t>
  </si>
  <si>
    <t>WI210144903</t>
  </si>
  <si>
    <t>150030036849</t>
  </si>
  <si>
    <t>MI2101567447</t>
  </si>
  <si>
    <t>WI210144942</t>
  </si>
  <si>
    <t>150030036401</t>
  </si>
  <si>
    <t>MI2101568032</t>
  </si>
  <si>
    <t>WI210144943</t>
  </si>
  <si>
    <t>150030036635</t>
  </si>
  <si>
    <t>MI2101568097</t>
  </si>
  <si>
    <t>WI210144946</t>
  </si>
  <si>
    <t>MI2101568212</t>
  </si>
  <si>
    <t>WI21014495</t>
  </si>
  <si>
    <t>MI210151776</t>
  </si>
  <si>
    <t>WI210144957</t>
  </si>
  <si>
    <t>150030033984</t>
  </si>
  <si>
    <t>MI2101568359</t>
  </si>
  <si>
    <t>WI210144959</t>
  </si>
  <si>
    <t>MI2101568273</t>
  </si>
  <si>
    <t>WI210144999</t>
  </si>
  <si>
    <t>150030036411</t>
  </si>
  <si>
    <t>MI2101568972</t>
  </si>
  <si>
    <t>WI21014502</t>
  </si>
  <si>
    <t>MI210151855</t>
  </si>
  <si>
    <t>WI210145043</t>
  </si>
  <si>
    <t>MI2101569759</t>
  </si>
  <si>
    <t>WI210145067</t>
  </si>
  <si>
    <t>150030036961</t>
  </si>
  <si>
    <t>MI2101569937</t>
  </si>
  <si>
    <t>WI210145107</t>
  </si>
  <si>
    <t>150030036931</t>
  </si>
  <si>
    <t>MI2101570634</t>
  </si>
  <si>
    <t>WI210145126</t>
  </si>
  <si>
    <t>WI21014514</t>
  </si>
  <si>
    <t>MI210151923</t>
  </si>
  <si>
    <t>WI210145155</t>
  </si>
  <si>
    <t>150030036636</t>
  </si>
  <si>
    <t>MI2101571141</t>
  </si>
  <si>
    <t>WI210145162</t>
  </si>
  <si>
    <t>150030036082</t>
  </si>
  <si>
    <t>MI2101571213</t>
  </si>
  <si>
    <t>WI210145165</t>
  </si>
  <si>
    <t>MI2101571250</t>
  </si>
  <si>
    <t>WI210145170</t>
  </si>
  <si>
    <t>150030036951</t>
  </si>
  <si>
    <t>MI2101571204</t>
  </si>
  <si>
    <t>WI210145192</t>
  </si>
  <si>
    <t>MI2101571482</t>
  </si>
  <si>
    <t>WI210145250</t>
  </si>
  <si>
    <t>MI2101572052</t>
  </si>
  <si>
    <t>WI210145381</t>
  </si>
  <si>
    <t>MI2101572958</t>
  </si>
  <si>
    <t>WI210145433</t>
  </si>
  <si>
    <t>150030036176</t>
  </si>
  <si>
    <t>MI2101573486</t>
  </si>
  <si>
    <t>WI210145463</t>
  </si>
  <si>
    <t>MI2101573786</t>
  </si>
  <si>
    <t>WI210145570</t>
  </si>
  <si>
    <t>150030036894</t>
  </si>
  <si>
    <t>MI2101574723</t>
  </si>
  <si>
    <t>WI210145571</t>
  </si>
  <si>
    <t>150030036833</t>
  </si>
  <si>
    <t>MI2101574867</t>
  </si>
  <si>
    <t>WI210145613</t>
  </si>
  <si>
    <t>MI2101575197</t>
  </si>
  <si>
    <t>WI210145698</t>
  </si>
  <si>
    <t>150100001250</t>
  </si>
  <si>
    <t>MI2101576072</t>
  </si>
  <si>
    <t>WI210145708</t>
  </si>
  <si>
    <t>MI2101576271</t>
  </si>
  <si>
    <t>WI210145728</t>
  </si>
  <si>
    <t>WI210145811</t>
  </si>
  <si>
    <t>MI2101577051</t>
  </si>
  <si>
    <t>WI21014583</t>
  </si>
  <si>
    <t>MI210152837</t>
  </si>
  <si>
    <t>WI21014585</t>
  </si>
  <si>
    <t>WI21014587</t>
  </si>
  <si>
    <t>MI210152930</t>
  </si>
  <si>
    <t>WI210145904</t>
  </si>
  <si>
    <t>MI2101578810</t>
  </si>
  <si>
    <t>WI210145914</t>
  </si>
  <si>
    <t>MI2101579037</t>
  </si>
  <si>
    <t>WI210145940</t>
  </si>
  <si>
    <t>MI2101579383</t>
  </si>
  <si>
    <t>WI210146007</t>
  </si>
  <si>
    <t>MI2101579570</t>
  </si>
  <si>
    <t>WI21014603</t>
  </si>
  <si>
    <t>MI210153318</t>
  </si>
  <si>
    <t>WI210146055</t>
  </si>
  <si>
    <t>150030036900</t>
  </si>
  <si>
    <t>MI2101580265</t>
  </si>
  <si>
    <t>WI210146185</t>
  </si>
  <si>
    <t>WI210146211</t>
  </si>
  <si>
    <t>150030036278</t>
  </si>
  <si>
    <t>MI2101581729</t>
  </si>
  <si>
    <t>WI21014622</t>
  </si>
  <si>
    <t>WI210146271</t>
  </si>
  <si>
    <t>MI2101582813</t>
  </si>
  <si>
    <t>WI210146279</t>
  </si>
  <si>
    <t>MI2101582984</t>
  </si>
  <si>
    <t>WI210146333</t>
  </si>
  <si>
    <t>MI2101583335</t>
  </si>
  <si>
    <t>WI210146354</t>
  </si>
  <si>
    <t>MI2101583431</t>
  </si>
  <si>
    <t>WI210146421</t>
  </si>
  <si>
    <t>150030036930</t>
  </si>
  <si>
    <t>MI2101584012</t>
  </si>
  <si>
    <t>WI21014643</t>
  </si>
  <si>
    <t>150030035967</t>
  </si>
  <si>
    <t>MI210153674</t>
  </si>
  <si>
    <t>WI210146522</t>
  </si>
  <si>
    <t>MI2101585753</t>
  </si>
  <si>
    <t>WI210146552</t>
  </si>
  <si>
    <t>150030032609</t>
  </si>
  <si>
    <t>MI2101586080</t>
  </si>
  <si>
    <t>WI210146559</t>
  </si>
  <si>
    <t>MI2101586145</t>
  </si>
  <si>
    <t>WI210146591</t>
  </si>
  <si>
    <t>MI2101586491</t>
  </si>
  <si>
    <t>WI21014661</t>
  </si>
  <si>
    <t>MI210153973</t>
  </si>
  <si>
    <t>WI21014664</t>
  </si>
  <si>
    <t>150030035829</t>
  </si>
  <si>
    <t>MI210153995</t>
  </si>
  <si>
    <t>WI210146654</t>
  </si>
  <si>
    <t>150030034198</t>
  </si>
  <si>
    <t>MI2101587259</t>
  </si>
  <si>
    <t>WI210146741</t>
  </si>
  <si>
    <t>MI2101587955</t>
  </si>
  <si>
    <t>WI210146795</t>
  </si>
  <si>
    <t>MI2101588466</t>
  </si>
  <si>
    <t>WI210146797</t>
  </si>
  <si>
    <t>MI2101588558</t>
  </si>
  <si>
    <t>WI210146799</t>
  </si>
  <si>
    <t>MI2101588648</t>
  </si>
  <si>
    <t>WI210146800</t>
  </si>
  <si>
    <t>MI2101588759</t>
  </si>
  <si>
    <t>WI210146840</t>
  </si>
  <si>
    <t>MI2101589447</t>
  </si>
  <si>
    <t>WI210147045</t>
  </si>
  <si>
    <t>MI2101592555</t>
  </si>
  <si>
    <t>WI210147111</t>
  </si>
  <si>
    <t>150030035040</t>
  </si>
  <si>
    <t>MI2101593336</t>
  </si>
  <si>
    <t>WI210147122</t>
  </si>
  <si>
    <t>MI2101593541</t>
  </si>
  <si>
    <t>WI210147144</t>
  </si>
  <si>
    <t>MI2101593632</t>
  </si>
  <si>
    <t>WI210147147</t>
  </si>
  <si>
    <t>MI2101593613</t>
  </si>
  <si>
    <t>WI210147156</t>
  </si>
  <si>
    <t>MI2101593648</t>
  </si>
  <si>
    <t>WI21014720</t>
  </si>
  <si>
    <t>WI21014725</t>
  </si>
  <si>
    <t>MI210154807</t>
  </si>
  <si>
    <t>WI210147267</t>
  </si>
  <si>
    <t>150030036892</t>
  </si>
  <si>
    <t>MI2101594874</t>
  </si>
  <si>
    <t>WI210147318</t>
  </si>
  <si>
    <t>MI2101595402</t>
  </si>
  <si>
    <t>WI210147325</t>
  </si>
  <si>
    <t>MI2101595472</t>
  </si>
  <si>
    <t>WI210147337</t>
  </si>
  <si>
    <t>MI2101595536</t>
  </si>
  <si>
    <t>WI210147357</t>
  </si>
  <si>
    <t>150030034789</t>
  </si>
  <si>
    <t>MI2101595637</t>
  </si>
  <si>
    <t>WI210147375</t>
  </si>
  <si>
    <t>MI2101595650</t>
  </si>
  <si>
    <t>WI210147377</t>
  </si>
  <si>
    <t>MI2101595682</t>
  </si>
  <si>
    <t>WI210147392</t>
  </si>
  <si>
    <t>WI210147393</t>
  </si>
  <si>
    <t>WI210147481</t>
  </si>
  <si>
    <t>150030036899</t>
  </si>
  <si>
    <t>MI2101597127</t>
  </si>
  <si>
    <t>WI21014752</t>
  </si>
  <si>
    <t>150030036124</t>
  </si>
  <si>
    <t>MI210155147</t>
  </si>
  <si>
    <t>WI210147604</t>
  </si>
  <si>
    <t>150030036803</t>
  </si>
  <si>
    <t>MI2101599030</t>
  </si>
  <si>
    <t>WI210147631</t>
  </si>
  <si>
    <t>150030036944</t>
  </si>
  <si>
    <t>MI2101599257</t>
  </si>
  <si>
    <t>WI210147656</t>
  </si>
  <si>
    <t>MI2101599771</t>
  </si>
  <si>
    <t>WI210147662</t>
  </si>
  <si>
    <t>150030034529</t>
  </si>
  <si>
    <t>MI2101599839</t>
  </si>
  <si>
    <t>WI21014768</t>
  </si>
  <si>
    <t>MI210155455</t>
  </si>
  <si>
    <t>WI210147821</t>
  </si>
  <si>
    <t>MI2101601766</t>
  </si>
  <si>
    <t>WI210147945</t>
  </si>
  <si>
    <t>MI2101603324</t>
  </si>
  <si>
    <t>WI210148009</t>
  </si>
  <si>
    <t>MI2101604850</t>
  </si>
  <si>
    <t>WI210148011</t>
  </si>
  <si>
    <t>MI2101604852</t>
  </si>
  <si>
    <t>WI21014809</t>
  </si>
  <si>
    <t>MI210156055</t>
  </si>
  <si>
    <t>WI210148147</t>
  </si>
  <si>
    <t>150030035754</t>
  </si>
  <si>
    <t>MI2101606746</t>
  </si>
  <si>
    <t>WI210148152</t>
  </si>
  <si>
    <t>MI2101606876</t>
  </si>
  <si>
    <t>WI21014816</t>
  </si>
  <si>
    <t>MI210156209</t>
  </si>
  <si>
    <t>WI210148207</t>
  </si>
  <si>
    <t>MI2101607779</t>
  </si>
  <si>
    <t>WI210148214</t>
  </si>
  <si>
    <t>MI2101607959</t>
  </si>
  <si>
    <t>WI210148773</t>
  </si>
  <si>
    <t>150030035403</t>
  </si>
  <si>
    <t>MI2101616312</t>
  </si>
  <si>
    <t>WI21014881</t>
  </si>
  <si>
    <t>MI210157091</t>
  </si>
  <si>
    <t>WI21014888</t>
  </si>
  <si>
    <t>MI210157162</t>
  </si>
  <si>
    <t>WI21014898</t>
  </si>
  <si>
    <t>WI21014906</t>
  </si>
  <si>
    <t>WI210149112</t>
  </si>
  <si>
    <t>150030034187</t>
  </si>
  <si>
    <t>MI2101620978</t>
  </si>
  <si>
    <t>WI210149134</t>
  </si>
  <si>
    <t>MI2101621170</t>
  </si>
  <si>
    <t>WI210149205</t>
  </si>
  <si>
    <t>150030035505</t>
  </si>
  <si>
    <t>MI2101621878</t>
  </si>
  <si>
    <t>WI210149209</t>
  </si>
  <si>
    <t>MI2101621976</t>
  </si>
  <si>
    <t>WI210149346</t>
  </si>
  <si>
    <t>MI2101623233</t>
  </si>
  <si>
    <t>WI210149404</t>
  </si>
  <si>
    <t>WI210149405</t>
  </si>
  <si>
    <t>WI210149406</t>
  </si>
  <si>
    <t>WI210149407</t>
  </si>
  <si>
    <t>WI210149416</t>
  </si>
  <si>
    <t>150030036256</t>
  </si>
  <si>
    <t>MI2101624339</t>
  </si>
  <si>
    <t>WI210149423</t>
  </si>
  <si>
    <t>MI2101624503</t>
  </si>
  <si>
    <t>WI210149424</t>
  </si>
  <si>
    <t>MI2101624552</t>
  </si>
  <si>
    <t>WI210149432</t>
  </si>
  <si>
    <t>150030034823</t>
  </si>
  <si>
    <t>MI2101624816</t>
  </si>
  <si>
    <t>WI210149437</t>
  </si>
  <si>
    <t>150030033896</t>
  </si>
  <si>
    <t>MI2101624945</t>
  </si>
  <si>
    <t>WI210149438</t>
  </si>
  <si>
    <t>MI2101624953</t>
  </si>
  <si>
    <t>WI21014944</t>
  </si>
  <si>
    <t>MI210158262</t>
  </si>
  <si>
    <t>WI210149445</t>
  </si>
  <si>
    <t>150030035045</t>
  </si>
  <si>
    <t>MI2101625039</t>
  </si>
  <si>
    <t>WI210149451</t>
  </si>
  <si>
    <t>MI2101625300</t>
  </si>
  <si>
    <t>WI210149452</t>
  </si>
  <si>
    <t>150030036054</t>
  </si>
  <si>
    <t>MI2101625312</t>
  </si>
  <si>
    <t>WI210149453</t>
  </si>
  <si>
    <t>MI2101625318</t>
  </si>
  <si>
    <t>WI210149465</t>
  </si>
  <si>
    <t>MI2101625731</t>
  </si>
  <si>
    <t>WI210149471</t>
  </si>
  <si>
    <t>150030035519</t>
  </si>
  <si>
    <t>MI2101625840</t>
  </si>
  <si>
    <t>WI210149474</t>
  </si>
  <si>
    <t>WI210149477</t>
  </si>
  <si>
    <t>150030036840</t>
  </si>
  <si>
    <t>MI2101625924</t>
  </si>
  <si>
    <t>WI210149478</t>
  </si>
  <si>
    <t>150100001293</t>
  </si>
  <si>
    <t>MI2101626024</t>
  </si>
  <si>
    <t>WI210149481</t>
  </si>
  <si>
    <t>MI2101626141</t>
  </si>
  <si>
    <t>WI210149495</t>
  </si>
  <si>
    <t>150030034590</t>
  </si>
  <si>
    <t>MI2101626361</t>
  </si>
  <si>
    <t>WI210149503</t>
  </si>
  <si>
    <t>WI210149525</t>
  </si>
  <si>
    <t>150030037010</t>
  </si>
  <si>
    <t>MI2101626791</t>
  </si>
  <si>
    <t>WI210149537</t>
  </si>
  <si>
    <t>MI2101626965</t>
  </si>
  <si>
    <t>WI210149538</t>
  </si>
  <si>
    <t>MI2101626998</t>
  </si>
  <si>
    <t>WI210149540</t>
  </si>
  <si>
    <t>MI2101627034</t>
  </si>
  <si>
    <t>WI210149541</t>
  </si>
  <si>
    <t>MI2101627021</t>
  </si>
  <si>
    <t>WI210149542</t>
  </si>
  <si>
    <t>MI2101627130</t>
  </si>
  <si>
    <t>WI210149554</t>
  </si>
  <si>
    <t>WI210149556</t>
  </si>
  <si>
    <t>WI210149559</t>
  </si>
  <si>
    <t>150030035064</t>
  </si>
  <si>
    <t>MI2101627279</t>
  </si>
  <si>
    <t>WI210149567</t>
  </si>
  <si>
    <t>150080000751</t>
  </si>
  <si>
    <t>MI2101627357</t>
  </si>
  <si>
    <t>WI210149577</t>
  </si>
  <si>
    <t>150030035578</t>
  </si>
  <si>
    <t>MI2101627832</t>
  </si>
  <si>
    <t>WI210149578</t>
  </si>
  <si>
    <t>MI2101627861</t>
  </si>
  <si>
    <t>WI210149582</t>
  </si>
  <si>
    <t>MI2101627955</t>
  </si>
  <si>
    <t>WI210149585</t>
  </si>
  <si>
    <t>MI2101627985</t>
  </si>
  <si>
    <t>WI210149588</t>
  </si>
  <si>
    <t>MI2101628022</t>
  </si>
  <si>
    <t>WI210149590</t>
  </si>
  <si>
    <t>MI2101628050</t>
  </si>
  <si>
    <t>WI210149593</t>
  </si>
  <si>
    <t>MI2101628081</t>
  </si>
  <si>
    <t>WI210149621</t>
  </si>
  <si>
    <t>150030032758</t>
  </si>
  <si>
    <t>MI2101628514</t>
  </si>
  <si>
    <t>WI210149626</t>
  </si>
  <si>
    <t>MI2101628696</t>
  </si>
  <si>
    <t>WI210149655</t>
  </si>
  <si>
    <t>WI210149673</t>
  </si>
  <si>
    <t>MI2101629179</t>
  </si>
  <si>
    <t>WI210149675</t>
  </si>
  <si>
    <t>150030036624</t>
  </si>
  <si>
    <t>MI2101629260</t>
  </si>
  <si>
    <t>WI210149677</t>
  </si>
  <si>
    <t>MI2101629219</t>
  </si>
  <si>
    <t>WI210149685</t>
  </si>
  <si>
    <t>150030036700</t>
  </si>
  <si>
    <t>MI2101629542</t>
  </si>
  <si>
    <t>WI210149703</t>
  </si>
  <si>
    <t>150030036741</t>
  </si>
  <si>
    <t>MI2101629781</t>
  </si>
  <si>
    <t>WI210149721</t>
  </si>
  <si>
    <t>150030036722</t>
  </si>
  <si>
    <t>MI2101630099</t>
  </si>
  <si>
    <t>WI210149730</t>
  </si>
  <si>
    <t>MI2101630477</t>
  </si>
  <si>
    <t>WI210149734</t>
  </si>
  <si>
    <t>150030034654</t>
  </si>
  <si>
    <t>MI2101630568</t>
  </si>
  <si>
    <t>WI210149744</t>
  </si>
  <si>
    <t>150030035180</t>
  </si>
  <si>
    <t>MI2101630674</t>
  </si>
  <si>
    <t>WI210149748</t>
  </si>
  <si>
    <t>WI210149757</t>
  </si>
  <si>
    <t>WI210149853</t>
  </si>
  <si>
    <t>150030035391</t>
  </si>
  <si>
    <t>MI2101632025</t>
  </si>
  <si>
    <t>WI210149938</t>
  </si>
  <si>
    <t>115750002164</t>
  </si>
  <si>
    <t>MI2101575289</t>
  </si>
  <si>
    <t>WI210149976</t>
  </si>
  <si>
    <t>MI2101633181</t>
  </si>
  <si>
    <t>WI210149977</t>
  </si>
  <si>
    <t>MI2101633294</t>
  </si>
  <si>
    <t>WI210149990</t>
  </si>
  <si>
    <t>150030036532</t>
  </si>
  <si>
    <t>MI2101633428</t>
  </si>
  <si>
    <t>WI210149995</t>
  </si>
  <si>
    <t>MI2101633586</t>
  </si>
  <si>
    <t>WI210150019</t>
  </si>
  <si>
    <t>MI2101633897</t>
  </si>
  <si>
    <t>WI210150064</t>
  </si>
  <si>
    <t>MI2101634277</t>
  </si>
  <si>
    <t>WI210150067</t>
  </si>
  <si>
    <t>150030033793</t>
  </si>
  <si>
    <t>MI2101634318</t>
  </si>
  <si>
    <t>WI210150073</t>
  </si>
  <si>
    <t>MI2101634311</t>
  </si>
  <si>
    <t>WI210150078</t>
  </si>
  <si>
    <t>150030036737</t>
  </si>
  <si>
    <t>MI2101634431</t>
  </si>
  <si>
    <t>WI210150109</t>
  </si>
  <si>
    <t>WI210150163</t>
  </si>
  <si>
    <t>MI2101635782</t>
  </si>
  <si>
    <t>WI21015020</t>
  </si>
  <si>
    <t>150030036056</t>
  </si>
  <si>
    <t>MI210159583</t>
  </si>
  <si>
    <t>WI210150234</t>
  </si>
  <si>
    <t>150030036659</t>
  </si>
  <si>
    <t>MI2101636977</t>
  </si>
  <si>
    <t>WI210150268</t>
  </si>
  <si>
    <t>150030037062</t>
  </si>
  <si>
    <t>MI2101637078</t>
  </si>
  <si>
    <t>WI210150316</t>
  </si>
  <si>
    <t>150030036870</t>
  </si>
  <si>
    <t>MI2101637776</t>
  </si>
  <si>
    <t>WI210150363</t>
  </si>
  <si>
    <t>150030037034</t>
  </si>
  <si>
    <t>MI2101638564</t>
  </si>
  <si>
    <t>WI210150381</t>
  </si>
  <si>
    <t>112300000842</t>
  </si>
  <si>
    <t>MI2101638581</t>
  </si>
  <si>
    <t>WI210150383</t>
  </si>
  <si>
    <t>MI2101638702</t>
  </si>
  <si>
    <t>WI210150388</t>
  </si>
  <si>
    <t>150030036950</t>
  </si>
  <si>
    <t>MI2101638687</t>
  </si>
  <si>
    <t>WI210150416</t>
  </si>
  <si>
    <t>WI210150422</t>
  </si>
  <si>
    <t>150030036903</t>
  </si>
  <si>
    <t>MI2101639508</t>
  </si>
  <si>
    <t>WI210150425</t>
  </si>
  <si>
    <t>150030036954</t>
  </si>
  <si>
    <t>MI2101639570</t>
  </si>
  <si>
    <t>WI210150510</t>
  </si>
  <si>
    <t>150030037050</t>
  </si>
  <si>
    <t>MI2101641028</t>
  </si>
  <si>
    <t>WI210150515</t>
  </si>
  <si>
    <t>WI210150548</t>
  </si>
  <si>
    <t>150030037032</t>
  </si>
  <si>
    <t>MI2101641768</t>
  </si>
  <si>
    <t>WI210150614</t>
  </si>
  <si>
    <t>MI2101642543</t>
  </si>
  <si>
    <t>WI210150638</t>
  </si>
  <si>
    <t>MI2101642785</t>
  </si>
  <si>
    <t>WI210150713</t>
  </si>
  <si>
    <t>150030037078</t>
  </si>
  <si>
    <t>MI2101643482</t>
  </si>
  <si>
    <t>WI210150828</t>
  </si>
  <si>
    <t>150030037035</t>
  </si>
  <si>
    <t>MI2101644988</t>
  </si>
  <si>
    <t>WI210150861</t>
  </si>
  <si>
    <t>150030036924</t>
  </si>
  <si>
    <t>MI2101645903</t>
  </si>
  <si>
    <t>WI210150882</t>
  </si>
  <si>
    <t>150030036887</t>
  </si>
  <si>
    <t>MI2101646300</t>
  </si>
  <si>
    <t>WI210150902</t>
  </si>
  <si>
    <t>WI210150942</t>
  </si>
  <si>
    <t>MI2101646950</t>
  </si>
  <si>
    <t>WI210150950</t>
  </si>
  <si>
    <t>150030036623</t>
  </si>
  <si>
    <t>MI2101647015</t>
  </si>
  <si>
    <t>WI210150963</t>
  </si>
  <si>
    <t>150100001295</t>
  </si>
  <si>
    <t>MI2101647139</t>
  </si>
  <si>
    <t>WI210150964</t>
  </si>
  <si>
    <t>150030037020</t>
  </si>
  <si>
    <t>MI2101647156</t>
  </si>
  <si>
    <t>WI210150991</t>
  </si>
  <si>
    <t>MI2101647599</t>
  </si>
  <si>
    <t>WI210151007</t>
  </si>
  <si>
    <t>WI210151025</t>
  </si>
  <si>
    <t>150030033903</t>
  </si>
  <si>
    <t>MI2101647984</t>
  </si>
  <si>
    <t>WI210151026</t>
  </si>
  <si>
    <t>MI2101648021</t>
  </si>
  <si>
    <t>WI210151035</t>
  </si>
  <si>
    <t>150030034859</t>
  </si>
  <si>
    <t>MI2101648112</t>
  </si>
  <si>
    <t>WI210151049</t>
  </si>
  <si>
    <t>150030036845</t>
  </si>
  <si>
    <t>MI2101648087</t>
  </si>
  <si>
    <t>WI210151061</t>
  </si>
  <si>
    <t>MI2101648511</t>
  </si>
  <si>
    <t>WI210151072</t>
  </si>
  <si>
    <t>MI2101648629</t>
  </si>
  <si>
    <t>WI210151086</t>
  </si>
  <si>
    <t>WI210151090</t>
  </si>
  <si>
    <t>150030036996</t>
  </si>
  <si>
    <t>MI2101648672</t>
  </si>
  <si>
    <t>WI210151117</t>
  </si>
  <si>
    <t>MI2101649215</t>
  </si>
  <si>
    <t>WI210151161</t>
  </si>
  <si>
    <t>MI2101649850</t>
  </si>
  <si>
    <t>WI210151165</t>
  </si>
  <si>
    <t>MI2101649876</t>
  </si>
  <si>
    <t>WI210151214</t>
  </si>
  <si>
    <t>150030035548</t>
  </si>
  <si>
    <t>MI2101650816</t>
  </si>
  <si>
    <t>WI210151252</t>
  </si>
  <si>
    <t>150030036761</t>
  </si>
  <si>
    <t>MI2101650767</t>
  </si>
  <si>
    <t>WI210151265</t>
  </si>
  <si>
    <t>WI210151277</t>
  </si>
  <si>
    <t>150030037023</t>
  </si>
  <si>
    <t>MI2101651677</t>
  </si>
  <si>
    <t>WI210151291</t>
  </si>
  <si>
    <t>MI2101652024</t>
  </si>
  <si>
    <t>WI210151296</t>
  </si>
  <si>
    <t>MI2101652084</t>
  </si>
  <si>
    <t>WI210151310</t>
  </si>
  <si>
    <t>150030034814</t>
  </si>
  <si>
    <t>MI2101652311</t>
  </si>
  <si>
    <t>WI210151312</t>
  </si>
  <si>
    <t>MI2101652363</t>
  </si>
  <si>
    <t>WI210151343</t>
  </si>
  <si>
    <t>MI2101652882</t>
  </si>
  <si>
    <t>WI210151354</t>
  </si>
  <si>
    <t>MI2101652949</t>
  </si>
  <si>
    <t>WI210151359</t>
  </si>
  <si>
    <t>MI2101652972</t>
  </si>
  <si>
    <t>WI210151380</t>
  </si>
  <si>
    <t>150030034824</t>
  </si>
  <si>
    <t>MI2101653350</t>
  </si>
  <si>
    <t>WI21015141</t>
  </si>
  <si>
    <t>WI210151531</t>
  </si>
  <si>
    <t>MI2101654775</t>
  </si>
  <si>
    <t>WI210151564</t>
  </si>
  <si>
    <t>150030034635</t>
  </si>
  <si>
    <t>MI2101655355</t>
  </si>
  <si>
    <t>WI210151608</t>
  </si>
  <si>
    <t>WI210151711</t>
  </si>
  <si>
    <t>150030036696</t>
  </si>
  <si>
    <t>MI2101656958</t>
  </si>
  <si>
    <t>WI210151727</t>
  </si>
  <si>
    <t>150030036888</t>
  </si>
  <si>
    <t>MI2101657301</t>
  </si>
  <si>
    <t>WI210151756</t>
  </si>
  <si>
    <t>MI2101657685</t>
  </si>
  <si>
    <t>WI210151759</t>
  </si>
  <si>
    <t>150030036937</t>
  </si>
  <si>
    <t>MI2101657643</t>
  </si>
  <si>
    <t>WI210151832</t>
  </si>
  <si>
    <t>WI210151875</t>
  </si>
  <si>
    <t>150030037084</t>
  </si>
  <si>
    <t>MI2101658436</t>
  </si>
  <si>
    <t>WI210151942</t>
  </si>
  <si>
    <t>150030035667</t>
  </si>
  <si>
    <t>MI2101659347</t>
  </si>
  <si>
    <t>WI210151984</t>
  </si>
  <si>
    <t>150030037009</t>
  </si>
  <si>
    <t>MI2101659869</t>
  </si>
  <si>
    <t>WI210152236</t>
  </si>
  <si>
    <t>150030036873</t>
  </si>
  <si>
    <t>MI2101662575</t>
  </si>
  <si>
    <t>WI210152279</t>
  </si>
  <si>
    <t>MI2101663254</t>
  </si>
  <si>
    <t>WI210152281</t>
  </si>
  <si>
    <t>150030035839</t>
  </si>
  <si>
    <t>MI2101663150</t>
  </si>
  <si>
    <t>WI210152286</t>
  </si>
  <si>
    <t>150030036851</t>
  </si>
  <si>
    <t>MI2101663321</t>
  </si>
  <si>
    <t>WI210152299</t>
  </si>
  <si>
    <t>MI2101663424</t>
  </si>
  <si>
    <t>WI210152324</t>
  </si>
  <si>
    <t>150030035026</t>
  </si>
  <si>
    <t>MI2101663652</t>
  </si>
  <si>
    <t>WI210152371</t>
  </si>
  <si>
    <t>150030036774</t>
  </si>
  <si>
    <t>MI2101663977</t>
  </si>
  <si>
    <t>WI210152473</t>
  </si>
  <si>
    <t>150030035010</t>
  </si>
  <si>
    <t>MI2101665437</t>
  </si>
  <si>
    <t>WI210152610</t>
  </si>
  <si>
    <t>MI2101667661</t>
  </si>
  <si>
    <t>WI210152612</t>
  </si>
  <si>
    <t>150030036948</t>
  </si>
  <si>
    <t>MI2101668014</t>
  </si>
  <si>
    <t>WI210152615</t>
  </si>
  <si>
    <t>150030037013</t>
  </si>
  <si>
    <t>MI2101668104</t>
  </si>
  <si>
    <t>WI210152662</t>
  </si>
  <si>
    <t>MI2101668478</t>
  </si>
  <si>
    <t>WI21015267</t>
  </si>
  <si>
    <t>WI210152674</t>
  </si>
  <si>
    <t>MI2101669087</t>
  </si>
  <si>
    <t>WI210152697</t>
  </si>
  <si>
    <t>MI2101669377</t>
  </si>
  <si>
    <t>WI210152699</t>
  </si>
  <si>
    <t>150030034372</t>
  </si>
  <si>
    <t>MI2101669410</t>
  </si>
  <si>
    <t>WI210152702</t>
  </si>
  <si>
    <t>MI2101669445</t>
  </si>
  <si>
    <t>WI210152710</t>
  </si>
  <si>
    <t>MI2101669641</t>
  </si>
  <si>
    <t>WI210152724</t>
  </si>
  <si>
    <t>MI2101669853</t>
  </si>
  <si>
    <t>WI210152729</t>
  </si>
  <si>
    <t>MI2101669914</t>
  </si>
  <si>
    <t>WI210152742</t>
  </si>
  <si>
    <t>WI210152743</t>
  </si>
  <si>
    <t>MI2101670208</t>
  </si>
  <si>
    <t>WI210152745</t>
  </si>
  <si>
    <t>MI2101670230</t>
  </si>
  <si>
    <t>WI210152757</t>
  </si>
  <si>
    <t>150030036122</t>
  </si>
  <si>
    <t>MI2101670310</t>
  </si>
  <si>
    <t>WI210152797</t>
  </si>
  <si>
    <t>MI2101670827</t>
  </si>
  <si>
    <t>WI210152843</t>
  </si>
  <si>
    <t>WI210152865</t>
  </si>
  <si>
    <t>MI2101671402</t>
  </si>
  <si>
    <t>WI210152889</t>
  </si>
  <si>
    <t>MI2101671798</t>
  </si>
  <si>
    <t>WI210152955</t>
  </si>
  <si>
    <t>WI210152974</t>
  </si>
  <si>
    <t>150030035590</t>
  </si>
  <si>
    <t>MI2101673230</t>
  </si>
  <si>
    <t>WI210152980</t>
  </si>
  <si>
    <t>MI2101673304</t>
  </si>
  <si>
    <t>WI210153071</t>
  </si>
  <si>
    <t>WI210153078</t>
  </si>
  <si>
    <t>WI210153178</t>
  </si>
  <si>
    <t>150030036068</t>
  </si>
  <si>
    <t>MI2101675785</t>
  </si>
  <si>
    <t>WI210153338</t>
  </si>
  <si>
    <t>150030035065</t>
  </si>
  <si>
    <t>MI2101678351</t>
  </si>
  <si>
    <t>WI210153858</t>
  </si>
  <si>
    <t>MI2101685875</t>
  </si>
  <si>
    <t>WI210153859</t>
  </si>
  <si>
    <t>MI2101685880</t>
  </si>
  <si>
    <t>WI210153860</t>
  </si>
  <si>
    <t>MI2101685886</t>
  </si>
  <si>
    <t>WI210153875</t>
  </si>
  <si>
    <t>MI2101686323</t>
  </si>
  <si>
    <t>WI210153876</t>
  </si>
  <si>
    <t>150030035484</t>
  </si>
  <si>
    <t>MI2101686334</t>
  </si>
  <si>
    <t>WI210153877</t>
  </si>
  <si>
    <t>MI2101686342</t>
  </si>
  <si>
    <t>WI210153883</t>
  </si>
  <si>
    <t>150030035834</t>
  </si>
  <si>
    <t>MI2101686680</t>
  </si>
  <si>
    <t>WI21015396</t>
  </si>
  <si>
    <t>150030036232</t>
  </si>
  <si>
    <t>MI210163912</t>
  </si>
  <si>
    <t>WI210153960</t>
  </si>
  <si>
    <t>150030036178</t>
  </si>
  <si>
    <t>MI2101688324</t>
  </si>
  <si>
    <t>WI21015399</t>
  </si>
  <si>
    <t>150030036154</t>
  </si>
  <si>
    <t>MI210163885</t>
  </si>
  <si>
    <t>WI210155113</t>
  </si>
  <si>
    <t>150030034636</t>
  </si>
  <si>
    <t>MI2101698481</t>
  </si>
  <si>
    <t>WI21015524</t>
  </si>
  <si>
    <t>150030036214</t>
  </si>
  <si>
    <t>MI210165668</t>
  </si>
  <si>
    <t>WI210155780</t>
  </si>
  <si>
    <t>150030035172</t>
  </si>
  <si>
    <t>MI2101702779</t>
  </si>
  <si>
    <t>WI21015588</t>
  </si>
  <si>
    <t>150030034892</t>
  </si>
  <si>
    <t>MI210166568</t>
  </si>
  <si>
    <t>WI21015596</t>
  </si>
  <si>
    <t>150030036139</t>
  </si>
  <si>
    <t>MI210166486</t>
  </si>
  <si>
    <t>WI210156228</t>
  </si>
  <si>
    <t>150030034199</t>
  </si>
  <si>
    <t>MI2101706102</t>
  </si>
  <si>
    <t>WI210156367</t>
  </si>
  <si>
    <t>MI2101707293</t>
  </si>
  <si>
    <t>WI21015657</t>
  </si>
  <si>
    <t>150030034977</t>
  </si>
  <si>
    <t>MI210167578</t>
  </si>
  <si>
    <t>WI21015668</t>
  </si>
  <si>
    <t>MI210167700</t>
  </si>
  <si>
    <t>WI210156826</t>
  </si>
  <si>
    <t>WI210156827</t>
  </si>
  <si>
    <t>WI210156828</t>
  </si>
  <si>
    <t>WI210156831</t>
  </si>
  <si>
    <t>150030035373</t>
  </si>
  <si>
    <t>MI2101711574</t>
  </si>
  <si>
    <t>WI210156837</t>
  </si>
  <si>
    <t>MI2101711771</t>
  </si>
  <si>
    <t>WI210156844</t>
  </si>
  <si>
    <t>150030036250</t>
  </si>
  <si>
    <t>MI2101711883</t>
  </si>
  <si>
    <t>WI210156845</t>
  </si>
  <si>
    <t>MI2101711895</t>
  </si>
  <si>
    <t>WI210156849</t>
  </si>
  <si>
    <t>MI2101711935</t>
  </si>
  <si>
    <t>WI210156850</t>
  </si>
  <si>
    <t>MI2101711996</t>
  </si>
  <si>
    <t>WI210156853</t>
  </si>
  <si>
    <t>MI2101712055</t>
  </si>
  <si>
    <t>WI210156854</t>
  </si>
  <si>
    <t>150100001286</t>
  </si>
  <si>
    <t>MI2101712092</t>
  </si>
  <si>
    <t>WI210156855</t>
  </si>
  <si>
    <t>150030036600</t>
  </si>
  <si>
    <t>MI2101712069</t>
  </si>
  <si>
    <t>WI210156888</t>
  </si>
  <si>
    <t>150030033252</t>
  </si>
  <si>
    <t>MI2101712482</t>
  </si>
  <si>
    <t>WI210156890</t>
  </si>
  <si>
    <t>150030034756</t>
  </si>
  <si>
    <t>MI2101712540</t>
  </si>
  <si>
    <t>WI210156891</t>
  </si>
  <si>
    <t>MI2101712523</t>
  </si>
  <si>
    <t>WI210156900</t>
  </si>
  <si>
    <t>MI2101712696</t>
  </si>
  <si>
    <t>WI210156909</t>
  </si>
  <si>
    <t>MI2101712767</t>
  </si>
  <si>
    <t>WI210156910</t>
  </si>
  <si>
    <t>MI2101712785</t>
  </si>
  <si>
    <t>WI210156917</t>
  </si>
  <si>
    <t>MI2101712871</t>
  </si>
  <si>
    <t>WI210156924</t>
  </si>
  <si>
    <t>MI2101712938</t>
  </si>
  <si>
    <t>WI210156925</t>
  </si>
  <si>
    <t>MI2101712991</t>
  </si>
  <si>
    <t>WI210156928</t>
  </si>
  <si>
    <t>MI2101713248</t>
  </si>
  <si>
    <t>WI210156934</t>
  </si>
  <si>
    <t>150030036906</t>
  </si>
  <si>
    <t>MI2101713264</t>
  </si>
  <si>
    <t>WI210156937</t>
  </si>
  <si>
    <t>MI2101713360</t>
  </si>
  <si>
    <t>WI210156973</t>
  </si>
  <si>
    <t>150030034798</t>
  </si>
  <si>
    <t>MI2101714339</t>
  </si>
  <si>
    <t>WI210156978</t>
  </si>
  <si>
    <t>150030036186</t>
  </si>
  <si>
    <t>MI2101714449</t>
  </si>
  <si>
    <t>WI210156980</t>
  </si>
  <si>
    <t>WI210156981</t>
  </si>
  <si>
    <t>MI2101714488</t>
  </si>
  <si>
    <t>WI210157020</t>
  </si>
  <si>
    <t>MI2101714917</t>
  </si>
  <si>
    <t>WI210157023</t>
  </si>
  <si>
    <t>MI2101715195</t>
  </si>
  <si>
    <t>WI210157026</t>
  </si>
  <si>
    <t>150030035128</t>
  </si>
  <si>
    <t>MI2101715282</t>
  </si>
  <si>
    <t>WI210157027</t>
  </si>
  <si>
    <t>MI2101715307</t>
  </si>
  <si>
    <t>WI210157033</t>
  </si>
  <si>
    <t>WI210157038</t>
  </si>
  <si>
    <t>WI210157078</t>
  </si>
  <si>
    <t>150030037103</t>
  </si>
  <si>
    <t>MI2101716076</t>
  </si>
  <si>
    <t>WI210157097</t>
  </si>
  <si>
    <t>MI2101716533</t>
  </si>
  <si>
    <t>WI210157098</t>
  </si>
  <si>
    <t>150030037054</t>
  </si>
  <si>
    <t>MI2101716510</t>
  </si>
  <si>
    <t>WI210157099</t>
  </si>
  <si>
    <t>150030037131</t>
  </si>
  <si>
    <t>MI2101716536</t>
  </si>
  <si>
    <t>WI210157125</t>
  </si>
  <si>
    <t>150030037182</t>
  </si>
  <si>
    <t>MI2101716854</t>
  </si>
  <si>
    <t>WI21015717</t>
  </si>
  <si>
    <t>150030036187</t>
  </si>
  <si>
    <t>MI210168107</t>
  </si>
  <si>
    <t>WI210157171</t>
  </si>
  <si>
    <t>MI2101717341</t>
  </si>
  <si>
    <t>WI210157172</t>
  </si>
  <si>
    <t>150030037043</t>
  </si>
  <si>
    <t>MI2101717304</t>
  </si>
  <si>
    <t>WI210157207</t>
  </si>
  <si>
    <t>MI2101717880</t>
  </si>
  <si>
    <t>WI210157223</t>
  </si>
  <si>
    <t>150030034696</t>
  </si>
  <si>
    <t>MI2101718143</t>
  </si>
  <si>
    <t>WI210157231</t>
  </si>
  <si>
    <t>112300000855</t>
  </si>
  <si>
    <t>MI2101718178</t>
  </si>
  <si>
    <t>WI210157233</t>
  </si>
  <si>
    <t>MI2101718235</t>
  </si>
  <si>
    <t>WI210157238</t>
  </si>
  <si>
    <t>MI2101718311</t>
  </si>
  <si>
    <t>WI210157243</t>
  </si>
  <si>
    <t>MI2101718179</t>
  </si>
  <si>
    <t>WI210157246</t>
  </si>
  <si>
    <t>150030036763</t>
  </si>
  <si>
    <t>MI2101718565</t>
  </si>
  <si>
    <t>WI210157269</t>
  </si>
  <si>
    <t>WI210157275</t>
  </si>
  <si>
    <t>150030036905</t>
  </si>
  <si>
    <t>MI2101719008</t>
  </si>
  <si>
    <t>WI210157300</t>
  </si>
  <si>
    <t>150030037111</t>
  </si>
  <si>
    <t>MI2101719344</t>
  </si>
  <si>
    <t>WI210157301</t>
  </si>
  <si>
    <t>150030036713</t>
  </si>
  <si>
    <t>MI2101719329</t>
  </si>
  <si>
    <t>WI210157302</t>
  </si>
  <si>
    <t>MI2101719399</t>
  </si>
  <si>
    <t>WI210157334</t>
  </si>
  <si>
    <t>MI2101719926</t>
  </si>
  <si>
    <t>WI210157347</t>
  </si>
  <si>
    <t>150080000768</t>
  </si>
  <si>
    <t>MI2101720017</t>
  </si>
  <si>
    <t>WI210157357</t>
  </si>
  <si>
    <t>150030035092</t>
  </si>
  <si>
    <t>MI2101720429</t>
  </si>
  <si>
    <t>WI210157362</t>
  </si>
  <si>
    <t>150030034858</t>
  </si>
  <si>
    <t>MI2101720316</t>
  </si>
  <si>
    <t>WI210157368</t>
  </si>
  <si>
    <t>MI2101720629</t>
  </si>
  <si>
    <t>WI210157453</t>
  </si>
  <si>
    <t>150030036966</t>
  </si>
  <si>
    <t>MI2101721701</t>
  </si>
  <si>
    <t>WI210157464</t>
  </si>
  <si>
    <t>150030037056</t>
  </si>
  <si>
    <t>MI2101721980</t>
  </si>
  <si>
    <t>WI210157477</t>
  </si>
  <si>
    <t>150030037081</t>
  </si>
  <si>
    <t>MI2101722264</t>
  </si>
  <si>
    <t>WI210157479</t>
  </si>
  <si>
    <t>150030035160</t>
  </si>
  <si>
    <t>MI2101722345</t>
  </si>
  <si>
    <t>WI210157483</t>
  </si>
  <si>
    <t>WI210157488</t>
  </si>
  <si>
    <t>MI2101722518</t>
  </si>
  <si>
    <t>WI210157513</t>
  </si>
  <si>
    <t>150030035138</t>
  </si>
  <si>
    <t>MI2101722719</t>
  </si>
  <si>
    <t>WI210157521</t>
  </si>
  <si>
    <t>150030034259</t>
  </si>
  <si>
    <t>MI2101723000</t>
  </si>
  <si>
    <t>WI210157546</t>
  </si>
  <si>
    <t>MI2101723294</t>
  </si>
  <si>
    <t>WI210157551</t>
  </si>
  <si>
    <t>MI2101723348</t>
  </si>
  <si>
    <t>WI210157554</t>
  </si>
  <si>
    <t>150030036303</t>
  </si>
  <si>
    <t>MI2101723420</t>
  </si>
  <si>
    <t>WI210157556</t>
  </si>
  <si>
    <t>MI2101723454</t>
  </si>
  <si>
    <t>WI210157558</t>
  </si>
  <si>
    <t>150030036891</t>
  </si>
  <si>
    <t>MI2101723491</t>
  </si>
  <si>
    <t>WI210157561</t>
  </si>
  <si>
    <t>MI2101723630</t>
  </si>
  <si>
    <t>WI210157562</t>
  </si>
  <si>
    <t>MI2101722959</t>
  </si>
  <si>
    <t>WI210157563</t>
  </si>
  <si>
    <t>150030036831</t>
  </si>
  <si>
    <t>MI2101723666</t>
  </si>
  <si>
    <t>WI210157568</t>
  </si>
  <si>
    <t>MI2101723701</t>
  </si>
  <si>
    <t>WI210157595</t>
  </si>
  <si>
    <t>150030036682</t>
  </si>
  <si>
    <t>MI2101724071</t>
  </si>
  <si>
    <t>WI210157612</t>
  </si>
  <si>
    <t>150030034743</t>
  </si>
  <si>
    <t>MI2101724402</t>
  </si>
  <si>
    <t>WI210157618</t>
  </si>
  <si>
    <t>MI2101724209</t>
  </si>
  <si>
    <t>WI210157639</t>
  </si>
  <si>
    <t>WI210157667</t>
  </si>
  <si>
    <t>150030036990</t>
  </si>
  <si>
    <t>MI2101725228</t>
  </si>
  <si>
    <t>WI210157669</t>
  </si>
  <si>
    <t>150030035198</t>
  </si>
  <si>
    <t>MI2101725189</t>
  </si>
  <si>
    <t>WI210157674</t>
  </si>
  <si>
    <t>MI2101725242</t>
  </si>
  <si>
    <t>WI210157719</t>
  </si>
  <si>
    <t>150030037018</t>
  </si>
  <si>
    <t>MI2101725935</t>
  </si>
  <si>
    <t>WI210157731</t>
  </si>
  <si>
    <t>WI210157751</t>
  </si>
  <si>
    <t>WI210157791</t>
  </si>
  <si>
    <t>150030035712</t>
  </si>
  <si>
    <t>MI2101727208</t>
  </si>
  <si>
    <t>WI210157806</t>
  </si>
  <si>
    <t>150030037132</t>
  </si>
  <si>
    <t>MI2101727063</t>
  </si>
  <si>
    <t>WI210157877</t>
  </si>
  <si>
    <t>150030036949</t>
  </si>
  <si>
    <t>MI2101728000</t>
  </si>
  <si>
    <t>WI210157893</t>
  </si>
  <si>
    <t>MI2101728424</t>
  </si>
  <si>
    <t>WI210157902</t>
  </si>
  <si>
    <t>MI2101728526</t>
  </si>
  <si>
    <t>WI21015795</t>
  </si>
  <si>
    <t>WI210157950</t>
  </si>
  <si>
    <t>150030036577</t>
  </si>
  <si>
    <t>MI2101728978</t>
  </si>
  <si>
    <t>WI210157982</t>
  </si>
  <si>
    <t>150030035747</t>
  </si>
  <si>
    <t>MI2101729476</t>
  </si>
  <si>
    <t>WI210158089</t>
  </si>
  <si>
    <t>150030037115</t>
  </si>
  <si>
    <t>MI2101730780</t>
  </si>
  <si>
    <t>WI21015809</t>
  </si>
  <si>
    <t>MI210169894</t>
  </si>
  <si>
    <t>WI210158095</t>
  </si>
  <si>
    <t>MI2101731034</t>
  </si>
  <si>
    <t>WI210158100</t>
  </si>
  <si>
    <t>WI210158106</t>
  </si>
  <si>
    <t>MI2101731221</t>
  </si>
  <si>
    <t>WI210158112</t>
  </si>
  <si>
    <t>MI2101731260</t>
  </si>
  <si>
    <t>WI210158147</t>
  </si>
  <si>
    <t>MI2101731581</t>
  </si>
  <si>
    <t>WI210158179</t>
  </si>
  <si>
    <t>150030036975</t>
  </si>
  <si>
    <t>MI2101731731</t>
  </si>
  <si>
    <t>WI210158187</t>
  </si>
  <si>
    <t>WI210158276</t>
  </si>
  <si>
    <t>150030037066</t>
  </si>
  <si>
    <t>MI2101733276</t>
  </si>
  <si>
    <t>WI210158285</t>
  </si>
  <si>
    <t>MI2101733575</t>
  </si>
  <si>
    <t>WI210158298</t>
  </si>
  <si>
    <t>150030033652</t>
  </si>
  <si>
    <t>MI2101733563</t>
  </si>
  <si>
    <t>WI210158300</t>
  </si>
  <si>
    <t>MI2101733586</t>
  </si>
  <si>
    <t>WI210158301</t>
  </si>
  <si>
    <t>WI210158314</t>
  </si>
  <si>
    <t>MI2101733672</t>
  </si>
  <si>
    <t>WI210158322</t>
  </si>
  <si>
    <t>MI2101733830</t>
  </si>
  <si>
    <t>WI210158344</t>
  </si>
  <si>
    <t>150030036901</t>
  </si>
  <si>
    <t>MI2101734167</t>
  </si>
  <si>
    <t>WI210158352</t>
  </si>
  <si>
    <t>150030034733</t>
  </si>
  <si>
    <t>MI2101734485</t>
  </si>
  <si>
    <t>WI210158374</t>
  </si>
  <si>
    <t>150030035197</t>
  </si>
  <si>
    <t>MI2101734565</t>
  </si>
  <si>
    <t>WI210158376</t>
  </si>
  <si>
    <t>150030036979</t>
  </si>
  <si>
    <t>MI2101734804</t>
  </si>
  <si>
    <t>WI210158379</t>
  </si>
  <si>
    <t>MI2101735051</t>
  </si>
  <si>
    <t>WI210158390</t>
  </si>
  <si>
    <t>150030037144</t>
  </si>
  <si>
    <t>MI2101734967</t>
  </si>
  <si>
    <t>WI210158453</t>
  </si>
  <si>
    <t>150030037001</t>
  </si>
  <si>
    <t>MI2101736502</t>
  </si>
  <si>
    <t>WI210158461</t>
  </si>
  <si>
    <t>150030036977</t>
  </si>
  <si>
    <t>MI2101736474</t>
  </si>
  <si>
    <t>WI210158476</t>
  </si>
  <si>
    <t>150030037104</t>
  </si>
  <si>
    <t>MI2101736920</t>
  </si>
  <si>
    <t>WI210158508</t>
  </si>
  <si>
    <t>150030036575</t>
  </si>
  <si>
    <t>MI2101737446</t>
  </si>
  <si>
    <t>WI210158535</t>
  </si>
  <si>
    <t>150030035143</t>
  </si>
  <si>
    <t>MI2101737837</t>
  </si>
  <si>
    <t>WI210158559</t>
  </si>
  <si>
    <t>MI2101738080</t>
  </si>
  <si>
    <t>WI210158569</t>
  </si>
  <si>
    <t>MI2101738155</t>
  </si>
  <si>
    <t>WI210158627</t>
  </si>
  <si>
    <t>MI2101739294</t>
  </si>
  <si>
    <t>WI210158637</t>
  </si>
  <si>
    <t>MI2101739377</t>
  </si>
  <si>
    <t>WI210158651</t>
  </si>
  <si>
    <t>150030037147</t>
  </si>
  <si>
    <t>MI2101739501</t>
  </si>
  <si>
    <t>WI210158657</t>
  </si>
  <si>
    <t>150030036914</t>
  </si>
  <si>
    <t>MI2101739463</t>
  </si>
  <si>
    <t>WI210158694</t>
  </si>
  <si>
    <t>150030034695</t>
  </si>
  <si>
    <t>MI2101740013</t>
  </si>
  <si>
    <t>WI210158711</t>
  </si>
  <si>
    <t>150030036821</t>
  </si>
  <si>
    <t>MI2101740159</t>
  </si>
  <si>
    <t>WI210158725</t>
  </si>
  <si>
    <t>150030037011</t>
  </si>
  <si>
    <t>MI2101740492</t>
  </si>
  <si>
    <t>WI210158737</t>
  </si>
  <si>
    <t>MI2101740813</t>
  </si>
  <si>
    <t>WI210158762</t>
  </si>
  <si>
    <t>MI2101740953</t>
  </si>
  <si>
    <t>WI210158804</t>
  </si>
  <si>
    <t>150030034378</t>
  </si>
  <si>
    <t>MI2101741356</t>
  </si>
  <si>
    <t>WI210158808</t>
  </si>
  <si>
    <t>WI210158809</t>
  </si>
  <si>
    <t>WI210158886</t>
  </si>
  <si>
    <t>MI2101742546</t>
  </si>
  <si>
    <t>WI210158896</t>
  </si>
  <si>
    <t>MI2101742609</t>
  </si>
  <si>
    <t>WI210158914</t>
  </si>
  <si>
    <t>MI2101742807</t>
  </si>
  <si>
    <t>WI210158932</t>
  </si>
  <si>
    <t>WI210158936</t>
  </si>
  <si>
    <t>MI2101743092</t>
  </si>
  <si>
    <t>WI210158950</t>
  </si>
  <si>
    <t>MI2101743357</t>
  </si>
  <si>
    <t>WI210158974</t>
  </si>
  <si>
    <t>MI2101743456</t>
  </si>
  <si>
    <t>WI210158977</t>
  </si>
  <si>
    <t>MI2101743630</t>
  </si>
  <si>
    <t>WI210159018</t>
  </si>
  <si>
    <t>150030036819</t>
  </si>
  <si>
    <t>MI2101743873</t>
  </si>
  <si>
    <t>WI210159019</t>
  </si>
  <si>
    <t>MI2101744120</t>
  </si>
  <si>
    <t>WI210159036</t>
  </si>
  <si>
    <t>150030036989</t>
  </si>
  <si>
    <t>MI2101744137</t>
  </si>
  <si>
    <t>WI21015906</t>
  </si>
  <si>
    <t>MI210171000</t>
  </si>
  <si>
    <t>WI210159126</t>
  </si>
  <si>
    <t>150030036846</t>
  </si>
  <si>
    <t>MI2101745287</t>
  </si>
  <si>
    <t>WI210159127</t>
  </si>
  <si>
    <t>WI210159175</t>
  </si>
  <si>
    <t>WI210159191</t>
  </si>
  <si>
    <t>MI2101745997</t>
  </si>
  <si>
    <t>WI210159202</t>
  </si>
  <si>
    <t>MI2101746187</t>
  </si>
  <si>
    <t>WI210159341</t>
  </si>
  <si>
    <t>150030035186</t>
  </si>
  <si>
    <t>MI2101747137</t>
  </si>
  <si>
    <t>WI210159392</t>
  </si>
  <si>
    <t>MI2101747548</t>
  </si>
  <si>
    <t>WI210159395</t>
  </si>
  <si>
    <t>MI2101747503</t>
  </si>
  <si>
    <t>WI210159417</t>
  </si>
  <si>
    <t>WI210159423</t>
  </si>
  <si>
    <t>150030037121</t>
  </si>
  <si>
    <t>MI2101747718</t>
  </si>
  <si>
    <t>WI210159426</t>
  </si>
  <si>
    <t>MI2101747983</t>
  </si>
  <si>
    <t>WI210159427</t>
  </si>
  <si>
    <t>MI2101747998</t>
  </si>
  <si>
    <t>WI210159448</t>
  </si>
  <si>
    <t>150030037102</t>
  </si>
  <si>
    <t>MI2101748151</t>
  </si>
  <si>
    <t>WI210159462</t>
  </si>
  <si>
    <t>MI2101748306</t>
  </si>
  <si>
    <t>WI210159468</t>
  </si>
  <si>
    <t>MI2101748505</t>
  </si>
  <si>
    <t>WI210159476</t>
  </si>
  <si>
    <t>MI2101748585</t>
  </si>
  <si>
    <t>WI210159484</t>
  </si>
  <si>
    <t>MI2101748695</t>
  </si>
  <si>
    <t>WI21015952</t>
  </si>
  <si>
    <t>WI210159578</t>
  </si>
  <si>
    <t>150030035142</t>
  </si>
  <si>
    <t>MI2101749334</t>
  </si>
  <si>
    <t>WI210159583</t>
  </si>
  <si>
    <t>150030036973</t>
  </si>
  <si>
    <t>MI2101749428</t>
  </si>
  <si>
    <t>WI210159652</t>
  </si>
  <si>
    <t>150030035145</t>
  </si>
  <si>
    <t>MI2101750520</t>
  </si>
  <si>
    <t>WI210159768</t>
  </si>
  <si>
    <t>150030034519</t>
  </si>
  <si>
    <t>MI2101751820</t>
  </si>
  <si>
    <t>WI210159777</t>
  </si>
  <si>
    <t>MI2101751997</t>
  </si>
  <si>
    <t>WI210159800</t>
  </si>
  <si>
    <t>150030037079</t>
  </si>
  <si>
    <t>MI2101752185</t>
  </si>
  <si>
    <t>WI210159821</t>
  </si>
  <si>
    <t>MI2101752575</t>
  </si>
  <si>
    <t>WI210159857</t>
  </si>
  <si>
    <t>WI210159865</t>
  </si>
  <si>
    <t>WI210159889</t>
  </si>
  <si>
    <t>150030034917</t>
  </si>
  <si>
    <t>MI2101753618</t>
  </si>
  <si>
    <t>WI210159974</t>
  </si>
  <si>
    <t>WI210159981</t>
  </si>
  <si>
    <t>WI210159987</t>
  </si>
  <si>
    <t>MI2101754326</t>
  </si>
  <si>
    <t>WI210160028</t>
  </si>
  <si>
    <t>WI210160057</t>
  </si>
  <si>
    <t>150030033353</t>
  </si>
  <si>
    <t>MI2101755026</t>
  </si>
  <si>
    <t>WI210160058</t>
  </si>
  <si>
    <t>150030037112</t>
  </si>
  <si>
    <t>MI2101755034</t>
  </si>
  <si>
    <t>WI210160062</t>
  </si>
  <si>
    <t>WI210160083</t>
  </si>
  <si>
    <t>MI2101755123</t>
  </si>
  <si>
    <t>WI210160085</t>
  </si>
  <si>
    <t>MI2101755159</t>
  </si>
  <si>
    <t>WI210160088</t>
  </si>
  <si>
    <t>MI2101755185</t>
  </si>
  <si>
    <t>WI210160091</t>
  </si>
  <si>
    <t>MI2101755198</t>
  </si>
  <si>
    <t>WI210160108</t>
  </si>
  <si>
    <t>WI210160120</t>
  </si>
  <si>
    <t>MI2101755236</t>
  </si>
  <si>
    <t>WI210160123</t>
  </si>
  <si>
    <t>MI2101755433</t>
  </si>
  <si>
    <t>WI210160133</t>
  </si>
  <si>
    <t>MI2101755537</t>
  </si>
  <si>
    <t>WI210160145</t>
  </si>
  <si>
    <t>150030037123</t>
  </si>
  <si>
    <t>MI2101755648</t>
  </si>
  <si>
    <t>WI210160155</t>
  </si>
  <si>
    <t>WI210160156</t>
  </si>
  <si>
    <t>MI2101755697</t>
  </si>
  <si>
    <t>WI210160198</t>
  </si>
  <si>
    <t>MI2101756942</t>
  </si>
  <si>
    <t>WI210160237</t>
  </si>
  <si>
    <t>MI2101757452</t>
  </si>
  <si>
    <t>WI210160248</t>
  </si>
  <si>
    <t>WI210160262</t>
  </si>
  <si>
    <t>MI2101757662</t>
  </si>
  <si>
    <t>WI21016031</t>
  </si>
  <si>
    <t>WI21016035</t>
  </si>
  <si>
    <t>MI210172763</t>
  </si>
  <si>
    <t>WI210160374</t>
  </si>
  <si>
    <t>MI2101758521</t>
  </si>
  <si>
    <t>WI21016038</t>
  </si>
  <si>
    <t>MI210172839</t>
  </si>
  <si>
    <t>WI210160381</t>
  </si>
  <si>
    <t>MI2101758745</t>
  </si>
  <si>
    <t>WI210160495</t>
  </si>
  <si>
    <t>150030037109</t>
  </si>
  <si>
    <t>MI2101759868</t>
  </si>
  <si>
    <t>WI210160503</t>
  </si>
  <si>
    <t>MI2101760155</t>
  </si>
  <si>
    <t>WI210160507</t>
  </si>
  <si>
    <t>150030037143</t>
  </si>
  <si>
    <t>MI2101760154</t>
  </si>
  <si>
    <t>WI210160519</t>
  </si>
  <si>
    <t>150030037157</t>
  </si>
  <si>
    <t>MI2101759876</t>
  </si>
  <si>
    <t>WI210160667</t>
  </si>
  <si>
    <t>150030034940</t>
  </si>
  <si>
    <t>MI2101761532</t>
  </si>
  <si>
    <t>WI210160677</t>
  </si>
  <si>
    <t>MI2101761824</t>
  </si>
  <si>
    <t>WI210160743</t>
  </si>
  <si>
    <t>MI2101762866</t>
  </si>
  <si>
    <t>WI210160771</t>
  </si>
  <si>
    <t>MI2101763152</t>
  </si>
  <si>
    <t>WI210160798</t>
  </si>
  <si>
    <t>MI2101763515</t>
  </si>
  <si>
    <t>WI21016083</t>
  </si>
  <si>
    <t>MI210173497</t>
  </si>
  <si>
    <t>WI210160919</t>
  </si>
  <si>
    <t>MI2101764369</t>
  </si>
  <si>
    <t>WI210160932</t>
  </si>
  <si>
    <t>MI2101764792</t>
  </si>
  <si>
    <t>WI210160941</t>
  </si>
  <si>
    <t>150030037213</t>
  </si>
  <si>
    <t>MI2101764690</t>
  </si>
  <si>
    <t>WI210160971</t>
  </si>
  <si>
    <t>MI2101765275</t>
  </si>
  <si>
    <t>WI210160989</t>
  </si>
  <si>
    <t>MI2101765643</t>
  </si>
  <si>
    <t>WI210161001</t>
  </si>
  <si>
    <t>MI2101765864</t>
  </si>
  <si>
    <t>WI210161005</t>
  </si>
  <si>
    <t>MI2101765951</t>
  </si>
  <si>
    <t>WI210161014</t>
  </si>
  <si>
    <t>WI210161018</t>
  </si>
  <si>
    <t>MI2101766232</t>
  </si>
  <si>
    <t>WI210161026</t>
  </si>
  <si>
    <t>MI2101765976</t>
  </si>
  <si>
    <t>WI210161125</t>
  </si>
  <si>
    <t>MI2101767584</t>
  </si>
  <si>
    <t>WI21016126</t>
  </si>
  <si>
    <t>150100001209</t>
  </si>
  <si>
    <t>MI210173933</t>
  </si>
  <si>
    <t>WI210161475</t>
  </si>
  <si>
    <t>150030037017</t>
  </si>
  <si>
    <t>MI2101772952</t>
  </si>
  <si>
    <t>WI210161507</t>
  </si>
  <si>
    <t>WI210161776</t>
  </si>
  <si>
    <t>150030035462</t>
  </si>
  <si>
    <t>MI2101776589</t>
  </si>
  <si>
    <t>WI210161792</t>
  </si>
  <si>
    <t>MI2101776804</t>
  </si>
  <si>
    <t>WI210161802</t>
  </si>
  <si>
    <t>WI210161932</t>
  </si>
  <si>
    <t>150030035289</t>
  </si>
  <si>
    <t>MI2101779453</t>
  </si>
  <si>
    <t>WI210162311</t>
  </si>
  <si>
    <t>115750002198</t>
  </si>
  <si>
    <t>MI2101729797</t>
  </si>
  <si>
    <t>WI21016232</t>
  </si>
  <si>
    <t>MI210175339</t>
  </si>
  <si>
    <t>WI210162330</t>
  </si>
  <si>
    <t>MI2101785597</t>
  </si>
  <si>
    <t>WI210162353</t>
  </si>
  <si>
    <t>MI2101785863</t>
  </si>
  <si>
    <t>WI210162359</t>
  </si>
  <si>
    <t>150030036874</t>
  </si>
  <si>
    <t>MI2101785936</t>
  </si>
  <si>
    <t>WI210162363</t>
  </si>
  <si>
    <t>150100001300</t>
  </si>
  <si>
    <t>MI2101786023</t>
  </si>
  <si>
    <t>WI210162364</t>
  </si>
  <si>
    <t>MI2101786040</t>
  </si>
  <si>
    <t>WI210162365</t>
  </si>
  <si>
    <t>150030037163</t>
  </si>
  <si>
    <t>MI2101786072</t>
  </si>
  <si>
    <t>WI210162372</t>
  </si>
  <si>
    <t>MI2101786318</t>
  </si>
  <si>
    <t>WI210162382</t>
  </si>
  <si>
    <t>MI2101786463</t>
  </si>
  <si>
    <t>WI210162383</t>
  </si>
  <si>
    <t>150030036992</t>
  </si>
  <si>
    <t>MI2101786448</t>
  </si>
  <si>
    <t>WI210162399</t>
  </si>
  <si>
    <t>150100001274</t>
  </si>
  <si>
    <t>MI2101786635</t>
  </si>
  <si>
    <t>WI210162412</t>
  </si>
  <si>
    <t>150030035558</t>
  </si>
  <si>
    <t>MI2101786816</t>
  </si>
  <si>
    <t>WI210162419</t>
  </si>
  <si>
    <t>MI2101786905</t>
  </si>
  <si>
    <t>WI210162427</t>
  </si>
  <si>
    <t>150030037027</t>
  </si>
  <si>
    <t>MI2101786924</t>
  </si>
  <si>
    <t>WI210162444</t>
  </si>
  <si>
    <t>150030034248</t>
  </si>
  <si>
    <t>MI2101787179</t>
  </si>
  <si>
    <t>WI210162451</t>
  </si>
  <si>
    <t>MI2101787206</t>
  </si>
  <si>
    <t>WI210162454</t>
  </si>
  <si>
    <t>MI2101787205</t>
  </si>
  <si>
    <t>WI210162456</t>
  </si>
  <si>
    <t>MI2101787222</t>
  </si>
  <si>
    <t>WI21016246</t>
  </si>
  <si>
    <t>115030002870</t>
  </si>
  <si>
    <t>MI20121328730</t>
  </si>
  <si>
    <t>WI210162480</t>
  </si>
  <si>
    <t>150100001292</t>
  </si>
  <si>
    <t>MI2101787485</t>
  </si>
  <si>
    <t>WI210162489</t>
  </si>
  <si>
    <t>WI210162504</t>
  </si>
  <si>
    <t>MI2101787877</t>
  </si>
  <si>
    <t>WI210162520</t>
  </si>
  <si>
    <t>150030037122</t>
  </si>
  <si>
    <t>MI2101787861</t>
  </si>
  <si>
    <t>WI210162531</t>
  </si>
  <si>
    <t>150030033881</t>
  </si>
  <si>
    <t>MI2101788181</t>
  </si>
  <si>
    <t>WI210162549</t>
  </si>
  <si>
    <t>MI2101788474</t>
  </si>
  <si>
    <t>WI210162562</t>
  </si>
  <si>
    <t>MI2101788644</t>
  </si>
  <si>
    <t>WI210162574</t>
  </si>
  <si>
    <t>150030037063</t>
  </si>
  <si>
    <t>MI2101788694</t>
  </si>
  <si>
    <t>WI210162585</t>
  </si>
  <si>
    <t>MI2101788872</t>
  </si>
  <si>
    <t>WI210162590</t>
  </si>
  <si>
    <t>MI2101788908</t>
  </si>
  <si>
    <t>WI210162604</t>
  </si>
  <si>
    <t>MI2101789071</t>
  </si>
  <si>
    <t>WI210162626</t>
  </si>
  <si>
    <t>MI2101789218</t>
  </si>
  <si>
    <t>WI210162629</t>
  </si>
  <si>
    <t>MI2101789241</t>
  </si>
  <si>
    <t>WI210162646</t>
  </si>
  <si>
    <t>MI2101789407</t>
  </si>
  <si>
    <t>WI210162648</t>
  </si>
  <si>
    <t>WI210162673</t>
  </si>
  <si>
    <t>MI2101789780</t>
  </si>
  <si>
    <t>WI210162675</t>
  </si>
  <si>
    <t>150030037156</t>
  </si>
  <si>
    <t>MI2101789829</t>
  </si>
  <si>
    <t>WI210162730</t>
  </si>
  <si>
    <t>150030036545</t>
  </si>
  <si>
    <t>MI2101790547</t>
  </si>
  <si>
    <t>WI210162760</t>
  </si>
  <si>
    <t>150030036907</t>
  </si>
  <si>
    <t>MI2101790828</t>
  </si>
  <si>
    <t>WI210162774</t>
  </si>
  <si>
    <t>150030037117</t>
  </si>
  <si>
    <t>MI2101790860</t>
  </si>
  <si>
    <t>WI210162790</t>
  </si>
  <si>
    <t>MI2101791213</t>
  </si>
  <si>
    <t>WI210162815</t>
  </si>
  <si>
    <t>150030037269</t>
  </si>
  <si>
    <t>MI2101791766</t>
  </si>
  <si>
    <t>WI210162848</t>
  </si>
  <si>
    <t>MI2101792310</t>
  </si>
  <si>
    <t>WI210162862</t>
  </si>
  <si>
    <t>150030037186</t>
  </si>
  <si>
    <t>MI2101792412</t>
  </si>
  <si>
    <t>WI210162872</t>
  </si>
  <si>
    <t>150030037195</t>
  </si>
  <si>
    <t>MI2101792634</t>
  </si>
  <si>
    <t>WI210162874</t>
  </si>
  <si>
    <t>MI2101792650</t>
  </si>
  <si>
    <t>WI210162879</t>
  </si>
  <si>
    <t>150030036813</t>
  </si>
  <si>
    <t>MI2101792680</t>
  </si>
  <si>
    <t>WI210162884</t>
  </si>
  <si>
    <t>150030033662</t>
  </si>
  <si>
    <t>MI2101792781</t>
  </si>
  <si>
    <t>WI210162906</t>
  </si>
  <si>
    <t>150030036976</t>
  </si>
  <si>
    <t>MI2101792954</t>
  </si>
  <si>
    <t>WI210162914</t>
  </si>
  <si>
    <t>WI210162929</t>
  </si>
  <si>
    <t>MI2101793536</t>
  </si>
  <si>
    <t>WI210162947</t>
  </si>
  <si>
    <t>MI2101793753</t>
  </si>
  <si>
    <t>WI210162995</t>
  </si>
  <si>
    <t>150030035326</t>
  </si>
  <si>
    <t>MI2101794027</t>
  </si>
  <si>
    <t>WI210163011</t>
  </si>
  <si>
    <t>150030037074</t>
  </si>
  <si>
    <t>MI2101794232</t>
  </si>
  <si>
    <t>WI210163018</t>
  </si>
  <si>
    <t>MI2101794497</t>
  </si>
  <si>
    <t>WI210163020</t>
  </si>
  <si>
    <t>150030037124</t>
  </si>
  <si>
    <t>MI2101794350</t>
  </si>
  <si>
    <t>WI210163078</t>
  </si>
  <si>
    <t>150030036862</t>
  </si>
  <si>
    <t>MI2101794857</t>
  </si>
  <si>
    <t>WI210163117</t>
  </si>
  <si>
    <t>MI2101795754</t>
  </si>
  <si>
    <t>WI210163123</t>
  </si>
  <si>
    <t>MI2101795797</t>
  </si>
  <si>
    <t>WI210163142</t>
  </si>
  <si>
    <t>WI210163165</t>
  </si>
  <si>
    <t>112540000629</t>
  </si>
  <si>
    <t>MI2101793849</t>
  </si>
  <si>
    <t>WI210163225</t>
  </si>
  <si>
    <t>150030036552</t>
  </si>
  <si>
    <t>MI2101796719</t>
  </si>
  <si>
    <t>WI210163243</t>
  </si>
  <si>
    <t>WI210163289</t>
  </si>
  <si>
    <t>150030036107</t>
  </si>
  <si>
    <t>MI2101797390</t>
  </si>
  <si>
    <t>WI210163292</t>
  </si>
  <si>
    <t>150030037082</t>
  </si>
  <si>
    <t>MI2101797378</t>
  </si>
  <si>
    <t>WI210163298</t>
  </si>
  <si>
    <t>MI2101797700</t>
  </si>
  <si>
    <t>WI210163334</t>
  </si>
  <si>
    <t>MI2101798337</t>
  </si>
  <si>
    <t>WI210163348</t>
  </si>
  <si>
    <t>WI210163375</t>
  </si>
  <si>
    <t>150030037158</t>
  </si>
  <si>
    <t>MI2101799098</t>
  </si>
  <si>
    <t>WI210163376</t>
  </si>
  <si>
    <t>150030037234</t>
  </si>
  <si>
    <t>MI2101799026</t>
  </si>
  <si>
    <t>WI210163382</t>
  </si>
  <si>
    <t>WI210163419</t>
  </si>
  <si>
    <t>150030037012</t>
  </si>
  <si>
    <t>MI2101799944</t>
  </si>
  <si>
    <t>WI210163440</t>
  </si>
  <si>
    <t>150030037224</t>
  </si>
  <si>
    <t>MI2101800407</t>
  </si>
  <si>
    <t>WI210163452</t>
  </si>
  <si>
    <t>150030035379</t>
  </si>
  <si>
    <t>MI2101800644</t>
  </si>
  <si>
    <t>WI210163478</t>
  </si>
  <si>
    <t>MI2101800625</t>
  </si>
  <si>
    <t>WI210163481</t>
  </si>
  <si>
    <t>MI2101800662</t>
  </si>
  <si>
    <t>WI210163488</t>
  </si>
  <si>
    <t>MI2101800761</t>
  </si>
  <si>
    <t>WI210163489</t>
  </si>
  <si>
    <t>MI2101800705</t>
  </si>
  <si>
    <t>WI210163551</t>
  </si>
  <si>
    <t>150030035816</t>
  </si>
  <si>
    <t>MI2101801604</t>
  </si>
  <si>
    <t>WI210163599</t>
  </si>
  <si>
    <t>150030034894</t>
  </si>
  <si>
    <t>MI2101801732</t>
  </si>
  <si>
    <t>WI210163617</t>
  </si>
  <si>
    <t>150030037199</t>
  </si>
  <si>
    <t>MI2101802021</t>
  </si>
  <si>
    <t>WI210163668</t>
  </si>
  <si>
    <t>150030035431</t>
  </si>
  <si>
    <t>MI2101802778</t>
  </si>
  <si>
    <t>WI210163755</t>
  </si>
  <si>
    <t>WI21016385</t>
  </si>
  <si>
    <t>WI210163912</t>
  </si>
  <si>
    <t>MI2101805709</t>
  </si>
  <si>
    <t>WI210163915</t>
  </si>
  <si>
    <t>150030032954</t>
  </si>
  <si>
    <t>MI2101805616</t>
  </si>
  <si>
    <t>WI210163927</t>
  </si>
  <si>
    <t>150030037184</t>
  </si>
  <si>
    <t>MI2101805722</t>
  </si>
  <si>
    <t>WI21016393</t>
  </si>
  <si>
    <t>MI210177343</t>
  </si>
  <si>
    <t>WI21016395</t>
  </si>
  <si>
    <t>WI210163966</t>
  </si>
  <si>
    <t>150030035461</t>
  </si>
  <si>
    <t>MI2101806427</t>
  </si>
  <si>
    <t>WI210163973</t>
  </si>
  <si>
    <t>MI2101806456</t>
  </si>
  <si>
    <t>WI210163994</t>
  </si>
  <si>
    <t>150030037068</t>
  </si>
  <si>
    <t>MI2101806626</t>
  </si>
  <si>
    <t>WI210164006</t>
  </si>
  <si>
    <t>WI21016401</t>
  </si>
  <si>
    <t>115750002161</t>
  </si>
  <si>
    <t>MI210114166</t>
  </si>
  <si>
    <t>WI210164035</t>
  </si>
  <si>
    <t>WI210164037</t>
  </si>
  <si>
    <t>MI2101806962</t>
  </si>
  <si>
    <t>WI21016404</t>
  </si>
  <si>
    <t>112050000585</t>
  </si>
  <si>
    <t>MI210124041</t>
  </si>
  <si>
    <t>WI210164041</t>
  </si>
  <si>
    <t>150030036909</t>
  </si>
  <si>
    <t>MI2101806806</t>
  </si>
  <si>
    <t>WI21016406</t>
  </si>
  <si>
    <t>115750001731</t>
  </si>
  <si>
    <t>MI210113180</t>
  </si>
  <si>
    <t>WI21016408</t>
  </si>
  <si>
    <t>150030035617</t>
  </si>
  <si>
    <t>MI210177424</t>
  </si>
  <si>
    <t>WI210164111</t>
  </si>
  <si>
    <t>150030036481</t>
  </si>
  <si>
    <t>MI2101807633</t>
  </si>
  <si>
    <t>WI210164135</t>
  </si>
  <si>
    <t>150030037154</t>
  </si>
  <si>
    <t>MI2101807923</t>
  </si>
  <si>
    <t>WI21016417</t>
  </si>
  <si>
    <t>150030035553</t>
  </si>
  <si>
    <t>MI210177498</t>
  </si>
  <si>
    <t>WI210164205</t>
  </si>
  <si>
    <t>MI2101809108</t>
  </si>
  <si>
    <t>WI210164212</t>
  </si>
  <si>
    <t>MI2101809192</t>
  </si>
  <si>
    <t>WI21016427</t>
  </si>
  <si>
    <t>MI210177770</t>
  </si>
  <si>
    <t>WI210164279</t>
  </si>
  <si>
    <t>MI2101810202</t>
  </si>
  <si>
    <t>WI210164295</t>
  </si>
  <si>
    <t>WI21016432</t>
  </si>
  <si>
    <t>150100001260</t>
  </si>
  <si>
    <t>MI210177814</t>
  </si>
  <si>
    <t>WI210164331</t>
  </si>
  <si>
    <t>MI2101810888</t>
  </si>
  <si>
    <t>WI21016434</t>
  </si>
  <si>
    <t>150030035783</t>
  </si>
  <si>
    <t>MI210177842</t>
  </si>
  <si>
    <t>WI210164354</t>
  </si>
  <si>
    <t>MI2101811255</t>
  </si>
  <si>
    <t>WI21016436</t>
  </si>
  <si>
    <t>MI210177949</t>
  </si>
  <si>
    <t>WI210164361</t>
  </si>
  <si>
    <t>MI2101811419</t>
  </si>
  <si>
    <t>WI210164363</t>
  </si>
  <si>
    <t>WI21016437</t>
  </si>
  <si>
    <t>150030034745</t>
  </si>
  <si>
    <t>MI210177945</t>
  </si>
  <si>
    <t>WI21016438</t>
  </si>
  <si>
    <t>MI210177972</t>
  </si>
  <si>
    <t>WI21016439</t>
  </si>
  <si>
    <t>MI210177955</t>
  </si>
  <si>
    <t>WI21016440</t>
  </si>
  <si>
    <t>MI210177975</t>
  </si>
  <si>
    <t>WI21016443</t>
  </si>
  <si>
    <t>150030035605</t>
  </si>
  <si>
    <t>MI210177998</t>
  </si>
  <si>
    <t>WI210164454</t>
  </si>
  <si>
    <t>150030035985</t>
  </si>
  <si>
    <t>MI2101812730</t>
  </si>
  <si>
    <t>WI210164464</t>
  </si>
  <si>
    <t>150030037187</t>
  </si>
  <si>
    <t>MI2101812892</t>
  </si>
  <si>
    <t>WI21016447</t>
  </si>
  <si>
    <t>150100001244</t>
  </si>
  <si>
    <t>MI210177993</t>
  </si>
  <si>
    <t>WI210164470</t>
  </si>
  <si>
    <t>MI2101813197</t>
  </si>
  <si>
    <t>WI210164488</t>
  </si>
  <si>
    <t>150030037296</t>
  </si>
  <si>
    <t>MI2101813439</t>
  </si>
  <si>
    <t>WI21016461</t>
  </si>
  <si>
    <t>150030035606</t>
  </si>
  <si>
    <t>MI210178294</t>
  </si>
  <si>
    <t>WI21016464</t>
  </si>
  <si>
    <t>150030034169</t>
  </si>
  <si>
    <t>MI210178312</t>
  </si>
  <si>
    <t>WI210164722</t>
  </si>
  <si>
    <t>MI2101816153</t>
  </si>
  <si>
    <t>WI210164761</t>
  </si>
  <si>
    <t>150030034710</t>
  </si>
  <si>
    <t>MI2101816531</t>
  </si>
  <si>
    <t>WI210164768</t>
  </si>
  <si>
    <t>MI2101816582</t>
  </si>
  <si>
    <t>WI210164826</t>
  </si>
  <si>
    <t>150030037218</t>
  </si>
  <si>
    <t>MI2101817214</t>
  </si>
  <si>
    <t>WI210164843</t>
  </si>
  <si>
    <t>MI2101817401</t>
  </si>
  <si>
    <t>WI21016488</t>
  </si>
  <si>
    <t>WI210164926</t>
  </si>
  <si>
    <t>MI2101818717</t>
  </si>
  <si>
    <t>WI210164959</t>
  </si>
  <si>
    <t>MI2101819083</t>
  </si>
  <si>
    <t>WI210164996</t>
  </si>
  <si>
    <t>MI2101819594</t>
  </si>
  <si>
    <t>WI210165020</t>
  </si>
  <si>
    <t>MI2101819980</t>
  </si>
  <si>
    <t>WI210165023</t>
  </si>
  <si>
    <t>MI2101820042</t>
  </si>
  <si>
    <t>WI210165046</t>
  </si>
  <si>
    <t>150030034553</t>
  </si>
  <si>
    <t>MI2101820371</t>
  </si>
  <si>
    <t>WI210165051</t>
  </si>
  <si>
    <t>150030037167</t>
  </si>
  <si>
    <t>MI2101820390</t>
  </si>
  <si>
    <t>WI210165080</t>
  </si>
  <si>
    <t>MI2101821080</t>
  </si>
  <si>
    <t>WI210165088</t>
  </si>
  <si>
    <t>MI2101821156</t>
  </si>
  <si>
    <t>WI210165109</t>
  </si>
  <si>
    <t>WI210165126</t>
  </si>
  <si>
    <t>150030037098</t>
  </si>
  <si>
    <t>MI2101821523</t>
  </si>
  <si>
    <t>WI210165133</t>
  </si>
  <si>
    <t>MI2101821796</t>
  </si>
  <si>
    <t>WI210165153</t>
  </si>
  <si>
    <t>MI2101822061</t>
  </si>
  <si>
    <t>WI210165210</t>
  </si>
  <si>
    <t>MI2101822637</t>
  </si>
  <si>
    <t>WI21016524</t>
  </si>
  <si>
    <t>150100001245</t>
  </si>
  <si>
    <t>MI210179080</t>
  </si>
  <si>
    <t>WI210165284</t>
  </si>
  <si>
    <t>150030035568</t>
  </si>
  <si>
    <t>MI2101823587</t>
  </si>
  <si>
    <t>WI210165294</t>
  </si>
  <si>
    <t>MI2101823760</t>
  </si>
  <si>
    <t>WI210165300</t>
  </si>
  <si>
    <t>150030036971</t>
  </si>
  <si>
    <t>MI2101823673</t>
  </si>
  <si>
    <t>WI210165307</t>
  </si>
  <si>
    <t>150030037118</t>
  </si>
  <si>
    <t>MI2101824035</t>
  </si>
  <si>
    <t>WI210165321</t>
  </si>
  <si>
    <t>MI2101824260</t>
  </si>
  <si>
    <t>WI210165325</t>
  </si>
  <si>
    <t>MI2101824310</t>
  </si>
  <si>
    <t>WI210165381</t>
  </si>
  <si>
    <t>MI2101824955</t>
  </si>
  <si>
    <t>WI210165399</t>
  </si>
  <si>
    <t>150030034886</t>
  </si>
  <si>
    <t>MI2101825153</t>
  </si>
  <si>
    <t>WI210165406</t>
  </si>
  <si>
    <t>MI2101825278</t>
  </si>
  <si>
    <t>WI210165409</t>
  </si>
  <si>
    <t>150030035153</t>
  </si>
  <si>
    <t>MI2101825346</t>
  </si>
  <si>
    <t>WI210165478</t>
  </si>
  <si>
    <t>150030036936</t>
  </si>
  <si>
    <t>MI2101826562</t>
  </si>
  <si>
    <t>WI210165632</t>
  </si>
  <si>
    <t>150030034706</t>
  </si>
  <si>
    <t>MI2101829006</t>
  </si>
  <si>
    <t>WI210165639</t>
  </si>
  <si>
    <t>WI210165646</t>
  </si>
  <si>
    <t>MI2101829155</t>
  </si>
  <si>
    <t>WI210165673</t>
  </si>
  <si>
    <t>MI2101829271</t>
  </si>
  <si>
    <t>WI210165678</t>
  </si>
  <si>
    <t>MI2101829380</t>
  </si>
  <si>
    <t>WI210165686</t>
  </si>
  <si>
    <t>MI2101829548</t>
  </si>
  <si>
    <t>WI210165695</t>
  </si>
  <si>
    <t>MI2101829694</t>
  </si>
  <si>
    <t>WI210165706</t>
  </si>
  <si>
    <t>MI2101829789</t>
  </si>
  <si>
    <t>WI210165709</t>
  </si>
  <si>
    <t>MI2101829678</t>
  </si>
  <si>
    <t>WI210165718</t>
  </si>
  <si>
    <t>WI210165723</t>
  </si>
  <si>
    <t>MI2101829801</t>
  </si>
  <si>
    <t>WI210165727</t>
  </si>
  <si>
    <t>WI210165732</t>
  </si>
  <si>
    <t>MI2101829976</t>
  </si>
  <si>
    <t>WI210165736</t>
  </si>
  <si>
    <t>MI2101830085</t>
  </si>
  <si>
    <t>WI210165772</t>
  </si>
  <si>
    <t>150030036877</t>
  </si>
  <si>
    <t>MI2101830447</t>
  </si>
  <si>
    <t>WI210165817</t>
  </si>
  <si>
    <t>WI21016590</t>
  </si>
  <si>
    <t>150030034254</t>
  </si>
  <si>
    <t>MI210179573</t>
  </si>
  <si>
    <t>WI210165992</t>
  </si>
  <si>
    <t>MI2101832641</t>
  </si>
  <si>
    <t>WI210165995</t>
  </si>
  <si>
    <t>MI2101832670</t>
  </si>
  <si>
    <t>WI210166020</t>
  </si>
  <si>
    <t>MI2101833038</t>
  </si>
  <si>
    <t>WI210166085</t>
  </si>
  <si>
    <t>MI2101834302</t>
  </si>
  <si>
    <t>WI210166127</t>
  </si>
  <si>
    <t>MI2101835454</t>
  </si>
  <si>
    <t>WI210166253</t>
  </si>
  <si>
    <t>MI2101837386</t>
  </si>
  <si>
    <t>WI21016636</t>
  </si>
  <si>
    <t>150030033702</t>
  </si>
  <si>
    <t>MI210180179</t>
  </si>
  <si>
    <t>WI21016643</t>
  </si>
  <si>
    <t>MI210180543</t>
  </si>
  <si>
    <t>WI21016644</t>
  </si>
  <si>
    <t>MI210180599</t>
  </si>
  <si>
    <t>WI21016679</t>
  </si>
  <si>
    <t>MI210181016</t>
  </si>
  <si>
    <t>WI21016700</t>
  </si>
  <si>
    <t>MI210181445</t>
  </si>
  <si>
    <t>WI21016701</t>
  </si>
  <si>
    <t>150100001124</t>
  </si>
  <si>
    <t>MI210181544</t>
  </si>
  <si>
    <t>WI21016703</t>
  </si>
  <si>
    <t>150100001122</t>
  </si>
  <si>
    <t>MI210181600</t>
  </si>
  <si>
    <t>WI21016708</t>
  </si>
  <si>
    <t>150030036265</t>
  </si>
  <si>
    <t>MI210181700</t>
  </si>
  <si>
    <t>WI21016709</t>
  </si>
  <si>
    <t>MI210181707</t>
  </si>
  <si>
    <t>WI21016711</t>
  </si>
  <si>
    <t>MI210181764</t>
  </si>
  <si>
    <t>WI21016717</t>
  </si>
  <si>
    <t>150030035892</t>
  </si>
  <si>
    <t>MI210181699</t>
  </si>
  <si>
    <t>WI21016719</t>
  </si>
  <si>
    <t>150030032326</t>
  </si>
  <si>
    <t>MI210181969</t>
  </si>
  <si>
    <t>WI21016726</t>
  </si>
  <si>
    <t>MI210181957</t>
  </si>
  <si>
    <t>WI21016729</t>
  </si>
  <si>
    <t>150030035871</t>
  </si>
  <si>
    <t>MI210182065</t>
  </si>
  <si>
    <t>WI21016733</t>
  </si>
  <si>
    <t>150080000763</t>
  </si>
  <si>
    <t>MI210182204</t>
  </si>
  <si>
    <t>WI21016740</t>
  </si>
  <si>
    <t>WI21016743</t>
  </si>
  <si>
    <t>MI210182336</t>
  </si>
  <si>
    <t>WI21016746</t>
  </si>
  <si>
    <t>WI210167758</t>
  </si>
  <si>
    <t>115750002184</t>
  </si>
  <si>
    <t>MI2101794085</t>
  </si>
  <si>
    <t>WI210167759</t>
  </si>
  <si>
    <t>118790000598</t>
  </si>
  <si>
    <t>MI2101807448</t>
  </si>
  <si>
    <t>WI210167760</t>
  </si>
  <si>
    <t>115750001533</t>
  </si>
  <si>
    <t>MI2101804770</t>
  </si>
  <si>
    <t>WI210167761</t>
  </si>
  <si>
    <t>115750002228</t>
  </si>
  <si>
    <t>MI2101809346</t>
  </si>
  <si>
    <t>WI21016778</t>
  </si>
  <si>
    <t>MI210182863</t>
  </si>
  <si>
    <t>WI210167786</t>
  </si>
  <si>
    <t>MI2101857079</t>
  </si>
  <si>
    <t>WI210167788</t>
  </si>
  <si>
    <t>MI2101857091</t>
  </si>
  <si>
    <t>WI210167796</t>
  </si>
  <si>
    <t>MI2101857229</t>
  </si>
  <si>
    <t>WI210167798</t>
  </si>
  <si>
    <t>150030037290</t>
  </si>
  <si>
    <t>MI2101857270</t>
  </si>
  <si>
    <t>WI210167807</t>
  </si>
  <si>
    <t>150030036044</t>
  </si>
  <si>
    <t>MI2101857496</t>
  </si>
  <si>
    <t>WI21016781</t>
  </si>
  <si>
    <t>MI210182883</t>
  </si>
  <si>
    <t>WI210167810</t>
  </si>
  <si>
    <t>MI2101857537</t>
  </si>
  <si>
    <t>WI210167821</t>
  </si>
  <si>
    <t>150080000771</t>
  </si>
  <si>
    <t>MI2101857663</t>
  </si>
  <si>
    <t>WI210167828</t>
  </si>
  <si>
    <t>150030036896</t>
  </si>
  <si>
    <t>MI2101857744</t>
  </si>
  <si>
    <t>WI210167830</t>
  </si>
  <si>
    <t>150030034757</t>
  </si>
  <si>
    <t>MI2101857878</t>
  </si>
  <si>
    <t>WI210167831</t>
  </si>
  <si>
    <t>MI2101857898</t>
  </si>
  <si>
    <t>WI21016784</t>
  </si>
  <si>
    <t>150030035862</t>
  </si>
  <si>
    <t>MI210182885</t>
  </si>
  <si>
    <t>WI210167864</t>
  </si>
  <si>
    <t>150030031435</t>
  </si>
  <si>
    <t>MI2101858593</t>
  </si>
  <si>
    <t>WI210167868</t>
  </si>
  <si>
    <t>150030037243</t>
  </si>
  <si>
    <t>MI2101858570</t>
  </si>
  <si>
    <t>WI210167875</t>
  </si>
  <si>
    <t>150030034530</t>
  </si>
  <si>
    <t>MI2101858704</t>
  </si>
  <si>
    <t>WI210167893</t>
  </si>
  <si>
    <t>MI2101858890</t>
  </si>
  <si>
    <t>WI21016790</t>
  </si>
  <si>
    <t>MI210182912</t>
  </si>
  <si>
    <t>WI210167904</t>
  </si>
  <si>
    <t>150030037057</t>
  </si>
  <si>
    <t>MI2101859031</t>
  </si>
  <si>
    <t>WI210167925</t>
  </si>
  <si>
    <t>150030036816</t>
  </si>
  <si>
    <t>MI2101859379</t>
  </si>
  <si>
    <t>WI21016795</t>
  </si>
  <si>
    <t>MI210182926</t>
  </si>
  <si>
    <t>WI21016799</t>
  </si>
  <si>
    <t>MI210182954</t>
  </si>
  <si>
    <t>WI210168008</t>
  </si>
  <si>
    <t>MI2101860073</t>
  </si>
  <si>
    <t>WI21016802</t>
  </si>
  <si>
    <t>MI210182993</t>
  </si>
  <si>
    <t>WI21016805</t>
  </si>
  <si>
    <t>MI210183032</t>
  </si>
  <si>
    <t>WI210168070</t>
  </si>
  <si>
    <t>WI210168071</t>
  </si>
  <si>
    <t>150030035333</t>
  </si>
  <si>
    <t>MI2101860432</t>
  </si>
  <si>
    <t>WI21016808</t>
  </si>
  <si>
    <t>MI210183057</t>
  </si>
  <si>
    <t>WI210168086</t>
  </si>
  <si>
    <t>150030037332</t>
  </si>
  <si>
    <t>MI2101860615</t>
  </si>
  <si>
    <t>WI21016809</t>
  </si>
  <si>
    <t>MI210183166</t>
  </si>
  <si>
    <t>WI21016810</t>
  </si>
  <si>
    <t>MI210183150</t>
  </si>
  <si>
    <t>WI210168128</t>
  </si>
  <si>
    <t>150030037065</t>
  </si>
  <si>
    <t>MI2101861201</t>
  </si>
  <si>
    <t>WI21016814</t>
  </si>
  <si>
    <t>150030036288</t>
  </si>
  <si>
    <t>MI210183165</t>
  </si>
  <si>
    <t>WI210168140</t>
  </si>
  <si>
    <t>MI2101861492</t>
  </si>
  <si>
    <t>WI21016815</t>
  </si>
  <si>
    <t>MI210183179</t>
  </si>
  <si>
    <t>WI210168158</t>
  </si>
  <si>
    <t>MI2101861899</t>
  </si>
  <si>
    <t>WI210168175</t>
  </si>
  <si>
    <t>150080000769</t>
  </si>
  <si>
    <t>MI2101861973</t>
  </si>
  <si>
    <t>WI210168182</t>
  </si>
  <si>
    <t>150030037305</t>
  </si>
  <si>
    <t>MI2101862042</t>
  </si>
  <si>
    <t>WI210168188</t>
  </si>
  <si>
    <t>MI2101862364</t>
  </si>
  <si>
    <t>WI21016819</t>
  </si>
  <si>
    <t>150030036285</t>
  </si>
  <si>
    <t>MI210183382</t>
  </si>
  <si>
    <t>WI210168190</t>
  </si>
  <si>
    <t>MI2101862392</t>
  </si>
  <si>
    <t>WI210168195</t>
  </si>
  <si>
    <t>150030036940</t>
  </si>
  <si>
    <t>MI2101862345</t>
  </si>
  <si>
    <t>WI210168203</t>
  </si>
  <si>
    <t>150030036974</t>
  </si>
  <si>
    <t>MI2101862424</t>
  </si>
  <si>
    <t>WI210168208</t>
  </si>
  <si>
    <t>MI2101862578</t>
  </si>
  <si>
    <t>WI210168244</t>
  </si>
  <si>
    <t>150030034796</t>
  </si>
  <si>
    <t>MI2101863044</t>
  </si>
  <si>
    <t>WI210168284</t>
  </si>
  <si>
    <t>150030037128</t>
  </si>
  <si>
    <t>MI2101863308</t>
  </si>
  <si>
    <t>WI210168287</t>
  </si>
  <si>
    <t>MI2101863437</t>
  </si>
  <si>
    <t>WI210168311</t>
  </si>
  <si>
    <t>150030037297</t>
  </si>
  <si>
    <t>MI2101863636</t>
  </si>
  <si>
    <t>WI210168313</t>
  </si>
  <si>
    <t>WI210168358</t>
  </si>
  <si>
    <t>150030035675</t>
  </si>
  <si>
    <t>MI2101864055</t>
  </si>
  <si>
    <t>WI210168381</t>
  </si>
  <si>
    <t>150030036262</t>
  </si>
  <si>
    <t>MI2101864378</t>
  </si>
  <si>
    <t>WI210168392</t>
  </si>
  <si>
    <t>MI2101864401</t>
  </si>
  <si>
    <t>WI210168414</t>
  </si>
  <si>
    <t>150030037216</t>
  </si>
  <si>
    <t>MI2101864490</t>
  </si>
  <si>
    <t>WI210168445</t>
  </si>
  <si>
    <t>150030034222</t>
  </si>
  <si>
    <t>MI2101865016</t>
  </si>
  <si>
    <t>WI210168448</t>
  </si>
  <si>
    <t>MI2101865039</t>
  </si>
  <si>
    <t>WI210168458</t>
  </si>
  <si>
    <t>150030037386</t>
  </si>
  <si>
    <t>MI2101865023</t>
  </si>
  <si>
    <t>WI210168485</t>
  </si>
  <si>
    <t>WI210168503</t>
  </si>
  <si>
    <t>MI2101865751</t>
  </si>
  <si>
    <t>WI210168509</t>
  </si>
  <si>
    <t>150030037219</t>
  </si>
  <si>
    <t>MI2101865613</t>
  </si>
  <si>
    <t>WI210168516</t>
  </si>
  <si>
    <t>150030037228</t>
  </si>
  <si>
    <t>MI2101865850</t>
  </si>
  <si>
    <t>WI210168544</t>
  </si>
  <si>
    <t>150030037133</t>
  </si>
  <si>
    <t>MI2101866193</t>
  </si>
  <si>
    <t>WI210168571</t>
  </si>
  <si>
    <t>150030033849</t>
  </si>
  <si>
    <t>MI2101866382</t>
  </si>
  <si>
    <t>WI21016858</t>
  </si>
  <si>
    <t>150030032437</t>
  </si>
  <si>
    <t>MI210184447</t>
  </si>
  <si>
    <t>WI210168604</t>
  </si>
  <si>
    <t>150030037322</t>
  </si>
  <si>
    <t>MI2101866657</t>
  </si>
  <si>
    <t>WI210168685</t>
  </si>
  <si>
    <t>150030036448</t>
  </si>
  <si>
    <t>MI2101867770</t>
  </si>
  <si>
    <t>WI210168689</t>
  </si>
  <si>
    <t>150030037309</t>
  </si>
  <si>
    <t>MI2101867806</t>
  </si>
  <si>
    <t>WI21016871</t>
  </si>
  <si>
    <t>WI210168733</t>
  </si>
  <si>
    <t>150030037357</t>
  </si>
  <si>
    <t>MI2101868339</t>
  </si>
  <si>
    <t>WI210168734</t>
  </si>
  <si>
    <t>MI2101868573</t>
  </si>
  <si>
    <t>WI210168735</t>
  </si>
  <si>
    <t>110620000174</t>
  </si>
  <si>
    <t>MI2101867382</t>
  </si>
  <si>
    <t>WI210168754</t>
  </si>
  <si>
    <t>WI21016876</t>
  </si>
  <si>
    <t>112220002690</t>
  </si>
  <si>
    <t>MI210179264</t>
  </si>
  <si>
    <t>WI210168803</t>
  </si>
  <si>
    <t>WI210168818</t>
  </si>
  <si>
    <t>150030037172</t>
  </si>
  <si>
    <t>MI2101870014</t>
  </si>
  <si>
    <t>WI21016885</t>
  </si>
  <si>
    <t>MI210184646</t>
  </si>
  <si>
    <t>WI210168900</t>
  </si>
  <si>
    <t>MI2101871152</t>
  </si>
  <si>
    <t>WI210168905</t>
  </si>
  <si>
    <t>MI2101871197</t>
  </si>
  <si>
    <t>WI210168940</t>
  </si>
  <si>
    <t>MI2101871756</t>
  </si>
  <si>
    <t>WI210168960</t>
  </si>
  <si>
    <t>150030037392</t>
  </si>
  <si>
    <t>MI2101872316</t>
  </si>
  <si>
    <t>WI210168987</t>
  </si>
  <si>
    <t>WI210168999</t>
  </si>
  <si>
    <t>MI2101872608</t>
  </si>
  <si>
    <t>WI210169010</t>
  </si>
  <si>
    <t>MI2101872663</t>
  </si>
  <si>
    <t>WI210169015</t>
  </si>
  <si>
    <t>150030037262</t>
  </si>
  <si>
    <t>MI2101873029</t>
  </si>
  <si>
    <t>WI210169032</t>
  </si>
  <si>
    <t>WI210169103</t>
  </si>
  <si>
    <t>MI2101873788</t>
  </si>
  <si>
    <t>WI210169106</t>
  </si>
  <si>
    <t>MI2101873867</t>
  </si>
  <si>
    <t>WI210169126</t>
  </si>
  <si>
    <t>MI2101874050</t>
  </si>
  <si>
    <t>WI210169251</t>
  </si>
  <si>
    <t>150030037088</t>
  </si>
  <si>
    <t>MI2101875570</t>
  </si>
  <si>
    <t>WI210169255</t>
  </si>
  <si>
    <t>150100001252</t>
  </si>
  <si>
    <t>MI2101875731</t>
  </si>
  <si>
    <t>WI210169260</t>
  </si>
  <si>
    <t>MI2101875747</t>
  </si>
  <si>
    <t>WI210169286</t>
  </si>
  <si>
    <t>MI2101872555</t>
  </si>
  <si>
    <t>WI210169336</t>
  </si>
  <si>
    <t>WI210169352</t>
  </si>
  <si>
    <t>150030037274</t>
  </si>
  <si>
    <t>MI2101877902</t>
  </si>
  <si>
    <t>WI210169360</t>
  </si>
  <si>
    <t>MI2101877994</t>
  </si>
  <si>
    <t>WI210169369</t>
  </si>
  <si>
    <t>150030037289</t>
  </si>
  <si>
    <t>MI2101877911</t>
  </si>
  <si>
    <t>WI210169388</t>
  </si>
  <si>
    <t>MI2101878005</t>
  </si>
  <si>
    <t>WI21016941</t>
  </si>
  <si>
    <t>MI210185219</t>
  </si>
  <si>
    <t>WI210169469</t>
  </si>
  <si>
    <t>MI2101879727</t>
  </si>
  <si>
    <t>WI210169479</t>
  </si>
  <si>
    <t>MI2101879952</t>
  </si>
  <si>
    <t>WI210169505</t>
  </si>
  <si>
    <t>150030036889</t>
  </si>
  <si>
    <t>MI2101879922</t>
  </si>
  <si>
    <t>WI210169543</t>
  </si>
  <si>
    <t>MI2101880971</t>
  </si>
  <si>
    <t>WI210169545</t>
  </si>
  <si>
    <t>MI2101880989</t>
  </si>
  <si>
    <t>WI210169550</t>
  </si>
  <si>
    <t>150030037256</t>
  </si>
  <si>
    <t>MI2101880956</t>
  </si>
  <si>
    <t>WI210169556</t>
  </si>
  <si>
    <t>WI210169593</t>
  </si>
  <si>
    <t>150030037397</t>
  </si>
  <si>
    <t>MI2101881454</t>
  </si>
  <si>
    <t>WI210169606</t>
  </si>
  <si>
    <t>150030037200</t>
  </si>
  <si>
    <t>MI2101881616</t>
  </si>
  <si>
    <t>WI210169647</t>
  </si>
  <si>
    <t>MI2101882208</t>
  </si>
  <si>
    <t>WI210169651</t>
  </si>
  <si>
    <t>150030037320</t>
  </si>
  <si>
    <t>MI2101882057</t>
  </si>
  <si>
    <t>WI210169674</t>
  </si>
  <si>
    <t>WI210169715</t>
  </si>
  <si>
    <t>WI210169732</t>
  </si>
  <si>
    <t>150100001163</t>
  </si>
  <si>
    <t>MI2101883262</t>
  </si>
  <si>
    <t>WI210169784</t>
  </si>
  <si>
    <t>150030037248</t>
  </si>
  <si>
    <t>MI2101883682</t>
  </si>
  <si>
    <t>WI21016986</t>
  </si>
  <si>
    <t>150030032773</t>
  </si>
  <si>
    <t>MI210185533</t>
  </si>
  <si>
    <t>WI210169973</t>
  </si>
  <si>
    <t>MI2101886539</t>
  </si>
  <si>
    <t>WI210169988</t>
  </si>
  <si>
    <t>MI2101886862</t>
  </si>
  <si>
    <t>WI210170072</t>
  </si>
  <si>
    <t>MI2101887780</t>
  </si>
  <si>
    <t>WI21017025</t>
  </si>
  <si>
    <t>150030036286</t>
  </si>
  <si>
    <t>MI210186228</t>
  </si>
  <si>
    <t>WI210170310</t>
  </si>
  <si>
    <t>150030035957</t>
  </si>
  <si>
    <t>MI2101890675</t>
  </si>
  <si>
    <t>WI21017042</t>
  </si>
  <si>
    <t>MI210186335</t>
  </si>
  <si>
    <t>WI210170437</t>
  </si>
  <si>
    <t>MI2101892291</t>
  </si>
  <si>
    <t>WI210170438</t>
  </si>
  <si>
    <t>MI2101892344</t>
  </si>
  <si>
    <t>WI210170444</t>
  </si>
  <si>
    <t>150030036426</t>
  </si>
  <si>
    <t>MI2101892583</t>
  </si>
  <si>
    <t>WI210170487</t>
  </si>
  <si>
    <t>150030037303</t>
  </si>
  <si>
    <t>MI2101892915</t>
  </si>
  <si>
    <t>WI210170524</t>
  </si>
  <si>
    <t>MI2101893378</t>
  </si>
  <si>
    <t>WI210170676</t>
  </si>
  <si>
    <t>MI2101895589</t>
  </si>
  <si>
    <t>WI210170700</t>
  </si>
  <si>
    <t>MI2101895870</t>
  </si>
  <si>
    <t>WI210170815</t>
  </si>
  <si>
    <t>MI2101897266</t>
  </si>
  <si>
    <t>WI210170832</t>
  </si>
  <si>
    <t>MI2101897494</t>
  </si>
  <si>
    <t>WI210170851</t>
  </si>
  <si>
    <t>150030035284</t>
  </si>
  <si>
    <t>MI2101897761</t>
  </si>
  <si>
    <t>WI210170857</t>
  </si>
  <si>
    <t>MI2101897996</t>
  </si>
  <si>
    <t>WI210170883</t>
  </si>
  <si>
    <t>MI2101898444</t>
  </si>
  <si>
    <t>WI210170909</t>
  </si>
  <si>
    <t>MI2101898628</t>
  </si>
  <si>
    <t>WI210170911</t>
  </si>
  <si>
    <t>MI2101898731</t>
  </si>
  <si>
    <t>WI210170965</t>
  </si>
  <si>
    <t>150080000756</t>
  </si>
  <si>
    <t>MI2101899795</t>
  </si>
  <si>
    <t>WI21017099</t>
  </si>
  <si>
    <t>150030036118</t>
  </si>
  <si>
    <t>MI210186742</t>
  </si>
  <si>
    <t>WI21017104</t>
  </si>
  <si>
    <t>150030035407</t>
  </si>
  <si>
    <t>MI210186955</t>
  </si>
  <si>
    <t>WI210171165</t>
  </si>
  <si>
    <t>MI2101902011</t>
  </si>
  <si>
    <t>WI210171167</t>
  </si>
  <si>
    <t>150030034611</t>
  </si>
  <si>
    <t>MI2101902278</t>
  </si>
  <si>
    <t>WI210171175</t>
  </si>
  <si>
    <t>MI2101902365</t>
  </si>
  <si>
    <t>WI210171184</t>
  </si>
  <si>
    <t>WI210171269</t>
  </si>
  <si>
    <t>MI2101903574</t>
  </si>
  <si>
    <t>WI21017130</t>
  </si>
  <si>
    <t>150030035288</t>
  </si>
  <si>
    <t>MI210187308</t>
  </si>
  <si>
    <t>WI210171496</t>
  </si>
  <si>
    <t>MI2101906796</t>
  </si>
  <si>
    <t>WI210171501</t>
  </si>
  <si>
    <t>MI2101906887</t>
  </si>
  <si>
    <t>WI21017151</t>
  </si>
  <si>
    <t>MI210187298</t>
  </si>
  <si>
    <t>WI210171510</t>
  </si>
  <si>
    <t>MI2101907098</t>
  </si>
  <si>
    <t>WI210171513</t>
  </si>
  <si>
    <t>MI2101907320</t>
  </si>
  <si>
    <t>WI210171515</t>
  </si>
  <si>
    <t>MI2101907213</t>
  </si>
  <si>
    <t>WI210171517</t>
  </si>
  <si>
    <t>MI2101907352</t>
  </si>
  <si>
    <t>WI210171518</t>
  </si>
  <si>
    <t>MI2101907393</t>
  </si>
  <si>
    <t>WI210171521</t>
  </si>
  <si>
    <t>MI2101907484</t>
  </si>
  <si>
    <t>WI210171528</t>
  </si>
  <si>
    <t>MI2101907568</t>
  </si>
  <si>
    <t>WI210171539</t>
  </si>
  <si>
    <t>150030034959</t>
  </si>
  <si>
    <t>MI2101907738</t>
  </si>
  <si>
    <t>WI210171552</t>
  </si>
  <si>
    <t>WI210171591</t>
  </si>
  <si>
    <t>MI2101909079</t>
  </si>
  <si>
    <t>WI210171619</t>
  </si>
  <si>
    <t>MI2101909549</t>
  </si>
  <si>
    <t>WI210171626</t>
  </si>
  <si>
    <t>MI2101909721</t>
  </si>
  <si>
    <t>WI210171707</t>
  </si>
  <si>
    <t>150030035982</t>
  </si>
  <si>
    <t>MI2101910711</t>
  </si>
  <si>
    <t>WI210171711</t>
  </si>
  <si>
    <t>MI2101910777</t>
  </si>
  <si>
    <t>WI210171731</t>
  </si>
  <si>
    <t>150030036193</t>
  </si>
  <si>
    <t>MI2101911203</t>
  </si>
  <si>
    <t>WI210171736</t>
  </si>
  <si>
    <t>MI2101911339</t>
  </si>
  <si>
    <t>WI210171769</t>
  </si>
  <si>
    <t>MI2101911795</t>
  </si>
  <si>
    <t>WI210172161</t>
  </si>
  <si>
    <t>MI2101916955</t>
  </si>
  <si>
    <t>WI21017227</t>
  </si>
  <si>
    <t>WI210172302</t>
  </si>
  <si>
    <t>150030035110</t>
  </si>
  <si>
    <t>MI2101918163</t>
  </si>
  <si>
    <t>WI210172322</t>
  </si>
  <si>
    <t>MI2101918253</t>
  </si>
  <si>
    <t>WI210172329</t>
  </si>
  <si>
    <t>150030036211</t>
  </si>
  <si>
    <t>MI2101918360</t>
  </si>
  <si>
    <t>WI210172635</t>
  </si>
  <si>
    <t>MI2101921839</t>
  </si>
  <si>
    <t>WI21017293</t>
  </si>
  <si>
    <t>WI210173028</t>
  </si>
  <si>
    <t>MI2101927289</t>
  </si>
  <si>
    <t>WI210173074</t>
  </si>
  <si>
    <t>MI2101927821</t>
  </si>
  <si>
    <t>WI21017309</t>
  </si>
  <si>
    <t>MI210190213</t>
  </si>
  <si>
    <t>WI21017310</t>
  </si>
  <si>
    <t>150030035856</t>
  </si>
  <si>
    <t>MI210190285</t>
  </si>
  <si>
    <t>WI21017318</t>
  </si>
  <si>
    <t>150030035662</t>
  </si>
  <si>
    <t>MI210190245</t>
  </si>
  <si>
    <t>WI210173191</t>
  </si>
  <si>
    <t>MI2101928862</t>
  </si>
  <si>
    <t>WI210173196</t>
  </si>
  <si>
    <t>150100001305</t>
  </si>
  <si>
    <t>MI2101928913</t>
  </si>
  <si>
    <t>WI210173204</t>
  </si>
  <si>
    <t>150030037281</t>
  </si>
  <si>
    <t>MI2101929027</t>
  </si>
  <si>
    <t>WI210173232</t>
  </si>
  <si>
    <t>MI2101929616</t>
  </si>
  <si>
    <t>WI210173246</t>
  </si>
  <si>
    <t>150030034993</t>
  </si>
  <si>
    <t>MI2101929789</t>
  </si>
  <si>
    <t>WI210173253</t>
  </si>
  <si>
    <t>150100001302</t>
  </si>
  <si>
    <t>MI2101929932</t>
  </si>
  <si>
    <t>WI210173258</t>
  </si>
  <si>
    <t>150100001306</t>
  </si>
  <si>
    <t>MI2101929935</t>
  </si>
  <si>
    <t>WI210173263</t>
  </si>
  <si>
    <t>WI210173265</t>
  </si>
  <si>
    <t>150030037254</t>
  </si>
  <si>
    <t>MI2101930332</t>
  </si>
  <si>
    <t>WI210173272</t>
  </si>
  <si>
    <t>MI2101930412</t>
  </si>
  <si>
    <t>WI210173274</t>
  </si>
  <si>
    <t>MI2101930424</t>
  </si>
  <si>
    <t>WI210173275</t>
  </si>
  <si>
    <t>MI2101930451</t>
  </si>
  <si>
    <t>WI210173279</t>
  </si>
  <si>
    <t>MI2101930481</t>
  </si>
  <si>
    <t>WI210173282</t>
  </si>
  <si>
    <t>MI2101930561</t>
  </si>
  <si>
    <t>WI210173289</t>
  </si>
  <si>
    <t>MI2101930544</t>
  </si>
  <si>
    <t>WI210173291</t>
  </si>
  <si>
    <t>MI2101930629</t>
  </si>
  <si>
    <t>WI210173296</t>
  </si>
  <si>
    <t>150030034734</t>
  </si>
  <si>
    <t>MI2101930692</t>
  </si>
  <si>
    <t>WI210173299</t>
  </si>
  <si>
    <t>150030037304</t>
  </si>
  <si>
    <t>MI2101930686</t>
  </si>
  <si>
    <t>WI210173300</t>
  </si>
  <si>
    <t>MI2101930703</t>
  </si>
  <si>
    <t>WI210173309</t>
  </si>
  <si>
    <t>MI2101930893</t>
  </si>
  <si>
    <t>WI210173318</t>
  </si>
  <si>
    <t>MI2101930942</t>
  </si>
  <si>
    <t>WI210173321</t>
  </si>
  <si>
    <t>MI2101930914</t>
  </si>
  <si>
    <t>WI210173323</t>
  </si>
  <si>
    <t>MI2101930976</t>
  </si>
  <si>
    <t>WI210173353</t>
  </si>
  <si>
    <t>150100001265</t>
  </si>
  <si>
    <t>MI2101931909</t>
  </si>
  <si>
    <t>WI210173369</t>
  </si>
  <si>
    <t>150030036100</t>
  </si>
  <si>
    <t>MI2101932073</t>
  </si>
  <si>
    <t>WI210173420</t>
  </si>
  <si>
    <t>150030037282</t>
  </si>
  <si>
    <t>MI2101932649</t>
  </si>
  <si>
    <t>WI210173426</t>
  </si>
  <si>
    <t>150030036943</t>
  </si>
  <si>
    <t>MI2101932912</t>
  </si>
  <si>
    <t>WI210173526</t>
  </si>
  <si>
    <t>150030037463</t>
  </si>
  <si>
    <t>MI2101933561</t>
  </si>
  <si>
    <t>WI210173549</t>
  </si>
  <si>
    <t>WI210173565</t>
  </si>
  <si>
    <t>MI2101934335</t>
  </si>
  <si>
    <t>WI210173591</t>
  </si>
  <si>
    <t>150030036929</t>
  </si>
  <si>
    <t>MI2101934741</t>
  </si>
  <si>
    <t>WI210173595</t>
  </si>
  <si>
    <t>MI2101934819</t>
  </si>
  <si>
    <t>WI210173630</t>
  </si>
  <si>
    <t>WI210173782</t>
  </si>
  <si>
    <t>MI2101936660</t>
  </si>
  <si>
    <t>WI210173826</t>
  </si>
  <si>
    <t>150030037257</t>
  </si>
  <si>
    <t>MI2101937080</t>
  </si>
  <si>
    <t>WI210173858</t>
  </si>
  <si>
    <t>150030034927</t>
  </si>
  <si>
    <t>MI2101937384</t>
  </si>
  <si>
    <t>WI210173867</t>
  </si>
  <si>
    <t>MI2101937192</t>
  </si>
  <si>
    <t>WI210173879</t>
  </si>
  <si>
    <t>MI2101937650</t>
  </si>
  <si>
    <t>WI210173884</t>
  </si>
  <si>
    <t>MI2101937429</t>
  </si>
  <si>
    <t>WI210173900</t>
  </si>
  <si>
    <t>150030037266</t>
  </si>
  <si>
    <t>MI2101937735</t>
  </si>
  <si>
    <t>WI210173969</t>
  </si>
  <si>
    <t>150030037445</t>
  </si>
  <si>
    <t>MI2101938353</t>
  </si>
  <si>
    <t>WI210173978</t>
  </si>
  <si>
    <t>WI210174013</t>
  </si>
  <si>
    <t>150030037258</t>
  </si>
  <si>
    <t>MI2101938919</t>
  </si>
  <si>
    <t>WI210174037</t>
  </si>
  <si>
    <t>150030037416</t>
  </si>
  <si>
    <t>MI2101938958</t>
  </si>
  <si>
    <t>WI21017405</t>
  </si>
  <si>
    <t>MI210191586</t>
  </si>
  <si>
    <t>WI210174068</t>
  </si>
  <si>
    <t>150030037345</t>
  </si>
  <si>
    <t>MI2101939395</t>
  </si>
  <si>
    <t>WI210174114</t>
  </si>
  <si>
    <t>150030034945</t>
  </si>
  <si>
    <t>MI2101939918</t>
  </si>
  <si>
    <t>WI210174120</t>
  </si>
  <si>
    <t>MI2101939985</t>
  </si>
  <si>
    <t>WI210174183</t>
  </si>
  <si>
    <t>MI2101940536</t>
  </si>
  <si>
    <t>WI210174281</t>
  </si>
  <si>
    <t>150030037413</t>
  </si>
  <si>
    <t>MI2101941677</t>
  </si>
  <si>
    <t>WI210174334</t>
  </si>
  <si>
    <t>150030037313</t>
  </si>
  <si>
    <t>MI2101942294</t>
  </si>
  <si>
    <t>WI21017444</t>
  </si>
  <si>
    <t>MI210192265</t>
  </si>
  <si>
    <t>WI210174478</t>
  </si>
  <si>
    <t>150030037285</t>
  </si>
  <si>
    <t>MI2101943809</t>
  </si>
  <si>
    <t>WI21017450</t>
  </si>
  <si>
    <t>150030033566</t>
  </si>
  <si>
    <t>MI210192374</t>
  </si>
  <si>
    <t>WI21017454</t>
  </si>
  <si>
    <t>150030035955</t>
  </si>
  <si>
    <t>MI210192101</t>
  </si>
  <si>
    <t>WI210174558</t>
  </si>
  <si>
    <t>150030034777</t>
  </si>
  <si>
    <t>MI2101945002</t>
  </si>
  <si>
    <t>WI21017456</t>
  </si>
  <si>
    <t>150030036023</t>
  </si>
  <si>
    <t>MI210192442</t>
  </si>
  <si>
    <t>WI210174637</t>
  </si>
  <si>
    <t>150030037341</t>
  </si>
  <si>
    <t>MI2101945672</t>
  </si>
  <si>
    <t>WI210174640</t>
  </si>
  <si>
    <t>150030036945</t>
  </si>
  <si>
    <t>MI2101945873</t>
  </si>
  <si>
    <t>WI210174731</t>
  </si>
  <si>
    <t>150030034848</t>
  </si>
  <si>
    <t>MI2101947529</t>
  </si>
  <si>
    <t>WI210174733</t>
  </si>
  <si>
    <t>MI2101947552</t>
  </si>
  <si>
    <t>WI210174737</t>
  </si>
  <si>
    <t>MI2101947578</t>
  </si>
  <si>
    <t>WI210174739</t>
  </si>
  <si>
    <t>MI2101947614</t>
  </si>
  <si>
    <t>WI210174766</t>
  </si>
  <si>
    <t>150030037414</t>
  </si>
  <si>
    <t>MI2101948101</t>
  </si>
  <si>
    <t>WI210174784</t>
  </si>
  <si>
    <t>MI2101948498</t>
  </si>
  <si>
    <t>WI210174796</t>
  </si>
  <si>
    <t>MI2101948619</t>
  </si>
  <si>
    <t>WI210174806</t>
  </si>
  <si>
    <t>MI2101948729</t>
  </si>
  <si>
    <t>WI210174818</t>
  </si>
  <si>
    <t>MI2101948799</t>
  </si>
  <si>
    <t>WI210174864</t>
  </si>
  <si>
    <t>150030034394</t>
  </si>
  <si>
    <t>MI2101949175</t>
  </si>
  <si>
    <t>WI210174879</t>
  </si>
  <si>
    <t>MI2101949599</t>
  </si>
  <si>
    <t>WI210174899</t>
  </si>
  <si>
    <t>150030037299</t>
  </si>
  <si>
    <t>MI2101949774</t>
  </si>
  <si>
    <t>WI210174931</t>
  </si>
  <si>
    <t>WI210174935</t>
  </si>
  <si>
    <t>MI2101950117</t>
  </si>
  <si>
    <t>WI210174945</t>
  </si>
  <si>
    <t>150030034409</t>
  </si>
  <si>
    <t>MI2101950116</t>
  </si>
  <si>
    <t>WI210174949</t>
  </si>
  <si>
    <t>MI2101950179</t>
  </si>
  <si>
    <t>WI210174959</t>
  </si>
  <si>
    <t>MI2101950216</t>
  </si>
  <si>
    <t>WI210174994</t>
  </si>
  <si>
    <t>150030037436</t>
  </si>
  <si>
    <t>MI2101950832</t>
  </si>
  <si>
    <t>WI210175031</t>
  </si>
  <si>
    <t>MI2101951281</t>
  </si>
  <si>
    <t>WI210175033</t>
  </si>
  <si>
    <t>MI2101951354</t>
  </si>
  <si>
    <t>WI210175037</t>
  </si>
  <si>
    <t>MI2101951559</t>
  </si>
  <si>
    <t>WI21017506</t>
  </si>
  <si>
    <t>MI210192887</t>
  </si>
  <si>
    <t>WI210175181</t>
  </si>
  <si>
    <t>150030037371</t>
  </si>
  <si>
    <t>MI2101953348</t>
  </si>
  <si>
    <t>WI210175195</t>
  </si>
  <si>
    <t>150030034819</t>
  </si>
  <si>
    <t>MI2101953697</t>
  </si>
  <si>
    <t>WI210175222</t>
  </si>
  <si>
    <t>MI2101954004</t>
  </si>
  <si>
    <t>WI210175240</t>
  </si>
  <si>
    <t>150030033531</t>
  </si>
  <si>
    <t>MI2101954121</t>
  </si>
  <si>
    <t>WI210175250</t>
  </si>
  <si>
    <t>WI210175251</t>
  </si>
  <si>
    <t>150030033846</t>
  </si>
  <si>
    <t>MI2101954093</t>
  </si>
  <si>
    <t>WI210175267</t>
  </si>
  <si>
    <t>MI2101954208</t>
  </si>
  <si>
    <t>WI210175271</t>
  </si>
  <si>
    <t>MI2101954627</t>
  </si>
  <si>
    <t>WI210175286</t>
  </si>
  <si>
    <t>MI2101954273</t>
  </si>
  <si>
    <t>WI210175304</t>
  </si>
  <si>
    <t>150030037271</t>
  </si>
  <si>
    <t>MI2101955043</t>
  </si>
  <si>
    <t>WI210175373</t>
  </si>
  <si>
    <t>WI210175452</t>
  </si>
  <si>
    <t>MI2101956395</t>
  </si>
  <si>
    <t>WI21017546</t>
  </si>
  <si>
    <t>150030036097</t>
  </si>
  <si>
    <t>MI210193481</t>
  </si>
  <si>
    <t>WI210175516</t>
  </si>
  <si>
    <t>WI210175525</t>
  </si>
  <si>
    <t>MI2101957082</t>
  </si>
  <si>
    <t>WI210175595</t>
  </si>
  <si>
    <t>MI2101958059</t>
  </si>
  <si>
    <t>WI210175619</t>
  </si>
  <si>
    <t>MI2101958312</t>
  </si>
  <si>
    <t>WI210175626</t>
  </si>
  <si>
    <t>MI2101958342</t>
  </si>
  <si>
    <t>WI210175660</t>
  </si>
  <si>
    <t>MI2101958514</t>
  </si>
  <si>
    <t>WI210175693</t>
  </si>
  <si>
    <t>MI2101958650</t>
  </si>
  <si>
    <t>WI210175734</t>
  </si>
  <si>
    <t>110790000946</t>
  </si>
  <si>
    <t>MI2101940953</t>
  </si>
  <si>
    <t>WI210175740</t>
  </si>
  <si>
    <t>WI210175745</t>
  </si>
  <si>
    <t>MI2101959510</t>
  </si>
  <si>
    <t>WI210175749</t>
  </si>
  <si>
    <t>MI2101959525</t>
  </si>
  <si>
    <t>WI210175757</t>
  </si>
  <si>
    <t>MI2101959635</t>
  </si>
  <si>
    <t>WI210175759</t>
  </si>
  <si>
    <t>MI2101959641</t>
  </si>
  <si>
    <t>WI210175783</t>
  </si>
  <si>
    <t>MI2101960164</t>
  </si>
  <si>
    <t>WI210175786</t>
  </si>
  <si>
    <t>MI2101960189</t>
  </si>
  <si>
    <t>WI210175788</t>
  </si>
  <si>
    <t>WI210175853</t>
  </si>
  <si>
    <t>MI2101961083</t>
  </si>
  <si>
    <t>WI210175856</t>
  </si>
  <si>
    <t>MI2101961138</t>
  </si>
  <si>
    <t>WI210175868</t>
  </si>
  <si>
    <t>150030037422</t>
  </si>
  <si>
    <t>MI2101961109</t>
  </si>
  <si>
    <t>WI210175873</t>
  </si>
  <si>
    <t>MI2101961354</t>
  </si>
  <si>
    <t>WI210175875</t>
  </si>
  <si>
    <t>MI2101961209</t>
  </si>
  <si>
    <t>WI210175905</t>
  </si>
  <si>
    <t>150030032885</t>
  </si>
  <si>
    <t>MI2101961712</t>
  </si>
  <si>
    <t>WI210175907</t>
  </si>
  <si>
    <t>MI2101961734</t>
  </si>
  <si>
    <t>WI210175923</t>
  </si>
  <si>
    <t>MI2101961922</t>
  </si>
  <si>
    <t>WI210175935</t>
  </si>
  <si>
    <t>MI2101962129</t>
  </si>
  <si>
    <t>WI210175939</t>
  </si>
  <si>
    <t>MI2101962143</t>
  </si>
  <si>
    <t>WI210175949</t>
  </si>
  <si>
    <t>MI2101962260</t>
  </si>
  <si>
    <t>WI210175955</t>
  </si>
  <si>
    <t>MI2101962336</t>
  </si>
  <si>
    <t>WI21017596</t>
  </si>
  <si>
    <t>MI210194216</t>
  </si>
  <si>
    <t>WI210175964</t>
  </si>
  <si>
    <t>150030037099</t>
  </si>
  <si>
    <t>MI2101962308</t>
  </si>
  <si>
    <t>WI210175969</t>
  </si>
  <si>
    <t>MI2101962569</t>
  </si>
  <si>
    <t>WI210175988</t>
  </si>
  <si>
    <t>MI2101962679</t>
  </si>
  <si>
    <t>WI210176021</t>
  </si>
  <si>
    <t>MI2101962805</t>
  </si>
  <si>
    <t>WI210176084</t>
  </si>
  <si>
    <t>150030035561</t>
  </si>
  <si>
    <t>MI2101963348</t>
  </si>
  <si>
    <t>WI210176127</t>
  </si>
  <si>
    <t>150030035742</t>
  </si>
  <si>
    <t>MI2101963679</t>
  </si>
  <si>
    <t>WI210176134</t>
  </si>
  <si>
    <t>MI2101963728</t>
  </si>
  <si>
    <t>WI210176145</t>
  </si>
  <si>
    <t>MI2101963798</t>
  </si>
  <si>
    <t>WI210176157</t>
  </si>
  <si>
    <t>WI210176224</t>
  </si>
  <si>
    <t>150030035402</t>
  </si>
  <si>
    <t>MI2101965255</t>
  </si>
  <si>
    <t>WI210176236</t>
  </si>
  <si>
    <t>WI210176247</t>
  </si>
  <si>
    <t>MI2101965463</t>
  </si>
  <si>
    <t>WI210176257</t>
  </si>
  <si>
    <t>MI2101965667</t>
  </si>
  <si>
    <t>WI210176274</t>
  </si>
  <si>
    <t>MI2101965735</t>
  </si>
  <si>
    <t>WI210176330</t>
  </si>
  <si>
    <t>MI2101966336</t>
  </si>
  <si>
    <t>WI210176335</t>
  </si>
  <si>
    <t>MI2101966564</t>
  </si>
  <si>
    <t>WI210176365</t>
  </si>
  <si>
    <t>MI2101966902</t>
  </si>
  <si>
    <t>WI210176370</t>
  </si>
  <si>
    <t>MI2101967027</t>
  </si>
  <si>
    <t>WI210176411</t>
  </si>
  <si>
    <t>MI2101967387</t>
  </si>
  <si>
    <t>WI21017644</t>
  </si>
  <si>
    <t>MI210195330</t>
  </si>
  <si>
    <t>WI210176464</t>
  </si>
  <si>
    <t>MI2101967959</t>
  </si>
  <si>
    <t>WI210176475</t>
  </si>
  <si>
    <t>150030034554</t>
  </si>
  <si>
    <t>MI2101968098</t>
  </si>
  <si>
    <t>WI210176479</t>
  </si>
  <si>
    <t>MI2101968145</t>
  </si>
  <si>
    <t>WI210176482</t>
  </si>
  <si>
    <t>MI2101968165</t>
  </si>
  <si>
    <t>WI210176491</t>
  </si>
  <si>
    <t>150030037302</t>
  </si>
  <si>
    <t>MI2101968304</t>
  </si>
  <si>
    <t>WI210176493</t>
  </si>
  <si>
    <t>MI2101968435</t>
  </si>
  <si>
    <t>WI210176506</t>
  </si>
  <si>
    <t>150100001221</t>
  </si>
  <si>
    <t>MI2101968443</t>
  </si>
  <si>
    <t>WI210176513</t>
  </si>
  <si>
    <t>MI2101968783</t>
  </si>
  <si>
    <t>WI210176518</t>
  </si>
  <si>
    <t>MI2101968646</t>
  </si>
  <si>
    <t>WI210176524</t>
  </si>
  <si>
    <t>MI2101968865</t>
  </si>
  <si>
    <t>WI210176528</t>
  </si>
  <si>
    <t>MI2101968921</t>
  </si>
  <si>
    <t>WI210176532</t>
  </si>
  <si>
    <t>MI2101969043</t>
  </si>
  <si>
    <t>WI210176538</t>
  </si>
  <si>
    <t>MI2101969104</t>
  </si>
  <si>
    <t>WI210176548</t>
  </si>
  <si>
    <t>MI2101969153</t>
  </si>
  <si>
    <t>WI210176553</t>
  </si>
  <si>
    <t>MI2101969284</t>
  </si>
  <si>
    <t>WI210176562</t>
  </si>
  <si>
    <t>MI2101969318</t>
  </si>
  <si>
    <t>WI210176566</t>
  </si>
  <si>
    <t>MI2101969234</t>
  </si>
  <si>
    <t>WI210176571</t>
  </si>
  <si>
    <t>MI2101969588</t>
  </si>
  <si>
    <t>WI21017664</t>
  </si>
  <si>
    <t>150030036136</t>
  </si>
  <si>
    <t>MI210195304</t>
  </si>
  <si>
    <t>WI210176645</t>
  </si>
  <si>
    <t>MI2101970283</t>
  </si>
  <si>
    <t>WI210176718</t>
  </si>
  <si>
    <t>MI2101971348</t>
  </si>
  <si>
    <t>WI21017673</t>
  </si>
  <si>
    <t>150030034158</t>
  </si>
  <si>
    <t>MI210195744</t>
  </si>
  <si>
    <t>WI210176731</t>
  </si>
  <si>
    <t>MI2101971452</t>
  </si>
  <si>
    <t>WI21017674</t>
  </si>
  <si>
    <t>150030034281</t>
  </si>
  <si>
    <t>MI210195752</t>
  </si>
  <si>
    <t>WI210176761</t>
  </si>
  <si>
    <t>MI2101972107</t>
  </si>
  <si>
    <t>WI210176769</t>
  </si>
  <si>
    <t>MI2101972341</t>
  </si>
  <si>
    <t>WI210176776</t>
  </si>
  <si>
    <t>WI210176788</t>
  </si>
  <si>
    <t>WI210176800</t>
  </si>
  <si>
    <t>MI2101972643</t>
  </si>
  <si>
    <t>WI210176809</t>
  </si>
  <si>
    <t>MI2101972721</t>
  </si>
  <si>
    <t>WI210176844</t>
  </si>
  <si>
    <t>MI2101973829</t>
  </si>
  <si>
    <t>WI210176845</t>
  </si>
  <si>
    <t>150030034908</t>
  </si>
  <si>
    <t>MI2101973824</t>
  </si>
  <si>
    <t>WI210176852</t>
  </si>
  <si>
    <t>MI2101973871</t>
  </si>
  <si>
    <t>WI210176899</t>
  </si>
  <si>
    <t>MI2101974753</t>
  </si>
  <si>
    <t>WI210176933</t>
  </si>
  <si>
    <t>MI2101975689</t>
  </si>
  <si>
    <t>WI210176970</t>
  </si>
  <si>
    <t>MI2101976237</t>
  </si>
  <si>
    <t>WI210176996</t>
  </si>
  <si>
    <t>150030037459</t>
  </si>
  <si>
    <t>MI2101976605</t>
  </si>
  <si>
    <t>WI210176998</t>
  </si>
  <si>
    <t>WI210177021</t>
  </si>
  <si>
    <t>150030035382</t>
  </si>
  <si>
    <t>MI2101976930</t>
  </si>
  <si>
    <t>WI210177072</t>
  </si>
  <si>
    <t>MI2101978257</t>
  </si>
  <si>
    <t>WI210177098</t>
  </si>
  <si>
    <t>150030034691</t>
  </si>
  <si>
    <t>MI2101978354</t>
  </si>
  <si>
    <t>WI210177140</t>
  </si>
  <si>
    <t>150030037206</t>
  </si>
  <si>
    <t>MI2101978812</t>
  </si>
  <si>
    <t>WI210177152</t>
  </si>
  <si>
    <t>MI2101978956</t>
  </si>
  <si>
    <t>WI210177221</t>
  </si>
  <si>
    <t>MI2101979951</t>
  </si>
  <si>
    <t>WI21017726</t>
  </si>
  <si>
    <t>WI210177487</t>
  </si>
  <si>
    <t>150030033444</t>
  </si>
  <si>
    <t>MI2101984329</t>
  </si>
  <si>
    <t>WI210177489</t>
  </si>
  <si>
    <t>MI2101984419</t>
  </si>
  <si>
    <t>WI210177497</t>
  </si>
  <si>
    <t>MI2101984618</t>
  </si>
  <si>
    <t>WI210177498</t>
  </si>
  <si>
    <t>MI2101984722</t>
  </si>
  <si>
    <t>WI21017781</t>
  </si>
  <si>
    <t>115960004157</t>
  </si>
  <si>
    <t>MI210196748</t>
  </si>
  <si>
    <t>WI210177855</t>
  </si>
  <si>
    <t>MI2101989201</t>
  </si>
  <si>
    <t>WI210177857</t>
  </si>
  <si>
    <t>MI2101989229</t>
  </si>
  <si>
    <t>WI210177861</t>
  </si>
  <si>
    <t>MI2101989286</t>
  </si>
  <si>
    <t>WI210177863</t>
  </si>
  <si>
    <t>MI2101989256</t>
  </si>
  <si>
    <t>WI210177864</t>
  </si>
  <si>
    <t>MI2101989387</t>
  </si>
  <si>
    <t>WI210177865</t>
  </si>
  <si>
    <t>MI2101989298</t>
  </si>
  <si>
    <t>WI210177892</t>
  </si>
  <si>
    <t>MI2101989579</t>
  </si>
  <si>
    <t>WI210177945</t>
  </si>
  <si>
    <t>150030035108</t>
  </si>
  <si>
    <t>MI2101990535</t>
  </si>
  <si>
    <t>WI210178031</t>
  </si>
  <si>
    <t>MI2101991765</t>
  </si>
  <si>
    <t>WI210178354</t>
  </si>
  <si>
    <t>150030035642</t>
  </si>
  <si>
    <t>MI2101996300</t>
  </si>
  <si>
    <t>WI210178356</t>
  </si>
  <si>
    <t>MI2101996323</t>
  </si>
  <si>
    <t>WI210178359</t>
  </si>
  <si>
    <t>MI2101996359</t>
  </si>
  <si>
    <t>WI210178460</t>
  </si>
  <si>
    <t>150030034379</t>
  </si>
  <si>
    <t>MI2101997914</t>
  </si>
  <si>
    <t>WI210178515</t>
  </si>
  <si>
    <t>MI2101998401</t>
  </si>
  <si>
    <t>WI210178518</t>
  </si>
  <si>
    <t>MI2101998418</t>
  </si>
  <si>
    <t>WI210178831</t>
  </si>
  <si>
    <t>150030035666</t>
  </si>
  <si>
    <t>MI21011004506</t>
  </si>
  <si>
    <t>WI210178833</t>
  </si>
  <si>
    <t>MI21011004723</t>
  </si>
  <si>
    <t>WI210179263</t>
  </si>
  <si>
    <t>WI210179264</t>
  </si>
  <si>
    <t>WI210179267</t>
  </si>
  <si>
    <t>WI210179268</t>
  </si>
  <si>
    <t>WI210179275</t>
  </si>
  <si>
    <t>MI21011011244</t>
  </si>
  <si>
    <t>WI210179276</t>
  </si>
  <si>
    <t>MI21011011287</t>
  </si>
  <si>
    <t>WI210179277</t>
  </si>
  <si>
    <t>150030037026</t>
  </si>
  <si>
    <t>MI21011011340</t>
  </si>
  <si>
    <t>WI210179278</t>
  </si>
  <si>
    <t>150100001311</t>
  </si>
  <si>
    <t>MI21011011395</t>
  </si>
  <si>
    <t>WI210179281</t>
  </si>
  <si>
    <t>MI21011011602</t>
  </si>
  <si>
    <t>WI210179288</t>
  </si>
  <si>
    <t>150030037330</t>
  </si>
  <si>
    <t>MI21011011893</t>
  </si>
  <si>
    <t>WI210179316</t>
  </si>
  <si>
    <t>150030036065</t>
  </si>
  <si>
    <t>MI21011012338</t>
  </si>
  <si>
    <t>WI210179317</t>
  </si>
  <si>
    <t>MI21011012373</t>
  </si>
  <si>
    <t>WI210179319</t>
  </si>
  <si>
    <t>150100001301</t>
  </si>
  <si>
    <t>MI21011012359</t>
  </si>
  <si>
    <t>WI210179332</t>
  </si>
  <si>
    <t>MI21011012864</t>
  </si>
  <si>
    <t>WI210179339</t>
  </si>
  <si>
    <t>150030034376</t>
  </si>
  <si>
    <t>MI21011012973</t>
  </si>
  <si>
    <t>WI210179364</t>
  </si>
  <si>
    <t>MI21011013401</t>
  </si>
  <si>
    <t>WI210179386</t>
  </si>
  <si>
    <t>150100001234</t>
  </si>
  <si>
    <t>MI21011013631</t>
  </si>
  <si>
    <t>WI210179388</t>
  </si>
  <si>
    <t>MI21011013667</t>
  </si>
  <si>
    <t>WI210179399</t>
  </si>
  <si>
    <t>WI210179400</t>
  </si>
  <si>
    <t>WI210179411</t>
  </si>
  <si>
    <t>MI21011014038</t>
  </si>
  <si>
    <t>WI210179452</t>
  </si>
  <si>
    <t>150030035016</t>
  </si>
  <si>
    <t>MI21011014368</t>
  </si>
  <si>
    <t>WI210179467</t>
  </si>
  <si>
    <t>150030034672</t>
  </si>
  <si>
    <t>MI21011014716</t>
  </si>
  <si>
    <t>WI210179482</t>
  </si>
  <si>
    <t>150030037458</t>
  </si>
  <si>
    <t>MI21011015133</t>
  </si>
  <si>
    <t>WI210179484</t>
  </si>
  <si>
    <t>150030037204</t>
  </si>
  <si>
    <t>MI21011015140</t>
  </si>
  <si>
    <t>WI210179489</t>
  </si>
  <si>
    <t>WI210179503</t>
  </si>
  <si>
    <t>MI21011015635</t>
  </si>
  <si>
    <t>WI210179505</t>
  </si>
  <si>
    <t>150030037358</t>
  </si>
  <si>
    <t>MI21011015749</t>
  </si>
  <si>
    <t>WI210179511</t>
  </si>
  <si>
    <t>150030037529</t>
  </si>
  <si>
    <t>MI21011015816</t>
  </si>
  <si>
    <t>WI210179522</t>
  </si>
  <si>
    <t>MI21011015645</t>
  </si>
  <si>
    <t>WI210179540</t>
  </si>
  <si>
    <t>150030037137</t>
  </si>
  <si>
    <t>MI21011016111</t>
  </si>
  <si>
    <t>WI21017955</t>
  </si>
  <si>
    <t>150030035290</t>
  </si>
  <si>
    <t>MI210198477</t>
  </si>
  <si>
    <t>WI210179551</t>
  </si>
  <si>
    <t>MI21011016359</t>
  </si>
  <si>
    <t>WI210179558</t>
  </si>
  <si>
    <t>150030037547</t>
  </si>
  <si>
    <t>MI21011016547</t>
  </si>
  <si>
    <t>WI210179560</t>
  </si>
  <si>
    <t>MI21011016751</t>
  </si>
  <si>
    <t>WI210179564</t>
  </si>
  <si>
    <t>MI21011016870</t>
  </si>
  <si>
    <t>WI210179572</t>
  </si>
  <si>
    <t>150080000778</t>
  </si>
  <si>
    <t>MI21011016879</t>
  </si>
  <si>
    <t>WI210179582</t>
  </si>
  <si>
    <t>MI21011017206</t>
  </si>
  <si>
    <t>WI210179583</t>
  </si>
  <si>
    <t>WI210179591</t>
  </si>
  <si>
    <t>MI21011017310</t>
  </si>
  <si>
    <t>WI210179594</t>
  </si>
  <si>
    <t>MI21011017354</t>
  </si>
  <si>
    <t>WI210179615</t>
  </si>
  <si>
    <t>150030034674</t>
  </si>
  <si>
    <t>MI21011017380</t>
  </si>
  <si>
    <t>WI210179617</t>
  </si>
  <si>
    <t>150030037535</t>
  </si>
  <si>
    <t>MI21011017545</t>
  </si>
  <si>
    <t>WI210179627</t>
  </si>
  <si>
    <t>150030037138</t>
  </si>
  <si>
    <t>MI21011017564</t>
  </si>
  <si>
    <t>WI210179644</t>
  </si>
  <si>
    <t>150030035166</t>
  </si>
  <si>
    <t>MI21011017961</t>
  </si>
  <si>
    <t>WI210179657</t>
  </si>
  <si>
    <t>150030037448</t>
  </si>
  <si>
    <t>MI21011018141</t>
  </si>
  <si>
    <t>WI210179668</t>
  </si>
  <si>
    <t>150030037523</t>
  </si>
  <si>
    <t>MI21011018281</t>
  </si>
  <si>
    <t>WI210179669</t>
  </si>
  <si>
    <t>MI21011018358</t>
  </si>
  <si>
    <t>WI210179671</t>
  </si>
  <si>
    <t>150030036985</t>
  </si>
  <si>
    <t>MI21011018210</t>
  </si>
  <si>
    <t>WI210179716</t>
  </si>
  <si>
    <t>150030037378</t>
  </si>
  <si>
    <t>MI21011019478</t>
  </si>
  <si>
    <t>WI210179743</t>
  </si>
  <si>
    <t>WI210179755</t>
  </si>
  <si>
    <t>WI210179758</t>
  </si>
  <si>
    <t>150030037462</t>
  </si>
  <si>
    <t>MI21011019974</t>
  </si>
  <si>
    <t>WI21017976</t>
  </si>
  <si>
    <t>MI210199499</t>
  </si>
  <si>
    <t>WI21017980</t>
  </si>
  <si>
    <t>MI210199552</t>
  </si>
  <si>
    <t>WI21017983</t>
  </si>
  <si>
    <t>MI210199479</t>
  </si>
  <si>
    <t>WI210179843</t>
  </si>
  <si>
    <t>MI21011021237</t>
  </si>
  <si>
    <t>WI210179847</t>
  </si>
  <si>
    <t>MI21011021269</t>
  </si>
  <si>
    <t>WI210179874</t>
  </si>
  <si>
    <t>150030035435</t>
  </si>
  <si>
    <t>MI21011021468</t>
  </si>
  <si>
    <t>WI21017988</t>
  </si>
  <si>
    <t>MI210199616</t>
  </si>
  <si>
    <t>WI21017995</t>
  </si>
  <si>
    <t>WI210179962</t>
  </si>
  <si>
    <t>MI21011023362</t>
  </si>
  <si>
    <t>WI210179969</t>
  </si>
  <si>
    <t>MI21011023587</t>
  </si>
  <si>
    <t>WI210179971</t>
  </si>
  <si>
    <t>150030037519</t>
  </si>
  <si>
    <t>MI21011023434</t>
  </si>
  <si>
    <t>WI210179986</t>
  </si>
  <si>
    <t>150030037354</t>
  </si>
  <si>
    <t>MI21011023711</t>
  </si>
  <si>
    <t>WI21018005</t>
  </si>
  <si>
    <t>MI210199870</t>
  </si>
  <si>
    <t>WI210180056</t>
  </si>
  <si>
    <t>150030037467</t>
  </si>
  <si>
    <t>MI21011024730</t>
  </si>
  <si>
    <t>WI210180076</t>
  </si>
  <si>
    <t>MI21011025266</t>
  </si>
  <si>
    <t>WI210180078</t>
  </si>
  <si>
    <t>150030034465</t>
  </si>
  <si>
    <t>MI21011025365</t>
  </si>
  <si>
    <t>WI210180084</t>
  </si>
  <si>
    <t>MI21011025380</t>
  </si>
  <si>
    <t>WI210180111</t>
  </si>
  <si>
    <t>MI21011025982</t>
  </si>
  <si>
    <t>WI210180115</t>
  </si>
  <si>
    <t>MI21011026050</t>
  </si>
  <si>
    <t>WI210180124</t>
  </si>
  <si>
    <t>WI210180129</t>
  </si>
  <si>
    <t>WI210180179</t>
  </si>
  <si>
    <t>MI21011026877</t>
  </si>
  <si>
    <t>WI210180184</t>
  </si>
  <si>
    <t>MI21011027147</t>
  </si>
  <si>
    <t>WI210180188</t>
  </si>
  <si>
    <t>MI21011027153</t>
  </si>
  <si>
    <t>WI210180216</t>
  </si>
  <si>
    <t>MI21011027595</t>
  </si>
  <si>
    <t>WI210180240</t>
  </si>
  <si>
    <t>MI21011027956</t>
  </si>
  <si>
    <t>WI21018026</t>
  </si>
  <si>
    <t>MI2101100403</t>
  </si>
  <si>
    <t>WI210180273</t>
  </si>
  <si>
    <t>150030037240</t>
  </si>
  <si>
    <t>MI21011028027</t>
  </si>
  <si>
    <t>WI210180278</t>
  </si>
  <si>
    <t>150030034846</t>
  </si>
  <si>
    <t>MI21011028068</t>
  </si>
  <si>
    <t>WI210180287</t>
  </si>
  <si>
    <t>150030036301</t>
  </si>
  <si>
    <t>MI21011028229</t>
  </si>
  <si>
    <t>WI210180324</t>
  </si>
  <si>
    <t>WI210180336</t>
  </si>
  <si>
    <t>MI21011028619</t>
  </si>
  <si>
    <t>WI210180360</t>
  </si>
  <si>
    <t>150030034874</t>
  </si>
  <si>
    <t>MI21011028930</t>
  </si>
  <si>
    <t>WI210180361</t>
  </si>
  <si>
    <t>150030037401</t>
  </si>
  <si>
    <t>MI21011028536</t>
  </si>
  <si>
    <t>WI210180422</t>
  </si>
  <si>
    <t>MI21011029609</t>
  </si>
  <si>
    <t>WI210180426</t>
  </si>
  <si>
    <t>150030037253</t>
  </si>
  <si>
    <t>MI21011029634</t>
  </si>
  <si>
    <t>WI210180451</t>
  </si>
  <si>
    <t>150030037405</t>
  </si>
  <si>
    <t>MI21011029981</t>
  </si>
  <si>
    <t>WI210180457</t>
  </si>
  <si>
    <t>WI210180460</t>
  </si>
  <si>
    <t>150030037247</t>
  </si>
  <si>
    <t>MI21011029979</t>
  </si>
  <si>
    <t>WI210180462</t>
  </si>
  <si>
    <t>WI210180518</t>
  </si>
  <si>
    <t>150030035280</t>
  </si>
  <si>
    <t>MI21011030677</t>
  </si>
  <si>
    <t>WI210180530</t>
  </si>
  <si>
    <t>MI21011030886</t>
  </si>
  <si>
    <t>WI210180623</t>
  </si>
  <si>
    <t>150030034816</t>
  </si>
  <si>
    <t>MI21011031420</t>
  </si>
  <si>
    <t>WI210180637</t>
  </si>
  <si>
    <t>150030037344</t>
  </si>
  <si>
    <t>MI21011031675</t>
  </si>
  <si>
    <t>WI21018064</t>
  </si>
  <si>
    <t>MI2101100960</t>
  </si>
  <si>
    <t>WI210180660</t>
  </si>
  <si>
    <t>150030037493</t>
  </si>
  <si>
    <t>MI21011031857</t>
  </si>
  <si>
    <t>WI210180668</t>
  </si>
  <si>
    <t>150030035253</t>
  </si>
  <si>
    <t>MI21011032093</t>
  </si>
  <si>
    <t>WI21018068</t>
  </si>
  <si>
    <t>WI21018070</t>
  </si>
  <si>
    <t>150030032845</t>
  </si>
  <si>
    <t>MI2101101109</t>
  </si>
  <si>
    <t>WI210180734</t>
  </si>
  <si>
    <t>150030032811</t>
  </si>
  <si>
    <t>MI21011032400</t>
  </si>
  <si>
    <t>WI210180794</t>
  </si>
  <si>
    <t>MI21011033295</t>
  </si>
  <si>
    <t>WI210180808</t>
  </si>
  <si>
    <t>MI21011033522</t>
  </si>
  <si>
    <t>WI210180838</t>
  </si>
  <si>
    <t>MI21011033924</t>
  </si>
  <si>
    <t>WI210180854</t>
  </si>
  <si>
    <t>WI210180902</t>
  </si>
  <si>
    <t>150030037417</t>
  </si>
  <si>
    <t>MI21011034674</t>
  </si>
  <si>
    <t>WI210180918</t>
  </si>
  <si>
    <t>150030037509</t>
  </si>
  <si>
    <t>MI21011035049</t>
  </si>
  <si>
    <t>WI210180928</t>
  </si>
  <si>
    <t>150030037245</t>
  </si>
  <si>
    <t>MI21011035317</t>
  </si>
  <si>
    <t>WI210180973</t>
  </si>
  <si>
    <t>MI21011035792</t>
  </si>
  <si>
    <t>WI210180976</t>
  </si>
  <si>
    <t>150030037515</t>
  </si>
  <si>
    <t>MI21011035773</t>
  </si>
  <si>
    <t>WI210181029</t>
  </si>
  <si>
    <t>150030037229</t>
  </si>
  <si>
    <t>MI21011037247</t>
  </si>
  <si>
    <t>WI210181047</t>
  </si>
  <si>
    <t>MI21011037392</t>
  </si>
  <si>
    <t>WI210181050</t>
  </si>
  <si>
    <t>MI21011037415</t>
  </si>
  <si>
    <t>WI210181061</t>
  </si>
  <si>
    <t>MI21011037150</t>
  </si>
  <si>
    <t>WI210181064</t>
  </si>
  <si>
    <t>MI21011037689</t>
  </si>
  <si>
    <t>WI210181068</t>
  </si>
  <si>
    <t>MI21011037730</t>
  </si>
  <si>
    <t>WI210181073</t>
  </si>
  <si>
    <t>150030036001</t>
  </si>
  <si>
    <t>MI21011037866</t>
  </si>
  <si>
    <t>WI210181098</t>
  </si>
  <si>
    <t>150030037367</t>
  </si>
  <si>
    <t>MI21011038453</t>
  </si>
  <si>
    <t>WI210181118</t>
  </si>
  <si>
    <t>MI21011038830</t>
  </si>
  <si>
    <t>WI210181146</t>
  </si>
  <si>
    <t>MI21011039155</t>
  </si>
  <si>
    <t>WI210181157</t>
  </si>
  <si>
    <t>MI21011039263</t>
  </si>
  <si>
    <t>WI210181202</t>
  </si>
  <si>
    <t>MI21011039755</t>
  </si>
  <si>
    <t>WI210181212</t>
  </si>
  <si>
    <t>150030037207</t>
  </si>
  <si>
    <t>MI21011039647</t>
  </si>
  <si>
    <t>WI210181214</t>
  </si>
  <si>
    <t>MI21011039914</t>
  </si>
  <si>
    <t>WI210181229</t>
  </si>
  <si>
    <t>MI21011040022</t>
  </si>
  <si>
    <t>WI210181234</t>
  </si>
  <si>
    <t>MI21011040163</t>
  </si>
  <si>
    <t>WI210181251</t>
  </si>
  <si>
    <t>150100001189</t>
  </si>
  <si>
    <t>MI21011040670</t>
  </si>
  <si>
    <t>WI210181282</t>
  </si>
  <si>
    <t>MI21011040932</t>
  </si>
  <si>
    <t>WI210181296</t>
  </si>
  <si>
    <t>WI210181298</t>
  </si>
  <si>
    <t>WI210181340</t>
  </si>
  <si>
    <t>MI21011041685</t>
  </si>
  <si>
    <t>WI210181344</t>
  </si>
  <si>
    <t>MI21011041783</t>
  </si>
  <si>
    <t>WI210181345</t>
  </si>
  <si>
    <t>MI21011041494</t>
  </si>
  <si>
    <t>WI210181354</t>
  </si>
  <si>
    <t>MI21011041992</t>
  </si>
  <si>
    <t>WI210181358</t>
  </si>
  <si>
    <t>WI210181361</t>
  </si>
  <si>
    <t>MI21011042088</t>
  </si>
  <si>
    <t>WI210181364</t>
  </si>
  <si>
    <t>WI210181368</t>
  </si>
  <si>
    <t>MI21011042090</t>
  </si>
  <si>
    <t>WI210181371</t>
  </si>
  <si>
    <t>MI21011042166</t>
  </si>
  <si>
    <t>WI210181380</t>
  </si>
  <si>
    <t>MI21011042517</t>
  </si>
  <si>
    <t>WI210181387</t>
  </si>
  <si>
    <t>MI21011042743</t>
  </si>
  <si>
    <t>WI210181395</t>
  </si>
  <si>
    <t>MI21011042912</t>
  </si>
  <si>
    <t>WI210181415</t>
  </si>
  <si>
    <t>MI21011043198</t>
  </si>
  <si>
    <t>WI210181431</t>
  </si>
  <si>
    <t>MI21011043247</t>
  </si>
  <si>
    <t>WI210181441</t>
  </si>
  <si>
    <t>WI210181473</t>
  </si>
  <si>
    <t>150030037428</t>
  </si>
  <si>
    <t>MI21011044385</t>
  </si>
  <si>
    <t>WI210181505</t>
  </si>
  <si>
    <t>MI21011045077</t>
  </si>
  <si>
    <t>WI210181531</t>
  </si>
  <si>
    <t>150030035460</t>
  </si>
  <si>
    <t>MI21011045069</t>
  </si>
  <si>
    <t>WI210181563</t>
  </si>
  <si>
    <t>MI21011045647</t>
  </si>
  <si>
    <t>WI210181600</t>
  </si>
  <si>
    <t>MI21011045896</t>
  </si>
  <si>
    <t>WI210181602</t>
  </si>
  <si>
    <t>MI21011045949</t>
  </si>
  <si>
    <t>WI210181664</t>
  </si>
  <si>
    <t>MI21011046607</t>
  </si>
  <si>
    <t>WI210181672</t>
  </si>
  <si>
    <t>150030035393</t>
  </si>
  <si>
    <t>MI21011046679</t>
  </si>
  <si>
    <t>WI210181683</t>
  </si>
  <si>
    <t>150030037168</t>
  </si>
  <si>
    <t>MI21011046682</t>
  </si>
  <si>
    <t>WI210181684</t>
  </si>
  <si>
    <t>MI21011046779</t>
  </si>
  <si>
    <t>WI210181713</t>
  </si>
  <si>
    <t>150030037321</t>
  </si>
  <si>
    <t>MI21011046900</t>
  </si>
  <si>
    <t>WI210181723</t>
  </si>
  <si>
    <t>MI21011047169</t>
  </si>
  <si>
    <t>WI21018173</t>
  </si>
  <si>
    <t>150030032544</t>
  </si>
  <si>
    <t>MI2101102087</t>
  </si>
  <si>
    <t>WI210181752</t>
  </si>
  <si>
    <t>MI21011047490</t>
  </si>
  <si>
    <t>WI210181766</t>
  </si>
  <si>
    <t>MI21011047419</t>
  </si>
  <si>
    <t>WI210181768</t>
  </si>
  <si>
    <t>150030037475</t>
  </si>
  <si>
    <t>MI21011047543</t>
  </si>
  <si>
    <t>WI210181783</t>
  </si>
  <si>
    <t>MI21011047908</t>
  </si>
  <si>
    <t>WI21018179</t>
  </si>
  <si>
    <t>MI2101102147</t>
  </si>
  <si>
    <t>WI210181791</t>
  </si>
  <si>
    <t>MI21011047659</t>
  </si>
  <si>
    <t>WI210181805</t>
  </si>
  <si>
    <t>MI21011048325</t>
  </si>
  <si>
    <t>WI210181833</t>
  </si>
  <si>
    <t>150030035009</t>
  </si>
  <si>
    <t>MI21011048482</t>
  </si>
  <si>
    <t>WI210181868</t>
  </si>
  <si>
    <t>WI210181869</t>
  </si>
  <si>
    <t>MI21011049021</t>
  </si>
  <si>
    <t>WI210181876</t>
  </si>
  <si>
    <t>MI21011049174</t>
  </si>
  <si>
    <t>WI210181908</t>
  </si>
  <si>
    <t>WI210181914</t>
  </si>
  <si>
    <t>150030036897</t>
  </si>
  <si>
    <t>MI21011049290</t>
  </si>
  <si>
    <t>WI210181986</t>
  </si>
  <si>
    <t>MI21011050415</t>
  </si>
  <si>
    <t>WI210182018</t>
  </si>
  <si>
    <t>MI21011050730</t>
  </si>
  <si>
    <t>WI210182062</t>
  </si>
  <si>
    <t>150030037352</t>
  </si>
  <si>
    <t>MI21011051410</t>
  </si>
  <si>
    <t>WI210182091</t>
  </si>
  <si>
    <t>WI210182166</t>
  </si>
  <si>
    <t>150030037477</t>
  </si>
  <si>
    <t>MI21011052663</t>
  </si>
  <si>
    <t>WI210182173</t>
  </si>
  <si>
    <t>MI21011052842</t>
  </si>
  <si>
    <t>WI210182180</t>
  </si>
  <si>
    <t>MI21011052980</t>
  </si>
  <si>
    <t>WI210182193</t>
  </si>
  <si>
    <t>MI21011053050</t>
  </si>
  <si>
    <t>WI210182196</t>
  </si>
  <si>
    <t>MI21011053222</t>
  </si>
  <si>
    <t>WI210182200</t>
  </si>
  <si>
    <t>MI21011053325</t>
  </si>
  <si>
    <t>WI210182243</t>
  </si>
  <si>
    <t>MI21011053665</t>
  </si>
  <si>
    <t>WI210182246</t>
  </si>
  <si>
    <t>MI21011053825</t>
  </si>
  <si>
    <t>WI210195464</t>
  </si>
  <si>
    <t>WI210182284</t>
  </si>
  <si>
    <t>150030037473</t>
  </si>
  <si>
    <t>MI21011054269</t>
  </si>
  <si>
    <t>150030034995</t>
  </si>
  <si>
    <t>MI21011054841</t>
  </si>
  <si>
    <t>WI210182330</t>
  </si>
  <si>
    <t>150030035366</t>
  </si>
  <si>
    <t>MI21011054955</t>
  </si>
  <si>
    <t>WI210182335</t>
  </si>
  <si>
    <t>MI21011055166</t>
  </si>
  <si>
    <t>WI210182338</t>
  </si>
  <si>
    <t>MI21011055026</t>
  </si>
  <si>
    <t>WI210182370</t>
  </si>
  <si>
    <t>MI21011055813</t>
  </si>
  <si>
    <t>WI210182421</t>
  </si>
  <si>
    <t>MI21011056382</t>
  </si>
  <si>
    <t>WI210182451</t>
  </si>
  <si>
    <t>150030034692</t>
  </si>
  <si>
    <t>MI21011055656</t>
  </si>
  <si>
    <t>WI210182453</t>
  </si>
  <si>
    <t>MI21011056891</t>
  </si>
  <si>
    <t>WI210182478</t>
  </si>
  <si>
    <t>MI21011057459</t>
  </si>
  <si>
    <t>WI210182546</t>
  </si>
  <si>
    <t>150030035184</t>
  </si>
  <si>
    <t>MI21011058228</t>
  </si>
  <si>
    <t>WI210182574</t>
  </si>
  <si>
    <t>MI21011058850</t>
  </si>
  <si>
    <t>WI210182655</t>
  </si>
  <si>
    <t>150030037197</t>
  </si>
  <si>
    <t>MI21011059273</t>
  </si>
  <si>
    <t>WI210182724</t>
  </si>
  <si>
    <t>MI21011060878</t>
  </si>
  <si>
    <t>WI21018290</t>
  </si>
  <si>
    <t>MI2101103349</t>
  </si>
  <si>
    <t>WI210183001</t>
  </si>
  <si>
    <t>MI21011064688</t>
  </si>
  <si>
    <t>WI210183038</t>
  </si>
  <si>
    <t>150030037390</t>
  </si>
  <si>
    <t>MI21011065122</t>
  </si>
  <si>
    <t>WI210183069</t>
  </si>
  <si>
    <t>MI21011065688</t>
  </si>
  <si>
    <t>WI210183085</t>
  </si>
  <si>
    <t>MI21011065741</t>
  </si>
  <si>
    <t>WI210183131</t>
  </si>
  <si>
    <t>MI21011066469</t>
  </si>
  <si>
    <t>WI210183181</t>
  </si>
  <si>
    <t>MI21011066971</t>
  </si>
  <si>
    <t>WI210183204</t>
  </si>
  <si>
    <t>MI21011067472</t>
  </si>
  <si>
    <t>WI210183218</t>
  </si>
  <si>
    <t>MI21011067612</t>
  </si>
  <si>
    <t>WI210183323</t>
  </si>
  <si>
    <t>MI21011068997</t>
  </si>
  <si>
    <t>WI210183329</t>
  </si>
  <si>
    <t>MI21011069074</t>
  </si>
  <si>
    <t>WI210183338</t>
  </si>
  <si>
    <t>MI21011069145</t>
  </si>
  <si>
    <t>WI210183346</t>
  </si>
  <si>
    <t>MI21011069170</t>
  </si>
  <si>
    <t>WI210183364</t>
  </si>
  <si>
    <t>MI21011069578</t>
  </si>
  <si>
    <t>WI210183397</t>
  </si>
  <si>
    <t>150030034484</t>
  </si>
  <si>
    <t>MI21011070439</t>
  </si>
  <si>
    <t>WI21018340</t>
  </si>
  <si>
    <t>MI2101104407</t>
  </si>
  <si>
    <t>WI210183406</t>
  </si>
  <si>
    <t>MI21011070484</t>
  </si>
  <si>
    <t>WI210183410</t>
  </si>
  <si>
    <t>MI21011070591</t>
  </si>
  <si>
    <t>WI21018344</t>
  </si>
  <si>
    <t>150030035521</t>
  </si>
  <si>
    <t>MI2101104424</t>
  </si>
  <si>
    <t>WI210183451</t>
  </si>
  <si>
    <t>MI21011071187</t>
  </si>
  <si>
    <t>WI210183480</t>
  </si>
  <si>
    <t>MI21011071596</t>
  </si>
  <si>
    <t>WI210183494</t>
  </si>
  <si>
    <t>MI21011071492</t>
  </si>
  <si>
    <t>WI21018350</t>
  </si>
  <si>
    <t>MI2101104461</t>
  </si>
  <si>
    <t>WI210183500</t>
  </si>
  <si>
    <t>MI21011071928</t>
  </si>
  <si>
    <t>WI210183506</t>
  </si>
  <si>
    <t>150030035773</t>
  </si>
  <si>
    <t>MI21011071980</t>
  </si>
  <si>
    <t>WI210183508</t>
  </si>
  <si>
    <t>MI21011072002</t>
  </si>
  <si>
    <t>WI210183516</t>
  </si>
  <si>
    <t>MI21011072091</t>
  </si>
  <si>
    <t>WI210183519</t>
  </si>
  <si>
    <t>MI21011072214</t>
  </si>
  <si>
    <t>WI210183535</t>
  </si>
  <si>
    <t>MI21011072489</t>
  </si>
  <si>
    <t>WI210183570</t>
  </si>
  <si>
    <t>MI21011072855</t>
  </si>
  <si>
    <t>WI210183577</t>
  </si>
  <si>
    <t>MI21011072910</t>
  </si>
  <si>
    <t>WI210183592</t>
  </si>
  <si>
    <t>MI21011073319</t>
  </si>
  <si>
    <t>WI210183608</t>
  </si>
  <si>
    <t>150030034496</t>
  </si>
  <si>
    <t>MI21011073937</t>
  </si>
  <si>
    <t>WI210183625</t>
  </si>
  <si>
    <t>MI21011074144</t>
  </si>
  <si>
    <t>WI210183635</t>
  </si>
  <si>
    <t>MI21011074225</t>
  </si>
  <si>
    <t>WI210183670</t>
  </si>
  <si>
    <t>MI21011074819</t>
  </si>
  <si>
    <t>WI210183703</t>
  </si>
  <si>
    <t>MI21011075118</t>
  </si>
  <si>
    <t>WI210183732</t>
  </si>
  <si>
    <t>MI21011075696</t>
  </si>
  <si>
    <t>WI210183745</t>
  </si>
  <si>
    <t>MI21011075932</t>
  </si>
  <si>
    <t>WI210183755</t>
  </si>
  <si>
    <t>MI21011076195</t>
  </si>
  <si>
    <t>WI210183766</t>
  </si>
  <si>
    <t>MI21011076589</t>
  </si>
  <si>
    <t>WI210183769</t>
  </si>
  <si>
    <t>MI21011076717</t>
  </si>
  <si>
    <t>WI210183968</t>
  </si>
  <si>
    <t>150030036913</t>
  </si>
  <si>
    <t>MI21011080967</t>
  </si>
  <si>
    <t>WI210183970</t>
  </si>
  <si>
    <t>MI21011081143</t>
  </si>
  <si>
    <t>WI210183977</t>
  </si>
  <si>
    <t>MI21011081293</t>
  </si>
  <si>
    <t>WI21018401</t>
  </si>
  <si>
    <t>MI2101104960</t>
  </si>
  <si>
    <t>WI210184137</t>
  </si>
  <si>
    <t>MI21011084667</t>
  </si>
  <si>
    <t>WI210184141</t>
  </si>
  <si>
    <t>MI21011084738</t>
  </si>
  <si>
    <t>WI21018422</t>
  </si>
  <si>
    <t>150030035781</t>
  </si>
  <si>
    <t>MI2101105286</t>
  </si>
  <si>
    <t>WI210184388</t>
  </si>
  <si>
    <t>WI210184391</t>
  </si>
  <si>
    <t>WI210184399</t>
  </si>
  <si>
    <t>110660002200</t>
  </si>
  <si>
    <t>MI21011031201</t>
  </si>
  <si>
    <t>WI210184405</t>
  </si>
  <si>
    <t>MI21011088370</t>
  </si>
  <si>
    <t>WI210184408</t>
  </si>
  <si>
    <t>150030037538</t>
  </si>
  <si>
    <t>MI21011088537</t>
  </si>
  <si>
    <t>WI210184420</t>
  </si>
  <si>
    <t>150100001312</t>
  </si>
  <si>
    <t>MI21011088768</t>
  </si>
  <si>
    <t>WI210184426</t>
  </si>
  <si>
    <t>150030037409</t>
  </si>
  <si>
    <t>MI21011088866</t>
  </si>
  <si>
    <t>WI210184436</t>
  </si>
  <si>
    <t>118790000605</t>
  </si>
  <si>
    <t>MI21011014323</t>
  </si>
  <si>
    <t>WI210184440</t>
  </si>
  <si>
    <t>150030033873</t>
  </si>
  <si>
    <t>MI21011089223</t>
  </si>
  <si>
    <t>WI210184443</t>
  </si>
  <si>
    <t>MI21011089245</t>
  </si>
  <si>
    <t>WI210184449</t>
  </si>
  <si>
    <t>MI21011089305</t>
  </si>
  <si>
    <t>WI210184451</t>
  </si>
  <si>
    <t>150030034653</t>
  </si>
  <si>
    <t>MI21011089352</t>
  </si>
  <si>
    <t>WI210184458</t>
  </si>
  <si>
    <t>MI21011089437</t>
  </si>
  <si>
    <t>WI210184464</t>
  </si>
  <si>
    <t>WI210184471</t>
  </si>
  <si>
    <t>WI210184474</t>
  </si>
  <si>
    <t>150030034633</t>
  </si>
  <si>
    <t>MI21011089703</t>
  </si>
  <si>
    <t>WI210184483</t>
  </si>
  <si>
    <t>MI21011089788</t>
  </si>
  <si>
    <t>WI210184491</t>
  </si>
  <si>
    <t>150100001228</t>
  </si>
  <si>
    <t>MI21011089870</t>
  </si>
  <si>
    <t>WI210184501</t>
  </si>
  <si>
    <t>WI210184504</t>
  </si>
  <si>
    <t>150030037449</t>
  </si>
  <si>
    <t>MI21011089992</t>
  </si>
  <si>
    <t>WI210184563</t>
  </si>
  <si>
    <t>150080000752</t>
  </si>
  <si>
    <t>MI21011090710</t>
  </si>
  <si>
    <t>WI210184593</t>
  </si>
  <si>
    <t>MI21011091100</t>
  </si>
  <si>
    <t>WI210184594</t>
  </si>
  <si>
    <t>MI21011091122</t>
  </si>
  <si>
    <t>WI210184598</t>
  </si>
  <si>
    <t>MI21011091142</t>
  </si>
  <si>
    <t>WI210184643</t>
  </si>
  <si>
    <t>150030035612</t>
  </si>
  <si>
    <t>MI21011091666</t>
  </si>
  <si>
    <t>WI210184671</t>
  </si>
  <si>
    <t>MI21011091652</t>
  </si>
  <si>
    <t>WI210184672</t>
  </si>
  <si>
    <t>MI21011092131</t>
  </si>
  <si>
    <t>WI210184707</t>
  </si>
  <si>
    <t>150100001304</t>
  </si>
  <si>
    <t>MI21011092517</t>
  </si>
  <si>
    <t>WI210184709</t>
  </si>
  <si>
    <t>150030035467</t>
  </si>
  <si>
    <t>MI21011092571</t>
  </si>
  <si>
    <t>WI210184713</t>
  </si>
  <si>
    <t>MI21011092691</t>
  </si>
  <si>
    <t>WI210184715</t>
  </si>
  <si>
    <t>MI21011092782</t>
  </si>
  <si>
    <t>WI210184717</t>
  </si>
  <si>
    <t>150030035922</t>
  </si>
  <si>
    <t>MI21011092826</t>
  </si>
  <si>
    <t>WI210184719</t>
  </si>
  <si>
    <t>MI21011092892</t>
  </si>
  <si>
    <t>WI210184721</t>
  </si>
  <si>
    <t>MI21011092907</t>
  </si>
  <si>
    <t>WI210184739</t>
  </si>
  <si>
    <t>MI21011093279</t>
  </si>
  <si>
    <t>WI210184744</t>
  </si>
  <si>
    <t>MI21011093328</t>
  </si>
  <si>
    <t>WI210184746</t>
  </si>
  <si>
    <t>WI210184766</t>
  </si>
  <si>
    <t>150030037346</t>
  </si>
  <si>
    <t>MI21011093647</t>
  </si>
  <si>
    <t>WI210184768</t>
  </si>
  <si>
    <t>MI21011093673</t>
  </si>
  <si>
    <t>WI210184770</t>
  </si>
  <si>
    <t>150030037324</t>
  </si>
  <si>
    <t>MI21011093644</t>
  </si>
  <si>
    <t>WI210184784</t>
  </si>
  <si>
    <t>150030036332</t>
  </si>
  <si>
    <t>MI21011093753</t>
  </si>
  <si>
    <t>WI210184791</t>
  </si>
  <si>
    <t>150030037522</t>
  </si>
  <si>
    <t>MI21011094007</t>
  </si>
  <si>
    <t>WI210184805</t>
  </si>
  <si>
    <t>MI21011094439</t>
  </si>
  <si>
    <t>WI210184809</t>
  </si>
  <si>
    <t>150030037491</t>
  </si>
  <si>
    <t>MI21011094206</t>
  </si>
  <si>
    <t>WI210184829</t>
  </si>
  <si>
    <t>MI21011094858</t>
  </si>
  <si>
    <t>WI210184831</t>
  </si>
  <si>
    <t>MI21011094893</t>
  </si>
  <si>
    <t>WI210184836</t>
  </si>
  <si>
    <t>150030037429</t>
  </si>
  <si>
    <t>MI21011094994</t>
  </si>
  <si>
    <t>WI210184842</t>
  </si>
  <si>
    <t>MI21011095104</t>
  </si>
  <si>
    <t>WI210184843</t>
  </si>
  <si>
    <t>MI21011095103</t>
  </si>
  <si>
    <t>WI21018486</t>
  </si>
  <si>
    <t>MI2101106119</t>
  </si>
  <si>
    <t>WI210184876</t>
  </si>
  <si>
    <t>150030037437</t>
  </si>
  <si>
    <t>MI21011095523</t>
  </si>
  <si>
    <t>WI210184898</t>
  </si>
  <si>
    <t>150030037580</t>
  </si>
  <si>
    <t>MI21011095532</t>
  </si>
  <si>
    <t>WI210184922</t>
  </si>
  <si>
    <t>150030037314</t>
  </si>
  <si>
    <t>MI21011095881</t>
  </si>
  <si>
    <t>WI210184932</t>
  </si>
  <si>
    <t>WI210184939</t>
  </si>
  <si>
    <t>150030035168</t>
  </si>
  <si>
    <t>MI21011096177</t>
  </si>
  <si>
    <t>WI210184956</t>
  </si>
  <si>
    <t>MI21011096606</t>
  </si>
  <si>
    <t>WI210184961</t>
  </si>
  <si>
    <t>150030037611</t>
  </si>
  <si>
    <t>MI21011096557</t>
  </si>
  <si>
    <t>WI210185016</t>
  </si>
  <si>
    <t>150030037406</t>
  </si>
  <si>
    <t>MI21011097177</t>
  </si>
  <si>
    <t>WI210185019</t>
  </si>
  <si>
    <t>WI210185040</t>
  </si>
  <si>
    <t>MI21011097421</t>
  </si>
  <si>
    <t>WI210185130</t>
  </si>
  <si>
    <t>150030037220</t>
  </si>
  <si>
    <t>MI21011098209</t>
  </si>
  <si>
    <t>WI210185135</t>
  </si>
  <si>
    <t>MI21011098448</t>
  </si>
  <si>
    <t>WI210185137</t>
  </si>
  <si>
    <t>150030037370</t>
  </si>
  <si>
    <t>MI21011098350</t>
  </si>
  <si>
    <t>WI21018518</t>
  </si>
  <si>
    <t>MI2101106480</t>
  </si>
  <si>
    <t>WI21018519</t>
  </si>
  <si>
    <t>MI2101106261</t>
  </si>
  <si>
    <t>WI210185194</t>
  </si>
  <si>
    <t>150030037338</t>
  </si>
  <si>
    <t>MI21011099007</t>
  </si>
  <si>
    <t>WI210185232</t>
  </si>
  <si>
    <t>150030037468</t>
  </si>
  <si>
    <t>MI21011099619</t>
  </si>
  <si>
    <t>WI210185261</t>
  </si>
  <si>
    <t>MI21011100350</t>
  </si>
  <si>
    <t>WI210185265</t>
  </si>
  <si>
    <t>150030035412</t>
  </si>
  <si>
    <t>MI21011100499</t>
  </si>
  <si>
    <t>WI210185271</t>
  </si>
  <si>
    <t>MI21011100539</t>
  </si>
  <si>
    <t>WI210185294</t>
  </si>
  <si>
    <t>150030037569</t>
  </si>
  <si>
    <t>MI21011100647</t>
  </si>
  <si>
    <t>WI210185310</t>
  </si>
  <si>
    <t>MI21011100548</t>
  </si>
  <si>
    <t>WI210185315</t>
  </si>
  <si>
    <t>MI21011101143</t>
  </si>
  <si>
    <t>WI210185338</t>
  </si>
  <si>
    <t>MI21011101483</t>
  </si>
  <si>
    <t>WI210185358</t>
  </si>
  <si>
    <t>MI21011101829</t>
  </si>
  <si>
    <t>WI210185363</t>
  </si>
  <si>
    <t>MI21011101885</t>
  </si>
  <si>
    <t>WI210185369</t>
  </si>
  <si>
    <t>150030034639</t>
  </si>
  <si>
    <t>MI21011101938</t>
  </si>
  <si>
    <t>WI210185374</t>
  </si>
  <si>
    <t>MI21011101990</t>
  </si>
  <si>
    <t>WI21018539</t>
  </si>
  <si>
    <t>150030036325</t>
  </si>
  <si>
    <t>MI2101106669</t>
  </si>
  <si>
    <t>WI21018540</t>
  </si>
  <si>
    <t>150080000754</t>
  </si>
  <si>
    <t>MI2101106799</t>
  </si>
  <si>
    <t>WI21018552</t>
  </si>
  <si>
    <t>MI2101106820</t>
  </si>
  <si>
    <t>WI21018554</t>
  </si>
  <si>
    <t>WI210185616</t>
  </si>
  <si>
    <t>MI21011105230</t>
  </si>
  <si>
    <t>WI210185640</t>
  </si>
  <si>
    <t>150030034569</t>
  </si>
  <si>
    <t>MI21011105314</t>
  </si>
  <si>
    <t>WI210185691</t>
  </si>
  <si>
    <t>MI21011106212</t>
  </si>
  <si>
    <t>WI210185711</t>
  </si>
  <si>
    <t>MI21011106574</t>
  </si>
  <si>
    <t>WI210185729</t>
  </si>
  <si>
    <t>MI21011106827</t>
  </si>
  <si>
    <t>WI210185763</t>
  </si>
  <si>
    <t>MI21011107035</t>
  </si>
  <si>
    <t>WI210185764</t>
  </si>
  <si>
    <t>MI21011107139</t>
  </si>
  <si>
    <t>WI210185767</t>
  </si>
  <si>
    <t>MI21011107184</t>
  </si>
  <si>
    <t>WI210185771</t>
  </si>
  <si>
    <t>MI21011107228</t>
  </si>
  <si>
    <t>WI210185773</t>
  </si>
  <si>
    <t>MI21011107211</t>
  </si>
  <si>
    <t>WI210185783</t>
  </si>
  <si>
    <t>MI21011107340</t>
  </si>
  <si>
    <t>WI210185799</t>
  </si>
  <si>
    <t>WI21018581</t>
  </si>
  <si>
    <t>MI2101107543</t>
  </si>
  <si>
    <t>WI210185840</t>
  </si>
  <si>
    <t>150030037360</t>
  </si>
  <si>
    <t>MI21011107892</t>
  </si>
  <si>
    <t>WI210185848</t>
  </si>
  <si>
    <t>MI21011108130</t>
  </si>
  <si>
    <t>WI210185857</t>
  </si>
  <si>
    <t>113170002252</t>
  </si>
  <si>
    <t>MI2010358312</t>
  </si>
  <si>
    <t>WI210185864</t>
  </si>
  <si>
    <t>WI210185876</t>
  </si>
  <si>
    <t>MI21011108472</t>
  </si>
  <si>
    <t>WI210185935</t>
  </si>
  <si>
    <t>150030033680</t>
  </si>
  <si>
    <t>MI21011109254</t>
  </si>
  <si>
    <t>WI210185985</t>
  </si>
  <si>
    <t>150030034933</t>
  </si>
  <si>
    <t>MI21011109807</t>
  </si>
  <si>
    <t>WI210185996</t>
  </si>
  <si>
    <t>MI21011110210</t>
  </si>
  <si>
    <t>WI210186041</t>
  </si>
  <si>
    <t>113130004397</t>
  </si>
  <si>
    <t>MI21011099914</t>
  </si>
  <si>
    <t>WI210186056</t>
  </si>
  <si>
    <t>MI21011111288</t>
  </si>
  <si>
    <t>WI210186062</t>
  </si>
  <si>
    <t>MI21011111347</t>
  </si>
  <si>
    <t>WI210186071</t>
  </si>
  <si>
    <t>MI21011111501</t>
  </si>
  <si>
    <t>WI210186083</t>
  </si>
  <si>
    <t>150030034066</t>
  </si>
  <si>
    <t>MI21011111774</t>
  </si>
  <si>
    <t>WI210186126</t>
  </si>
  <si>
    <t>MI21011112208</t>
  </si>
  <si>
    <t>WI210186133</t>
  </si>
  <si>
    <t>MI21011112256</t>
  </si>
  <si>
    <t>WI210186244</t>
  </si>
  <si>
    <t>WI21018628</t>
  </si>
  <si>
    <t>150030034058</t>
  </si>
  <si>
    <t>MI2101108152</t>
  </si>
  <si>
    <t>WI210186290</t>
  </si>
  <si>
    <t>150030037435</t>
  </si>
  <si>
    <t>MI21011114154</t>
  </si>
  <si>
    <t>WI210186317</t>
  </si>
  <si>
    <t>MI21011114594</t>
  </si>
  <si>
    <t>WI210186318</t>
  </si>
  <si>
    <t>150030037450</t>
  </si>
  <si>
    <t>MI21011114467</t>
  </si>
  <si>
    <t>WI210186352</t>
  </si>
  <si>
    <t>150030037364</t>
  </si>
  <si>
    <t>MI21011115104</t>
  </si>
  <si>
    <t>WI210186373</t>
  </si>
  <si>
    <t>MI21011115762</t>
  </si>
  <si>
    <t>WI210186411</t>
  </si>
  <si>
    <t>MI21011116310</t>
  </si>
  <si>
    <t>WI210186434</t>
  </si>
  <si>
    <t>MI21011116936</t>
  </si>
  <si>
    <t>WI210186451</t>
  </si>
  <si>
    <t>WI21018646</t>
  </si>
  <si>
    <t>WI210186461</t>
  </si>
  <si>
    <t>150030035019</t>
  </si>
  <si>
    <t>MI21011117356</t>
  </si>
  <si>
    <t>WI210186463</t>
  </si>
  <si>
    <t>150030037608</t>
  </si>
  <si>
    <t>MI21011117210</t>
  </si>
  <si>
    <t>WI210186476</t>
  </si>
  <si>
    <t>150030034801</t>
  </si>
  <si>
    <t>MI21011117647</t>
  </si>
  <si>
    <t>WI210186531</t>
  </si>
  <si>
    <t>150030037085</t>
  </si>
  <si>
    <t>MI21011118307</t>
  </si>
  <si>
    <t>WI210186545</t>
  </si>
  <si>
    <t>150030036707</t>
  </si>
  <si>
    <t>MI21011118647</t>
  </si>
  <si>
    <t>WI210186547</t>
  </si>
  <si>
    <t>MI21011118829</t>
  </si>
  <si>
    <t>WI21018660</t>
  </si>
  <si>
    <t>MI2101108824</t>
  </si>
  <si>
    <t>WI210186603</t>
  </si>
  <si>
    <t>150030034206</t>
  </si>
  <si>
    <t>MI21011119388</t>
  </si>
  <si>
    <t>WI210186615</t>
  </si>
  <si>
    <t>MI21011119480</t>
  </si>
  <si>
    <t>WI210186632</t>
  </si>
  <si>
    <t>MI21011119534</t>
  </si>
  <si>
    <t>WI210186637</t>
  </si>
  <si>
    <t>MI21011119589</t>
  </si>
  <si>
    <t>WI210186695</t>
  </si>
  <si>
    <t>150030034912</t>
  </si>
  <si>
    <t>MI21011120350</t>
  </si>
  <si>
    <t>WI210186697</t>
  </si>
  <si>
    <t>MI21011120379</t>
  </si>
  <si>
    <t>WI210186788</t>
  </si>
  <si>
    <t>MI21011121294</t>
  </si>
  <si>
    <t>WI210187188</t>
  </si>
  <si>
    <t>150030037599</t>
  </si>
  <si>
    <t>MI21011125745</t>
  </si>
  <si>
    <t>WI210187198</t>
  </si>
  <si>
    <t>150030035547</t>
  </si>
  <si>
    <t>MI21011125883</t>
  </si>
  <si>
    <t>WI210187274</t>
  </si>
  <si>
    <t>MI21011126620</t>
  </si>
  <si>
    <t>WI210187280</t>
  </si>
  <si>
    <t>MI21011126472</t>
  </si>
  <si>
    <t>WI210187313</t>
  </si>
  <si>
    <t>WI210187354</t>
  </si>
  <si>
    <t>150030037025</t>
  </si>
  <si>
    <t>MI21011127814</t>
  </si>
  <si>
    <t>WI210187365</t>
  </si>
  <si>
    <t>MI21011128114</t>
  </si>
  <si>
    <t>WI210187369</t>
  </si>
  <si>
    <t>MI21011128181</t>
  </si>
  <si>
    <t>WI210187390</t>
  </si>
  <si>
    <t>WI210187426</t>
  </si>
  <si>
    <t>MI21011128655</t>
  </si>
  <si>
    <t>WI210187439</t>
  </si>
  <si>
    <t>WI210187528</t>
  </si>
  <si>
    <t>150030037277</t>
  </si>
  <si>
    <t>MI21011129534</t>
  </si>
  <si>
    <t>WI210187557</t>
  </si>
  <si>
    <t>MI21011129889</t>
  </si>
  <si>
    <t>WI21018757</t>
  </si>
  <si>
    <t>150030034215</t>
  </si>
  <si>
    <t>MI2101110561</t>
  </si>
  <si>
    <t>WI210187625</t>
  </si>
  <si>
    <t>WI210187665</t>
  </si>
  <si>
    <t>150030035437</t>
  </si>
  <si>
    <t>MI21011130933</t>
  </si>
  <si>
    <t>WI210187683</t>
  </si>
  <si>
    <t>150030035388</t>
  </si>
  <si>
    <t>MI21011131260</t>
  </si>
  <si>
    <t>WI210187693</t>
  </si>
  <si>
    <t>WI210187695</t>
  </si>
  <si>
    <t>MI21011131205</t>
  </si>
  <si>
    <t>WI210187731</t>
  </si>
  <si>
    <t>MI21011131979</t>
  </si>
  <si>
    <t>WI210187747</t>
  </si>
  <si>
    <t>WI210187749</t>
  </si>
  <si>
    <t>MI21011132078</t>
  </si>
  <si>
    <t>WI21018776</t>
  </si>
  <si>
    <t>150030035459</t>
  </si>
  <si>
    <t>MI2101110830</t>
  </si>
  <si>
    <t>WI210187772</t>
  </si>
  <si>
    <t>150030037548</t>
  </si>
  <si>
    <t>MI21011132421</t>
  </si>
  <si>
    <t>WI210187783</t>
  </si>
  <si>
    <t>MI21011132735</t>
  </si>
  <si>
    <t>WI210187819</t>
  </si>
  <si>
    <t>MI21011132802</t>
  </si>
  <si>
    <t>WI21018783</t>
  </si>
  <si>
    <t>WI210187866</t>
  </si>
  <si>
    <t>150030030002</t>
  </si>
  <si>
    <t>MI2011685983</t>
  </si>
  <si>
    <t>Phil R. Magnus</t>
  </si>
  <si>
    <t>WI210187890</t>
  </si>
  <si>
    <t>150030034504</t>
  </si>
  <si>
    <t>MI21011134156</t>
  </si>
  <si>
    <t>WI210187910</t>
  </si>
  <si>
    <t>WI210187935</t>
  </si>
  <si>
    <t>WI210187950</t>
  </si>
  <si>
    <t>MI21011135056</t>
  </si>
  <si>
    <t>WI210187962</t>
  </si>
  <si>
    <t>MI21011135171</t>
  </si>
  <si>
    <t>WI210187967</t>
  </si>
  <si>
    <t>MI21011135290</t>
  </si>
  <si>
    <t>WI210188001</t>
  </si>
  <si>
    <t>150030035187</t>
  </si>
  <si>
    <t>MI21011135544</t>
  </si>
  <si>
    <t>WI210188035</t>
  </si>
  <si>
    <t>150030037588</t>
  </si>
  <si>
    <t>MI21011136115</t>
  </si>
  <si>
    <t>WI210188073</t>
  </si>
  <si>
    <t>MI21011136968</t>
  </si>
  <si>
    <t>WI210188077</t>
  </si>
  <si>
    <t>MI21011136989</t>
  </si>
  <si>
    <t>WI210188088</t>
  </si>
  <si>
    <t>MI21011137246</t>
  </si>
  <si>
    <t>WI210188093</t>
  </si>
  <si>
    <t>MI21011137265</t>
  </si>
  <si>
    <t>WI210188153</t>
  </si>
  <si>
    <t>MI21011137975</t>
  </si>
  <si>
    <t>WI210188160</t>
  </si>
  <si>
    <t>MI21011138107</t>
  </si>
  <si>
    <t>WI210188164</t>
  </si>
  <si>
    <t>MI21011138060</t>
  </si>
  <si>
    <t>WI210188166</t>
  </si>
  <si>
    <t>WI210188177</t>
  </si>
  <si>
    <t>150030037586</t>
  </si>
  <si>
    <t>MI21011138329</t>
  </si>
  <si>
    <t>WI210188302</t>
  </si>
  <si>
    <t>MI21011139467</t>
  </si>
  <si>
    <t>WI210188320</t>
  </si>
  <si>
    <t>MI21011139561</t>
  </si>
  <si>
    <t>WI210188336</t>
  </si>
  <si>
    <t>150030037496</t>
  </si>
  <si>
    <t>MI21011139778</t>
  </si>
  <si>
    <t>WI210188345</t>
  </si>
  <si>
    <t>MI21011139898</t>
  </si>
  <si>
    <t>WI210188350</t>
  </si>
  <si>
    <t>MI21011140008</t>
  </si>
  <si>
    <t>WI210188353</t>
  </si>
  <si>
    <t>MI21011139945</t>
  </si>
  <si>
    <t>WI210188356</t>
  </si>
  <si>
    <t>MI21011140029</t>
  </si>
  <si>
    <t>WI210188367</t>
  </si>
  <si>
    <t>MI21011140086</t>
  </si>
  <si>
    <t>WI210188370</t>
  </si>
  <si>
    <t>MI21011140206</t>
  </si>
  <si>
    <t>WI210188398</t>
  </si>
  <si>
    <t>MI21011140564</t>
  </si>
  <si>
    <t>WI210188456</t>
  </si>
  <si>
    <t>MI21011141156</t>
  </si>
  <si>
    <t>WI21018849</t>
  </si>
  <si>
    <t>MI2101112014</t>
  </si>
  <si>
    <t>WI210188512</t>
  </si>
  <si>
    <t>150030034891</t>
  </si>
  <si>
    <t>MI21011142276</t>
  </si>
  <si>
    <t>WI21018852</t>
  </si>
  <si>
    <t>MI2101112076</t>
  </si>
  <si>
    <t>WI210188630</t>
  </si>
  <si>
    <t>WI21018865</t>
  </si>
  <si>
    <t>MI2101112272</t>
  </si>
  <si>
    <t>WI210188666</t>
  </si>
  <si>
    <t>150030037628</t>
  </si>
  <si>
    <t>MI21011143663</t>
  </si>
  <si>
    <t>WI21018869</t>
  </si>
  <si>
    <t>MI2101112437</t>
  </si>
  <si>
    <t>WI21018885</t>
  </si>
  <si>
    <t>MI2101112355</t>
  </si>
  <si>
    <t>WI21018888</t>
  </si>
  <si>
    <t>MI2101112454</t>
  </si>
  <si>
    <t>WI210188911</t>
  </si>
  <si>
    <t>150030037601</t>
  </si>
  <si>
    <t>MI21011145942</t>
  </si>
  <si>
    <t>WI210188930</t>
  </si>
  <si>
    <t>MI21011146286</t>
  </si>
  <si>
    <t>WI210188974</t>
  </si>
  <si>
    <t>MI21011146804</t>
  </si>
  <si>
    <t>WI21018898</t>
  </si>
  <si>
    <t>MI2101112517</t>
  </si>
  <si>
    <t>WI210188984</t>
  </si>
  <si>
    <t>MI21011146765</t>
  </si>
  <si>
    <t>WI21018900</t>
  </si>
  <si>
    <t>MI2101112705</t>
  </si>
  <si>
    <t>WI210189014</t>
  </si>
  <si>
    <t>MI21011147313</t>
  </si>
  <si>
    <t>WI210189038</t>
  </si>
  <si>
    <t>MI21011147812</t>
  </si>
  <si>
    <t>WI210189054</t>
  </si>
  <si>
    <t>150030035266</t>
  </si>
  <si>
    <t>MI21011148193</t>
  </si>
  <si>
    <t>WI210189060</t>
  </si>
  <si>
    <t>MI21011148306</t>
  </si>
  <si>
    <t>WI210189091</t>
  </si>
  <si>
    <t>MI21011149302</t>
  </si>
  <si>
    <t>WI210189144</t>
  </si>
  <si>
    <t>MI21011150704</t>
  </si>
  <si>
    <t>WI210189162</t>
  </si>
  <si>
    <t>MI21011151607</t>
  </si>
  <si>
    <t>WI210189171</t>
  </si>
  <si>
    <t>WI210189173</t>
  </si>
  <si>
    <t>WI210189481</t>
  </si>
  <si>
    <t>MI21011156508</t>
  </si>
  <si>
    <t>WI21018989</t>
  </si>
  <si>
    <t>MI2101113747</t>
  </si>
  <si>
    <t>WI210189907</t>
  </si>
  <si>
    <t>WI210189944</t>
  </si>
  <si>
    <t>MI21011168333</t>
  </si>
  <si>
    <t>WI210189945</t>
  </si>
  <si>
    <t>MI21011168337</t>
  </si>
  <si>
    <t>WI210189946</t>
  </si>
  <si>
    <t>MI21011168362</t>
  </si>
  <si>
    <t>WI210189947</t>
  </si>
  <si>
    <t>WI210189948</t>
  </si>
  <si>
    <t>MI21011168372</t>
  </si>
  <si>
    <t>WI210189949</t>
  </si>
  <si>
    <t>150030035563</t>
  </si>
  <si>
    <t>MI21011168379</t>
  </si>
  <si>
    <t>WI210189950</t>
  </si>
  <si>
    <t>MI21011168384</t>
  </si>
  <si>
    <t>WI210189951</t>
  </si>
  <si>
    <t>MI21011168388</t>
  </si>
  <si>
    <t>WI210189952</t>
  </si>
  <si>
    <t>MI21011168391</t>
  </si>
  <si>
    <t>WI210189954</t>
  </si>
  <si>
    <t>MI21011168424</t>
  </si>
  <si>
    <t>WI210189955</t>
  </si>
  <si>
    <t>MI21011168433</t>
  </si>
  <si>
    <t>WI210189956</t>
  </si>
  <si>
    <t>MI21011168449</t>
  </si>
  <si>
    <t>WI210189959</t>
  </si>
  <si>
    <t>MI21011168460</t>
  </si>
  <si>
    <t>WI210189998</t>
  </si>
  <si>
    <t>150030037563</t>
  </si>
  <si>
    <t>MI21011168785</t>
  </si>
  <si>
    <t>WI210190012</t>
  </si>
  <si>
    <t>150100001315</t>
  </si>
  <si>
    <t>MI21011168919</t>
  </si>
  <si>
    <t>WI210190017</t>
  </si>
  <si>
    <t>MI21011168983</t>
  </si>
  <si>
    <t>WI210190045</t>
  </si>
  <si>
    <t>MI21011169201</t>
  </si>
  <si>
    <t>WI210190046</t>
  </si>
  <si>
    <t>MI21011169241</t>
  </si>
  <si>
    <t>WI210190055</t>
  </si>
  <si>
    <t>MI21011169601</t>
  </si>
  <si>
    <t>WI210190058</t>
  </si>
  <si>
    <t>WI210190059</t>
  </si>
  <si>
    <t>MI21011169679</t>
  </si>
  <si>
    <t>WI210190062</t>
  </si>
  <si>
    <t>115750002173</t>
  </si>
  <si>
    <t>MI21011108988</t>
  </si>
  <si>
    <t>WI210190063</t>
  </si>
  <si>
    <t>MI21011169731</t>
  </si>
  <si>
    <t>WI210190064</t>
  </si>
  <si>
    <t>MI21011169738</t>
  </si>
  <si>
    <t>WI210190065</t>
  </si>
  <si>
    <t>MI21011169758</t>
  </si>
  <si>
    <t>WI210190068</t>
  </si>
  <si>
    <t>MI21011169970</t>
  </si>
  <si>
    <t>WI210190071</t>
  </si>
  <si>
    <t>150030037419</t>
  </si>
  <si>
    <t>MI21011169999</t>
  </si>
  <si>
    <t>WI210190091</t>
  </si>
  <si>
    <t>150030035340</t>
  </si>
  <si>
    <t>MI21011170457</t>
  </si>
  <si>
    <t>WI210190098</t>
  </si>
  <si>
    <t>MI21011170566</t>
  </si>
  <si>
    <t>WI210190100</t>
  </si>
  <si>
    <t>MI21011170614</t>
  </si>
  <si>
    <t>WI210190103</t>
  </si>
  <si>
    <t>150030037639</t>
  </si>
  <si>
    <t>MI21011170625</t>
  </si>
  <si>
    <t>WI210190119</t>
  </si>
  <si>
    <t>MI21011170748</t>
  </si>
  <si>
    <t>WI210190138</t>
  </si>
  <si>
    <t>MI21011171007</t>
  </si>
  <si>
    <t>WI210190158</t>
  </si>
  <si>
    <t>MI21011171216</t>
  </si>
  <si>
    <t>WI210190167</t>
  </si>
  <si>
    <t>150080000777</t>
  </si>
  <si>
    <t>MI21011171290</t>
  </si>
  <si>
    <t>WI210190194</t>
  </si>
  <si>
    <t>MI21011171483</t>
  </si>
  <si>
    <t>WI210190203</t>
  </si>
  <si>
    <t>WI210190207</t>
  </si>
  <si>
    <t>MI21011171614</t>
  </si>
  <si>
    <t>WI210190220</t>
  </si>
  <si>
    <t>MI21011171802</t>
  </si>
  <si>
    <t>WI210190243</t>
  </si>
  <si>
    <t>MI21011171956</t>
  </si>
  <si>
    <t>WI210190260</t>
  </si>
  <si>
    <t>MI21011172134</t>
  </si>
  <si>
    <t>WI210190263</t>
  </si>
  <si>
    <t>MI21011172226</t>
  </si>
  <si>
    <t>WI210190269</t>
  </si>
  <si>
    <t>WI210190288</t>
  </si>
  <si>
    <t>150030037705</t>
  </si>
  <si>
    <t>MI21011172765</t>
  </si>
  <si>
    <t>WI210190316</t>
  </si>
  <si>
    <t>150030035098</t>
  </si>
  <si>
    <t>MI21011173297</t>
  </si>
  <si>
    <t>WI210190320</t>
  </si>
  <si>
    <t>150030036978</t>
  </si>
  <si>
    <t>MI21011173362</t>
  </si>
  <si>
    <t>WI210190344</t>
  </si>
  <si>
    <t>MI21011174033</t>
  </si>
  <si>
    <t>WI210190354</t>
  </si>
  <si>
    <t>MI21011174266</t>
  </si>
  <si>
    <t>WI210190388</t>
  </si>
  <si>
    <t>150030034306</t>
  </si>
  <si>
    <t>MI21011174745</t>
  </si>
  <si>
    <t>WI210190395</t>
  </si>
  <si>
    <t>MI21011174799</t>
  </si>
  <si>
    <t>WI210190408</t>
  </si>
  <si>
    <t>150030037564</t>
  </si>
  <si>
    <t>MI21011174862</t>
  </si>
  <si>
    <t>WI210190436</t>
  </si>
  <si>
    <t>150030037625</t>
  </si>
  <si>
    <t>MI21011175347</t>
  </si>
  <si>
    <t>WI210190439</t>
  </si>
  <si>
    <t>MI21011175450</t>
  </si>
  <si>
    <t>WI21019044</t>
  </si>
  <si>
    <t>MI2101114521</t>
  </si>
  <si>
    <t>WI210190440</t>
  </si>
  <si>
    <t>MI21011175499</t>
  </si>
  <si>
    <t>WI210190445</t>
  </si>
  <si>
    <t>150030037702</t>
  </si>
  <si>
    <t>MI21011175446</t>
  </si>
  <si>
    <t>WI210190454</t>
  </si>
  <si>
    <t>150030035447</t>
  </si>
  <si>
    <t>MI21011175703</t>
  </si>
  <si>
    <t>WI210190500</t>
  </si>
  <si>
    <t>MI21011176316</t>
  </si>
  <si>
    <t>WI21019051</t>
  </si>
  <si>
    <t>MI2101114577</t>
  </si>
  <si>
    <t>WI210190545</t>
  </si>
  <si>
    <t>MI21011177092</t>
  </si>
  <si>
    <t>WI210190561</t>
  </si>
  <si>
    <t>150030036828</t>
  </si>
  <si>
    <t>MI21011177161</t>
  </si>
  <si>
    <t>WI210190562</t>
  </si>
  <si>
    <t>WI21019057</t>
  </si>
  <si>
    <t>MI2101114619</t>
  </si>
  <si>
    <t>WI210190638</t>
  </si>
  <si>
    <t>150030032729</t>
  </si>
  <si>
    <t>MI21011178277</t>
  </si>
  <si>
    <t>WI210190644</t>
  </si>
  <si>
    <t>MI21011178399</t>
  </si>
  <si>
    <t>WI210190646</t>
  </si>
  <si>
    <t>150100001316</t>
  </si>
  <si>
    <t>MI21011178321</t>
  </si>
  <si>
    <t>WI210190668</t>
  </si>
  <si>
    <t>MI21011178682</t>
  </si>
  <si>
    <t>WI210190702</t>
  </si>
  <si>
    <t>MI21011179154</t>
  </si>
  <si>
    <t>WI210190711</t>
  </si>
  <si>
    <t>150030035522</t>
  </si>
  <si>
    <t>MI21011179222</t>
  </si>
  <si>
    <t>WI210190714</t>
  </si>
  <si>
    <t>MI21011179254</t>
  </si>
  <si>
    <t>WI21019072</t>
  </si>
  <si>
    <t>150030035888</t>
  </si>
  <si>
    <t>MI2101114839</t>
  </si>
  <si>
    <t>WI21019074</t>
  </si>
  <si>
    <t>WI210190756</t>
  </si>
  <si>
    <t>150030037456</t>
  </si>
  <si>
    <t>MI21011180016</t>
  </si>
  <si>
    <t>WI210190852</t>
  </si>
  <si>
    <t>150030037674</t>
  </si>
  <si>
    <t>MI21011181386</t>
  </si>
  <si>
    <t>WI210190952</t>
  </si>
  <si>
    <t>150030037663</t>
  </si>
  <si>
    <t>MI21011183139</t>
  </si>
  <si>
    <t>WI210190956</t>
  </si>
  <si>
    <t>MI21011183345</t>
  </si>
  <si>
    <t>WI210190957</t>
  </si>
  <si>
    <t>MI21011183359</t>
  </si>
  <si>
    <t>WI210191066</t>
  </si>
  <si>
    <t>MI21011185115</t>
  </si>
  <si>
    <t>WI210191121</t>
  </si>
  <si>
    <t>150030037606</t>
  </si>
  <si>
    <t>MI21011185980</t>
  </si>
  <si>
    <t>WI210191125</t>
  </si>
  <si>
    <t>150030037076</t>
  </si>
  <si>
    <t>MI21011186022</t>
  </si>
  <si>
    <t>WI210191131</t>
  </si>
  <si>
    <t>MI21011186208</t>
  </si>
  <si>
    <t>WI210191139</t>
  </si>
  <si>
    <t>MI21011186396</t>
  </si>
  <si>
    <t>WI210191143</t>
  </si>
  <si>
    <t>MI21011186451</t>
  </si>
  <si>
    <t>WI210191153</t>
  </si>
  <si>
    <t>MI21011186554</t>
  </si>
  <si>
    <t>WI210191163</t>
  </si>
  <si>
    <t>MI21011186723</t>
  </si>
  <si>
    <t>WI210191171</t>
  </si>
  <si>
    <t>MI21011186610</t>
  </si>
  <si>
    <t>WI210191251</t>
  </si>
  <si>
    <t>MI21011187310</t>
  </si>
  <si>
    <t>WI210191267</t>
  </si>
  <si>
    <t>MI21011187462</t>
  </si>
  <si>
    <t>WI210191270</t>
  </si>
  <si>
    <t>MI21011187531</t>
  </si>
  <si>
    <t>WI210191273</t>
  </si>
  <si>
    <t>MI21011187554</t>
  </si>
  <si>
    <t>WI210191300</t>
  </si>
  <si>
    <t>150030037703</t>
  </si>
  <si>
    <t>MI21011187847</t>
  </si>
  <si>
    <t>WI210191328</t>
  </si>
  <si>
    <t>150030037664</t>
  </si>
  <si>
    <t>MI21011188281</t>
  </si>
  <si>
    <t>WI210191358</t>
  </si>
  <si>
    <t>MI21011188705</t>
  </si>
  <si>
    <t>WI210191380</t>
  </si>
  <si>
    <t>MI21011189208</t>
  </si>
  <si>
    <t>WI210191560</t>
  </si>
  <si>
    <t>150030037398</t>
  </si>
  <si>
    <t>MI21011192137</t>
  </si>
  <si>
    <t>WI210191650</t>
  </si>
  <si>
    <t>150030035438</t>
  </si>
  <si>
    <t>MI21011193077</t>
  </si>
  <si>
    <t>WI210191651</t>
  </si>
  <si>
    <t>MI21011193118</t>
  </si>
  <si>
    <t>WI210191674</t>
  </si>
  <si>
    <t>MI21011193216</t>
  </si>
  <si>
    <t>WI210191677</t>
  </si>
  <si>
    <t>MI21011193169</t>
  </si>
  <si>
    <t>WI210191691</t>
  </si>
  <si>
    <t>MI21011193238</t>
  </si>
  <si>
    <t>WI210191698</t>
  </si>
  <si>
    <t>MI21011193476</t>
  </si>
  <si>
    <t>WI210191699</t>
  </si>
  <si>
    <t>MI21011193281</t>
  </si>
  <si>
    <t>WI210191708</t>
  </si>
  <si>
    <t>MI21011193509</t>
  </si>
  <si>
    <t>WI210191722</t>
  </si>
  <si>
    <t>MI21011193965</t>
  </si>
  <si>
    <t>WI210191726</t>
  </si>
  <si>
    <t>150030034937</t>
  </si>
  <si>
    <t>MI21011193963</t>
  </si>
  <si>
    <t>WI210191738</t>
  </si>
  <si>
    <t>MI21011194211</t>
  </si>
  <si>
    <t>WI210191741</t>
  </si>
  <si>
    <t>150030035699</t>
  </si>
  <si>
    <t>MI21011194011</t>
  </si>
  <si>
    <t>WI210191747</t>
  </si>
  <si>
    <t>MI21011194327</t>
  </si>
  <si>
    <t>WI210191766</t>
  </si>
  <si>
    <t>WI210191778</t>
  </si>
  <si>
    <t>WI210191817</t>
  </si>
  <si>
    <t>MI21011195335</t>
  </si>
  <si>
    <t>WI210191874</t>
  </si>
  <si>
    <t>MI21011195626</t>
  </si>
  <si>
    <t>WI210191921</t>
  </si>
  <si>
    <t>150030035287</t>
  </si>
  <si>
    <t>MI21011196253</t>
  </si>
  <si>
    <t>WI210191993</t>
  </si>
  <si>
    <t>150100001314</t>
  </si>
  <si>
    <t>MI21011197262</t>
  </si>
  <si>
    <t>WI210191995</t>
  </si>
  <si>
    <t>WI210192041</t>
  </si>
  <si>
    <t>MI21011198012</t>
  </si>
  <si>
    <t>WI210192046</t>
  </si>
  <si>
    <t>MI21011198040</t>
  </si>
  <si>
    <t>WI210192121</t>
  </si>
  <si>
    <t>MI21011199374</t>
  </si>
  <si>
    <t>WI210192152</t>
  </si>
  <si>
    <t>MI21011199766</t>
  </si>
  <si>
    <t>WI210192156</t>
  </si>
  <si>
    <t>MI21011199948</t>
  </si>
  <si>
    <t>WI210192191</t>
  </si>
  <si>
    <t>WI210192207</t>
  </si>
  <si>
    <t>MI21011200353</t>
  </si>
  <si>
    <t>WI210192303</t>
  </si>
  <si>
    <t>MI21011201989</t>
  </si>
  <si>
    <t>WI210192313</t>
  </si>
  <si>
    <t>150030035566</t>
  </si>
  <si>
    <t>MI21011202157</t>
  </si>
  <si>
    <t>WI210192330</t>
  </si>
  <si>
    <t>150030035650</t>
  </si>
  <si>
    <t>MI21011202561</t>
  </si>
  <si>
    <t>WI210192376</t>
  </si>
  <si>
    <t>MI21011203084</t>
  </si>
  <si>
    <t>WI210192431</t>
  </si>
  <si>
    <t>150030037652</t>
  </si>
  <si>
    <t>MI21011203584</t>
  </si>
  <si>
    <t>WI210192490</t>
  </si>
  <si>
    <t>MI21011204275</t>
  </si>
  <si>
    <t>WI210192506</t>
  </si>
  <si>
    <t>150030037654</t>
  </si>
  <si>
    <t>MI21011204327</t>
  </si>
  <si>
    <t>WI210192597</t>
  </si>
  <si>
    <t>MI21011205458</t>
  </si>
  <si>
    <t>WI210192616</t>
  </si>
  <si>
    <t>WI21019263</t>
  </si>
  <si>
    <t>MI2101116956</t>
  </si>
  <si>
    <t>WI210192639</t>
  </si>
  <si>
    <t>150100001308</t>
  </si>
  <si>
    <t>MI21011205944</t>
  </si>
  <si>
    <t>WI210192653</t>
  </si>
  <si>
    <t>WI210192664</t>
  </si>
  <si>
    <t>MI21011206313</t>
  </si>
  <si>
    <t>WI210192714</t>
  </si>
  <si>
    <t>150030037656</t>
  </si>
  <si>
    <t>MI21011206365</t>
  </si>
  <si>
    <t>WI210192718</t>
  </si>
  <si>
    <t>MI21011206657</t>
  </si>
  <si>
    <t>WI210192737</t>
  </si>
  <si>
    <t>WI210192783</t>
  </si>
  <si>
    <t>150030035242</t>
  </si>
  <si>
    <t>MI21011207220</t>
  </si>
  <si>
    <t>WI210192805</t>
  </si>
  <si>
    <t>WI210192851</t>
  </si>
  <si>
    <t>MI21011207867</t>
  </si>
  <si>
    <t>WI21019286</t>
  </si>
  <si>
    <t>MI2101117333</t>
  </si>
  <si>
    <t>WI210192863</t>
  </si>
  <si>
    <t>WI21019289</t>
  </si>
  <si>
    <t>150030036316</t>
  </si>
  <si>
    <t>MI2101117411</t>
  </si>
  <si>
    <t>WI210192959</t>
  </si>
  <si>
    <t>150030037524</t>
  </si>
  <si>
    <t>MI21011208845</t>
  </si>
  <si>
    <t>WI210192971</t>
  </si>
  <si>
    <t>WI210192996</t>
  </si>
  <si>
    <t>MI21011209598</t>
  </si>
  <si>
    <t>WI210193000</t>
  </si>
  <si>
    <t>MI21011207081</t>
  </si>
  <si>
    <t>WI210193056</t>
  </si>
  <si>
    <t>MI21011210639</t>
  </si>
  <si>
    <t>WI210193090</t>
  </si>
  <si>
    <t>MI21011211135</t>
  </si>
  <si>
    <t>WI210193170</t>
  </si>
  <si>
    <t>MI21011212602</t>
  </si>
  <si>
    <t>WI210193210</t>
  </si>
  <si>
    <t>WI210193235</t>
  </si>
  <si>
    <t>150030037394</t>
  </si>
  <si>
    <t>MI21011213567</t>
  </si>
  <si>
    <t>WI210193299</t>
  </si>
  <si>
    <t>WI210193304</t>
  </si>
  <si>
    <t>150030035755</t>
  </si>
  <si>
    <t>MI21011214484</t>
  </si>
  <si>
    <t>WI21019337</t>
  </si>
  <si>
    <t>150030036306</t>
  </si>
  <si>
    <t>MI2101117729</t>
  </si>
  <si>
    <t>WI210193426</t>
  </si>
  <si>
    <t>150030035692</t>
  </si>
  <si>
    <t>MI21011216326</t>
  </si>
  <si>
    <t>WI210193435</t>
  </si>
  <si>
    <t>150100001313</t>
  </si>
  <si>
    <t>MI21011216217</t>
  </si>
  <si>
    <t>WI210193437</t>
  </si>
  <si>
    <t>WI210193475</t>
  </si>
  <si>
    <t>MI21011217140</t>
  </si>
  <si>
    <t>WI210193477</t>
  </si>
  <si>
    <t>MI21011217164</t>
  </si>
  <si>
    <t>WI210193478</t>
  </si>
  <si>
    <t>MI21011217167</t>
  </si>
  <si>
    <t>WI210193482</t>
  </si>
  <si>
    <t>MI21011217212</t>
  </si>
  <si>
    <t>WI210193484</t>
  </si>
  <si>
    <t>MI21011217211</t>
  </si>
  <si>
    <t>WI210193489</t>
  </si>
  <si>
    <t>MI21011217253</t>
  </si>
  <si>
    <t>WI210193497</t>
  </si>
  <si>
    <t>MI21011217283</t>
  </si>
  <si>
    <t>WI21019350</t>
  </si>
  <si>
    <t>MI2101118006</t>
  </si>
  <si>
    <t>WI210193519</t>
  </si>
  <si>
    <t>MI21011217737</t>
  </si>
  <si>
    <t>WI210193549</t>
  </si>
  <si>
    <t>MI21011218394</t>
  </si>
  <si>
    <t>WI21019359</t>
  </si>
  <si>
    <t>150030036166</t>
  </si>
  <si>
    <t>MI2101117933</t>
  </si>
  <si>
    <t>WI210193613</t>
  </si>
  <si>
    <t>WI21019389</t>
  </si>
  <si>
    <t>MI2101118376</t>
  </si>
  <si>
    <t>WI210193937</t>
  </si>
  <si>
    <t>MI21011223800</t>
  </si>
  <si>
    <t>WI210194110</t>
  </si>
  <si>
    <t>150030035659</t>
  </si>
  <si>
    <t>MI21011225979</t>
  </si>
  <si>
    <t>WI210194165</t>
  </si>
  <si>
    <t>WI210194325</t>
  </si>
  <si>
    <t>MI21011228311</t>
  </si>
  <si>
    <t>WI210194340</t>
  </si>
  <si>
    <t>150030034951</t>
  </si>
  <si>
    <t>MI21011228640</t>
  </si>
  <si>
    <t>WI210194780</t>
  </si>
  <si>
    <t>150030034310</t>
  </si>
  <si>
    <t>MI21011233498</t>
  </si>
  <si>
    <t>WI210194784</t>
  </si>
  <si>
    <t>MI21011233518</t>
  </si>
  <si>
    <t>WI210194787</t>
  </si>
  <si>
    <t>MI21011233541</t>
  </si>
  <si>
    <t>WI210194791</t>
  </si>
  <si>
    <t>MI21011233565</t>
  </si>
  <si>
    <t>WI210194798</t>
  </si>
  <si>
    <t>MI21011233745</t>
  </si>
  <si>
    <t>WI210194859</t>
  </si>
  <si>
    <t>MI21011234748</t>
  </si>
  <si>
    <t>WI210194897</t>
  </si>
  <si>
    <t>150030034807</t>
  </si>
  <si>
    <t>MI21011235087</t>
  </si>
  <si>
    <t>WI210194937</t>
  </si>
  <si>
    <t>MI21011235733</t>
  </si>
  <si>
    <t>WI21019498</t>
  </si>
  <si>
    <t>MI2101119418</t>
  </si>
  <si>
    <t>WI210195068</t>
  </si>
  <si>
    <t>WI210195069</t>
  </si>
  <si>
    <t>WI210195083</t>
  </si>
  <si>
    <t>MI21011238241</t>
  </si>
  <si>
    <t>WI210195091</t>
  </si>
  <si>
    <t>150030037670</t>
  </si>
  <si>
    <t>MI21011238659</t>
  </si>
  <si>
    <t>WI210195103</t>
  </si>
  <si>
    <t>MI21011238992</t>
  </si>
  <si>
    <t>WI210195105</t>
  </si>
  <si>
    <t>150030034944</t>
  </si>
  <si>
    <t>MI21011238987</t>
  </si>
  <si>
    <t>WI210195110</t>
  </si>
  <si>
    <t>MI21011239141</t>
  </si>
  <si>
    <t>WI210195116</t>
  </si>
  <si>
    <t>150030037635</t>
  </si>
  <si>
    <t>MI21011239329</t>
  </si>
  <si>
    <t>WI210195123</t>
  </si>
  <si>
    <t>WI210195131</t>
  </si>
  <si>
    <t>150100001317</t>
  </si>
  <si>
    <t>MI21011239534</t>
  </si>
  <si>
    <t>WI210195138</t>
  </si>
  <si>
    <t>MI21011239773</t>
  </si>
  <si>
    <t>WI210195143</t>
  </si>
  <si>
    <t>150100001318</t>
  </si>
  <si>
    <t>MI21011240081</t>
  </si>
  <si>
    <t>WI210195148</t>
  </si>
  <si>
    <t>150030034979</t>
  </si>
  <si>
    <t>MI21011240430</t>
  </si>
  <si>
    <t>WI21019515</t>
  </si>
  <si>
    <t>150030035598</t>
  </si>
  <si>
    <t>MI2101119413</t>
  </si>
  <si>
    <t>WI210195151</t>
  </si>
  <si>
    <t>MI21011240576</t>
  </si>
  <si>
    <t>WI210195155</t>
  </si>
  <si>
    <t>152190000362</t>
  </si>
  <si>
    <t>MI2012366985</t>
  </si>
  <si>
    <t>WI210195168</t>
  </si>
  <si>
    <t>MI21011241093</t>
  </si>
  <si>
    <t>WI210195183</t>
  </si>
  <si>
    <t>MI21011241262</t>
  </si>
  <si>
    <t>WI210195186</t>
  </si>
  <si>
    <t>MI21011241209</t>
  </si>
  <si>
    <t>WI210195187</t>
  </si>
  <si>
    <t>MI21011241372</t>
  </si>
  <si>
    <t>WI210195214</t>
  </si>
  <si>
    <t>MI21011242144</t>
  </si>
  <si>
    <t>WI210195215</t>
  </si>
  <si>
    <t>MI21011242198</t>
  </si>
  <si>
    <t>WI210195219</t>
  </si>
  <si>
    <t>MI21011242240</t>
  </si>
  <si>
    <t>WI210195242</t>
  </si>
  <si>
    <t>WI210195291</t>
  </si>
  <si>
    <t>150030037729</t>
  </si>
  <si>
    <t>MI21011242929</t>
  </si>
  <si>
    <t>WI210195310</t>
  </si>
  <si>
    <t>MI21011243366</t>
  </si>
  <si>
    <t>WI210195312</t>
  </si>
  <si>
    <t>MI21011243405</t>
  </si>
  <si>
    <t>WI210195348</t>
  </si>
  <si>
    <t>MI21011243626</t>
  </si>
  <si>
    <t>WI210195357</t>
  </si>
  <si>
    <t>150030037753</t>
  </si>
  <si>
    <t>MI21011243636</t>
  </si>
  <si>
    <t>WI210195359</t>
  </si>
  <si>
    <t>MI21011243738</t>
  </si>
  <si>
    <t>WI210195370</t>
  </si>
  <si>
    <t>WI210195406</t>
  </si>
  <si>
    <t>150030037707</t>
  </si>
  <si>
    <t>MI21011244079</t>
  </si>
  <si>
    <t>WI210195446</t>
  </si>
  <si>
    <t>150030037718</t>
  </si>
  <si>
    <t>MI21011244701</t>
  </si>
  <si>
    <t>WI210195451</t>
  </si>
  <si>
    <t>150030037630</t>
  </si>
  <si>
    <t>MI21011244823</t>
  </si>
  <si>
    <t>WI210195459</t>
  </si>
  <si>
    <t>150030034905</t>
  </si>
  <si>
    <t>MI21011245007</t>
  </si>
  <si>
    <t>WI210195514</t>
  </si>
  <si>
    <t>150030037763</t>
  </si>
  <si>
    <t>MI21011245438</t>
  </si>
  <si>
    <t>WI21019553</t>
  </si>
  <si>
    <t>WI210195620</t>
  </si>
  <si>
    <t>150030035646</t>
  </si>
  <si>
    <t>MI21011246567</t>
  </si>
  <si>
    <t>WI210195640</t>
  </si>
  <si>
    <t>150030037733</t>
  </si>
  <si>
    <t>MI21011246888</t>
  </si>
  <si>
    <t>WI210195654</t>
  </si>
  <si>
    <t>MI21011247266</t>
  </si>
  <si>
    <t>WI210195685</t>
  </si>
  <si>
    <t>WI210195692</t>
  </si>
  <si>
    <t>MI21011247688</t>
  </si>
  <si>
    <t>WI210195697</t>
  </si>
  <si>
    <t>MI21011247823</t>
  </si>
  <si>
    <t>WI210195717</t>
  </si>
  <si>
    <t>WI210195725</t>
  </si>
  <si>
    <t>150030037779</t>
  </si>
  <si>
    <t>MI21011248059</t>
  </si>
  <si>
    <t>WI210195730</t>
  </si>
  <si>
    <t>150030037720</t>
  </si>
  <si>
    <t>MI21011248194</t>
  </si>
  <si>
    <t>WI210195748</t>
  </si>
  <si>
    <t>150030037771</t>
  </si>
  <si>
    <t>MI21011248278</t>
  </si>
  <si>
    <t>WI210195764</t>
  </si>
  <si>
    <t>MI21011248541</t>
  </si>
  <si>
    <t>WI210195772</t>
  </si>
  <si>
    <t>MI21011248450</t>
  </si>
  <si>
    <t>WI210195795</t>
  </si>
  <si>
    <t>WI210195870</t>
  </si>
  <si>
    <t>MI21011250114</t>
  </si>
  <si>
    <t>WI210196012</t>
  </si>
  <si>
    <t>150030034275</t>
  </si>
  <si>
    <t>MI21011251436</t>
  </si>
  <si>
    <t>WI21019604</t>
  </si>
  <si>
    <t>WI210196067</t>
  </si>
  <si>
    <t>WI210196068</t>
  </si>
  <si>
    <t>150030035744</t>
  </si>
  <si>
    <t>MI21011252333</t>
  </si>
  <si>
    <t>WI210196079</t>
  </si>
  <si>
    <t>150030037683</t>
  </si>
  <si>
    <t>MI21011252396</t>
  </si>
  <si>
    <t>WI210196082</t>
  </si>
  <si>
    <t>MI21011252685</t>
  </si>
  <si>
    <t>WI210196092</t>
  </si>
  <si>
    <t>MI21011252863</t>
  </si>
  <si>
    <t>WI210196119</t>
  </si>
  <si>
    <t>MI21011253158</t>
  </si>
  <si>
    <t>WI210196141</t>
  </si>
  <si>
    <t>MI21011253615</t>
  </si>
  <si>
    <t>WI210196143</t>
  </si>
  <si>
    <t>MI21011253665</t>
  </si>
  <si>
    <t>WI210196151</t>
  </si>
  <si>
    <t>MI21011253646</t>
  </si>
  <si>
    <t>WI21019617</t>
  </si>
  <si>
    <t>MI2101120966</t>
  </si>
  <si>
    <t>WI210196195</t>
  </si>
  <si>
    <t>150030037750</t>
  </si>
  <si>
    <t>MI21011254660</t>
  </si>
  <si>
    <t>WI210196198</t>
  </si>
  <si>
    <t>MI21011254902</t>
  </si>
  <si>
    <t>WI210196205</t>
  </si>
  <si>
    <t>115960003718</t>
  </si>
  <si>
    <t>MI2101936847</t>
  </si>
  <si>
    <t>WI210196261</t>
  </si>
  <si>
    <t>MI21011255621</t>
  </si>
  <si>
    <t>WI210196273</t>
  </si>
  <si>
    <t>150030037696</t>
  </si>
  <si>
    <t>MI21011255541</t>
  </si>
  <si>
    <t>WI210196286</t>
  </si>
  <si>
    <t>150030037292</t>
  </si>
  <si>
    <t>MI21011255889</t>
  </si>
  <si>
    <t>WI210196296</t>
  </si>
  <si>
    <t>MI21011255969</t>
  </si>
  <si>
    <t>WI210196358</t>
  </si>
  <si>
    <t>150030037631</t>
  </si>
  <si>
    <t>MI21011256475</t>
  </si>
  <si>
    <t>WI210196370</t>
  </si>
  <si>
    <t>MI21011256770</t>
  </si>
  <si>
    <t>WI210196389</t>
  </si>
  <si>
    <t>MI21011257068</t>
  </si>
  <si>
    <t>WI210196398</t>
  </si>
  <si>
    <t>MI21011257236</t>
  </si>
  <si>
    <t>WI210196525</t>
  </si>
  <si>
    <t>150100001324</t>
  </si>
  <si>
    <t>MI21011258651</t>
  </si>
  <si>
    <t>WI210196551</t>
  </si>
  <si>
    <t>MI21011259002</t>
  </si>
  <si>
    <t>WI210196618</t>
  </si>
  <si>
    <t>150030036743</t>
  </si>
  <si>
    <t>MI21011259987</t>
  </si>
  <si>
    <t>WI210196841</t>
  </si>
  <si>
    <t>150030037553</t>
  </si>
  <si>
    <t>MI21011262325</t>
  </si>
  <si>
    <t>WI210196933</t>
  </si>
  <si>
    <t>150030035654</t>
  </si>
  <si>
    <t>MI21011264036</t>
  </si>
  <si>
    <t>WI210196945</t>
  </si>
  <si>
    <t>WI210196982</t>
  </si>
  <si>
    <t>150030035047</t>
  </si>
  <si>
    <t>MI21011264773</t>
  </si>
  <si>
    <t>WI210196998</t>
  </si>
  <si>
    <t>MI21011265114</t>
  </si>
  <si>
    <t>WI210197008</t>
  </si>
  <si>
    <t>MI21011265302</t>
  </si>
  <si>
    <t>WI210197077</t>
  </si>
  <si>
    <t>MI21011265726</t>
  </si>
  <si>
    <t>WI21019710</t>
  </si>
  <si>
    <t>MI2101121702</t>
  </si>
  <si>
    <t>WI210197232</t>
  </si>
  <si>
    <t>150030036040</t>
  </si>
  <si>
    <t>MI21011268303</t>
  </si>
  <si>
    <t>WI210197234</t>
  </si>
  <si>
    <t>150030035178</t>
  </si>
  <si>
    <t>MI21011268179</t>
  </si>
  <si>
    <t>WI210197264</t>
  </si>
  <si>
    <t>150030037793</t>
  </si>
  <si>
    <t>MI21011269198</t>
  </si>
  <si>
    <t>WI210197272</t>
  </si>
  <si>
    <t>MI21011269329</t>
  </si>
  <si>
    <t>WI210197305</t>
  </si>
  <si>
    <t>150030033815</t>
  </si>
  <si>
    <t>MI21011269460</t>
  </si>
  <si>
    <t>WI210197314</t>
  </si>
  <si>
    <t>MI21011269985</t>
  </si>
  <si>
    <t>WI210197330</t>
  </si>
  <si>
    <t>MI21011270068</t>
  </si>
  <si>
    <t>WI210197352</t>
  </si>
  <si>
    <t>MI21011270977</t>
  </si>
  <si>
    <t>WI210197405</t>
  </si>
  <si>
    <t>WI210197586</t>
  </si>
  <si>
    <t>MI21011273681</t>
  </si>
  <si>
    <t>WI210197597</t>
  </si>
  <si>
    <t>MI21011273792</t>
  </si>
  <si>
    <t>WI210197634</t>
  </si>
  <si>
    <t>150030037561</t>
  </si>
  <si>
    <t>MI21011274206</t>
  </si>
  <si>
    <t>WI210197682</t>
  </si>
  <si>
    <t>150030036759</t>
  </si>
  <si>
    <t>MI21011275101</t>
  </si>
  <si>
    <t>WI210197684</t>
  </si>
  <si>
    <t>MI21011275151</t>
  </si>
  <si>
    <t>WI210197691</t>
  </si>
  <si>
    <t>MI21011275146</t>
  </si>
  <si>
    <t>WI210197722</t>
  </si>
  <si>
    <t>MI21011275447</t>
  </si>
  <si>
    <t>WI210197732</t>
  </si>
  <si>
    <t>MI21011275630</t>
  </si>
  <si>
    <t>WI210197752</t>
  </si>
  <si>
    <t>MI21011276069</t>
  </si>
  <si>
    <t>WI210197774</t>
  </si>
  <si>
    <t>150030035136</t>
  </si>
  <si>
    <t>MI21011276367</t>
  </si>
  <si>
    <t>WI210197817</t>
  </si>
  <si>
    <t>150030035004</t>
  </si>
  <si>
    <t>MI21011277047</t>
  </si>
  <si>
    <t>WI210197829</t>
  </si>
  <si>
    <t>MI21011277348</t>
  </si>
  <si>
    <t>WI210197852</t>
  </si>
  <si>
    <t>150030037585</t>
  </si>
  <si>
    <t>MI21011277824</t>
  </si>
  <si>
    <t>WI210197879</t>
  </si>
  <si>
    <t>150030037495</t>
  </si>
  <si>
    <t>MI21011278208</t>
  </si>
  <si>
    <t>WI210197888</t>
  </si>
  <si>
    <t>MI21011278364</t>
  </si>
  <si>
    <t>WI210197903</t>
  </si>
  <si>
    <t>150030035390</t>
  </si>
  <si>
    <t>MI21011278732</t>
  </si>
  <si>
    <t>WI210197923</t>
  </si>
  <si>
    <t>MI21011279045</t>
  </si>
  <si>
    <t>WI210197927</t>
  </si>
  <si>
    <t>WI210197957</t>
  </si>
  <si>
    <t>WI210198005</t>
  </si>
  <si>
    <t>MI21011280037</t>
  </si>
  <si>
    <t>WI210198040</t>
  </si>
  <si>
    <t>150030037129</t>
  </si>
  <si>
    <t>MI21011280714</t>
  </si>
  <si>
    <t>WI210198049</t>
  </si>
  <si>
    <t>MI21011280699</t>
  </si>
  <si>
    <t>WI210198061</t>
  </si>
  <si>
    <t>MI21011280786</t>
  </si>
  <si>
    <t>WI210198143</t>
  </si>
  <si>
    <t>150030037126</t>
  </si>
  <si>
    <t>MI21011282235</t>
  </si>
  <si>
    <t>WI210198161</t>
  </si>
  <si>
    <t>150030037704</t>
  </si>
  <si>
    <t>MI21011282538</t>
  </si>
  <si>
    <t>WI210198234</t>
  </si>
  <si>
    <t>150030037648</t>
  </si>
  <si>
    <t>MI21011283456</t>
  </si>
  <si>
    <t>WI210198247</t>
  </si>
  <si>
    <t>MI21011283603</t>
  </si>
  <si>
    <t>WI210198255</t>
  </si>
  <si>
    <t>MI21011283656</t>
  </si>
  <si>
    <t>WI210198256</t>
  </si>
  <si>
    <t>MI21011283661</t>
  </si>
  <si>
    <t>WI210198311</t>
  </si>
  <si>
    <t>MI21011285151</t>
  </si>
  <si>
    <t>WI210198369</t>
  </si>
  <si>
    <t>MI21011286042</t>
  </si>
  <si>
    <t>WI210198441</t>
  </si>
  <si>
    <t>MI21011286589</t>
  </si>
  <si>
    <t>WI210198471</t>
  </si>
  <si>
    <t>150030035090</t>
  </si>
  <si>
    <t>MI21011286270</t>
  </si>
  <si>
    <t>WI210198500</t>
  </si>
  <si>
    <t>WI210198550</t>
  </si>
  <si>
    <t>MI21011288116</t>
  </si>
  <si>
    <t>WI210198584</t>
  </si>
  <si>
    <t>MI21011288797</t>
  </si>
  <si>
    <t>WI21019860</t>
  </si>
  <si>
    <t>WI21019861</t>
  </si>
  <si>
    <t>WI210198747</t>
  </si>
  <si>
    <t>MI21011290769</t>
  </si>
  <si>
    <t>WI210198790</t>
  </si>
  <si>
    <t>MI21011291258</t>
  </si>
  <si>
    <t>WI210198827</t>
  </si>
  <si>
    <t>WI210198833</t>
  </si>
  <si>
    <t>MI21011291615</t>
  </si>
  <si>
    <t>WI210198841</t>
  </si>
  <si>
    <t>MI21011291839</t>
  </si>
  <si>
    <t>WI210198846</t>
  </si>
  <si>
    <t>MI21011291693</t>
  </si>
  <si>
    <t>WI210198857</t>
  </si>
  <si>
    <t>MI21011291965</t>
  </si>
  <si>
    <t>WI210198930</t>
  </si>
  <si>
    <t>MI21011292690</t>
  </si>
  <si>
    <t>WI210198950</t>
  </si>
  <si>
    <t>MI21011293028</t>
  </si>
  <si>
    <t>WI210199263</t>
  </si>
  <si>
    <t>MI21011298185</t>
  </si>
  <si>
    <t>WI210199356</t>
  </si>
  <si>
    <t>MI21011299381</t>
  </si>
  <si>
    <t>WI21019945</t>
  </si>
  <si>
    <t>MI2101123257</t>
  </si>
  <si>
    <t>WI21019967</t>
  </si>
  <si>
    <t>MI2101123760</t>
  </si>
  <si>
    <t>WI21019977</t>
  </si>
  <si>
    <t>MI2101123944</t>
  </si>
  <si>
    <t>WI21019981</t>
  </si>
  <si>
    <t>MI2101123988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</si>
</sst>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none"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 applyAlignment="1">
      <alignment horizontal="left"/>
    </xf>
    <xf numFmtId="0" fontId="1" fillId="0" borderId="0" xfId="0" applyFont="1"/>
    <xf numFmtId="0" fontId="2" fillId="3" borderId="0" xfId="0" applyFont="1" applyFill="1"/>
    <xf numFmtId="0" fontId="3" fillId="2" borderId="0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"/>
  <sheetViews>
    <sheetView workbookViewId="0"/>
  </sheetViews>
  <sheetFormatPr defaultRowHeight="14.25" x14ac:dyDescent="0.45"/>
  <cols>
    <col min="1" max="1" width="17.59765625" customWidth="1"/>
    <col min="2" max="2" width="45" customWidth="1"/>
  </cols>
  <sheetData>
    <row r="1" spans="1:2" x14ac:dyDescent="0.45">
      <c r="A1" t="s">
        <v>0</v>
      </c>
      <c r="B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s="1">
        <v>44227.458338460645</v>
      </c>
    </row>
    <row r="8" spans="1:2" x14ac:dyDescent="0.45">
      <c r="A8" t="s">
        <v>13</v>
      </c>
      <c r="B8" t="s">
        <v>14</v>
      </c>
    </row>
    <row r="9" spans="1:2" x14ac:dyDescent="0.45">
      <c r="A9" t="s">
        <v>15</v>
      </c>
      <c r="B9" s="1">
        <v>44197</v>
      </c>
    </row>
    <row r="10" spans="1:2" x14ac:dyDescent="0.45">
      <c r="A10" t="s">
        <v>16</v>
      </c>
      <c r="B10" s="1">
        <v>44227.458338460645</v>
      </c>
    </row>
    <row r="11" spans="1:2" x14ac:dyDescent="0.45">
      <c r="A11" t="s">
        <v>17</v>
      </c>
      <c r="B11" t="s">
        <v>18</v>
      </c>
    </row>
    <row r="12" spans="1:2" x14ac:dyDescent="0.45">
      <c r="A12" t="s">
        <v>19</v>
      </c>
      <c r="B12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E3164"/>
  <sheetViews>
    <sheetView topLeftCell="AF3141" workbookViewId="0">
      <selection activeCell="AH1" sqref="AH1:AH3164"/>
    </sheetView>
  </sheetViews>
  <sheetFormatPr defaultRowHeight="14.25" x14ac:dyDescent="0.45"/>
  <cols>
    <col min="1" max="1" width="12.73046875" customWidth="1"/>
    <col min="2" max="2" width="21" customWidth="1"/>
    <col min="3" max="3" width="15.73046875" customWidth="1"/>
    <col min="4" max="4" width="13.73046875" customWidth="1"/>
    <col min="5" max="5" width="9.1328125" customWidth="1"/>
    <col min="6" max="6" width="8.59765625" customWidth="1"/>
    <col min="7" max="7" width="10" customWidth="1"/>
    <col min="8" max="8" width="13.1328125" customWidth="1"/>
    <col min="9" max="9" width="11.73046875" customWidth="1"/>
    <col min="10" max="10" width="16.3984375" customWidth="1"/>
    <col min="11" max="11" width="17.1328125" customWidth="1"/>
    <col min="12" max="12" width="12.86328125" customWidth="1"/>
    <col min="13" max="13" width="18.86328125" customWidth="1"/>
    <col min="14" max="14" width="26.59765625" customWidth="1"/>
    <col min="15" max="15" width="23.3984375" customWidth="1"/>
    <col min="16" max="16" width="26.1328125" customWidth="1"/>
    <col min="17" max="17" width="33.59765625" customWidth="1"/>
    <col min="18" max="18" width="26.3984375" customWidth="1"/>
    <col min="19" max="19" width="9.59765625" customWidth="1"/>
    <col min="20" max="20" width="9.73046875" customWidth="1"/>
    <col min="21" max="21" width="10.3984375" customWidth="1"/>
    <col min="22" max="22" width="30.3984375" customWidth="1"/>
    <col min="23" max="23" width="32" customWidth="1"/>
    <col min="24" max="24" width="37.59765625" customWidth="1"/>
    <col min="25" max="25" width="29.59765625" customWidth="1"/>
    <col min="26" max="26" width="32" customWidth="1"/>
    <col min="27" max="27" width="27.265625" customWidth="1"/>
    <col min="28" max="28" width="23.73046875" customWidth="1"/>
    <col min="29" max="29" width="22.3984375" customWidth="1"/>
    <col min="30" max="30" width="30.3984375" customWidth="1"/>
    <col min="31" max="31" width="25" customWidth="1"/>
    <col min="32" max="32" width="26.73046875" customWidth="1"/>
    <col min="33" max="33" width="33.3984375" customWidth="1"/>
    <col min="34" max="34" width="30.3984375" customWidth="1"/>
    <col min="35" max="35" width="32" customWidth="1"/>
    <col min="36" max="36" width="37.59765625" customWidth="1"/>
    <col min="37" max="37" width="29.59765625" customWidth="1"/>
    <col min="38" max="38" width="32" customWidth="1"/>
    <col min="39" max="39" width="27.265625" customWidth="1"/>
    <col min="40" max="40" width="23.73046875" customWidth="1"/>
    <col min="41" max="41" width="22.3984375" customWidth="1"/>
    <col min="42" max="42" width="30.3984375" customWidth="1"/>
    <col min="43" max="43" width="25" customWidth="1"/>
    <col min="44" max="44" width="26.73046875" customWidth="1"/>
    <col min="45" max="45" width="33.3984375" customWidth="1"/>
    <col min="46" max="46" width="30.3984375" customWidth="1"/>
    <col min="47" max="47" width="32" customWidth="1"/>
    <col min="48" max="48" width="37.59765625" customWidth="1"/>
    <col min="49" max="49" width="29.59765625" customWidth="1"/>
    <col min="50" max="50" width="32" customWidth="1"/>
    <col min="51" max="51" width="27.265625" customWidth="1"/>
    <col min="52" max="52" width="23.73046875" customWidth="1"/>
    <col min="53" max="53" width="22.3984375" customWidth="1"/>
    <col min="54" max="54" width="30.3984375" customWidth="1"/>
    <col min="55" max="55" width="25" customWidth="1"/>
    <col min="56" max="56" width="26.73046875" customWidth="1"/>
    <col min="57" max="57" width="33.3984375" customWidth="1"/>
  </cols>
  <sheetData>
    <row r="1" spans="1:57" x14ac:dyDescent="0.45">
      <c r="A1" s="3" t="s">
        <v>21</v>
      </c>
      <c r="B1" s="3" t="s">
        <v>22</v>
      </c>
      <c r="C1" s="3" t="s">
        <v>23</v>
      </c>
      <c r="D1" s="3" t="s">
        <v>24</v>
      </c>
      <c r="E1" s="3" t="s">
        <v>25</v>
      </c>
      <c r="F1" s="3" t="s">
        <v>26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  <c r="L1" s="3" t="s">
        <v>32</v>
      </c>
      <c r="M1" s="3" t="s">
        <v>33</v>
      </c>
      <c r="N1" s="3" t="s">
        <v>34</v>
      </c>
      <c r="O1" s="3" t="s">
        <v>35</v>
      </c>
      <c r="P1" s="3" t="s">
        <v>36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43</v>
      </c>
      <c r="X1" s="3" t="s">
        <v>44</v>
      </c>
      <c r="Y1" s="3" t="s">
        <v>45</v>
      </c>
      <c r="Z1" s="3" t="s">
        <v>46</v>
      </c>
      <c r="AA1" s="3" t="s">
        <v>47</v>
      </c>
      <c r="AB1" s="3" t="s">
        <v>48</v>
      </c>
      <c r="AC1" s="3" t="s">
        <v>49</v>
      </c>
      <c r="AD1" s="3" t="s">
        <v>50</v>
      </c>
      <c r="AE1" s="3" t="s">
        <v>51</v>
      </c>
      <c r="AF1" s="3" t="s">
        <v>52</v>
      </c>
      <c r="AG1" s="3" t="s">
        <v>53</v>
      </c>
      <c r="AH1" s="3" t="s">
        <v>54</v>
      </c>
      <c r="AI1" s="3" t="s">
        <v>55</v>
      </c>
      <c r="AJ1" s="3" t="s">
        <v>56</v>
      </c>
      <c r="AK1" s="3" t="s">
        <v>57</v>
      </c>
      <c r="AL1" s="3" t="s">
        <v>58</v>
      </c>
      <c r="AM1" s="3" t="s">
        <v>59</v>
      </c>
      <c r="AN1" s="3" t="s">
        <v>60</v>
      </c>
      <c r="AO1" s="3" t="s">
        <v>61</v>
      </c>
      <c r="AP1" s="3" t="s">
        <v>62</v>
      </c>
      <c r="AQ1" s="3" t="s">
        <v>63</v>
      </c>
      <c r="AR1" s="3" t="s">
        <v>64</v>
      </c>
      <c r="AS1" s="3" t="s">
        <v>65</v>
      </c>
      <c r="AT1" s="3" t="s">
        <v>66</v>
      </c>
      <c r="AU1" s="3" t="s">
        <v>67</v>
      </c>
      <c r="AV1" s="3" t="s">
        <v>68</v>
      </c>
      <c r="AW1" s="3" t="s">
        <v>69</v>
      </c>
      <c r="AX1" s="3" t="s">
        <v>70</v>
      </c>
      <c r="AY1" s="3" t="s">
        <v>71</v>
      </c>
      <c r="AZ1" s="3" t="s">
        <v>72</v>
      </c>
      <c r="BA1" s="3" t="s">
        <v>73</v>
      </c>
      <c r="BB1" s="3" t="s">
        <v>74</v>
      </c>
      <c r="BC1" s="3" t="s">
        <v>75</v>
      </c>
      <c r="BD1" s="3" t="s">
        <v>76</v>
      </c>
      <c r="BE1" s="3" t="s">
        <v>77</v>
      </c>
    </row>
    <row r="2" spans="1:57" x14ac:dyDescent="0.45">
      <c r="A2" t="s">
        <v>78</v>
      </c>
      <c r="B2" t="s">
        <v>79</v>
      </c>
      <c r="C2" t="s">
        <v>80</v>
      </c>
      <c r="D2" t="s">
        <v>81</v>
      </c>
      <c r="E2" s="2" t="str">
        <f>HYPERLINK("capsilon://?command=openfolder&amp;siteaddress=FAM.docvelocity-na8.net&amp;folderid=FX24FDE223-EDB5-6397-5EBF-7FB8D2313F69","FX210116744")</f>
        <v>FX210116744</v>
      </c>
      <c r="F2" t="s">
        <v>19</v>
      </c>
      <c r="G2" t="s">
        <v>19</v>
      </c>
      <c r="H2" t="s">
        <v>82</v>
      </c>
      <c r="I2" t="s">
        <v>83</v>
      </c>
      <c r="J2">
        <v>38</v>
      </c>
      <c r="K2" t="s">
        <v>84</v>
      </c>
      <c r="L2" t="s">
        <v>85</v>
      </c>
      <c r="M2" t="s">
        <v>86</v>
      </c>
      <c r="N2">
        <v>3</v>
      </c>
      <c r="O2" s="1">
        <v>44225.313414351855</v>
      </c>
      <c r="P2" s="1">
        <v>44225.410104166665</v>
      </c>
      <c r="Q2">
        <v>7432</v>
      </c>
      <c r="R2">
        <v>922</v>
      </c>
      <c r="S2" t="b">
        <v>0</v>
      </c>
      <c r="T2" t="s">
        <v>87</v>
      </c>
      <c r="U2" t="b">
        <v>0</v>
      </c>
      <c r="V2" t="s">
        <v>88</v>
      </c>
      <c r="W2" s="1">
        <v>44225.319768518515</v>
      </c>
      <c r="X2">
        <v>456</v>
      </c>
      <c r="Y2">
        <v>37</v>
      </c>
      <c r="Z2">
        <v>0</v>
      </c>
      <c r="AA2">
        <v>37</v>
      </c>
      <c r="AB2">
        <v>0</v>
      </c>
      <c r="AC2">
        <v>22</v>
      </c>
      <c r="AD2">
        <v>1</v>
      </c>
      <c r="AE2">
        <v>0</v>
      </c>
      <c r="AF2">
        <v>0</v>
      </c>
      <c r="AG2">
        <v>0</v>
      </c>
      <c r="AH2" t="s">
        <v>89</v>
      </c>
      <c r="AI2" s="1">
        <v>44225.347002314818</v>
      </c>
      <c r="AJ2">
        <v>460</v>
      </c>
      <c r="AK2">
        <v>2</v>
      </c>
      <c r="AL2">
        <v>0</v>
      </c>
      <c r="AM2">
        <v>2</v>
      </c>
      <c r="AN2">
        <v>0</v>
      </c>
      <c r="AO2">
        <v>0</v>
      </c>
      <c r="AP2">
        <v>-1</v>
      </c>
      <c r="AQ2">
        <v>0</v>
      </c>
      <c r="AR2">
        <v>0</v>
      </c>
      <c r="AS2">
        <v>0</v>
      </c>
      <c r="AT2" t="s">
        <v>90</v>
      </c>
      <c r="AU2" s="1">
        <v>44225.410104166665</v>
      </c>
      <c r="AV2">
        <v>6</v>
      </c>
      <c r="AW2">
        <v>0</v>
      </c>
      <c r="AX2">
        <v>0</v>
      </c>
      <c r="AY2">
        <v>0</v>
      </c>
      <c r="AZ2">
        <v>0</v>
      </c>
      <c r="BA2">
        <v>0</v>
      </c>
      <c r="BB2">
        <v>-1</v>
      </c>
      <c r="BC2">
        <v>0</v>
      </c>
      <c r="BD2">
        <v>0</v>
      </c>
      <c r="BE2">
        <v>0</v>
      </c>
    </row>
    <row r="3" spans="1:57" x14ac:dyDescent="0.45">
      <c r="A3" t="s">
        <v>91</v>
      </c>
      <c r="B3" t="s">
        <v>79</v>
      </c>
      <c r="C3" t="s">
        <v>92</v>
      </c>
      <c r="D3" t="s">
        <v>81</v>
      </c>
      <c r="E3" s="2" t="str">
        <f>HYPERLINK("capsilon://?command=openfolder&amp;siteaddress=FAM.docvelocity-na8.net&amp;folderid=FX502D3439-B8FF-7B6F-FD07-C54FAC25A11E","FX210118467")</f>
        <v>FX210118467</v>
      </c>
      <c r="F3" t="s">
        <v>19</v>
      </c>
      <c r="G3" t="s">
        <v>19</v>
      </c>
      <c r="H3" t="s">
        <v>82</v>
      </c>
      <c r="I3" t="s">
        <v>93</v>
      </c>
      <c r="J3">
        <v>269</v>
      </c>
      <c r="K3" t="s">
        <v>84</v>
      </c>
      <c r="L3" t="s">
        <v>85</v>
      </c>
      <c r="M3" t="s">
        <v>86</v>
      </c>
      <c r="N3">
        <v>3</v>
      </c>
      <c r="O3" s="1">
        <v>44225.316631944443</v>
      </c>
      <c r="P3" s="1">
        <v>44225.410578703704</v>
      </c>
      <c r="Q3">
        <v>5036</v>
      </c>
      <c r="R3">
        <v>3081</v>
      </c>
      <c r="S3" t="b">
        <v>0</v>
      </c>
      <c r="T3" t="s">
        <v>87</v>
      </c>
      <c r="U3" t="b">
        <v>0</v>
      </c>
      <c r="V3" t="s">
        <v>88</v>
      </c>
      <c r="W3" s="1">
        <v>44225.348136574074</v>
      </c>
      <c r="X3">
        <v>2450</v>
      </c>
      <c r="Y3">
        <v>214</v>
      </c>
      <c r="Z3">
        <v>0</v>
      </c>
      <c r="AA3">
        <v>214</v>
      </c>
      <c r="AB3">
        <v>0</v>
      </c>
      <c r="AC3">
        <v>110</v>
      </c>
      <c r="AD3">
        <v>55</v>
      </c>
      <c r="AE3">
        <v>0</v>
      </c>
      <c r="AF3">
        <v>0</v>
      </c>
      <c r="AG3">
        <v>0</v>
      </c>
      <c r="AH3" t="s">
        <v>94</v>
      </c>
      <c r="AI3" s="1">
        <v>44225.38212962963</v>
      </c>
      <c r="AJ3">
        <v>574</v>
      </c>
      <c r="AK3">
        <v>0</v>
      </c>
      <c r="AL3">
        <v>0</v>
      </c>
      <c r="AM3">
        <v>0</v>
      </c>
      <c r="AN3">
        <v>0</v>
      </c>
      <c r="AO3">
        <v>0</v>
      </c>
      <c r="AP3">
        <v>55</v>
      </c>
      <c r="AQ3">
        <v>0</v>
      </c>
      <c r="AR3">
        <v>0</v>
      </c>
      <c r="AS3">
        <v>0</v>
      </c>
      <c r="AT3" t="s">
        <v>90</v>
      </c>
      <c r="AU3" s="1">
        <v>44225.410578703704</v>
      </c>
      <c r="AV3">
        <v>40</v>
      </c>
      <c r="AW3">
        <v>0</v>
      </c>
      <c r="AX3">
        <v>0</v>
      </c>
      <c r="AY3">
        <v>0</v>
      </c>
      <c r="AZ3">
        <v>0</v>
      </c>
      <c r="BA3">
        <v>0</v>
      </c>
      <c r="BB3">
        <v>55</v>
      </c>
      <c r="BC3">
        <v>0</v>
      </c>
      <c r="BD3">
        <v>0</v>
      </c>
      <c r="BE3">
        <v>0</v>
      </c>
    </row>
    <row r="4" spans="1:57" x14ac:dyDescent="0.45">
      <c r="A4" t="s">
        <v>95</v>
      </c>
      <c r="B4" t="s">
        <v>79</v>
      </c>
      <c r="C4" t="s">
        <v>96</v>
      </c>
      <c r="D4" t="s">
        <v>81</v>
      </c>
      <c r="E4" s="2" t="str">
        <f>HYPERLINK("capsilon://?command=openfolder&amp;siteaddress=FAM.docvelocity-na8.net&amp;folderid=FX3680C5D6-7CBC-EB33-B9C6-BCD8A082C9C3","FX20127372")</f>
        <v>FX20127372</v>
      </c>
      <c r="F4" t="s">
        <v>19</v>
      </c>
      <c r="G4" t="s">
        <v>19</v>
      </c>
      <c r="H4" t="s">
        <v>82</v>
      </c>
      <c r="I4" t="s">
        <v>97</v>
      </c>
      <c r="J4">
        <v>38</v>
      </c>
      <c r="K4" t="s">
        <v>84</v>
      </c>
      <c r="L4" t="s">
        <v>85</v>
      </c>
      <c r="M4" t="s">
        <v>86</v>
      </c>
      <c r="N4">
        <v>3</v>
      </c>
      <c r="O4" s="1">
        <v>44225.336435185185</v>
      </c>
      <c r="P4" s="1">
        <v>44225.41070601852</v>
      </c>
      <c r="Q4">
        <v>5092</v>
      </c>
      <c r="R4">
        <v>1325</v>
      </c>
      <c r="S4" t="b">
        <v>0</v>
      </c>
      <c r="T4" t="s">
        <v>87</v>
      </c>
      <c r="U4" t="b">
        <v>0</v>
      </c>
      <c r="V4" t="s">
        <v>98</v>
      </c>
      <c r="W4" s="1">
        <v>44225.345567129632</v>
      </c>
      <c r="X4">
        <v>748</v>
      </c>
      <c r="Y4">
        <v>37</v>
      </c>
      <c r="Z4">
        <v>0</v>
      </c>
      <c r="AA4">
        <v>37</v>
      </c>
      <c r="AB4">
        <v>0</v>
      </c>
      <c r="AC4">
        <v>33</v>
      </c>
      <c r="AD4">
        <v>1</v>
      </c>
      <c r="AE4">
        <v>0</v>
      </c>
      <c r="AF4">
        <v>0</v>
      </c>
      <c r="AG4">
        <v>0</v>
      </c>
      <c r="AH4" t="s">
        <v>89</v>
      </c>
      <c r="AI4" s="1">
        <v>44225.353576388887</v>
      </c>
      <c r="AJ4">
        <v>567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 t="s">
        <v>90</v>
      </c>
      <c r="AU4" s="1">
        <v>44225.41070601852</v>
      </c>
      <c r="AV4">
        <v>10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</row>
    <row r="5" spans="1:57" x14ac:dyDescent="0.45">
      <c r="A5" t="s">
        <v>99</v>
      </c>
      <c r="B5" t="s">
        <v>79</v>
      </c>
      <c r="C5" t="s">
        <v>100</v>
      </c>
      <c r="D5" t="s">
        <v>81</v>
      </c>
      <c r="E5" s="2" t="str">
        <f>HYPERLINK("capsilon://?command=openfolder&amp;siteaddress=FAM.docvelocity-na8.net&amp;folderid=FXB90166FC-1BB4-0DB6-C76C-D5B89C33472B","FX201224447")</f>
        <v>FX201224447</v>
      </c>
      <c r="F5" t="s">
        <v>19</v>
      </c>
      <c r="G5" t="s">
        <v>19</v>
      </c>
      <c r="H5" t="s">
        <v>82</v>
      </c>
      <c r="I5" t="s">
        <v>101</v>
      </c>
      <c r="J5">
        <v>80</v>
      </c>
      <c r="K5" t="s">
        <v>84</v>
      </c>
      <c r="L5" t="s">
        <v>85</v>
      </c>
      <c r="M5" t="s">
        <v>86</v>
      </c>
      <c r="N5">
        <v>3</v>
      </c>
      <c r="O5" s="1">
        <v>44225.343773148146</v>
      </c>
      <c r="P5" s="1">
        <v>44225.410925925928</v>
      </c>
      <c r="Q5">
        <v>4522</v>
      </c>
      <c r="R5">
        <v>1280</v>
      </c>
      <c r="S5" t="b">
        <v>0</v>
      </c>
      <c r="T5" t="s">
        <v>87</v>
      </c>
      <c r="U5" t="b">
        <v>0</v>
      </c>
      <c r="V5" t="s">
        <v>98</v>
      </c>
      <c r="W5" s="1">
        <v>44225.358206018522</v>
      </c>
      <c r="X5">
        <v>1091</v>
      </c>
      <c r="Y5">
        <v>76</v>
      </c>
      <c r="Z5">
        <v>0</v>
      </c>
      <c r="AA5">
        <v>76</v>
      </c>
      <c r="AB5">
        <v>0</v>
      </c>
      <c r="AC5">
        <v>64</v>
      </c>
      <c r="AD5">
        <v>4</v>
      </c>
      <c r="AE5">
        <v>0</v>
      </c>
      <c r="AF5">
        <v>0</v>
      </c>
      <c r="AG5">
        <v>0</v>
      </c>
      <c r="AH5" t="s">
        <v>94</v>
      </c>
      <c r="AI5" s="1">
        <v>44225.384120370371</v>
      </c>
      <c r="AJ5">
        <v>171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0</v>
      </c>
      <c r="AR5">
        <v>0</v>
      </c>
      <c r="AS5">
        <v>0</v>
      </c>
      <c r="AT5" t="s">
        <v>90</v>
      </c>
      <c r="AU5" s="1">
        <v>44225.410925925928</v>
      </c>
      <c r="AV5">
        <v>18</v>
      </c>
      <c r="AW5">
        <v>0</v>
      </c>
      <c r="AX5">
        <v>0</v>
      </c>
      <c r="AY5">
        <v>0</v>
      </c>
      <c r="AZ5">
        <v>0</v>
      </c>
      <c r="BA5">
        <v>0</v>
      </c>
      <c r="BB5">
        <v>4</v>
      </c>
      <c r="BC5">
        <v>0</v>
      </c>
      <c r="BD5">
        <v>0</v>
      </c>
      <c r="BE5">
        <v>0</v>
      </c>
    </row>
    <row r="6" spans="1:57" x14ac:dyDescent="0.45">
      <c r="A6" t="s">
        <v>102</v>
      </c>
      <c r="B6" t="s">
        <v>79</v>
      </c>
      <c r="C6" t="s">
        <v>103</v>
      </c>
      <c r="D6" t="s">
        <v>81</v>
      </c>
      <c r="E6" s="2" t="str">
        <f>HYPERLINK("capsilon://?command=openfolder&amp;siteaddress=FAM.docvelocity-na8.net&amp;folderid=FX0D035180-42E6-8DE1-156B-0467477462DE","FX20124927")</f>
        <v>FX20124927</v>
      </c>
      <c r="F6" t="s">
        <v>19</v>
      </c>
      <c r="G6" t="s">
        <v>19</v>
      </c>
      <c r="H6" t="s">
        <v>82</v>
      </c>
      <c r="I6" t="s">
        <v>104</v>
      </c>
      <c r="J6">
        <v>118</v>
      </c>
      <c r="K6" t="s">
        <v>84</v>
      </c>
      <c r="L6" t="s">
        <v>85</v>
      </c>
      <c r="M6" t="s">
        <v>86</v>
      </c>
      <c r="N6">
        <v>3</v>
      </c>
      <c r="O6" s="1">
        <v>44225.345254629632</v>
      </c>
      <c r="P6" s="1">
        <v>44225.412094907406</v>
      </c>
      <c r="Q6">
        <v>2336</v>
      </c>
      <c r="R6">
        <v>3439</v>
      </c>
      <c r="S6" t="b">
        <v>0</v>
      </c>
      <c r="T6" t="s">
        <v>87</v>
      </c>
      <c r="U6" t="b">
        <v>0</v>
      </c>
      <c r="V6" t="s">
        <v>105</v>
      </c>
      <c r="W6" s="1">
        <v>44225.372673611113</v>
      </c>
      <c r="X6">
        <v>2009</v>
      </c>
      <c r="Y6">
        <v>76</v>
      </c>
      <c r="Z6">
        <v>0</v>
      </c>
      <c r="AA6">
        <v>76</v>
      </c>
      <c r="AB6">
        <v>0</v>
      </c>
      <c r="AC6">
        <v>52</v>
      </c>
      <c r="AD6">
        <v>42</v>
      </c>
      <c r="AE6">
        <v>0</v>
      </c>
      <c r="AF6">
        <v>0</v>
      </c>
      <c r="AG6">
        <v>0</v>
      </c>
      <c r="AH6" t="s">
        <v>94</v>
      </c>
      <c r="AI6" s="1">
        <v>44225.399027777778</v>
      </c>
      <c r="AJ6">
        <v>786</v>
      </c>
      <c r="AK6">
        <v>0</v>
      </c>
      <c r="AL6">
        <v>0</v>
      </c>
      <c r="AM6">
        <v>0</v>
      </c>
      <c r="AN6">
        <v>0</v>
      </c>
      <c r="AO6">
        <v>0</v>
      </c>
      <c r="AP6">
        <v>42</v>
      </c>
      <c r="AQ6">
        <v>0</v>
      </c>
      <c r="AR6">
        <v>0</v>
      </c>
      <c r="AS6">
        <v>0</v>
      </c>
      <c r="AT6" t="s">
        <v>90</v>
      </c>
      <c r="AU6" s="1">
        <v>44225.412094907406</v>
      </c>
      <c r="AV6">
        <v>101</v>
      </c>
      <c r="AW6">
        <v>3</v>
      </c>
      <c r="AX6">
        <v>0</v>
      </c>
      <c r="AY6">
        <v>3</v>
      </c>
      <c r="AZ6">
        <v>0</v>
      </c>
      <c r="BA6">
        <v>3</v>
      </c>
      <c r="BB6">
        <v>39</v>
      </c>
      <c r="BC6">
        <v>0</v>
      </c>
      <c r="BD6">
        <v>0</v>
      </c>
      <c r="BE6">
        <v>0</v>
      </c>
    </row>
    <row r="7" spans="1:57" x14ac:dyDescent="0.45">
      <c r="A7" t="s">
        <v>106</v>
      </c>
      <c r="B7" t="s">
        <v>79</v>
      </c>
      <c r="C7" t="s">
        <v>100</v>
      </c>
      <c r="D7" t="s">
        <v>81</v>
      </c>
      <c r="E7" s="2" t="str">
        <f>HYPERLINK("capsilon://?command=openfolder&amp;siteaddress=FAM.docvelocity-na8.net&amp;folderid=FXB90166FC-1BB4-0DB6-C76C-D5B89C33472B","FX201224447")</f>
        <v>FX201224447</v>
      </c>
      <c r="F7" t="s">
        <v>19</v>
      </c>
      <c r="G7" t="s">
        <v>19</v>
      </c>
      <c r="H7" t="s">
        <v>82</v>
      </c>
      <c r="I7" t="s">
        <v>107</v>
      </c>
      <c r="J7">
        <v>80</v>
      </c>
      <c r="K7" t="s">
        <v>84</v>
      </c>
      <c r="L7" t="s">
        <v>85</v>
      </c>
      <c r="M7" t="s">
        <v>86</v>
      </c>
      <c r="N7">
        <v>3</v>
      </c>
      <c r="O7" s="1">
        <v>44225.345694444448</v>
      </c>
      <c r="P7" s="1">
        <v>44225.412280092591</v>
      </c>
      <c r="Q7">
        <v>3553</v>
      </c>
      <c r="R7">
        <v>2200</v>
      </c>
      <c r="S7" t="b">
        <v>0</v>
      </c>
      <c r="T7" t="s">
        <v>87</v>
      </c>
      <c r="U7" t="b">
        <v>0</v>
      </c>
      <c r="V7" t="s">
        <v>88</v>
      </c>
      <c r="W7" s="1">
        <v>44225.367129629631</v>
      </c>
      <c r="X7">
        <v>1510</v>
      </c>
      <c r="Y7">
        <v>76</v>
      </c>
      <c r="Z7">
        <v>0</v>
      </c>
      <c r="AA7">
        <v>76</v>
      </c>
      <c r="AB7">
        <v>0</v>
      </c>
      <c r="AC7">
        <v>66</v>
      </c>
      <c r="AD7">
        <v>4</v>
      </c>
      <c r="AE7">
        <v>0</v>
      </c>
      <c r="AF7">
        <v>0</v>
      </c>
      <c r="AG7">
        <v>0</v>
      </c>
      <c r="AH7" t="s">
        <v>108</v>
      </c>
      <c r="AI7" s="1">
        <v>44225.40042824074</v>
      </c>
      <c r="AJ7">
        <v>675</v>
      </c>
      <c r="AK7">
        <v>3</v>
      </c>
      <c r="AL7">
        <v>0</v>
      </c>
      <c r="AM7">
        <v>3</v>
      </c>
      <c r="AN7">
        <v>0</v>
      </c>
      <c r="AO7">
        <v>1</v>
      </c>
      <c r="AP7">
        <v>1</v>
      </c>
      <c r="AQ7">
        <v>0</v>
      </c>
      <c r="AR7">
        <v>0</v>
      </c>
      <c r="AS7">
        <v>0</v>
      </c>
      <c r="AT7" t="s">
        <v>90</v>
      </c>
      <c r="AU7" s="1">
        <v>44225.412280092591</v>
      </c>
      <c r="AV7">
        <v>15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</row>
    <row r="8" spans="1:57" x14ac:dyDescent="0.45">
      <c r="A8" t="s">
        <v>109</v>
      </c>
      <c r="B8" t="s">
        <v>79</v>
      </c>
      <c r="C8" t="s">
        <v>110</v>
      </c>
      <c r="D8" t="s">
        <v>81</v>
      </c>
      <c r="E8" s="2" t="str">
        <f>HYPERLINK("capsilon://?command=openfolder&amp;siteaddress=FAM.docvelocity-na8.net&amp;folderid=FX722378B3-A602-F353-6542-FDA1FDD73853","FX20128524")</f>
        <v>FX20128524</v>
      </c>
      <c r="F8" t="s">
        <v>19</v>
      </c>
      <c r="G8" t="s">
        <v>19</v>
      </c>
      <c r="H8" t="s">
        <v>82</v>
      </c>
      <c r="I8" t="s">
        <v>111</v>
      </c>
      <c r="J8">
        <v>66</v>
      </c>
      <c r="K8" t="s">
        <v>84</v>
      </c>
      <c r="L8" t="s">
        <v>85</v>
      </c>
      <c r="M8" t="s">
        <v>86</v>
      </c>
      <c r="N8">
        <v>3</v>
      </c>
      <c r="O8" s="1">
        <v>44225.353391203702</v>
      </c>
      <c r="P8" s="1">
        <v>44225.412442129629</v>
      </c>
      <c r="Q8">
        <v>3743</v>
      </c>
      <c r="R8">
        <v>1359</v>
      </c>
      <c r="S8" t="b">
        <v>0</v>
      </c>
      <c r="T8" t="s">
        <v>87</v>
      </c>
      <c r="U8" t="b">
        <v>0</v>
      </c>
      <c r="V8" t="s">
        <v>112</v>
      </c>
      <c r="W8" s="1">
        <v>44225.365300925929</v>
      </c>
      <c r="X8">
        <v>820</v>
      </c>
      <c r="Y8">
        <v>52</v>
      </c>
      <c r="Z8">
        <v>0</v>
      </c>
      <c r="AA8">
        <v>52</v>
      </c>
      <c r="AB8">
        <v>0</v>
      </c>
      <c r="AC8">
        <v>34</v>
      </c>
      <c r="AD8">
        <v>14</v>
      </c>
      <c r="AE8">
        <v>0</v>
      </c>
      <c r="AF8">
        <v>0</v>
      </c>
      <c r="AG8">
        <v>0</v>
      </c>
      <c r="AH8" t="s">
        <v>89</v>
      </c>
      <c r="AI8" s="1">
        <v>44225.403437499997</v>
      </c>
      <c r="AJ8">
        <v>526</v>
      </c>
      <c r="AK8">
        <v>0</v>
      </c>
      <c r="AL8">
        <v>0</v>
      </c>
      <c r="AM8">
        <v>0</v>
      </c>
      <c r="AN8">
        <v>0</v>
      </c>
      <c r="AO8">
        <v>0</v>
      </c>
      <c r="AP8">
        <v>14</v>
      </c>
      <c r="AQ8">
        <v>0</v>
      </c>
      <c r="AR8">
        <v>0</v>
      </c>
      <c r="AS8">
        <v>0</v>
      </c>
      <c r="AT8" t="s">
        <v>90</v>
      </c>
      <c r="AU8" s="1">
        <v>44225.412442129629</v>
      </c>
      <c r="AV8">
        <v>13</v>
      </c>
      <c r="AW8">
        <v>0</v>
      </c>
      <c r="AX8">
        <v>0</v>
      </c>
      <c r="AY8">
        <v>0</v>
      </c>
      <c r="AZ8">
        <v>0</v>
      </c>
      <c r="BA8">
        <v>0</v>
      </c>
      <c r="BB8">
        <v>14</v>
      </c>
      <c r="BC8">
        <v>0</v>
      </c>
      <c r="BD8">
        <v>0</v>
      </c>
      <c r="BE8">
        <v>0</v>
      </c>
    </row>
    <row r="9" spans="1:57" hidden="1" x14ac:dyDescent="0.45">
      <c r="A9" t="s">
        <v>113</v>
      </c>
      <c r="B9" t="s">
        <v>79</v>
      </c>
      <c r="C9" t="s">
        <v>114</v>
      </c>
      <c r="D9" t="s">
        <v>81</v>
      </c>
      <c r="E9" s="2" t="str">
        <f>HYPERLINK("capsilon://?command=openfolder&amp;siteaddress=FAM.docvelocity-na8.net&amp;folderid=FX511663D6-922D-A3DD-12AB-2178AFF7CE10","FX210117674")</f>
        <v>FX210117674</v>
      </c>
      <c r="F9" t="s">
        <v>19</v>
      </c>
      <c r="G9" t="s">
        <v>19</v>
      </c>
      <c r="H9" t="s">
        <v>82</v>
      </c>
      <c r="I9" t="s">
        <v>115</v>
      </c>
      <c r="J9">
        <v>390</v>
      </c>
      <c r="K9" t="s">
        <v>84</v>
      </c>
      <c r="L9" t="s">
        <v>85</v>
      </c>
      <c r="M9" t="s">
        <v>86</v>
      </c>
      <c r="N9">
        <v>1</v>
      </c>
      <c r="O9" s="1">
        <v>44225.360879629632</v>
      </c>
      <c r="P9" s="1">
        <v>44225.425879629627</v>
      </c>
      <c r="Q9">
        <v>25</v>
      </c>
      <c r="R9">
        <v>5591</v>
      </c>
      <c r="S9" t="b">
        <v>0</v>
      </c>
      <c r="T9" t="s">
        <v>87</v>
      </c>
      <c r="U9" t="b">
        <v>0</v>
      </c>
      <c r="V9" t="s">
        <v>98</v>
      </c>
      <c r="W9" s="1">
        <v>44225.425879629627</v>
      </c>
      <c r="X9">
        <v>5591</v>
      </c>
      <c r="Y9">
        <v>402</v>
      </c>
      <c r="Z9">
        <v>0</v>
      </c>
      <c r="AA9">
        <v>402</v>
      </c>
      <c r="AB9">
        <v>0</v>
      </c>
      <c r="AC9">
        <v>227</v>
      </c>
      <c r="AD9">
        <v>-12</v>
      </c>
      <c r="AE9">
        <v>98</v>
      </c>
      <c r="AF9">
        <v>0</v>
      </c>
      <c r="AG9">
        <v>7</v>
      </c>
      <c r="AH9" t="s">
        <v>87</v>
      </c>
      <c r="AI9" t="s">
        <v>87</v>
      </c>
      <c r="AJ9" t="s">
        <v>87</v>
      </c>
      <c r="AK9" t="s">
        <v>87</v>
      </c>
      <c r="AL9" t="s">
        <v>87</v>
      </c>
      <c r="AM9" t="s">
        <v>87</v>
      </c>
      <c r="AN9" t="s">
        <v>87</v>
      </c>
      <c r="AO9" t="s">
        <v>87</v>
      </c>
      <c r="AP9" t="s">
        <v>87</v>
      </c>
      <c r="AQ9" t="s">
        <v>87</v>
      </c>
      <c r="AR9" t="s">
        <v>87</v>
      </c>
      <c r="AS9" t="s">
        <v>87</v>
      </c>
      <c r="AT9" t="s">
        <v>87</v>
      </c>
      <c r="AU9" t="s">
        <v>87</v>
      </c>
      <c r="AV9" t="s">
        <v>87</v>
      </c>
      <c r="AW9" t="s">
        <v>87</v>
      </c>
      <c r="AX9" t="s">
        <v>87</v>
      </c>
      <c r="AY9" t="s">
        <v>87</v>
      </c>
      <c r="AZ9" t="s">
        <v>87</v>
      </c>
      <c r="BA9" t="s">
        <v>87</v>
      </c>
      <c r="BB9" t="s">
        <v>87</v>
      </c>
      <c r="BC9" t="s">
        <v>87</v>
      </c>
      <c r="BD9" t="s">
        <v>87</v>
      </c>
      <c r="BE9" t="s">
        <v>87</v>
      </c>
    </row>
    <row r="10" spans="1:57" hidden="1" x14ac:dyDescent="0.45">
      <c r="A10" t="s">
        <v>116</v>
      </c>
      <c r="B10" t="s">
        <v>79</v>
      </c>
      <c r="C10" t="s">
        <v>117</v>
      </c>
      <c r="D10" t="s">
        <v>81</v>
      </c>
      <c r="E10" s="2" t="str">
        <f>HYPERLINK("capsilon://?command=openfolder&amp;siteaddress=FAM.docvelocity-na8.net&amp;folderid=FXD224DC6D-2E3A-4DD8-EF33-BFB785F149C4","FX20128195")</f>
        <v>FX20128195</v>
      </c>
      <c r="F10" t="s">
        <v>19</v>
      </c>
      <c r="G10" t="s">
        <v>19</v>
      </c>
      <c r="H10" t="s">
        <v>82</v>
      </c>
      <c r="I10" t="s">
        <v>118</v>
      </c>
      <c r="J10">
        <v>66</v>
      </c>
      <c r="K10" t="s">
        <v>84</v>
      </c>
      <c r="L10" t="s">
        <v>85</v>
      </c>
      <c r="M10" t="s">
        <v>86</v>
      </c>
      <c r="N10">
        <v>3</v>
      </c>
      <c r="O10" s="1">
        <v>44225.361759259256</v>
      </c>
      <c r="P10" s="1">
        <v>44225.412488425929</v>
      </c>
      <c r="Q10">
        <v>3206</v>
      </c>
      <c r="R10">
        <v>1177</v>
      </c>
      <c r="S10" t="b">
        <v>0</v>
      </c>
      <c r="T10" t="s">
        <v>87</v>
      </c>
      <c r="U10" t="b">
        <v>0</v>
      </c>
      <c r="V10" t="s">
        <v>112</v>
      </c>
      <c r="W10" s="1">
        <v>44225.366377314815</v>
      </c>
      <c r="X10">
        <v>93</v>
      </c>
      <c r="Y10">
        <v>0</v>
      </c>
      <c r="Z10">
        <v>0</v>
      </c>
      <c r="AA10">
        <v>0</v>
      </c>
      <c r="AB10">
        <v>52</v>
      </c>
      <c r="AC10">
        <v>0</v>
      </c>
      <c r="AD10">
        <v>66</v>
      </c>
      <c r="AE10">
        <v>0</v>
      </c>
      <c r="AF10">
        <v>0</v>
      </c>
      <c r="AG10">
        <v>0</v>
      </c>
      <c r="AH10" t="s">
        <v>94</v>
      </c>
      <c r="AI10" s="1">
        <v>44225.411539351851</v>
      </c>
      <c r="AJ10">
        <v>1080</v>
      </c>
      <c r="AK10">
        <v>0</v>
      </c>
      <c r="AL10">
        <v>0</v>
      </c>
      <c r="AM10">
        <v>0</v>
      </c>
      <c r="AN10">
        <v>52</v>
      </c>
      <c r="AO10">
        <v>0</v>
      </c>
      <c r="AP10">
        <v>66</v>
      </c>
      <c r="AQ10">
        <v>0</v>
      </c>
      <c r="AR10">
        <v>0</v>
      </c>
      <c r="AS10">
        <v>0</v>
      </c>
      <c r="AT10" t="s">
        <v>90</v>
      </c>
      <c r="AU10" s="1">
        <v>44225.412488425929</v>
      </c>
      <c r="AV10">
        <v>4</v>
      </c>
      <c r="AW10">
        <v>0</v>
      </c>
      <c r="AX10">
        <v>0</v>
      </c>
      <c r="AY10">
        <v>0</v>
      </c>
      <c r="AZ10">
        <v>52</v>
      </c>
      <c r="BA10">
        <v>0</v>
      </c>
      <c r="BB10">
        <v>66</v>
      </c>
      <c r="BC10">
        <v>0</v>
      </c>
      <c r="BD10">
        <v>0</v>
      </c>
      <c r="BE10">
        <v>0</v>
      </c>
    </row>
    <row r="11" spans="1:57" x14ac:dyDescent="0.45">
      <c r="A11" t="s">
        <v>119</v>
      </c>
      <c r="B11" t="s">
        <v>79</v>
      </c>
      <c r="C11" t="s">
        <v>120</v>
      </c>
      <c r="D11" t="s">
        <v>81</v>
      </c>
      <c r="E11" s="2" t="str">
        <f>HYPERLINK("capsilon://?command=openfolder&amp;siteaddress=FAM.docvelocity-na8.net&amp;folderid=FX7E7CF87F-3520-7670-26ED-8469D45456D3","FX210110880")</f>
        <v>FX210110880</v>
      </c>
      <c r="F11" t="s">
        <v>19</v>
      </c>
      <c r="G11" t="s">
        <v>19</v>
      </c>
      <c r="H11" t="s">
        <v>82</v>
      </c>
      <c r="I11" t="s">
        <v>121</v>
      </c>
      <c r="J11">
        <v>52</v>
      </c>
      <c r="K11" t="s">
        <v>84</v>
      </c>
      <c r="L11" t="s">
        <v>85</v>
      </c>
      <c r="M11" t="s">
        <v>86</v>
      </c>
      <c r="N11">
        <v>3</v>
      </c>
      <c r="O11" s="1">
        <v>44225.378379629627</v>
      </c>
      <c r="P11" s="1">
        <v>44225.412581018521</v>
      </c>
      <c r="Q11">
        <v>2033</v>
      </c>
      <c r="R11">
        <v>922</v>
      </c>
      <c r="S11" t="b">
        <v>0</v>
      </c>
      <c r="T11" t="s">
        <v>87</v>
      </c>
      <c r="U11" t="b">
        <v>0</v>
      </c>
      <c r="V11" t="s">
        <v>88</v>
      </c>
      <c r="W11" s="1">
        <v>44225.385787037034</v>
      </c>
      <c r="X11">
        <v>607</v>
      </c>
      <c r="Y11">
        <v>42</v>
      </c>
      <c r="Z11">
        <v>0</v>
      </c>
      <c r="AA11">
        <v>42</v>
      </c>
      <c r="AB11">
        <v>0</v>
      </c>
      <c r="AC11">
        <v>6</v>
      </c>
      <c r="AD11">
        <v>10</v>
      </c>
      <c r="AE11">
        <v>0</v>
      </c>
      <c r="AF11">
        <v>0</v>
      </c>
      <c r="AG11">
        <v>0</v>
      </c>
      <c r="AH11" t="s">
        <v>108</v>
      </c>
      <c r="AI11" s="1">
        <v>44225.404004629629</v>
      </c>
      <c r="AJ11">
        <v>308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9</v>
      </c>
      <c r="AQ11">
        <v>0</v>
      </c>
      <c r="AR11">
        <v>0</v>
      </c>
      <c r="AS11">
        <v>0</v>
      </c>
      <c r="AT11" t="s">
        <v>90</v>
      </c>
      <c r="AU11" s="1">
        <v>44225.412581018521</v>
      </c>
      <c r="AV11">
        <v>7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9</v>
      </c>
      <c r="BC11">
        <v>0</v>
      </c>
      <c r="BD11">
        <v>0</v>
      </c>
      <c r="BE11">
        <v>0</v>
      </c>
    </row>
    <row r="12" spans="1:57" x14ac:dyDescent="0.45">
      <c r="A12" t="s">
        <v>122</v>
      </c>
      <c r="B12" t="s">
        <v>79</v>
      </c>
      <c r="C12" t="s">
        <v>123</v>
      </c>
      <c r="D12" t="s">
        <v>81</v>
      </c>
      <c r="E12" s="2" t="str">
        <f>HYPERLINK("capsilon://?command=openfolder&amp;siteaddress=FAM.docvelocity-na8.net&amp;folderid=FXD93F3F28-D965-A3D1-BAA5-977D0070E24C","FX201224147")</f>
        <v>FX201224147</v>
      </c>
      <c r="F12" t="s">
        <v>19</v>
      </c>
      <c r="G12" t="s">
        <v>19</v>
      </c>
      <c r="H12" t="s">
        <v>82</v>
      </c>
      <c r="I12" t="s">
        <v>124</v>
      </c>
      <c r="J12">
        <v>213</v>
      </c>
      <c r="K12" t="s">
        <v>84</v>
      </c>
      <c r="L12" t="s">
        <v>85</v>
      </c>
      <c r="M12" t="s">
        <v>86</v>
      </c>
      <c r="N12">
        <v>3</v>
      </c>
      <c r="O12" s="1">
        <v>44225.388761574075</v>
      </c>
      <c r="P12" s="1">
        <v>44225.446261574078</v>
      </c>
      <c r="Q12">
        <v>2884</v>
      </c>
      <c r="R12">
        <v>2084</v>
      </c>
      <c r="S12" t="b">
        <v>0</v>
      </c>
      <c r="T12" t="s">
        <v>87</v>
      </c>
      <c r="U12" t="b">
        <v>0</v>
      </c>
      <c r="V12" t="s">
        <v>112</v>
      </c>
      <c r="W12" s="1">
        <v>44225.407500000001</v>
      </c>
      <c r="X12">
        <v>1583</v>
      </c>
      <c r="Y12">
        <v>138</v>
      </c>
      <c r="Z12">
        <v>0</v>
      </c>
      <c r="AA12">
        <v>138</v>
      </c>
      <c r="AB12">
        <v>0</v>
      </c>
      <c r="AC12">
        <v>38</v>
      </c>
      <c r="AD12">
        <v>75</v>
      </c>
      <c r="AE12">
        <v>0</v>
      </c>
      <c r="AF12">
        <v>0</v>
      </c>
      <c r="AG12">
        <v>0</v>
      </c>
      <c r="AH12" t="s">
        <v>108</v>
      </c>
      <c r="AI12" s="1">
        <v>44225.426516203705</v>
      </c>
      <c r="AJ12">
        <v>437</v>
      </c>
      <c r="AK12">
        <v>2</v>
      </c>
      <c r="AL12">
        <v>0</v>
      </c>
      <c r="AM12">
        <v>2</v>
      </c>
      <c r="AN12">
        <v>0</v>
      </c>
      <c r="AO12">
        <v>0</v>
      </c>
      <c r="AP12">
        <v>73</v>
      </c>
      <c r="AQ12">
        <v>0</v>
      </c>
      <c r="AR12">
        <v>0</v>
      </c>
      <c r="AS12">
        <v>0</v>
      </c>
      <c r="AT12" t="s">
        <v>90</v>
      </c>
      <c r="AU12" s="1">
        <v>44225.446261574078</v>
      </c>
      <c r="AV12">
        <v>20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73</v>
      </c>
      <c r="BC12">
        <v>0</v>
      </c>
      <c r="BD12">
        <v>0</v>
      </c>
      <c r="BE12">
        <v>0</v>
      </c>
    </row>
    <row r="13" spans="1:57" x14ac:dyDescent="0.45">
      <c r="A13" t="s">
        <v>125</v>
      </c>
      <c r="B13" t="s">
        <v>79</v>
      </c>
      <c r="C13" t="s">
        <v>126</v>
      </c>
      <c r="D13" t="s">
        <v>81</v>
      </c>
      <c r="E13" s="2" t="str">
        <f>HYPERLINK("capsilon://?command=openfolder&amp;siteaddress=FAM.docvelocity-na8.net&amp;folderid=FXE5C4978F-DD57-3517-7F7B-F70D847C532D","FX210118987")</f>
        <v>FX210118987</v>
      </c>
      <c r="F13" t="s">
        <v>19</v>
      </c>
      <c r="G13" t="s">
        <v>19</v>
      </c>
      <c r="H13" t="s">
        <v>82</v>
      </c>
      <c r="I13" t="s">
        <v>127</v>
      </c>
      <c r="J13">
        <v>280</v>
      </c>
      <c r="K13" t="s">
        <v>84</v>
      </c>
      <c r="L13" t="s">
        <v>85</v>
      </c>
      <c r="M13" t="s">
        <v>86</v>
      </c>
      <c r="N13">
        <v>3</v>
      </c>
      <c r="O13" s="1">
        <v>44225.391562500001</v>
      </c>
      <c r="P13" s="1">
        <v>44225.446562500001</v>
      </c>
      <c r="Q13">
        <v>1297</v>
      </c>
      <c r="R13">
        <v>3455</v>
      </c>
      <c r="S13" t="b">
        <v>0</v>
      </c>
      <c r="T13" t="s">
        <v>87</v>
      </c>
      <c r="U13" t="b">
        <v>0</v>
      </c>
      <c r="V13" t="s">
        <v>88</v>
      </c>
      <c r="W13" s="1">
        <v>44225.436736111114</v>
      </c>
      <c r="X13">
        <v>2973</v>
      </c>
      <c r="Y13">
        <v>175</v>
      </c>
      <c r="Z13">
        <v>0</v>
      </c>
      <c r="AA13">
        <v>175</v>
      </c>
      <c r="AB13">
        <v>74</v>
      </c>
      <c r="AC13">
        <v>122</v>
      </c>
      <c r="AD13">
        <v>105</v>
      </c>
      <c r="AE13">
        <v>0</v>
      </c>
      <c r="AF13">
        <v>0</v>
      </c>
      <c r="AG13">
        <v>0</v>
      </c>
      <c r="AH13" t="s">
        <v>128</v>
      </c>
      <c r="AI13" s="1">
        <v>44225.442766203705</v>
      </c>
      <c r="AJ13">
        <v>446</v>
      </c>
      <c r="AK13">
        <v>0</v>
      </c>
      <c r="AL13">
        <v>0</v>
      </c>
      <c r="AM13">
        <v>0</v>
      </c>
      <c r="AN13">
        <v>74</v>
      </c>
      <c r="AO13">
        <v>0</v>
      </c>
      <c r="AP13">
        <v>105</v>
      </c>
      <c r="AQ13">
        <v>0</v>
      </c>
      <c r="AR13">
        <v>0</v>
      </c>
      <c r="AS13">
        <v>0</v>
      </c>
      <c r="AT13" t="s">
        <v>90</v>
      </c>
      <c r="AU13" s="1">
        <v>44225.446562500001</v>
      </c>
      <c r="AV13">
        <v>25</v>
      </c>
      <c r="AW13">
        <v>0</v>
      </c>
      <c r="AX13">
        <v>0</v>
      </c>
      <c r="AY13">
        <v>0</v>
      </c>
      <c r="AZ13">
        <v>74</v>
      </c>
      <c r="BA13">
        <v>0</v>
      </c>
      <c r="BB13">
        <v>105</v>
      </c>
      <c r="BC13">
        <v>0</v>
      </c>
      <c r="BD13">
        <v>0</v>
      </c>
      <c r="BE13">
        <v>0</v>
      </c>
    </row>
    <row r="14" spans="1:57" x14ac:dyDescent="0.45">
      <c r="A14" t="s">
        <v>129</v>
      </c>
      <c r="B14" t="s">
        <v>79</v>
      </c>
      <c r="C14" t="s">
        <v>130</v>
      </c>
      <c r="D14" t="s">
        <v>81</v>
      </c>
      <c r="E14" s="2" t="str">
        <f>HYPERLINK("capsilon://?command=openfolder&amp;siteaddress=FAM.docvelocity-na8.net&amp;folderid=FXC1DFE9C1-FA55-6F87-ACF0-0108168DCD80","FX210110858")</f>
        <v>FX210110858</v>
      </c>
      <c r="F14" t="s">
        <v>19</v>
      </c>
      <c r="G14" t="s">
        <v>19</v>
      </c>
      <c r="H14" t="s">
        <v>82</v>
      </c>
      <c r="I14" t="s">
        <v>131</v>
      </c>
      <c r="J14">
        <v>410</v>
      </c>
      <c r="K14" t="s">
        <v>84</v>
      </c>
      <c r="L14" t="s">
        <v>85</v>
      </c>
      <c r="M14" t="s">
        <v>86</v>
      </c>
      <c r="N14">
        <v>3</v>
      </c>
      <c r="O14" s="1">
        <v>44225.393564814818</v>
      </c>
      <c r="P14" s="1">
        <v>44225.496770833335</v>
      </c>
      <c r="Q14">
        <v>2967</v>
      </c>
      <c r="R14">
        <v>5950</v>
      </c>
      <c r="S14" t="b">
        <v>0</v>
      </c>
      <c r="T14" t="s">
        <v>87</v>
      </c>
      <c r="U14" t="b">
        <v>0</v>
      </c>
      <c r="V14" t="s">
        <v>105</v>
      </c>
      <c r="W14" s="1">
        <v>44225.46398148148</v>
      </c>
      <c r="X14">
        <v>5189</v>
      </c>
      <c r="Y14">
        <v>320</v>
      </c>
      <c r="Z14">
        <v>0</v>
      </c>
      <c r="AA14">
        <v>320</v>
      </c>
      <c r="AB14">
        <v>37</v>
      </c>
      <c r="AC14">
        <v>192</v>
      </c>
      <c r="AD14">
        <v>90</v>
      </c>
      <c r="AE14">
        <v>0</v>
      </c>
      <c r="AF14">
        <v>0</v>
      </c>
      <c r="AG14">
        <v>0</v>
      </c>
      <c r="AH14" t="s">
        <v>132</v>
      </c>
      <c r="AI14" s="1">
        <v>44225.472326388888</v>
      </c>
      <c r="AJ14">
        <v>697</v>
      </c>
      <c r="AK14">
        <v>4</v>
      </c>
      <c r="AL14">
        <v>0</v>
      </c>
      <c r="AM14">
        <v>4</v>
      </c>
      <c r="AN14">
        <v>37</v>
      </c>
      <c r="AO14">
        <v>3</v>
      </c>
      <c r="AP14">
        <v>86</v>
      </c>
      <c r="AQ14">
        <v>0</v>
      </c>
      <c r="AR14">
        <v>0</v>
      </c>
      <c r="AS14">
        <v>0</v>
      </c>
      <c r="AT14" t="s">
        <v>90</v>
      </c>
      <c r="AU14" s="1">
        <v>44225.496770833335</v>
      </c>
      <c r="AV14">
        <v>54</v>
      </c>
      <c r="AW14">
        <v>0</v>
      </c>
      <c r="AX14">
        <v>0</v>
      </c>
      <c r="AY14">
        <v>0</v>
      </c>
      <c r="AZ14">
        <v>37</v>
      </c>
      <c r="BA14">
        <v>0</v>
      </c>
      <c r="BB14">
        <v>86</v>
      </c>
      <c r="BC14">
        <v>0</v>
      </c>
      <c r="BD14">
        <v>0</v>
      </c>
      <c r="BE14">
        <v>0</v>
      </c>
    </row>
    <row r="15" spans="1:57" hidden="1" x14ac:dyDescent="0.45">
      <c r="A15" t="s">
        <v>133</v>
      </c>
      <c r="B15" t="s">
        <v>79</v>
      </c>
      <c r="C15" t="s">
        <v>134</v>
      </c>
      <c r="D15" t="s">
        <v>81</v>
      </c>
      <c r="E15" s="2" t="str">
        <f>HYPERLINK("capsilon://?command=openfolder&amp;siteaddress=FAM.docvelocity-na8.net&amp;folderid=FXE9F71364-EF34-FA50-70C5-9505F41D9DE6","FX201227392")</f>
        <v>FX201227392</v>
      </c>
      <c r="F15" t="s">
        <v>19</v>
      </c>
      <c r="G15" t="s">
        <v>19</v>
      </c>
      <c r="H15" t="s">
        <v>82</v>
      </c>
      <c r="I15" t="s">
        <v>135</v>
      </c>
      <c r="J15">
        <v>26</v>
      </c>
      <c r="K15" t="s">
        <v>84</v>
      </c>
      <c r="L15" t="s">
        <v>85</v>
      </c>
      <c r="M15" t="s">
        <v>86</v>
      </c>
      <c r="N15">
        <v>1</v>
      </c>
      <c r="O15" s="1">
        <v>44225.400787037041</v>
      </c>
      <c r="P15" s="1">
        <v>44225.414826388886</v>
      </c>
      <c r="Q15">
        <v>731</v>
      </c>
      <c r="R15">
        <v>482</v>
      </c>
      <c r="S15" t="b">
        <v>0</v>
      </c>
      <c r="T15" t="s">
        <v>87</v>
      </c>
      <c r="U15" t="b">
        <v>0</v>
      </c>
      <c r="V15" t="s">
        <v>112</v>
      </c>
      <c r="W15" s="1">
        <v>44225.414826388886</v>
      </c>
      <c r="X15">
        <v>444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26</v>
      </c>
      <c r="AE15">
        <v>21</v>
      </c>
      <c r="AF15">
        <v>0</v>
      </c>
      <c r="AG15">
        <v>2</v>
      </c>
      <c r="AH15" t="s">
        <v>87</v>
      </c>
      <c r="AI15" t="s">
        <v>87</v>
      </c>
      <c r="AJ15" t="s">
        <v>87</v>
      </c>
      <c r="AK15" t="s">
        <v>87</v>
      </c>
      <c r="AL15" t="s">
        <v>87</v>
      </c>
      <c r="AM15" t="s">
        <v>87</v>
      </c>
      <c r="AN15" t="s">
        <v>87</v>
      </c>
      <c r="AO15" t="s">
        <v>87</v>
      </c>
      <c r="AP15" t="s">
        <v>87</v>
      </c>
      <c r="AQ15" t="s">
        <v>87</v>
      </c>
      <c r="AR15" t="s">
        <v>87</v>
      </c>
      <c r="AS15" t="s">
        <v>87</v>
      </c>
      <c r="AT15" t="s">
        <v>87</v>
      </c>
      <c r="AU15" t="s">
        <v>87</v>
      </c>
      <c r="AV15" t="s">
        <v>87</v>
      </c>
      <c r="AW15" t="s">
        <v>87</v>
      </c>
      <c r="AX15" t="s">
        <v>87</v>
      </c>
      <c r="AY15" t="s">
        <v>87</v>
      </c>
      <c r="AZ15" t="s">
        <v>87</v>
      </c>
      <c r="BA15" t="s">
        <v>87</v>
      </c>
      <c r="BB15" t="s">
        <v>87</v>
      </c>
      <c r="BC15" t="s">
        <v>87</v>
      </c>
      <c r="BD15" t="s">
        <v>87</v>
      </c>
      <c r="BE15" t="s">
        <v>87</v>
      </c>
    </row>
    <row r="16" spans="1:57" x14ac:dyDescent="0.45">
      <c r="A16" t="s">
        <v>136</v>
      </c>
      <c r="B16" t="s">
        <v>79</v>
      </c>
      <c r="C16" t="s">
        <v>137</v>
      </c>
      <c r="D16" t="s">
        <v>81</v>
      </c>
      <c r="E16" s="2" t="str">
        <f>HYPERLINK("capsilon://?command=openfolder&amp;siteaddress=FAM.docvelocity-na8.net&amp;folderid=FX250A1CF5-2B42-177C-D11A-F4D5715C1A5D","FX210118566")</f>
        <v>FX210118566</v>
      </c>
      <c r="F16" t="s">
        <v>19</v>
      </c>
      <c r="G16" t="s">
        <v>19</v>
      </c>
      <c r="H16" t="s">
        <v>82</v>
      </c>
      <c r="I16" t="s">
        <v>138</v>
      </c>
      <c r="J16">
        <v>131</v>
      </c>
      <c r="K16" t="s">
        <v>84</v>
      </c>
      <c r="L16" t="s">
        <v>85</v>
      </c>
      <c r="M16" t="s">
        <v>86</v>
      </c>
      <c r="N16">
        <v>3</v>
      </c>
      <c r="O16" s="1">
        <v>44225.401759259257</v>
      </c>
      <c r="P16" s="1">
        <v>44225.467731481483</v>
      </c>
      <c r="Q16">
        <v>4380</v>
      </c>
      <c r="R16">
        <v>1320</v>
      </c>
      <c r="S16" t="b">
        <v>0</v>
      </c>
      <c r="T16" t="s">
        <v>87</v>
      </c>
      <c r="U16" t="b">
        <v>0</v>
      </c>
      <c r="V16" t="s">
        <v>112</v>
      </c>
      <c r="W16" s="1">
        <v>44225.42664351852</v>
      </c>
      <c r="X16">
        <v>1020</v>
      </c>
      <c r="Y16">
        <v>86</v>
      </c>
      <c r="Z16">
        <v>0</v>
      </c>
      <c r="AA16">
        <v>86</v>
      </c>
      <c r="AB16">
        <v>37</v>
      </c>
      <c r="AC16">
        <v>49</v>
      </c>
      <c r="AD16">
        <v>45</v>
      </c>
      <c r="AE16">
        <v>0</v>
      </c>
      <c r="AF16">
        <v>0</v>
      </c>
      <c r="AG16">
        <v>0</v>
      </c>
      <c r="AH16" t="s">
        <v>94</v>
      </c>
      <c r="AI16" s="1">
        <v>44225.446736111109</v>
      </c>
      <c r="AJ16">
        <v>246</v>
      </c>
      <c r="AK16">
        <v>0</v>
      </c>
      <c r="AL16">
        <v>0</v>
      </c>
      <c r="AM16">
        <v>0</v>
      </c>
      <c r="AN16">
        <v>37</v>
      </c>
      <c r="AO16">
        <v>0</v>
      </c>
      <c r="AP16">
        <v>45</v>
      </c>
      <c r="AQ16">
        <v>0</v>
      </c>
      <c r="AR16">
        <v>0</v>
      </c>
      <c r="AS16">
        <v>0</v>
      </c>
      <c r="AT16" t="s">
        <v>90</v>
      </c>
      <c r="AU16" s="1">
        <v>44225.467731481483</v>
      </c>
      <c r="AV16">
        <v>19</v>
      </c>
      <c r="AW16">
        <v>0</v>
      </c>
      <c r="AX16">
        <v>0</v>
      </c>
      <c r="AY16">
        <v>0</v>
      </c>
      <c r="AZ16">
        <v>37</v>
      </c>
      <c r="BA16">
        <v>0</v>
      </c>
      <c r="BB16">
        <v>45</v>
      </c>
      <c r="BC16">
        <v>0</v>
      </c>
      <c r="BD16">
        <v>0</v>
      </c>
      <c r="BE16">
        <v>0</v>
      </c>
    </row>
    <row r="17" spans="1:57" x14ac:dyDescent="0.45">
      <c r="A17" t="s">
        <v>139</v>
      </c>
      <c r="B17" t="s">
        <v>79</v>
      </c>
      <c r="C17" t="s">
        <v>140</v>
      </c>
      <c r="D17" t="s">
        <v>81</v>
      </c>
      <c r="E17" s="2" t="str">
        <f>HYPERLINK("capsilon://?command=openfolder&amp;siteaddress=FAM.docvelocity-na8.net&amp;folderid=FX8FB7B405-804D-D45C-58A8-D9FBD31F8BFC","FX210118876")</f>
        <v>FX210118876</v>
      </c>
      <c r="F17" t="s">
        <v>19</v>
      </c>
      <c r="G17" t="s">
        <v>19</v>
      </c>
      <c r="H17" t="s">
        <v>82</v>
      </c>
      <c r="I17" t="s">
        <v>141</v>
      </c>
      <c r="J17">
        <v>66</v>
      </c>
      <c r="K17" t="s">
        <v>84</v>
      </c>
      <c r="L17" t="s">
        <v>85</v>
      </c>
      <c r="M17" t="s">
        <v>86</v>
      </c>
      <c r="N17">
        <v>3</v>
      </c>
      <c r="O17" s="1">
        <v>44225.401828703703</v>
      </c>
      <c r="P17" s="1">
        <v>44225.467812499999</v>
      </c>
      <c r="Q17">
        <v>4936</v>
      </c>
      <c r="R17">
        <v>765</v>
      </c>
      <c r="S17" t="b">
        <v>0</v>
      </c>
      <c r="T17" t="s">
        <v>87</v>
      </c>
      <c r="U17" t="b">
        <v>0</v>
      </c>
      <c r="V17" t="s">
        <v>142</v>
      </c>
      <c r="W17" s="1">
        <v>44225.435914351852</v>
      </c>
      <c r="X17">
        <v>556</v>
      </c>
      <c r="Y17">
        <v>52</v>
      </c>
      <c r="Z17">
        <v>0</v>
      </c>
      <c r="AA17">
        <v>52</v>
      </c>
      <c r="AB17">
        <v>0</v>
      </c>
      <c r="AC17">
        <v>31</v>
      </c>
      <c r="AD17">
        <v>14</v>
      </c>
      <c r="AE17">
        <v>0</v>
      </c>
      <c r="AF17">
        <v>0</v>
      </c>
      <c r="AG17">
        <v>0</v>
      </c>
      <c r="AH17" t="s">
        <v>128</v>
      </c>
      <c r="AI17" s="1">
        <v>44225.448067129626</v>
      </c>
      <c r="AJ17">
        <v>203</v>
      </c>
      <c r="AK17">
        <v>2</v>
      </c>
      <c r="AL17">
        <v>0</v>
      </c>
      <c r="AM17">
        <v>2</v>
      </c>
      <c r="AN17">
        <v>0</v>
      </c>
      <c r="AO17">
        <v>2</v>
      </c>
      <c r="AP17">
        <v>12</v>
      </c>
      <c r="AQ17">
        <v>0</v>
      </c>
      <c r="AR17">
        <v>0</v>
      </c>
      <c r="AS17">
        <v>0</v>
      </c>
      <c r="AT17" t="s">
        <v>90</v>
      </c>
      <c r="AU17" s="1">
        <v>44225.467812499999</v>
      </c>
      <c r="AV17">
        <v>6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12</v>
      </c>
      <c r="BC17">
        <v>0</v>
      </c>
      <c r="BD17">
        <v>0</v>
      </c>
      <c r="BE17">
        <v>0</v>
      </c>
    </row>
    <row r="18" spans="1:57" x14ac:dyDescent="0.45">
      <c r="A18" t="s">
        <v>143</v>
      </c>
      <c r="B18" t="s">
        <v>79</v>
      </c>
      <c r="C18" t="s">
        <v>144</v>
      </c>
      <c r="D18" t="s">
        <v>81</v>
      </c>
      <c r="E18" s="2" t="str">
        <f>HYPERLINK("capsilon://?command=openfolder&amp;siteaddress=FAM.docvelocity-na8.net&amp;folderid=FX0E950CB9-4A07-26B1-A1F6-160FF7886E5B","FX201223577")</f>
        <v>FX201223577</v>
      </c>
      <c r="F18" t="s">
        <v>19</v>
      </c>
      <c r="G18" t="s">
        <v>19</v>
      </c>
      <c r="H18" t="s">
        <v>82</v>
      </c>
      <c r="I18" t="s">
        <v>145</v>
      </c>
      <c r="J18">
        <v>66</v>
      </c>
      <c r="K18" t="s">
        <v>84</v>
      </c>
      <c r="L18" t="s">
        <v>85</v>
      </c>
      <c r="M18" t="s">
        <v>86</v>
      </c>
      <c r="N18">
        <v>3</v>
      </c>
      <c r="O18" s="1">
        <v>44225.403912037036</v>
      </c>
      <c r="P18" s="1">
        <v>44225.468124999999</v>
      </c>
      <c r="Q18">
        <v>4189</v>
      </c>
      <c r="R18">
        <v>1359</v>
      </c>
      <c r="S18" t="b">
        <v>0</v>
      </c>
      <c r="T18" t="s">
        <v>87</v>
      </c>
      <c r="U18" t="b">
        <v>0</v>
      </c>
      <c r="V18" t="s">
        <v>146</v>
      </c>
      <c r="W18" s="1">
        <v>44225.447094907409</v>
      </c>
      <c r="X18">
        <v>1069</v>
      </c>
      <c r="Y18">
        <v>52</v>
      </c>
      <c r="Z18">
        <v>0</v>
      </c>
      <c r="AA18">
        <v>52</v>
      </c>
      <c r="AB18">
        <v>0</v>
      </c>
      <c r="AC18">
        <v>49</v>
      </c>
      <c r="AD18">
        <v>14</v>
      </c>
      <c r="AE18">
        <v>0</v>
      </c>
      <c r="AF18">
        <v>0</v>
      </c>
      <c r="AG18">
        <v>0</v>
      </c>
      <c r="AH18" t="s">
        <v>147</v>
      </c>
      <c r="AI18" s="1">
        <v>44225.450150462966</v>
      </c>
      <c r="AJ18">
        <v>263</v>
      </c>
      <c r="AK18">
        <v>0</v>
      </c>
      <c r="AL18">
        <v>0</v>
      </c>
      <c r="AM18">
        <v>0</v>
      </c>
      <c r="AN18">
        <v>0</v>
      </c>
      <c r="AO18">
        <v>2</v>
      </c>
      <c r="AP18">
        <v>14</v>
      </c>
      <c r="AQ18">
        <v>0</v>
      </c>
      <c r="AR18">
        <v>0</v>
      </c>
      <c r="AS18">
        <v>0</v>
      </c>
      <c r="AT18" t="s">
        <v>90</v>
      </c>
      <c r="AU18" s="1">
        <v>44225.468124999999</v>
      </c>
      <c r="AV18">
        <v>27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14</v>
      </c>
      <c r="BC18">
        <v>0</v>
      </c>
      <c r="BD18">
        <v>0</v>
      </c>
      <c r="BE18">
        <v>0</v>
      </c>
    </row>
    <row r="19" spans="1:57" hidden="1" x14ac:dyDescent="0.45">
      <c r="A19" t="s">
        <v>148</v>
      </c>
      <c r="B19" t="s">
        <v>79</v>
      </c>
      <c r="C19" t="s">
        <v>149</v>
      </c>
      <c r="D19" t="s">
        <v>81</v>
      </c>
      <c r="E19" s="2" t="str">
        <f>HYPERLINK("capsilon://?command=openfolder&amp;siteaddress=FAM.docvelocity-na8.net&amp;folderid=FX7FD2821E-FAED-CCCA-D870-014CA677B186","FX201225180")</f>
        <v>FX201225180</v>
      </c>
      <c r="F19" t="s">
        <v>19</v>
      </c>
      <c r="G19" t="s">
        <v>19</v>
      </c>
      <c r="H19" t="s">
        <v>82</v>
      </c>
      <c r="I19" t="s">
        <v>150</v>
      </c>
      <c r="J19">
        <v>66</v>
      </c>
      <c r="K19" t="s">
        <v>84</v>
      </c>
      <c r="L19" t="s">
        <v>85</v>
      </c>
      <c r="M19" t="s">
        <v>86</v>
      </c>
      <c r="N19">
        <v>1</v>
      </c>
      <c r="O19" s="1">
        <v>44225.404178240744</v>
      </c>
      <c r="P19" s="1">
        <v>44225.440150462964</v>
      </c>
      <c r="Q19">
        <v>2743</v>
      </c>
      <c r="R19">
        <v>365</v>
      </c>
      <c r="S19" t="b">
        <v>0</v>
      </c>
      <c r="T19" t="s">
        <v>87</v>
      </c>
      <c r="U19" t="b">
        <v>0</v>
      </c>
      <c r="V19" t="s">
        <v>142</v>
      </c>
      <c r="W19" s="1">
        <v>44225.440150462964</v>
      </c>
      <c r="X19">
        <v>365</v>
      </c>
      <c r="Y19">
        <v>0</v>
      </c>
      <c r="Z19">
        <v>0</v>
      </c>
      <c r="AA19">
        <v>0</v>
      </c>
      <c r="AB19">
        <v>0</v>
      </c>
      <c r="AC19">
        <v>1</v>
      </c>
      <c r="AD19">
        <v>66</v>
      </c>
      <c r="AE19">
        <v>52</v>
      </c>
      <c r="AF19">
        <v>0</v>
      </c>
      <c r="AG19">
        <v>1</v>
      </c>
      <c r="AH19" t="s">
        <v>87</v>
      </c>
      <c r="AI19" t="s">
        <v>87</v>
      </c>
      <c r="AJ19" t="s">
        <v>87</v>
      </c>
      <c r="AK19" t="s">
        <v>87</v>
      </c>
      <c r="AL19" t="s">
        <v>87</v>
      </c>
      <c r="AM19" t="s">
        <v>87</v>
      </c>
      <c r="AN19" t="s">
        <v>87</v>
      </c>
      <c r="AO19" t="s">
        <v>87</v>
      </c>
      <c r="AP19" t="s">
        <v>87</v>
      </c>
      <c r="AQ19" t="s">
        <v>87</v>
      </c>
      <c r="AR19" t="s">
        <v>87</v>
      </c>
      <c r="AS19" t="s">
        <v>87</v>
      </c>
      <c r="AT19" t="s">
        <v>87</v>
      </c>
      <c r="AU19" t="s">
        <v>87</v>
      </c>
      <c r="AV19" t="s">
        <v>87</v>
      </c>
      <c r="AW19" t="s">
        <v>87</v>
      </c>
      <c r="AX19" t="s">
        <v>87</v>
      </c>
      <c r="AY19" t="s">
        <v>87</v>
      </c>
      <c r="AZ19" t="s">
        <v>87</v>
      </c>
      <c r="BA19" t="s">
        <v>87</v>
      </c>
      <c r="BB19" t="s">
        <v>87</v>
      </c>
      <c r="BC19" t="s">
        <v>87</v>
      </c>
      <c r="BD19" t="s">
        <v>87</v>
      </c>
      <c r="BE19" t="s">
        <v>87</v>
      </c>
    </row>
    <row r="20" spans="1:57" x14ac:dyDescent="0.45">
      <c r="A20" t="s">
        <v>151</v>
      </c>
      <c r="B20" t="s">
        <v>79</v>
      </c>
      <c r="C20" t="s">
        <v>152</v>
      </c>
      <c r="D20" t="s">
        <v>81</v>
      </c>
      <c r="E20" s="2" t="str">
        <f>HYPERLINK("capsilon://?command=openfolder&amp;siteaddress=FAM.docvelocity-na8.net&amp;folderid=FX9A62F38B-A975-7B3E-0B8C-6800CB445E6D","FX210118780")</f>
        <v>FX210118780</v>
      </c>
      <c r="F20" t="s">
        <v>19</v>
      </c>
      <c r="G20" t="s">
        <v>19</v>
      </c>
      <c r="H20" t="s">
        <v>82</v>
      </c>
      <c r="I20" t="s">
        <v>153</v>
      </c>
      <c r="J20">
        <v>66</v>
      </c>
      <c r="K20" t="s">
        <v>84</v>
      </c>
      <c r="L20" t="s">
        <v>85</v>
      </c>
      <c r="M20" t="s">
        <v>86</v>
      </c>
      <c r="N20">
        <v>3</v>
      </c>
      <c r="O20" s="1">
        <v>44225.404687499999</v>
      </c>
      <c r="P20" s="1">
        <v>44225.468252314815</v>
      </c>
      <c r="Q20">
        <v>4328</v>
      </c>
      <c r="R20">
        <v>1164</v>
      </c>
      <c r="S20" t="b">
        <v>0</v>
      </c>
      <c r="T20" t="s">
        <v>87</v>
      </c>
      <c r="U20" t="b">
        <v>0</v>
      </c>
      <c r="V20" t="s">
        <v>88</v>
      </c>
      <c r="W20" s="1">
        <v>44225.448171296295</v>
      </c>
      <c r="X20">
        <v>987</v>
      </c>
      <c r="Y20">
        <v>52</v>
      </c>
      <c r="Z20">
        <v>0</v>
      </c>
      <c r="AA20">
        <v>52</v>
      </c>
      <c r="AB20">
        <v>0</v>
      </c>
      <c r="AC20">
        <v>35</v>
      </c>
      <c r="AD20">
        <v>14</v>
      </c>
      <c r="AE20">
        <v>0</v>
      </c>
      <c r="AF20">
        <v>0</v>
      </c>
      <c r="AG20">
        <v>0</v>
      </c>
      <c r="AH20" t="s">
        <v>108</v>
      </c>
      <c r="AI20" s="1">
        <v>44225.450648148151</v>
      </c>
      <c r="AJ20">
        <v>166</v>
      </c>
      <c r="AK20">
        <v>1</v>
      </c>
      <c r="AL20">
        <v>0</v>
      </c>
      <c r="AM20">
        <v>1</v>
      </c>
      <c r="AN20">
        <v>0</v>
      </c>
      <c r="AO20">
        <v>0</v>
      </c>
      <c r="AP20">
        <v>13</v>
      </c>
      <c r="AQ20">
        <v>0</v>
      </c>
      <c r="AR20">
        <v>0</v>
      </c>
      <c r="AS20">
        <v>0</v>
      </c>
      <c r="AT20" t="s">
        <v>90</v>
      </c>
      <c r="AU20" s="1">
        <v>44225.468252314815</v>
      </c>
      <c r="AV20">
        <v>11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13</v>
      </c>
      <c r="BC20">
        <v>0</v>
      </c>
      <c r="BD20">
        <v>0</v>
      </c>
      <c r="BE20">
        <v>0</v>
      </c>
    </row>
    <row r="21" spans="1:57" x14ac:dyDescent="0.45">
      <c r="A21" t="s">
        <v>154</v>
      </c>
      <c r="B21" t="s">
        <v>79</v>
      </c>
      <c r="C21" t="s">
        <v>155</v>
      </c>
      <c r="D21" t="s">
        <v>81</v>
      </c>
      <c r="E21" s="2" t="str">
        <f>HYPERLINK("capsilon://?command=openfolder&amp;siteaddress=FAM.docvelocity-na8.net&amp;folderid=FXC8A4420B-55E7-B143-0FD2-A7C870748C91","FX210118267")</f>
        <v>FX210118267</v>
      </c>
      <c r="F21" t="s">
        <v>19</v>
      </c>
      <c r="G21" t="s">
        <v>19</v>
      </c>
      <c r="H21" t="s">
        <v>82</v>
      </c>
      <c r="I21" t="s">
        <v>156</v>
      </c>
      <c r="J21">
        <v>66</v>
      </c>
      <c r="K21" t="s">
        <v>84</v>
      </c>
      <c r="L21" t="s">
        <v>85</v>
      </c>
      <c r="M21" t="s">
        <v>86</v>
      </c>
      <c r="N21">
        <v>3</v>
      </c>
      <c r="O21" s="1">
        <v>44225.407881944448</v>
      </c>
      <c r="P21" s="1">
        <v>44225.468912037039</v>
      </c>
      <c r="Q21">
        <v>4369</v>
      </c>
      <c r="R21">
        <v>904</v>
      </c>
      <c r="S21" t="b">
        <v>0</v>
      </c>
      <c r="T21" t="s">
        <v>87</v>
      </c>
      <c r="U21" t="b">
        <v>0</v>
      </c>
      <c r="V21" t="s">
        <v>112</v>
      </c>
      <c r="W21" s="1">
        <v>44225.448472222219</v>
      </c>
      <c r="X21">
        <v>747</v>
      </c>
      <c r="Y21">
        <v>52</v>
      </c>
      <c r="Z21">
        <v>0</v>
      </c>
      <c r="AA21">
        <v>52</v>
      </c>
      <c r="AB21">
        <v>0</v>
      </c>
      <c r="AC21">
        <v>33</v>
      </c>
      <c r="AD21">
        <v>14</v>
      </c>
      <c r="AE21">
        <v>0</v>
      </c>
      <c r="AF21">
        <v>0</v>
      </c>
      <c r="AG21">
        <v>0</v>
      </c>
      <c r="AH21" t="s">
        <v>132</v>
      </c>
      <c r="AI21" s="1">
        <v>44225.449942129628</v>
      </c>
      <c r="AJ21">
        <v>101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14</v>
      </c>
      <c r="AQ21">
        <v>0</v>
      </c>
      <c r="AR21">
        <v>0</v>
      </c>
      <c r="AS21">
        <v>0</v>
      </c>
      <c r="AT21" t="s">
        <v>90</v>
      </c>
      <c r="AU21" s="1">
        <v>44225.468912037039</v>
      </c>
      <c r="AV21">
        <v>56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14</v>
      </c>
      <c r="BC21">
        <v>0</v>
      </c>
      <c r="BD21">
        <v>0</v>
      </c>
      <c r="BE21">
        <v>0</v>
      </c>
    </row>
    <row r="22" spans="1:57" hidden="1" x14ac:dyDescent="0.45">
      <c r="A22" t="s">
        <v>157</v>
      </c>
      <c r="B22" t="s">
        <v>79</v>
      </c>
      <c r="C22" t="s">
        <v>158</v>
      </c>
      <c r="D22" t="s">
        <v>81</v>
      </c>
      <c r="E22" s="2" t="str">
        <f>HYPERLINK("capsilon://?command=openfolder&amp;siteaddress=FAM.docvelocity-na8.net&amp;folderid=FX6FA9FCCE-362C-8980-40F6-04E6E85EF25B","FX201222187")</f>
        <v>FX201222187</v>
      </c>
      <c r="F22" t="s">
        <v>19</v>
      </c>
      <c r="G22" t="s">
        <v>19</v>
      </c>
      <c r="H22" t="s">
        <v>82</v>
      </c>
      <c r="I22" t="s">
        <v>159</v>
      </c>
      <c r="J22">
        <v>66</v>
      </c>
      <c r="K22" t="s">
        <v>84</v>
      </c>
      <c r="L22" t="s">
        <v>85</v>
      </c>
      <c r="M22" t="s">
        <v>86</v>
      </c>
      <c r="N22">
        <v>3</v>
      </c>
      <c r="O22" s="1">
        <v>44225.410104166665</v>
      </c>
      <c r="P22" s="1">
        <v>44225.468946759262</v>
      </c>
      <c r="Q22">
        <v>4932</v>
      </c>
      <c r="R22">
        <v>152</v>
      </c>
      <c r="S22" t="b">
        <v>0</v>
      </c>
      <c r="T22" t="s">
        <v>87</v>
      </c>
      <c r="U22" t="b">
        <v>0</v>
      </c>
      <c r="V22" t="s">
        <v>160</v>
      </c>
      <c r="W22" s="1">
        <v>44225.444641203707</v>
      </c>
      <c r="X22">
        <v>100</v>
      </c>
      <c r="Y22">
        <v>0</v>
      </c>
      <c r="Z22">
        <v>0</v>
      </c>
      <c r="AA22">
        <v>0</v>
      </c>
      <c r="AB22">
        <v>52</v>
      </c>
      <c r="AC22">
        <v>0</v>
      </c>
      <c r="AD22">
        <v>66</v>
      </c>
      <c r="AE22">
        <v>0</v>
      </c>
      <c r="AF22">
        <v>0</v>
      </c>
      <c r="AG22">
        <v>0</v>
      </c>
      <c r="AH22" t="s">
        <v>94</v>
      </c>
      <c r="AI22" s="1">
        <v>44225.446886574071</v>
      </c>
      <c r="AJ22">
        <v>12</v>
      </c>
      <c r="AK22">
        <v>0</v>
      </c>
      <c r="AL22">
        <v>0</v>
      </c>
      <c r="AM22">
        <v>0</v>
      </c>
      <c r="AN22">
        <v>52</v>
      </c>
      <c r="AO22">
        <v>0</v>
      </c>
      <c r="AP22">
        <v>66</v>
      </c>
      <c r="AQ22">
        <v>0</v>
      </c>
      <c r="AR22">
        <v>0</v>
      </c>
      <c r="AS22">
        <v>0</v>
      </c>
      <c r="AT22" t="s">
        <v>90</v>
      </c>
      <c r="AU22" s="1">
        <v>44225.468946759262</v>
      </c>
      <c r="AV22">
        <v>3</v>
      </c>
      <c r="AW22">
        <v>0</v>
      </c>
      <c r="AX22">
        <v>0</v>
      </c>
      <c r="AY22">
        <v>0</v>
      </c>
      <c r="AZ22">
        <v>52</v>
      </c>
      <c r="BA22">
        <v>0</v>
      </c>
      <c r="BB22">
        <v>66</v>
      </c>
      <c r="BC22">
        <v>0</v>
      </c>
      <c r="BD22">
        <v>0</v>
      </c>
      <c r="BE22">
        <v>0</v>
      </c>
    </row>
    <row r="23" spans="1:57" x14ac:dyDescent="0.45">
      <c r="A23" t="s">
        <v>161</v>
      </c>
      <c r="B23" t="s">
        <v>79</v>
      </c>
      <c r="C23" t="s">
        <v>134</v>
      </c>
      <c r="D23" t="s">
        <v>81</v>
      </c>
      <c r="E23" s="2" t="str">
        <f>HYPERLINK("capsilon://?command=openfolder&amp;siteaddress=FAM.docvelocity-na8.net&amp;folderid=FXE9F71364-EF34-FA50-70C5-9505F41D9DE6","FX201227392")</f>
        <v>FX201227392</v>
      </c>
      <c r="F23" t="s">
        <v>19</v>
      </c>
      <c r="G23" t="s">
        <v>19</v>
      </c>
      <c r="H23" t="s">
        <v>82</v>
      </c>
      <c r="I23" t="s">
        <v>135</v>
      </c>
      <c r="J23">
        <v>52</v>
      </c>
      <c r="K23" t="s">
        <v>84</v>
      </c>
      <c r="L23" t="s">
        <v>85</v>
      </c>
      <c r="M23" t="s">
        <v>86</v>
      </c>
      <c r="N23">
        <v>3</v>
      </c>
      <c r="O23" s="1">
        <v>44225.415138888886</v>
      </c>
      <c r="P23" s="1">
        <v>44225.446018518516</v>
      </c>
      <c r="Q23">
        <v>1268</v>
      </c>
      <c r="R23">
        <v>1400</v>
      </c>
      <c r="S23" t="b">
        <v>0</v>
      </c>
      <c r="T23" t="s">
        <v>87</v>
      </c>
      <c r="U23" t="b">
        <v>1</v>
      </c>
      <c r="V23" t="s">
        <v>112</v>
      </c>
      <c r="W23" s="1">
        <v>44225.439814814818</v>
      </c>
      <c r="X23">
        <v>1137</v>
      </c>
      <c r="Y23">
        <v>42</v>
      </c>
      <c r="Z23">
        <v>0</v>
      </c>
      <c r="AA23">
        <v>42</v>
      </c>
      <c r="AB23">
        <v>0</v>
      </c>
      <c r="AC23">
        <v>28</v>
      </c>
      <c r="AD23">
        <v>10</v>
      </c>
      <c r="AE23">
        <v>0</v>
      </c>
      <c r="AF23">
        <v>0</v>
      </c>
      <c r="AG23">
        <v>0</v>
      </c>
      <c r="AH23" t="s">
        <v>128</v>
      </c>
      <c r="AI23" s="1">
        <v>44225.445706018516</v>
      </c>
      <c r="AJ23">
        <v>253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 t="s">
        <v>90</v>
      </c>
      <c r="AU23" s="1">
        <v>44225.446018518516</v>
      </c>
      <c r="AV23">
        <v>4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10</v>
      </c>
      <c r="BC23">
        <v>0</v>
      </c>
      <c r="BD23">
        <v>0</v>
      </c>
      <c r="BE23">
        <v>0</v>
      </c>
    </row>
    <row r="24" spans="1:57" x14ac:dyDescent="0.45">
      <c r="A24" t="s">
        <v>162</v>
      </c>
      <c r="B24" t="s">
        <v>79</v>
      </c>
      <c r="C24" t="s">
        <v>163</v>
      </c>
      <c r="D24" t="s">
        <v>81</v>
      </c>
      <c r="E24" s="2" t="str">
        <f>HYPERLINK("capsilon://?command=openfolder&amp;siteaddress=FAM.docvelocity-na8.net&amp;folderid=FX90B95D14-9D27-4D28-D34C-8A8ACC748A6D","FX210113106")</f>
        <v>FX210113106</v>
      </c>
      <c r="F24" t="s">
        <v>19</v>
      </c>
      <c r="G24" t="s">
        <v>19</v>
      </c>
      <c r="H24" t="s">
        <v>82</v>
      </c>
      <c r="I24" t="s">
        <v>164</v>
      </c>
      <c r="J24">
        <v>66</v>
      </c>
      <c r="K24" t="s">
        <v>84</v>
      </c>
      <c r="L24" t="s">
        <v>85</v>
      </c>
      <c r="M24" t="s">
        <v>86</v>
      </c>
      <c r="N24">
        <v>3</v>
      </c>
      <c r="O24" s="1">
        <v>44225.415451388886</v>
      </c>
      <c r="P24" s="1">
        <v>44225.469270833331</v>
      </c>
      <c r="Q24">
        <v>3893</v>
      </c>
      <c r="R24">
        <v>757</v>
      </c>
      <c r="S24" t="b">
        <v>0</v>
      </c>
      <c r="T24" t="s">
        <v>87</v>
      </c>
      <c r="U24" t="b">
        <v>0</v>
      </c>
      <c r="V24" t="s">
        <v>160</v>
      </c>
      <c r="W24" s="1">
        <v>44225.450381944444</v>
      </c>
      <c r="X24">
        <v>495</v>
      </c>
      <c r="Y24">
        <v>52</v>
      </c>
      <c r="Z24">
        <v>0</v>
      </c>
      <c r="AA24">
        <v>52</v>
      </c>
      <c r="AB24">
        <v>0</v>
      </c>
      <c r="AC24">
        <v>41</v>
      </c>
      <c r="AD24">
        <v>14</v>
      </c>
      <c r="AE24">
        <v>0</v>
      </c>
      <c r="AF24">
        <v>0</v>
      </c>
      <c r="AG24">
        <v>0</v>
      </c>
      <c r="AH24" t="s">
        <v>147</v>
      </c>
      <c r="AI24" s="1">
        <v>44225.453113425923</v>
      </c>
      <c r="AJ24">
        <v>235</v>
      </c>
      <c r="AK24">
        <v>2</v>
      </c>
      <c r="AL24">
        <v>0</v>
      </c>
      <c r="AM24">
        <v>2</v>
      </c>
      <c r="AN24">
        <v>0</v>
      </c>
      <c r="AO24">
        <v>2</v>
      </c>
      <c r="AP24">
        <v>12</v>
      </c>
      <c r="AQ24">
        <v>0</v>
      </c>
      <c r="AR24">
        <v>0</v>
      </c>
      <c r="AS24">
        <v>0</v>
      </c>
      <c r="AT24" t="s">
        <v>90</v>
      </c>
      <c r="AU24" s="1">
        <v>44225.469270833331</v>
      </c>
      <c r="AV24">
        <v>27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12</v>
      </c>
      <c r="BC24">
        <v>0</v>
      </c>
      <c r="BD24">
        <v>0</v>
      </c>
      <c r="BE24">
        <v>0</v>
      </c>
    </row>
    <row r="25" spans="1:57" x14ac:dyDescent="0.45">
      <c r="A25" t="s">
        <v>165</v>
      </c>
      <c r="B25" t="s">
        <v>79</v>
      </c>
      <c r="C25" t="s">
        <v>166</v>
      </c>
      <c r="D25" t="s">
        <v>81</v>
      </c>
      <c r="E25" s="2" t="str">
        <f>HYPERLINK("capsilon://?command=openfolder&amp;siteaddress=FAM.docvelocity-na8.net&amp;folderid=FX345A02FB-DE9A-5B44-5F01-597978E0F03D","FX20122108")</f>
        <v>FX20122108</v>
      </c>
      <c r="F25" t="s">
        <v>19</v>
      </c>
      <c r="G25" t="s">
        <v>19</v>
      </c>
      <c r="H25" t="s">
        <v>82</v>
      </c>
      <c r="I25" t="s">
        <v>167</v>
      </c>
      <c r="J25">
        <v>38</v>
      </c>
      <c r="K25" t="s">
        <v>84</v>
      </c>
      <c r="L25" t="s">
        <v>85</v>
      </c>
      <c r="M25" t="s">
        <v>86</v>
      </c>
      <c r="N25">
        <v>3</v>
      </c>
      <c r="O25" s="1">
        <v>44225.421087962961</v>
      </c>
      <c r="P25" s="1">
        <v>44225.469363425924</v>
      </c>
      <c r="Q25">
        <v>3185</v>
      </c>
      <c r="R25">
        <v>986</v>
      </c>
      <c r="S25" t="b">
        <v>0</v>
      </c>
      <c r="T25" t="s">
        <v>87</v>
      </c>
      <c r="U25" t="b">
        <v>0</v>
      </c>
      <c r="V25" t="s">
        <v>168</v>
      </c>
      <c r="W25" s="1">
        <v>44225.454826388886</v>
      </c>
      <c r="X25">
        <v>809</v>
      </c>
      <c r="Y25">
        <v>37</v>
      </c>
      <c r="Z25">
        <v>0</v>
      </c>
      <c r="AA25">
        <v>37</v>
      </c>
      <c r="AB25">
        <v>0</v>
      </c>
      <c r="AC25">
        <v>35</v>
      </c>
      <c r="AD25">
        <v>1</v>
      </c>
      <c r="AE25">
        <v>0</v>
      </c>
      <c r="AF25">
        <v>0</v>
      </c>
      <c r="AG25">
        <v>0</v>
      </c>
      <c r="AH25" t="s">
        <v>132</v>
      </c>
      <c r="AI25" s="1">
        <v>44225.456886574073</v>
      </c>
      <c r="AJ25">
        <v>170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 t="s">
        <v>90</v>
      </c>
      <c r="AU25" s="1">
        <v>44225.469363425924</v>
      </c>
      <c r="AV25">
        <v>7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</row>
    <row r="26" spans="1:57" x14ac:dyDescent="0.45">
      <c r="A26" t="s">
        <v>169</v>
      </c>
      <c r="B26" t="s">
        <v>79</v>
      </c>
      <c r="C26" t="s">
        <v>166</v>
      </c>
      <c r="D26" t="s">
        <v>81</v>
      </c>
      <c r="E26" s="2" t="str">
        <f>HYPERLINK("capsilon://?command=openfolder&amp;siteaddress=FAM.docvelocity-na8.net&amp;folderid=FX345A02FB-DE9A-5B44-5F01-597978E0F03D","FX20122108")</f>
        <v>FX20122108</v>
      </c>
      <c r="F26" t="s">
        <v>19</v>
      </c>
      <c r="G26" t="s">
        <v>19</v>
      </c>
      <c r="H26" t="s">
        <v>82</v>
      </c>
      <c r="I26" t="s">
        <v>170</v>
      </c>
      <c r="J26">
        <v>38</v>
      </c>
      <c r="K26" t="s">
        <v>84</v>
      </c>
      <c r="L26" t="s">
        <v>85</v>
      </c>
      <c r="M26" t="s">
        <v>86</v>
      </c>
      <c r="N26">
        <v>3</v>
      </c>
      <c r="O26" s="1">
        <v>44225.422222222223</v>
      </c>
      <c r="P26" s="1">
        <v>44225.469456018516</v>
      </c>
      <c r="Q26">
        <v>3385</v>
      </c>
      <c r="R26">
        <v>696</v>
      </c>
      <c r="S26" t="b">
        <v>0</v>
      </c>
      <c r="T26" t="s">
        <v>87</v>
      </c>
      <c r="U26" t="b">
        <v>0</v>
      </c>
      <c r="V26" t="s">
        <v>171</v>
      </c>
      <c r="W26" s="1">
        <v>44225.453368055554</v>
      </c>
      <c r="X26">
        <v>531</v>
      </c>
      <c r="Y26">
        <v>37</v>
      </c>
      <c r="Z26">
        <v>0</v>
      </c>
      <c r="AA26">
        <v>37</v>
      </c>
      <c r="AB26">
        <v>0</v>
      </c>
      <c r="AC26">
        <v>35</v>
      </c>
      <c r="AD26">
        <v>1</v>
      </c>
      <c r="AE26">
        <v>0</v>
      </c>
      <c r="AF26">
        <v>0</v>
      </c>
      <c r="AG26">
        <v>0</v>
      </c>
      <c r="AH26" t="s">
        <v>128</v>
      </c>
      <c r="AI26" s="1">
        <v>44225.455428240741</v>
      </c>
      <c r="AJ26">
        <v>149</v>
      </c>
      <c r="AK26">
        <v>1</v>
      </c>
      <c r="AL26">
        <v>0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 t="s">
        <v>90</v>
      </c>
      <c r="AU26" s="1">
        <v>44225.469456018516</v>
      </c>
      <c r="AV26">
        <v>7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45">
      <c r="A27" t="s">
        <v>172</v>
      </c>
      <c r="B27" t="s">
        <v>79</v>
      </c>
      <c r="C27" t="s">
        <v>173</v>
      </c>
      <c r="D27" t="s">
        <v>81</v>
      </c>
      <c r="E27" s="2" t="str">
        <f>HYPERLINK("capsilon://?command=openfolder&amp;siteaddress=FAM.docvelocity-na8.net&amp;folderid=FXE1AEDD72-5781-1309-61DF-16064F76094C","FX210115472")</f>
        <v>FX210115472</v>
      </c>
      <c r="F27" t="s">
        <v>19</v>
      </c>
      <c r="G27" t="s">
        <v>19</v>
      </c>
      <c r="H27" t="s">
        <v>82</v>
      </c>
      <c r="I27" t="s">
        <v>174</v>
      </c>
      <c r="J27">
        <v>38</v>
      </c>
      <c r="K27" t="s">
        <v>84</v>
      </c>
      <c r="L27" t="s">
        <v>85</v>
      </c>
      <c r="M27" t="s">
        <v>86</v>
      </c>
      <c r="N27">
        <v>3</v>
      </c>
      <c r="O27" s="1">
        <v>44225.425034722219</v>
      </c>
      <c r="P27" s="1">
        <v>44225.469699074078</v>
      </c>
      <c r="Q27">
        <v>2880</v>
      </c>
      <c r="R27">
        <v>979</v>
      </c>
      <c r="S27" t="b">
        <v>0</v>
      </c>
      <c r="T27" t="s">
        <v>87</v>
      </c>
      <c r="U27" t="b">
        <v>0</v>
      </c>
      <c r="V27" t="s">
        <v>146</v>
      </c>
      <c r="W27" s="1">
        <v>44225.457361111112</v>
      </c>
      <c r="X27">
        <v>886</v>
      </c>
      <c r="Y27">
        <v>37</v>
      </c>
      <c r="Z27">
        <v>0</v>
      </c>
      <c r="AA27">
        <v>37</v>
      </c>
      <c r="AB27">
        <v>0</v>
      </c>
      <c r="AC27">
        <v>32</v>
      </c>
      <c r="AD27">
        <v>1</v>
      </c>
      <c r="AE27">
        <v>0</v>
      </c>
      <c r="AF27">
        <v>0</v>
      </c>
      <c r="AG27">
        <v>0</v>
      </c>
      <c r="AH27" t="s">
        <v>132</v>
      </c>
      <c r="AI27" s="1">
        <v>44225.458483796298</v>
      </c>
      <c r="AJ27">
        <v>73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 t="s">
        <v>90</v>
      </c>
      <c r="AU27" s="1">
        <v>44225.469699074078</v>
      </c>
      <c r="AV27">
        <v>20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</row>
    <row r="28" spans="1:57" x14ac:dyDescent="0.45">
      <c r="A28" t="s">
        <v>175</v>
      </c>
      <c r="B28" t="s">
        <v>79</v>
      </c>
      <c r="C28" t="s">
        <v>114</v>
      </c>
      <c r="D28" t="s">
        <v>81</v>
      </c>
      <c r="E28" s="2" t="str">
        <f>HYPERLINK("capsilon://?command=openfolder&amp;siteaddress=FAM.docvelocity-na8.net&amp;folderid=FX511663D6-922D-A3DD-12AB-2178AFF7CE10","FX210117674")</f>
        <v>FX210117674</v>
      </c>
      <c r="F28" t="s">
        <v>19</v>
      </c>
      <c r="G28" t="s">
        <v>19</v>
      </c>
      <c r="H28" t="s">
        <v>82</v>
      </c>
      <c r="I28" t="s">
        <v>115</v>
      </c>
      <c r="J28">
        <v>308</v>
      </c>
      <c r="K28" t="s">
        <v>84</v>
      </c>
      <c r="L28" t="s">
        <v>85</v>
      </c>
      <c r="M28" t="s">
        <v>86</v>
      </c>
      <c r="N28">
        <v>3</v>
      </c>
      <c r="O28" s="1">
        <v>44225.42695601852</v>
      </c>
      <c r="P28" s="1">
        <v>44225.496006944442</v>
      </c>
      <c r="Q28">
        <v>1754</v>
      </c>
      <c r="R28">
        <v>4212</v>
      </c>
      <c r="S28" t="b">
        <v>0</v>
      </c>
      <c r="T28" t="s">
        <v>87</v>
      </c>
      <c r="U28" t="b">
        <v>1</v>
      </c>
      <c r="V28" t="s">
        <v>98</v>
      </c>
      <c r="W28" s="1">
        <v>44225.460138888891</v>
      </c>
      <c r="X28">
        <v>2850</v>
      </c>
      <c r="Y28">
        <v>52</v>
      </c>
      <c r="Z28">
        <v>0</v>
      </c>
      <c r="AA28">
        <v>52</v>
      </c>
      <c r="AB28">
        <v>289</v>
      </c>
      <c r="AC28">
        <v>47</v>
      </c>
      <c r="AD28">
        <v>256</v>
      </c>
      <c r="AE28">
        <v>0</v>
      </c>
      <c r="AF28">
        <v>0</v>
      </c>
      <c r="AG28">
        <v>0</v>
      </c>
      <c r="AH28" t="s">
        <v>108</v>
      </c>
      <c r="AI28" s="1">
        <v>44225.47761574074</v>
      </c>
      <c r="AJ28">
        <v>1016</v>
      </c>
      <c r="AK28">
        <v>1</v>
      </c>
      <c r="AL28">
        <v>0</v>
      </c>
      <c r="AM28">
        <v>1</v>
      </c>
      <c r="AN28">
        <v>289</v>
      </c>
      <c r="AO28">
        <v>0</v>
      </c>
      <c r="AP28">
        <v>255</v>
      </c>
      <c r="AQ28">
        <v>0</v>
      </c>
      <c r="AR28">
        <v>0</v>
      </c>
      <c r="AS28">
        <v>0</v>
      </c>
      <c r="AT28" t="s">
        <v>90</v>
      </c>
      <c r="AU28" s="1">
        <v>44225.496006944442</v>
      </c>
      <c r="AV28">
        <v>50</v>
      </c>
      <c r="AW28">
        <v>0</v>
      </c>
      <c r="AX28">
        <v>0</v>
      </c>
      <c r="AY28">
        <v>0</v>
      </c>
      <c r="AZ28">
        <v>289</v>
      </c>
      <c r="BA28">
        <v>0</v>
      </c>
      <c r="BB28">
        <v>255</v>
      </c>
      <c r="BC28">
        <v>0</v>
      </c>
      <c r="BD28">
        <v>0</v>
      </c>
      <c r="BE28">
        <v>0</v>
      </c>
    </row>
    <row r="29" spans="1:57" x14ac:dyDescent="0.45">
      <c r="A29" t="s">
        <v>176</v>
      </c>
      <c r="B29" t="s">
        <v>79</v>
      </c>
      <c r="C29" t="s">
        <v>177</v>
      </c>
      <c r="D29" t="s">
        <v>81</v>
      </c>
      <c r="E29" s="2" t="str">
        <f>HYPERLINK("capsilon://?command=openfolder&amp;siteaddress=FAM.docvelocity-na8.net&amp;folderid=FX0D969EFC-3CA0-1B04-190F-2FED107F5000","FX201114891")</f>
        <v>FX201114891</v>
      </c>
      <c r="F29" t="s">
        <v>19</v>
      </c>
      <c r="G29" t="s">
        <v>19</v>
      </c>
      <c r="H29" t="s">
        <v>82</v>
      </c>
      <c r="I29" t="s">
        <v>178</v>
      </c>
      <c r="J29">
        <v>130</v>
      </c>
      <c r="K29" t="s">
        <v>84</v>
      </c>
      <c r="L29" t="s">
        <v>85</v>
      </c>
      <c r="M29" t="s">
        <v>86</v>
      </c>
      <c r="N29">
        <v>3</v>
      </c>
      <c r="O29" s="1">
        <v>44225.429768518516</v>
      </c>
      <c r="P29" s="1">
        <v>44225.470034722224</v>
      </c>
      <c r="Q29">
        <v>2377</v>
      </c>
      <c r="R29">
        <v>1102</v>
      </c>
      <c r="S29" t="b">
        <v>0</v>
      </c>
      <c r="T29" t="s">
        <v>87</v>
      </c>
      <c r="U29" t="b">
        <v>0</v>
      </c>
      <c r="V29" t="s">
        <v>179</v>
      </c>
      <c r="W29" s="1">
        <v>44225.455682870372</v>
      </c>
      <c r="X29">
        <v>709</v>
      </c>
      <c r="Y29">
        <v>91</v>
      </c>
      <c r="Z29">
        <v>0</v>
      </c>
      <c r="AA29">
        <v>91</v>
      </c>
      <c r="AB29">
        <v>0</v>
      </c>
      <c r="AC29">
        <v>46</v>
      </c>
      <c r="AD29">
        <v>39</v>
      </c>
      <c r="AE29">
        <v>0</v>
      </c>
      <c r="AF29">
        <v>0</v>
      </c>
      <c r="AG29">
        <v>0</v>
      </c>
      <c r="AH29" t="s">
        <v>147</v>
      </c>
      <c r="AI29" s="1">
        <v>44225.460902777777</v>
      </c>
      <c r="AJ29">
        <v>354</v>
      </c>
      <c r="AK29">
        <v>0</v>
      </c>
      <c r="AL29">
        <v>0</v>
      </c>
      <c r="AM29">
        <v>0</v>
      </c>
      <c r="AN29">
        <v>0</v>
      </c>
      <c r="AO29">
        <v>2</v>
      </c>
      <c r="AP29">
        <v>39</v>
      </c>
      <c r="AQ29">
        <v>0</v>
      </c>
      <c r="AR29">
        <v>0</v>
      </c>
      <c r="AS29">
        <v>0</v>
      </c>
      <c r="AT29" t="s">
        <v>90</v>
      </c>
      <c r="AU29" s="1">
        <v>44225.470034722224</v>
      </c>
      <c r="AV29">
        <v>29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39</v>
      </c>
      <c r="BC29">
        <v>0</v>
      </c>
      <c r="BD29">
        <v>0</v>
      </c>
      <c r="BE29">
        <v>0</v>
      </c>
    </row>
    <row r="30" spans="1:57" hidden="1" x14ac:dyDescent="0.45">
      <c r="A30" t="s">
        <v>180</v>
      </c>
      <c r="B30" t="s">
        <v>79</v>
      </c>
      <c r="C30" t="s">
        <v>181</v>
      </c>
      <c r="D30" t="s">
        <v>81</v>
      </c>
      <c r="E30" s="2" t="str">
        <f>HYPERLINK("capsilon://?command=openfolder&amp;siteaddress=FAM.docvelocity-na8.net&amp;folderid=FX35710C3F-925F-4E42-A009-E53A9EC6D3C3","FX201116139")</f>
        <v>FX201116139</v>
      </c>
      <c r="F30" t="s">
        <v>19</v>
      </c>
      <c r="G30" t="s">
        <v>19</v>
      </c>
      <c r="H30" t="s">
        <v>82</v>
      </c>
      <c r="I30" t="s">
        <v>182</v>
      </c>
      <c r="J30">
        <v>514</v>
      </c>
      <c r="K30" t="s">
        <v>183</v>
      </c>
      <c r="L30" t="s">
        <v>19</v>
      </c>
      <c r="M30" t="s">
        <v>81</v>
      </c>
      <c r="N30">
        <v>0</v>
      </c>
      <c r="O30" s="1">
        <v>44225.431875000002</v>
      </c>
      <c r="P30" s="1">
        <v>44225.432141203702</v>
      </c>
      <c r="Q30">
        <v>23</v>
      </c>
      <c r="R30">
        <v>0</v>
      </c>
      <c r="S30" t="b">
        <v>0</v>
      </c>
      <c r="T30" t="s">
        <v>87</v>
      </c>
      <c r="U30" t="b">
        <v>0</v>
      </c>
      <c r="V30" t="s">
        <v>87</v>
      </c>
      <c r="W30" t="s">
        <v>87</v>
      </c>
      <c r="X30" t="s">
        <v>87</v>
      </c>
      <c r="Y30" t="s">
        <v>87</v>
      </c>
      <c r="Z30" t="s">
        <v>87</v>
      </c>
      <c r="AA30" t="s">
        <v>87</v>
      </c>
      <c r="AB30" t="s">
        <v>87</v>
      </c>
      <c r="AC30" t="s">
        <v>87</v>
      </c>
      <c r="AD30" t="s">
        <v>87</v>
      </c>
      <c r="AE30" t="s">
        <v>87</v>
      </c>
      <c r="AF30" t="s">
        <v>87</v>
      </c>
      <c r="AG30" t="s">
        <v>87</v>
      </c>
      <c r="AH30" t="s">
        <v>87</v>
      </c>
      <c r="AI30" t="s">
        <v>87</v>
      </c>
      <c r="AJ30" t="s">
        <v>87</v>
      </c>
      <c r="AK30" t="s">
        <v>87</v>
      </c>
      <c r="AL30" t="s">
        <v>87</v>
      </c>
      <c r="AM30" t="s">
        <v>87</v>
      </c>
      <c r="AN30" t="s">
        <v>87</v>
      </c>
      <c r="AO30" t="s">
        <v>87</v>
      </c>
      <c r="AP30" t="s">
        <v>87</v>
      </c>
      <c r="AQ30" t="s">
        <v>87</v>
      </c>
      <c r="AR30" t="s">
        <v>87</v>
      </c>
      <c r="AS30" t="s">
        <v>87</v>
      </c>
      <c r="AT30" t="s">
        <v>87</v>
      </c>
      <c r="AU30" t="s">
        <v>87</v>
      </c>
      <c r="AV30" t="s">
        <v>87</v>
      </c>
      <c r="AW30" t="s">
        <v>87</v>
      </c>
      <c r="AX30" t="s">
        <v>87</v>
      </c>
      <c r="AY30" t="s">
        <v>87</v>
      </c>
      <c r="AZ30" t="s">
        <v>87</v>
      </c>
      <c r="BA30" t="s">
        <v>87</v>
      </c>
      <c r="BB30" t="s">
        <v>87</v>
      </c>
      <c r="BC30" t="s">
        <v>87</v>
      </c>
      <c r="BD30" t="s">
        <v>87</v>
      </c>
      <c r="BE30" t="s">
        <v>87</v>
      </c>
    </row>
    <row r="31" spans="1:57" x14ac:dyDescent="0.45">
      <c r="A31" t="s">
        <v>184</v>
      </c>
      <c r="B31" t="s">
        <v>79</v>
      </c>
      <c r="C31" t="s">
        <v>120</v>
      </c>
      <c r="D31" t="s">
        <v>81</v>
      </c>
      <c r="E31" s="2" t="str">
        <f>HYPERLINK("capsilon://?command=openfolder&amp;siteaddress=FAM.docvelocity-na8.net&amp;folderid=FX7E7CF87F-3520-7670-26ED-8469D45456D3","FX210110880")</f>
        <v>FX210110880</v>
      </c>
      <c r="F31" t="s">
        <v>19</v>
      </c>
      <c r="G31" t="s">
        <v>19</v>
      </c>
      <c r="H31" t="s">
        <v>82</v>
      </c>
      <c r="I31" t="s">
        <v>185</v>
      </c>
      <c r="J31">
        <v>26</v>
      </c>
      <c r="K31" t="s">
        <v>84</v>
      </c>
      <c r="L31" t="s">
        <v>85</v>
      </c>
      <c r="M31" t="s">
        <v>86</v>
      </c>
      <c r="N31">
        <v>3</v>
      </c>
      <c r="O31" s="1">
        <v>44225.437997685185</v>
      </c>
      <c r="P31" s="1">
        <v>44225.470081018517</v>
      </c>
      <c r="Q31">
        <v>2145</v>
      </c>
      <c r="R31">
        <v>627</v>
      </c>
      <c r="S31" t="b">
        <v>0</v>
      </c>
      <c r="T31" t="s">
        <v>87</v>
      </c>
      <c r="U31" t="b">
        <v>0</v>
      </c>
      <c r="V31" t="s">
        <v>88</v>
      </c>
      <c r="W31" s="1">
        <v>44225.4533912037</v>
      </c>
      <c r="X31">
        <v>450</v>
      </c>
      <c r="Y31">
        <v>21</v>
      </c>
      <c r="Z31">
        <v>0</v>
      </c>
      <c r="AA31">
        <v>21</v>
      </c>
      <c r="AB31">
        <v>0</v>
      </c>
      <c r="AC31">
        <v>2</v>
      </c>
      <c r="AD31">
        <v>5</v>
      </c>
      <c r="AE31">
        <v>0</v>
      </c>
      <c r="AF31">
        <v>0</v>
      </c>
      <c r="AG31">
        <v>0</v>
      </c>
      <c r="AH31" t="s">
        <v>147</v>
      </c>
      <c r="AI31" s="1">
        <v>44225.456793981481</v>
      </c>
      <c r="AJ31">
        <v>173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5</v>
      </c>
      <c r="AQ31">
        <v>0</v>
      </c>
      <c r="AR31">
        <v>0</v>
      </c>
      <c r="AS31">
        <v>0</v>
      </c>
      <c r="AT31" t="s">
        <v>90</v>
      </c>
      <c r="AU31" s="1">
        <v>44225.470081018517</v>
      </c>
      <c r="AV31">
        <v>4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5</v>
      </c>
      <c r="BC31">
        <v>0</v>
      </c>
      <c r="BD31">
        <v>0</v>
      </c>
      <c r="BE31">
        <v>0</v>
      </c>
    </row>
    <row r="32" spans="1:57" x14ac:dyDescent="0.45">
      <c r="A32" t="s">
        <v>186</v>
      </c>
      <c r="B32" t="s">
        <v>79</v>
      </c>
      <c r="C32" t="s">
        <v>187</v>
      </c>
      <c r="D32" t="s">
        <v>81</v>
      </c>
      <c r="E32" s="2" t="str">
        <f>HYPERLINK("capsilon://?command=openfolder&amp;siteaddress=FAM.docvelocity-na8.net&amp;folderid=FX1A873A4E-2B7E-0323-CD57-615D343D0146","FX210117273")</f>
        <v>FX210117273</v>
      </c>
      <c r="F32" t="s">
        <v>19</v>
      </c>
      <c r="G32" t="s">
        <v>19</v>
      </c>
      <c r="H32" t="s">
        <v>82</v>
      </c>
      <c r="I32" t="s">
        <v>188</v>
      </c>
      <c r="J32">
        <v>399</v>
      </c>
      <c r="K32" t="s">
        <v>84</v>
      </c>
      <c r="L32" t="s">
        <v>85</v>
      </c>
      <c r="M32" t="s">
        <v>86</v>
      </c>
      <c r="N32">
        <v>3</v>
      </c>
      <c r="O32" s="1">
        <v>44225.43855324074</v>
      </c>
      <c r="P32" s="1">
        <v>44225.525243055556</v>
      </c>
      <c r="Q32">
        <v>2985</v>
      </c>
      <c r="R32">
        <v>4505</v>
      </c>
      <c r="S32" t="b">
        <v>0</v>
      </c>
      <c r="T32" t="s">
        <v>87</v>
      </c>
      <c r="U32" t="b">
        <v>0</v>
      </c>
      <c r="V32" t="s">
        <v>112</v>
      </c>
      <c r="W32" s="1">
        <v>44225.487500000003</v>
      </c>
      <c r="X32">
        <v>3371</v>
      </c>
      <c r="Y32">
        <v>289</v>
      </c>
      <c r="Z32">
        <v>0</v>
      </c>
      <c r="AA32">
        <v>289</v>
      </c>
      <c r="AB32">
        <v>37</v>
      </c>
      <c r="AC32">
        <v>143</v>
      </c>
      <c r="AD32">
        <v>110</v>
      </c>
      <c r="AE32">
        <v>0</v>
      </c>
      <c r="AF32">
        <v>0</v>
      </c>
      <c r="AG32">
        <v>0</v>
      </c>
      <c r="AH32" t="s">
        <v>108</v>
      </c>
      <c r="AI32" s="1">
        <v>44225.504016203704</v>
      </c>
      <c r="AJ32">
        <v>1056</v>
      </c>
      <c r="AK32">
        <v>1</v>
      </c>
      <c r="AL32">
        <v>0</v>
      </c>
      <c r="AM32">
        <v>1</v>
      </c>
      <c r="AN32">
        <v>37</v>
      </c>
      <c r="AO32">
        <v>0</v>
      </c>
      <c r="AP32">
        <v>109</v>
      </c>
      <c r="AQ32">
        <v>0</v>
      </c>
      <c r="AR32">
        <v>0</v>
      </c>
      <c r="AS32">
        <v>0</v>
      </c>
      <c r="AT32" t="s">
        <v>90</v>
      </c>
      <c r="AU32" s="1">
        <v>44225.525243055556</v>
      </c>
      <c r="AV32">
        <v>30</v>
      </c>
      <c r="AW32">
        <v>0</v>
      </c>
      <c r="AX32">
        <v>0</v>
      </c>
      <c r="AY32">
        <v>0</v>
      </c>
      <c r="AZ32">
        <v>37</v>
      </c>
      <c r="BA32">
        <v>0</v>
      </c>
      <c r="BB32">
        <v>109</v>
      </c>
      <c r="BC32">
        <v>0</v>
      </c>
      <c r="BD32">
        <v>0</v>
      </c>
      <c r="BE32">
        <v>0</v>
      </c>
    </row>
    <row r="33" spans="1:57" hidden="1" x14ac:dyDescent="0.45">
      <c r="A33" t="s">
        <v>189</v>
      </c>
      <c r="B33" t="s">
        <v>79</v>
      </c>
      <c r="C33" t="s">
        <v>190</v>
      </c>
      <c r="D33" t="s">
        <v>81</v>
      </c>
      <c r="E33" s="2" t="str">
        <f>HYPERLINK("capsilon://?command=openfolder&amp;siteaddress=FAM.docvelocity-na8.net&amp;folderid=FX90F33575-1B15-74B6-5FAE-D91E1ADB7F21","FX20121938")</f>
        <v>FX20121938</v>
      </c>
      <c r="F33" t="s">
        <v>19</v>
      </c>
      <c r="G33" t="s">
        <v>19</v>
      </c>
      <c r="H33" t="s">
        <v>82</v>
      </c>
      <c r="I33" t="s">
        <v>191</v>
      </c>
      <c r="J33">
        <v>38</v>
      </c>
      <c r="K33" t="s">
        <v>84</v>
      </c>
      <c r="L33" t="s">
        <v>85</v>
      </c>
      <c r="M33" t="s">
        <v>86</v>
      </c>
      <c r="N33">
        <v>3</v>
      </c>
      <c r="O33" s="1">
        <v>44225.439016203702</v>
      </c>
      <c r="P33" s="1">
        <v>44225.470127314817</v>
      </c>
      <c r="Q33">
        <v>2614</v>
      </c>
      <c r="R33">
        <v>74</v>
      </c>
      <c r="S33" t="b">
        <v>0</v>
      </c>
      <c r="T33" t="s">
        <v>87</v>
      </c>
      <c r="U33" t="b">
        <v>0</v>
      </c>
      <c r="V33" t="s">
        <v>160</v>
      </c>
      <c r="W33" s="1">
        <v>44225.451053240744</v>
      </c>
      <c r="X33">
        <v>57</v>
      </c>
      <c r="Y33">
        <v>0</v>
      </c>
      <c r="Z33">
        <v>0</v>
      </c>
      <c r="AA33">
        <v>0</v>
      </c>
      <c r="AB33">
        <v>37</v>
      </c>
      <c r="AC33">
        <v>0</v>
      </c>
      <c r="AD33">
        <v>38</v>
      </c>
      <c r="AE33">
        <v>0</v>
      </c>
      <c r="AF33">
        <v>0</v>
      </c>
      <c r="AG33">
        <v>0</v>
      </c>
      <c r="AH33" t="s">
        <v>128</v>
      </c>
      <c r="AI33" s="1">
        <v>44225.455601851849</v>
      </c>
      <c r="AJ33">
        <v>14</v>
      </c>
      <c r="AK33">
        <v>0</v>
      </c>
      <c r="AL33">
        <v>0</v>
      </c>
      <c r="AM33">
        <v>0</v>
      </c>
      <c r="AN33">
        <v>37</v>
      </c>
      <c r="AO33">
        <v>0</v>
      </c>
      <c r="AP33">
        <v>38</v>
      </c>
      <c r="AQ33">
        <v>0</v>
      </c>
      <c r="AR33">
        <v>0</v>
      </c>
      <c r="AS33">
        <v>0</v>
      </c>
      <c r="AT33" t="s">
        <v>90</v>
      </c>
      <c r="AU33" s="1">
        <v>44225.470127314817</v>
      </c>
      <c r="AV33">
        <v>3</v>
      </c>
      <c r="AW33">
        <v>0</v>
      </c>
      <c r="AX33">
        <v>0</v>
      </c>
      <c r="AY33">
        <v>0</v>
      </c>
      <c r="AZ33">
        <v>37</v>
      </c>
      <c r="BA33">
        <v>0</v>
      </c>
      <c r="BB33">
        <v>38</v>
      </c>
      <c r="BC33">
        <v>0</v>
      </c>
      <c r="BD33">
        <v>0</v>
      </c>
      <c r="BE33">
        <v>0</v>
      </c>
    </row>
    <row r="34" spans="1:57" x14ac:dyDescent="0.45">
      <c r="A34" t="s">
        <v>192</v>
      </c>
      <c r="B34" t="s">
        <v>79</v>
      </c>
      <c r="C34" t="s">
        <v>193</v>
      </c>
      <c r="D34" t="s">
        <v>81</v>
      </c>
      <c r="E34" s="2" t="str">
        <f>HYPERLINK("capsilon://?command=openfolder&amp;siteaddress=FAM.docvelocity-na8.net&amp;folderid=FX97628894-3772-D745-AAED-F250C6C1944B","FX210110200")</f>
        <v>FX210110200</v>
      </c>
      <c r="F34" t="s">
        <v>19</v>
      </c>
      <c r="G34" t="s">
        <v>19</v>
      </c>
      <c r="H34" t="s">
        <v>82</v>
      </c>
      <c r="I34" t="s">
        <v>194</v>
      </c>
      <c r="J34">
        <v>52</v>
      </c>
      <c r="K34" t="s">
        <v>84</v>
      </c>
      <c r="L34" t="s">
        <v>85</v>
      </c>
      <c r="M34" t="s">
        <v>86</v>
      </c>
      <c r="N34">
        <v>3</v>
      </c>
      <c r="O34" s="1">
        <v>44225.439340277779</v>
      </c>
      <c r="P34" s="1">
        <v>44225.470208333332</v>
      </c>
      <c r="Q34">
        <v>1532</v>
      </c>
      <c r="R34">
        <v>1135</v>
      </c>
      <c r="S34" t="b">
        <v>0</v>
      </c>
      <c r="T34" t="s">
        <v>87</v>
      </c>
      <c r="U34" t="b">
        <v>0</v>
      </c>
      <c r="V34" t="s">
        <v>160</v>
      </c>
      <c r="W34" s="1">
        <v>44225.461354166669</v>
      </c>
      <c r="X34">
        <v>889</v>
      </c>
      <c r="Y34">
        <v>42</v>
      </c>
      <c r="Z34">
        <v>0</v>
      </c>
      <c r="AA34">
        <v>42</v>
      </c>
      <c r="AB34">
        <v>0</v>
      </c>
      <c r="AC34">
        <v>38</v>
      </c>
      <c r="AD34">
        <v>10</v>
      </c>
      <c r="AE34">
        <v>0</v>
      </c>
      <c r="AF34">
        <v>0</v>
      </c>
      <c r="AG34">
        <v>0</v>
      </c>
      <c r="AH34" t="s">
        <v>147</v>
      </c>
      <c r="AI34" s="1">
        <v>44225.464131944442</v>
      </c>
      <c r="AJ34">
        <v>239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 t="s">
        <v>90</v>
      </c>
      <c r="AU34" s="1">
        <v>44225.470208333332</v>
      </c>
      <c r="AV34">
        <v>7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10</v>
      </c>
      <c r="BC34">
        <v>0</v>
      </c>
      <c r="BD34">
        <v>0</v>
      </c>
      <c r="BE34">
        <v>0</v>
      </c>
    </row>
    <row r="35" spans="1:57" x14ac:dyDescent="0.45">
      <c r="A35" t="s">
        <v>195</v>
      </c>
      <c r="B35" t="s">
        <v>79</v>
      </c>
      <c r="C35" t="s">
        <v>196</v>
      </c>
      <c r="D35" t="s">
        <v>81</v>
      </c>
      <c r="E35" s="2" t="str">
        <f>HYPERLINK("capsilon://?command=openfolder&amp;siteaddress=FAM.docvelocity-na8.net&amp;folderid=FXB7F981E3-B9E0-A176-6268-74230A241718","FX210117566")</f>
        <v>FX210117566</v>
      </c>
      <c r="F35" t="s">
        <v>19</v>
      </c>
      <c r="G35" t="s">
        <v>19</v>
      </c>
      <c r="H35" t="s">
        <v>82</v>
      </c>
      <c r="I35" t="s">
        <v>197</v>
      </c>
      <c r="J35">
        <v>83</v>
      </c>
      <c r="K35" t="s">
        <v>84</v>
      </c>
      <c r="L35" t="s">
        <v>85</v>
      </c>
      <c r="M35" t="s">
        <v>86</v>
      </c>
      <c r="N35">
        <v>3</v>
      </c>
      <c r="O35" s="1">
        <v>44225.439560185187</v>
      </c>
      <c r="P35" s="1">
        <v>44225.498136574075</v>
      </c>
      <c r="Q35">
        <v>2850</v>
      </c>
      <c r="R35">
        <v>2211</v>
      </c>
      <c r="S35" t="b">
        <v>0</v>
      </c>
      <c r="T35" t="s">
        <v>87</v>
      </c>
      <c r="U35" t="b">
        <v>0</v>
      </c>
      <c r="V35" t="s">
        <v>142</v>
      </c>
      <c r="W35" s="1">
        <v>44225.46565972222</v>
      </c>
      <c r="X35">
        <v>1151</v>
      </c>
      <c r="Y35">
        <v>87</v>
      </c>
      <c r="Z35">
        <v>0</v>
      </c>
      <c r="AA35">
        <v>87</v>
      </c>
      <c r="AB35">
        <v>0</v>
      </c>
      <c r="AC35">
        <v>53</v>
      </c>
      <c r="AD35">
        <v>-4</v>
      </c>
      <c r="AE35">
        <v>0</v>
      </c>
      <c r="AF35">
        <v>0</v>
      </c>
      <c r="AG35">
        <v>0</v>
      </c>
      <c r="AH35" t="s">
        <v>132</v>
      </c>
      <c r="AI35" s="1">
        <v>44225.47934027778</v>
      </c>
      <c r="AJ35">
        <v>303</v>
      </c>
      <c r="AK35">
        <v>3</v>
      </c>
      <c r="AL35">
        <v>0</v>
      </c>
      <c r="AM35">
        <v>3</v>
      </c>
      <c r="AN35">
        <v>0</v>
      </c>
      <c r="AO35">
        <v>2</v>
      </c>
      <c r="AP35">
        <v>-7</v>
      </c>
      <c r="AQ35">
        <v>0</v>
      </c>
      <c r="AR35">
        <v>0</v>
      </c>
      <c r="AS35">
        <v>0</v>
      </c>
      <c r="AT35" t="s">
        <v>90</v>
      </c>
      <c r="AU35" s="1">
        <v>44225.498136574075</v>
      </c>
      <c r="AV35">
        <v>117</v>
      </c>
      <c r="AW35">
        <v>1</v>
      </c>
      <c r="AX35">
        <v>0</v>
      </c>
      <c r="AY35">
        <v>1</v>
      </c>
      <c r="AZ35">
        <v>0</v>
      </c>
      <c r="BA35">
        <v>1</v>
      </c>
      <c r="BB35">
        <v>-8</v>
      </c>
      <c r="BC35">
        <v>0</v>
      </c>
      <c r="BD35">
        <v>0</v>
      </c>
      <c r="BE35">
        <v>0</v>
      </c>
    </row>
    <row r="36" spans="1:57" x14ac:dyDescent="0.45">
      <c r="A36" t="s">
        <v>198</v>
      </c>
      <c r="B36" t="s">
        <v>79</v>
      </c>
      <c r="C36" t="s">
        <v>149</v>
      </c>
      <c r="D36" t="s">
        <v>81</v>
      </c>
      <c r="E36" s="2" t="str">
        <f>HYPERLINK("capsilon://?command=openfolder&amp;siteaddress=FAM.docvelocity-na8.net&amp;folderid=FX7FD2821E-FAED-CCCA-D870-014CA677B186","FX201225180")</f>
        <v>FX201225180</v>
      </c>
      <c r="F36" t="s">
        <v>19</v>
      </c>
      <c r="G36" t="s">
        <v>19</v>
      </c>
      <c r="H36" t="s">
        <v>82</v>
      </c>
      <c r="I36" t="s">
        <v>150</v>
      </c>
      <c r="J36">
        <v>38</v>
      </c>
      <c r="K36" t="s">
        <v>84</v>
      </c>
      <c r="L36" t="s">
        <v>85</v>
      </c>
      <c r="M36" t="s">
        <v>86</v>
      </c>
      <c r="N36">
        <v>3</v>
      </c>
      <c r="O36" s="1">
        <v>44225.440405092595</v>
      </c>
      <c r="P36" s="1">
        <v>44225.467499999999</v>
      </c>
      <c r="Q36">
        <v>1178</v>
      </c>
      <c r="R36">
        <v>1163</v>
      </c>
      <c r="S36" t="b">
        <v>0</v>
      </c>
      <c r="T36" t="s">
        <v>87</v>
      </c>
      <c r="U36" t="b">
        <v>1</v>
      </c>
      <c r="V36" t="s">
        <v>142</v>
      </c>
      <c r="W36" s="1">
        <v>44225.452326388891</v>
      </c>
      <c r="X36">
        <v>1009</v>
      </c>
      <c r="Y36">
        <v>37</v>
      </c>
      <c r="Z36">
        <v>0</v>
      </c>
      <c r="AA36">
        <v>37</v>
      </c>
      <c r="AB36">
        <v>0</v>
      </c>
      <c r="AC36">
        <v>34</v>
      </c>
      <c r="AD36">
        <v>1</v>
      </c>
      <c r="AE36">
        <v>0</v>
      </c>
      <c r="AF36">
        <v>0</v>
      </c>
      <c r="AG36">
        <v>0</v>
      </c>
      <c r="AH36" t="s">
        <v>147</v>
      </c>
      <c r="AI36" s="1">
        <v>44225.454791666663</v>
      </c>
      <c r="AJ36">
        <v>144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 t="s">
        <v>90</v>
      </c>
      <c r="AU36" s="1">
        <v>44225.467499999999</v>
      </c>
      <c r="AV36">
        <v>10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</row>
    <row r="37" spans="1:57" x14ac:dyDescent="0.45">
      <c r="A37" t="s">
        <v>199</v>
      </c>
      <c r="B37" t="s">
        <v>79</v>
      </c>
      <c r="C37" t="s">
        <v>200</v>
      </c>
      <c r="D37" t="s">
        <v>81</v>
      </c>
      <c r="E37" s="2" t="str">
        <f>HYPERLINK("capsilon://?command=openfolder&amp;siteaddress=FAM.docvelocity-na8.net&amp;folderid=FX5B0C619B-E30C-E56D-ECDE-EC8E1D8AA1C5","FX210118962")</f>
        <v>FX210118962</v>
      </c>
      <c r="F37" t="s">
        <v>19</v>
      </c>
      <c r="G37" t="s">
        <v>19</v>
      </c>
      <c r="H37" t="s">
        <v>82</v>
      </c>
      <c r="I37" t="s">
        <v>201</v>
      </c>
      <c r="J37">
        <v>74</v>
      </c>
      <c r="K37" t="s">
        <v>84</v>
      </c>
      <c r="L37" t="s">
        <v>85</v>
      </c>
      <c r="M37" t="s">
        <v>86</v>
      </c>
      <c r="N37">
        <v>3</v>
      </c>
      <c r="O37" s="1">
        <v>44225.442800925928</v>
      </c>
      <c r="P37" s="1">
        <v>44225.498611111114</v>
      </c>
      <c r="Q37">
        <v>3225</v>
      </c>
      <c r="R37">
        <v>1597</v>
      </c>
      <c r="S37" t="b">
        <v>0</v>
      </c>
      <c r="T37" t="s">
        <v>87</v>
      </c>
      <c r="U37" t="b">
        <v>0</v>
      </c>
      <c r="V37" t="s">
        <v>171</v>
      </c>
      <c r="W37" s="1">
        <v>44225.462685185186</v>
      </c>
      <c r="X37">
        <v>804</v>
      </c>
      <c r="Y37">
        <v>72</v>
      </c>
      <c r="Z37">
        <v>0</v>
      </c>
      <c r="AA37">
        <v>72</v>
      </c>
      <c r="AB37">
        <v>0</v>
      </c>
      <c r="AC37">
        <v>20</v>
      </c>
      <c r="AD37">
        <v>2</v>
      </c>
      <c r="AE37">
        <v>0</v>
      </c>
      <c r="AF37">
        <v>0</v>
      </c>
      <c r="AG37">
        <v>0</v>
      </c>
      <c r="AH37" t="s">
        <v>147</v>
      </c>
      <c r="AI37" s="1">
        <v>44225.473009259258</v>
      </c>
      <c r="AJ37">
        <v>752</v>
      </c>
      <c r="AK37">
        <v>0</v>
      </c>
      <c r="AL37">
        <v>0</v>
      </c>
      <c r="AM37">
        <v>0</v>
      </c>
      <c r="AN37">
        <v>0</v>
      </c>
      <c r="AO37">
        <v>3</v>
      </c>
      <c r="AP37">
        <v>2</v>
      </c>
      <c r="AQ37">
        <v>0</v>
      </c>
      <c r="AR37">
        <v>0</v>
      </c>
      <c r="AS37">
        <v>0</v>
      </c>
      <c r="AT37" t="s">
        <v>90</v>
      </c>
      <c r="AU37" s="1">
        <v>44225.498611111114</v>
      </c>
      <c r="AV37">
        <v>41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2</v>
      </c>
      <c r="BC37">
        <v>0</v>
      </c>
      <c r="BD37">
        <v>0</v>
      </c>
      <c r="BE37">
        <v>0</v>
      </c>
    </row>
    <row r="38" spans="1:57" x14ac:dyDescent="0.45">
      <c r="A38" t="s">
        <v>202</v>
      </c>
      <c r="B38" t="s">
        <v>79</v>
      </c>
      <c r="C38" t="s">
        <v>203</v>
      </c>
      <c r="D38" t="s">
        <v>81</v>
      </c>
      <c r="E38" s="2" t="str">
        <f>HYPERLINK("capsilon://?command=openfolder&amp;siteaddress=FAM.docvelocity-na8.net&amp;folderid=FX12BE0C92-2474-0DD5-036F-8E3F6686518E","FX210118104")</f>
        <v>FX210118104</v>
      </c>
      <c r="F38" t="s">
        <v>19</v>
      </c>
      <c r="G38" t="s">
        <v>19</v>
      </c>
      <c r="H38" t="s">
        <v>82</v>
      </c>
      <c r="I38" t="s">
        <v>204</v>
      </c>
      <c r="J38">
        <v>169</v>
      </c>
      <c r="K38" t="s">
        <v>84</v>
      </c>
      <c r="L38" t="s">
        <v>85</v>
      </c>
      <c r="M38" t="s">
        <v>86</v>
      </c>
      <c r="N38">
        <v>3</v>
      </c>
      <c r="O38" s="1">
        <v>44225.444872685184</v>
      </c>
      <c r="P38" s="1">
        <v>44225.5003125</v>
      </c>
      <c r="Q38">
        <v>2237</v>
      </c>
      <c r="R38">
        <v>2553</v>
      </c>
      <c r="S38" t="b">
        <v>0</v>
      </c>
      <c r="T38" t="s">
        <v>87</v>
      </c>
      <c r="U38" t="b">
        <v>0</v>
      </c>
      <c r="V38" t="s">
        <v>88</v>
      </c>
      <c r="W38" s="1">
        <v>44225.475706018522</v>
      </c>
      <c r="X38">
        <v>1927</v>
      </c>
      <c r="Y38">
        <v>99</v>
      </c>
      <c r="Z38">
        <v>0</v>
      </c>
      <c r="AA38">
        <v>99</v>
      </c>
      <c r="AB38">
        <v>0</v>
      </c>
      <c r="AC38">
        <v>58</v>
      </c>
      <c r="AD38">
        <v>70</v>
      </c>
      <c r="AE38">
        <v>0</v>
      </c>
      <c r="AF38">
        <v>0</v>
      </c>
      <c r="AG38">
        <v>0</v>
      </c>
      <c r="AH38" t="s">
        <v>128</v>
      </c>
      <c r="AI38" s="1">
        <v>44225.482511574075</v>
      </c>
      <c r="AJ38">
        <v>372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70</v>
      </c>
      <c r="AQ38">
        <v>0</v>
      </c>
      <c r="AR38">
        <v>0</v>
      </c>
      <c r="AS38">
        <v>0</v>
      </c>
      <c r="AT38" t="s">
        <v>90</v>
      </c>
      <c r="AU38" s="1">
        <v>44225.5003125</v>
      </c>
      <c r="AV38">
        <v>146</v>
      </c>
      <c r="AW38">
        <v>2</v>
      </c>
      <c r="AX38">
        <v>0</v>
      </c>
      <c r="AY38">
        <v>2</v>
      </c>
      <c r="AZ38">
        <v>0</v>
      </c>
      <c r="BA38">
        <v>2</v>
      </c>
      <c r="BB38">
        <v>68</v>
      </c>
      <c r="BC38">
        <v>0</v>
      </c>
      <c r="BD38">
        <v>0</v>
      </c>
      <c r="BE38">
        <v>0</v>
      </c>
    </row>
    <row r="39" spans="1:57" x14ac:dyDescent="0.45">
      <c r="A39" t="s">
        <v>205</v>
      </c>
      <c r="B39" t="s">
        <v>79</v>
      </c>
      <c r="C39" t="s">
        <v>206</v>
      </c>
      <c r="D39" t="s">
        <v>81</v>
      </c>
      <c r="E39" s="2" t="str">
        <f>HYPERLINK("capsilon://?command=openfolder&amp;siteaddress=FAM.docvelocity-na8.net&amp;folderid=FX947B8419-43FD-897C-2884-D6A7D3CF1DBD","FX210118831")</f>
        <v>FX210118831</v>
      </c>
      <c r="F39" t="s">
        <v>19</v>
      </c>
      <c r="G39" t="s">
        <v>19</v>
      </c>
      <c r="H39" t="s">
        <v>82</v>
      </c>
      <c r="I39" t="s">
        <v>207</v>
      </c>
      <c r="J39">
        <v>83</v>
      </c>
      <c r="K39" t="s">
        <v>84</v>
      </c>
      <c r="L39" t="s">
        <v>85</v>
      </c>
      <c r="M39" t="s">
        <v>86</v>
      </c>
      <c r="N39">
        <v>3</v>
      </c>
      <c r="O39" s="1">
        <v>44225.45349537037</v>
      </c>
      <c r="P39" s="1">
        <v>44225.500613425924</v>
      </c>
      <c r="Q39">
        <v>2268</v>
      </c>
      <c r="R39">
        <v>1803</v>
      </c>
      <c r="S39" t="b">
        <v>0</v>
      </c>
      <c r="T39" t="s">
        <v>87</v>
      </c>
      <c r="U39" t="b">
        <v>0</v>
      </c>
      <c r="V39" t="s">
        <v>168</v>
      </c>
      <c r="W39" s="1">
        <v>44225.470138888886</v>
      </c>
      <c r="X39">
        <v>1322</v>
      </c>
      <c r="Y39">
        <v>80</v>
      </c>
      <c r="Z39">
        <v>0</v>
      </c>
      <c r="AA39">
        <v>80</v>
      </c>
      <c r="AB39">
        <v>0</v>
      </c>
      <c r="AC39">
        <v>61</v>
      </c>
      <c r="AD39">
        <v>3</v>
      </c>
      <c r="AE39">
        <v>0</v>
      </c>
      <c r="AF39">
        <v>0</v>
      </c>
      <c r="AG39">
        <v>0</v>
      </c>
      <c r="AH39" t="s">
        <v>89</v>
      </c>
      <c r="AI39" s="1">
        <v>44225.477523148147</v>
      </c>
      <c r="AJ39">
        <v>455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</v>
      </c>
      <c r="AQ39">
        <v>0</v>
      </c>
      <c r="AR39">
        <v>0</v>
      </c>
      <c r="AS39">
        <v>0</v>
      </c>
      <c r="AT39" t="s">
        <v>90</v>
      </c>
      <c r="AU39" s="1">
        <v>44225.500613425924</v>
      </c>
      <c r="AV39">
        <v>26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3</v>
      </c>
      <c r="BC39">
        <v>0</v>
      </c>
      <c r="BD39">
        <v>0</v>
      </c>
      <c r="BE39">
        <v>0</v>
      </c>
    </row>
    <row r="40" spans="1:57" x14ac:dyDescent="0.45">
      <c r="A40" t="s">
        <v>208</v>
      </c>
      <c r="B40" t="s">
        <v>79</v>
      </c>
      <c r="C40" t="s">
        <v>209</v>
      </c>
      <c r="D40" t="s">
        <v>81</v>
      </c>
      <c r="E40" s="2" t="str">
        <f>HYPERLINK("capsilon://?command=openfolder&amp;siteaddress=FAM.docvelocity-na8.net&amp;folderid=FX2DDBCF15-7061-4BE6-9F57-0C59C38D1085","FX210118774")</f>
        <v>FX210118774</v>
      </c>
      <c r="F40" t="s">
        <v>19</v>
      </c>
      <c r="G40" t="s">
        <v>19</v>
      </c>
      <c r="H40" t="s">
        <v>82</v>
      </c>
      <c r="I40" t="s">
        <v>210</v>
      </c>
      <c r="J40">
        <v>499</v>
      </c>
      <c r="K40" t="s">
        <v>84</v>
      </c>
      <c r="L40" t="s">
        <v>85</v>
      </c>
      <c r="M40" t="s">
        <v>86</v>
      </c>
      <c r="N40">
        <v>3</v>
      </c>
      <c r="O40" s="1">
        <v>44225.455694444441</v>
      </c>
      <c r="P40" s="1">
        <v>44225.54791666667</v>
      </c>
      <c r="Q40">
        <v>354</v>
      </c>
      <c r="R40">
        <v>7614</v>
      </c>
      <c r="S40" t="b">
        <v>0</v>
      </c>
      <c r="T40" t="s">
        <v>87</v>
      </c>
      <c r="U40" t="b">
        <v>0</v>
      </c>
      <c r="V40" t="s">
        <v>179</v>
      </c>
      <c r="W40" s="1">
        <v>44225.530011574076</v>
      </c>
      <c r="X40">
        <v>6416</v>
      </c>
      <c r="Y40">
        <v>441</v>
      </c>
      <c r="Z40">
        <v>0</v>
      </c>
      <c r="AA40">
        <v>441</v>
      </c>
      <c r="AB40">
        <v>21</v>
      </c>
      <c r="AC40">
        <v>279</v>
      </c>
      <c r="AD40">
        <v>58</v>
      </c>
      <c r="AE40">
        <v>0</v>
      </c>
      <c r="AF40">
        <v>0</v>
      </c>
      <c r="AG40">
        <v>0</v>
      </c>
      <c r="AH40" t="s">
        <v>132</v>
      </c>
      <c r="AI40" s="1">
        <v>44225.546030092592</v>
      </c>
      <c r="AJ40">
        <v>1058</v>
      </c>
      <c r="AK40">
        <v>5</v>
      </c>
      <c r="AL40">
        <v>0</v>
      </c>
      <c r="AM40">
        <v>5</v>
      </c>
      <c r="AN40">
        <v>21</v>
      </c>
      <c r="AO40">
        <v>4</v>
      </c>
      <c r="AP40">
        <v>53</v>
      </c>
      <c r="AQ40">
        <v>0</v>
      </c>
      <c r="AR40">
        <v>0</v>
      </c>
      <c r="AS40">
        <v>0</v>
      </c>
      <c r="AT40" t="s">
        <v>90</v>
      </c>
      <c r="AU40" s="1">
        <v>44225.54791666667</v>
      </c>
      <c r="AV40">
        <v>140</v>
      </c>
      <c r="AW40">
        <v>3</v>
      </c>
      <c r="AX40">
        <v>0</v>
      </c>
      <c r="AY40">
        <v>3</v>
      </c>
      <c r="AZ40">
        <v>21</v>
      </c>
      <c r="BA40">
        <v>3</v>
      </c>
      <c r="BB40">
        <v>50</v>
      </c>
      <c r="BC40">
        <v>0</v>
      </c>
      <c r="BD40">
        <v>0</v>
      </c>
      <c r="BE40">
        <v>0</v>
      </c>
    </row>
    <row r="41" spans="1:57" hidden="1" x14ac:dyDescent="0.45">
      <c r="A41" t="s">
        <v>211</v>
      </c>
      <c r="B41" t="s">
        <v>79</v>
      </c>
      <c r="C41" t="s">
        <v>212</v>
      </c>
      <c r="D41" t="s">
        <v>81</v>
      </c>
      <c r="E41" s="2" t="str">
        <f>HYPERLINK("capsilon://?command=openfolder&amp;siteaddress=FAM.docvelocity-na8.net&amp;folderid=FXAE91522F-3405-6263-3BD8-99AD05BFDCD4","FX201114102")</f>
        <v>FX201114102</v>
      </c>
      <c r="F41" t="s">
        <v>19</v>
      </c>
      <c r="G41" t="s">
        <v>19</v>
      </c>
      <c r="H41" t="s">
        <v>82</v>
      </c>
      <c r="I41" t="s">
        <v>213</v>
      </c>
      <c r="J41">
        <v>132</v>
      </c>
      <c r="K41" t="s">
        <v>84</v>
      </c>
      <c r="L41" t="s">
        <v>85</v>
      </c>
      <c r="M41" t="s">
        <v>86</v>
      </c>
      <c r="N41">
        <v>3</v>
      </c>
      <c r="O41" s="1">
        <v>44225.455833333333</v>
      </c>
      <c r="P41" s="1">
        <v>44225.470254629632</v>
      </c>
      <c r="Q41">
        <v>1061</v>
      </c>
      <c r="R41">
        <v>185</v>
      </c>
      <c r="S41" t="b">
        <v>0</v>
      </c>
      <c r="T41" t="s">
        <v>87</v>
      </c>
      <c r="U41" t="b">
        <v>0</v>
      </c>
      <c r="V41" t="s">
        <v>146</v>
      </c>
      <c r="W41" s="1">
        <v>44225.459386574075</v>
      </c>
      <c r="X41">
        <v>174</v>
      </c>
      <c r="Y41">
        <v>0</v>
      </c>
      <c r="Z41">
        <v>0</v>
      </c>
      <c r="AA41">
        <v>0</v>
      </c>
      <c r="AB41">
        <v>104</v>
      </c>
      <c r="AC41">
        <v>0</v>
      </c>
      <c r="AD41">
        <v>132</v>
      </c>
      <c r="AE41">
        <v>0</v>
      </c>
      <c r="AF41">
        <v>0</v>
      </c>
      <c r="AG41">
        <v>0</v>
      </c>
      <c r="AH41" t="s">
        <v>147</v>
      </c>
      <c r="AI41" s="1">
        <v>44225.461145833331</v>
      </c>
      <c r="AJ41">
        <v>8</v>
      </c>
      <c r="AK41">
        <v>0</v>
      </c>
      <c r="AL41">
        <v>0</v>
      </c>
      <c r="AM41">
        <v>0</v>
      </c>
      <c r="AN41">
        <v>104</v>
      </c>
      <c r="AO41">
        <v>0</v>
      </c>
      <c r="AP41">
        <v>132</v>
      </c>
      <c r="AQ41">
        <v>0</v>
      </c>
      <c r="AR41">
        <v>0</v>
      </c>
      <c r="AS41">
        <v>0</v>
      </c>
      <c r="AT41" t="s">
        <v>90</v>
      </c>
      <c r="AU41" s="1">
        <v>44225.470254629632</v>
      </c>
      <c r="AV41">
        <v>3</v>
      </c>
      <c r="AW41">
        <v>0</v>
      </c>
      <c r="AX41">
        <v>0</v>
      </c>
      <c r="AY41">
        <v>0</v>
      </c>
      <c r="AZ41">
        <v>104</v>
      </c>
      <c r="BA41">
        <v>0</v>
      </c>
      <c r="BB41">
        <v>132</v>
      </c>
      <c r="BC41">
        <v>0</v>
      </c>
      <c r="BD41">
        <v>0</v>
      </c>
      <c r="BE41">
        <v>0</v>
      </c>
    </row>
    <row r="42" spans="1:57" x14ac:dyDescent="0.45">
      <c r="A42" t="s">
        <v>214</v>
      </c>
      <c r="B42" t="s">
        <v>79</v>
      </c>
      <c r="C42" t="s">
        <v>215</v>
      </c>
      <c r="D42" t="s">
        <v>81</v>
      </c>
      <c r="E42" s="2" t="str">
        <f>HYPERLINK("capsilon://?command=openfolder&amp;siteaddress=FAM.docvelocity-na8.net&amp;folderid=FX7928EF85-C583-DEEE-5B88-DDDA4B75E6F0","FX210120081")</f>
        <v>FX210120081</v>
      </c>
      <c r="F42" t="s">
        <v>19</v>
      </c>
      <c r="G42" t="s">
        <v>19</v>
      </c>
      <c r="H42" t="s">
        <v>82</v>
      </c>
      <c r="I42" t="s">
        <v>216</v>
      </c>
      <c r="J42">
        <v>175</v>
      </c>
      <c r="K42" t="s">
        <v>84</v>
      </c>
      <c r="L42" t="s">
        <v>85</v>
      </c>
      <c r="M42" t="s">
        <v>86</v>
      </c>
      <c r="N42">
        <v>3</v>
      </c>
      <c r="O42" s="1">
        <v>44225.465104166666</v>
      </c>
      <c r="P42" s="1">
        <v>44225.501331018517</v>
      </c>
      <c r="Q42">
        <v>756</v>
      </c>
      <c r="R42">
        <v>2374</v>
      </c>
      <c r="S42" t="b">
        <v>0</v>
      </c>
      <c r="T42" t="s">
        <v>87</v>
      </c>
      <c r="U42" t="b">
        <v>0</v>
      </c>
      <c r="V42" t="s">
        <v>171</v>
      </c>
      <c r="W42" s="1">
        <v>44225.483275462961</v>
      </c>
      <c r="X42">
        <v>1569</v>
      </c>
      <c r="Y42">
        <v>125</v>
      </c>
      <c r="Z42">
        <v>0</v>
      </c>
      <c r="AA42">
        <v>125</v>
      </c>
      <c r="AB42">
        <v>0</v>
      </c>
      <c r="AC42">
        <v>55</v>
      </c>
      <c r="AD42">
        <v>50</v>
      </c>
      <c r="AE42">
        <v>0</v>
      </c>
      <c r="AF42">
        <v>0</v>
      </c>
      <c r="AG42">
        <v>0</v>
      </c>
      <c r="AH42" t="s">
        <v>128</v>
      </c>
      <c r="AI42" s="1">
        <v>44225.492268518516</v>
      </c>
      <c r="AJ42">
        <v>744</v>
      </c>
      <c r="AK42">
        <v>9</v>
      </c>
      <c r="AL42">
        <v>0</v>
      </c>
      <c r="AM42">
        <v>9</v>
      </c>
      <c r="AN42">
        <v>0</v>
      </c>
      <c r="AO42">
        <v>9</v>
      </c>
      <c r="AP42">
        <v>41</v>
      </c>
      <c r="AQ42">
        <v>0</v>
      </c>
      <c r="AR42">
        <v>0</v>
      </c>
      <c r="AS42">
        <v>0</v>
      </c>
      <c r="AT42" t="s">
        <v>90</v>
      </c>
      <c r="AU42" s="1">
        <v>44225.501331018517</v>
      </c>
      <c r="AV42">
        <v>61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41</v>
      </c>
      <c r="BC42">
        <v>0</v>
      </c>
      <c r="BD42">
        <v>0</v>
      </c>
      <c r="BE42">
        <v>0</v>
      </c>
    </row>
    <row r="43" spans="1:57" hidden="1" x14ac:dyDescent="0.45">
      <c r="A43" t="s">
        <v>217</v>
      </c>
      <c r="B43" t="s">
        <v>79</v>
      </c>
      <c r="C43" t="s">
        <v>218</v>
      </c>
      <c r="D43" t="s">
        <v>81</v>
      </c>
      <c r="E43" s="2" t="str">
        <f>HYPERLINK("capsilon://?command=openfolder&amp;siteaddress=FAM.docvelocity-na8.net&amp;folderid=FXF4661ADE-B721-82CE-FFEE-D015B1F06345","FX20124428")</f>
        <v>FX20124428</v>
      </c>
      <c r="F43" t="s">
        <v>19</v>
      </c>
      <c r="G43" t="s">
        <v>19</v>
      </c>
      <c r="H43" t="s">
        <v>82</v>
      </c>
      <c r="I43" t="s">
        <v>219</v>
      </c>
      <c r="J43">
        <v>66</v>
      </c>
      <c r="K43" t="s">
        <v>84</v>
      </c>
      <c r="L43" t="s">
        <v>85</v>
      </c>
      <c r="M43" t="s">
        <v>86</v>
      </c>
      <c r="N43">
        <v>1</v>
      </c>
      <c r="O43" s="1">
        <v>44225.467870370368</v>
      </c>
      <c r="P43" s="1">
        <v>44225.471550925926</v>
      </c>
      <c r="Q43">
        <v>293</v>
      </c>
      <c r="R43">
        <v>25</v>
      </c>
      <c r="S43" t="b">
        <v>0</v>
      </c>
      <c r="T43" t="s">
        <v>87</v>
      </c>
      <c r="U43" t="b">
        <v>0</v>
      </c>
      <c r="V43" t="s">
        <v>160</v>
      </c>
      <c r="W43" s="1">
        <v>44225.471550925926</v>
      </c>
      <c r="X43">
        <v>25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66</v>
      </c>
      <c r="AE43">
        <v>0</v>
      </c>
      <c r="AF43">
        <v>0</v>
      </c>
      <c r="AG43">
        <v>1</v>
      </c>
      <c r="AH43" t="s">
        <v>87</v>
      </c>
      <c r="AI43" t="s">
        <v>87</v>
      </c>
      <c r="AJ43" t="s">
        <v>87</v>
      </c>
      <c r="AK43" t="s">
        <v>87</v>
      </c>
      <c r="AL43" t="s">
        <v>87</v>
      </c>
      <c r="AM43" t="s">
        <v>87</v>
      </c>
      <c r="AN43" t="s">
        <v>87</v>
      </c>
      <c r="AO43" t="s">
        <v>87</v>
      </c>
      <c r="AP43" t="s">
        <v>87</v>
      </c>
      <c r="AQ43" t="s">
        <v>87</v>
      </c>
      <c r="AR43" t="s">
        <v>87</v>
      </c>
      <c r="AS43" t="s">
        <v>87</v>
      </c>
      <c r="AT43" t="s">
        <v>87</v>
      </c>
      <c r="AU43" t="s">
        <v>87</v>
      </c>
      <c r="AV43" t="s">
        <v>87</v>
      </c>
      <c r="AW43" t="s">
        <v>87</v>
      </c>
      <c r="AX43" t="s">
        <v>87</v>
      </c>
      <c r="AY43" t="s">
        <v>87</v>
      </c>
      <c r="AZ43" t="s">
        <v>87</v>
      </c>
      <c r="BA43" t="s">
        <v>87</v>
      </c>
      <c r="BB43" t="s">
        <v>87</v>
      </c>
      <c r="BC43" t="s">
        <v>87</v>
      </c>
      <c r="BD43" t="s">
        <v>87</v>
      </c>
      <c r="BE43" t="s">
        <v>87</v>
      </c>
    </row>
    <row r="44" spans="1:57" hidden="1" x14ac:dyDescent="0.45">
      <c r="A44" t="s">
        <v>220</v>
      </c>
      <c r="B44" t="s">
        <v>79</v>
      </c>
      <c r="C44" t="s">
        <v>221</v>
      </c>
      <c r="D44" t="s">
        <v>81</v>
      </c>
      <c r="E44" s="2" t="str">
        <f>HYPERLINK("capsilon://?command=openfolder&amp;siteaddress=FAM.docvelocity-na8.net&amp;folderid=FX82E967EB-A61C-FAFD-5E43-E6F1628B6390","FX20126944")</f>
        <v>FX20126944</v>
      </c>
      <c r="F44" t="s">
        <v>19</v>
      </c>
      <c r="G44" t="s">
        <v>19</v>
      </c>
      <c r="H44" t="s">
        <v>82</v>
      </c>
      <c r="I44" t="s">
        <v>222</v>
      </c>
      <c r="J44">
        <v>66</v>
      </c>
      <c r="K44" t="s">
        <v>84</v>
      </c>
      <c r="L44" t="s">
        <v>85</v>
      </c>
      <c r="M44" t="s">
        <v>86</v>
      </c>
      <c r="N44">
        <v>3</v>
      </c>
      <c r="O44" s="1">
        <v>44225.469398148147</v>
      </c>
      <c r="P44" s="1">
        <v>44225.501377314817</v>
      </c>
      <c r="Q44">
        <v>2657</v>
      </c>
      <c r="R44">
        <v>106</v>
      </c>
      <c r="S44" t="b">
        <v>0</v>
      </c>
      <c r="T44" t="s">
        <v>87</v>
      </c>
      <c r="U44" t="b">
        <v>0</v>
      </c>
      <c r="V44" t="s">
        <v>160</v>
      </c>
      <c r="W44" s="1">
        <v>44225.470462962963</v>
      </c>
      <c r="X44">
        <v>91</v>
      </c>
      <c r="Y44">
        <v>0</v>
      </c>
      <c r="Z44">
        <v>0</v>
      </c>
      <c r="AA44">
        <v>0</v>
      </c>
      <c r="AB44">
        <v>52</v>
      </c>
      <c r="AC44">
        <v>0</v>
      </c>
      <c r="AD44">
        <v>66</v>
      </c>
      <c r="AE44">
        <v>0</v>
      </c>
      <c r="AF44">
        <v>0</v>
      </c>
      <c r="AG44">
        <v>0</v>
      </c>
      <c r="AH44" t="s">
        <v>132</v>
      </c>
      <c r="AI44" s="1">
        <v>44225.47247685185</v>
      </c>
      <c r="AJ44">
        <v>12</v>
      </c>
      <c r="AK44">
        <v>0</v>
      </c>
      <c r="AL44">
        <v>0</v>
      </c>
      <c r="AM44">
        <v>0</v>
      </c>
      <c r="AN44">
        <v>52</v>
      </c>
      <c r="AO44">
        <v>0</v>
      </c>
      <c r="AP44">
        <v>66</v>
      </c>
      <c r="AQ44">
        <v>0</v>
      </c>
      <c r="AR44">
        <v>0</v>
      </c>
      <c r="AS44">
        <v>0</v>
      </c>
      <c r="AT44" t="s">
        <v>90</v>
      </c>
      <c r="AU44" s="1">
        <v>44225.501377314817</v>
      </c>
      <c r="AV44">
        <v>3</v>
      </c>
      <c r="AW44">
        <v>0</v>
      </c>
      <c r="AX44">
        <v>0</v>
      </c>
      <c r="AY44">
        <v>0</v>
      </c>
      <c r="AZ44">
        <v>52</v>
      </c>
      <c r="BA44">
        <v>0</v>
      </c>
      <c r="BB44">
        <v>66</v>
      </c>
      <c r="BC44">
        <v>0</v>
      </c>
      <c r="BD44">
        <v>0</v>
      </c>
      <c r="BE44">
        <v>0</v>
      </c>
    </row>
    <row r="45" spans="1:57" x14ac:dyDescent="0.45">
      <c r="A45" t="s">
        <v>223</v>
      </c>
      <c r="B45" t="s">
        <v>79</v>
      </c>
      <c r="C45" t="s">
        <v>224</v>
      </c>
      <c r="D45" t="s">
        <v>81</v>
      </c>
      <c r="E45" s="2" t="str">
        <f>HYPERLINK("capsilon://?command=openfolder&amp;siteaddress=FAM.docvelocity-na8.net&amp;folderid=FXC9D7A8B0-9DA1-211C-E2A3-89AADEE6223E","FX210119170")</f>
        <v>FX210119170</v>
      </c>
      <c r="F45" t="s">
        <v>19</v>
      </c>
      <c r="G45" t="s">
        <v>19</v>
      </c>
      <c r="H45" t="s">
        <v>82</v>
      </c>
      <c r="I45" t="s">
        <v>225</v>
      </c>
      <c r="J45">
        <v>137</v>
      </c>
      <c r="K45" t="s">
        <v>84</v>
      </c>
      <c r="L45" t="s">
        <v>85</v>
      </c>
      <c r="M45" t="s">
        <v>86</v>
      </c>
      <c r="N45">
        <v>3</v>
      </c>
      <c r="O45" s="1">
        <v>44225.470092592594</v>
      </c>
      <c r="P45" s="1">
        <v>44225.50172453704</v>
      </c>
      <c r="Q45">
        <v>707</v>
      </c>
      <c r="R45">
        <v>2026</v>
      </c>
      <c r="S45" t="b">
        <v>0</v>
      </c>
      <c r="T45" t="s">
        <v>87</v>
      </c>
      <c r="U45" t="b">
        <v>0</v>
      </c>
      <c r="V45" t="s">
        <v>168</v>
      </c>
      <c r="W45" s="1">
        <v>44225.489062499997</v>
      </c>
      <c r="X45">
        <v>1634</v>
      </c>
      <c r="Y45">
        <v>144</v>
      </c>
      <c r="Z45">
        <v>0</v>
      </c>
      <c r="AA45">
        <v>144</v>
      </c>
      <c r="AB45">
        <v>0</v>
      </c>
      <c r="AC45">
        <v>101</v>
      </c>
      <c r="AD45">
        <v>-7</v>
      </c>
      <c r="AE45">
        <v>0</v>
      </c>
      <c r="AF45">
        <v>0</v>
      </c>
      <c r="AG45">
        <v>0</v>
      </c>
      <c r="AH45" t="s">
        <v>132</v>
      </c>
      <c r="AI45" s="1">
        <v>44225.496157407404</v>
      </c>
      <c r="AJ45">
        <v>363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-7</v>
      </c>
      <c r="AQ45">
        <v>0</v>
      </c>
      <c r="AR45">
        <v>0</v>
      </c>
      <c r="AS45">
        <v>0</v>
      </c>
      <c r="AT45" t="s">
        <v>90</v>
      </c>
      <c r="AU45" s="1">
        <v>44225.50172453704</v>
      </c>
      <c r="AV45">
        <v>29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-7</v>
      </c>
      <c r="BC45">
        <v>0</v>
      </c>
      <c r="BD45">
        <v>0</v>
      </c>
      <c r="BE45">
        <v>0</v>
      </c>
    </row>
    <row r="46" spans="1:57" x14ac:dyDescent="0.45">
      <c r="A46" t="s">
        <v>226</v>
      </c>
      <c r="B46" t="s">
        <v>79</v>
      </c>
      <c r="C46" t="s">
        <v>218</v>
      </c>
      <c r="D46" t="s">
        <v>81</v>
      </c>
      <c r="E46" s="2" t="str">
        <f>HYPERLINK("capsilon://?command=openfolder&amp;siteaddress=FAM.docvelocity-na8.net&amp;folderid=FXF4661ADE-B721-82CE-FFEE-D015B1F06345","FX20124428")</f>
        <v>FX20124428</v>
      </c>
      <c r="F46" t="s">
        <v>19</v>
      </c>
      <c r="G46" t="s">
        <v>19</v>
      </c>
      <c r="H46" t="s">
        <v>82</v>
      </c>
      <c r="I46" t="s">
        <v>219</v>
      </c>
      <c r="J46">
        <v>38</v>
      </c>
      <c r="K46" t="s">
        <v>84</v>
      </c>
      <c r="L46" t="s">
        <v>85</v>
      </c>
      <c r="M46" t="s">
        <v>86</v>
      </c>
      <c r="N46">
        <v>3</v>
      </c>
      <c r="O46" s="1">
        <v>44225.471817129626</v>
      </c>
      <c r="P46" s="1">
        <v>44225.496134259258</v>
      </c>
      <c r="Q46">
        <v>1622</v>
      </c>
      <c r="R46">
        <v>479</v>
      </c>
      <c r="S46" t="b">
        <v>0</v>
      </c>
      <c r="T46" t="s">
        <v>87</v>
      </c>
      <c r="U46" t="b">
        <v>1</v>
      </c>
      <c r="V46" t="s">
        <v>160</v>
      </c>
      <c r="W46" s="1">
        <v>44225.475995370369</v>
      </c>
      <c r="X46">
        <v>361</v>
      </c>
      <c r="Y46">
        <v>37</v>
      </c>
      <c r="Z46">
        <v>0</v>
      </c>
      <c r="AA46">
        <v>37</v>
      </c>
      <c r="AB46">
        <v>0</v>
      </c>
      <c r="AC46">
        <v>35</v>
      </c>
      <c r="AD46">
        <v>1</v>
      </c>
      <c r="AE46">
        <v>0</v>
      </c>
      <c r="AF46">
        <v>0</v>
      </c>
      <c r="AG46">
        <v>0</v>
      </c>
      <c r="AH46" t="s">
        <v>128</v>
      </c>
      <c r="AI46" s="1">
        <v>44225.478194444448</v>
      </c>
      <c r="AJ46">
        <v>108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 t="s">
        <v>90</v>
      </c>
      <c r="AU46" s="1">
        <v>44225.496134259258</v>
      </c>
      <c r="AV46">
        <v>10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</row>
    <row r="47" spans="1:57" x14ac:dyDescent="0.45">
      <c r="A47" t="s">
        <v>227</v>
      </c>
      <c r="B47" t="s">
        <v>79</v>
      </c>
      <c r="C47" t="s">
        <v>228</v>
      </c>
      <c r="D47" t="s">
        <v>81</v>
      </c>
      <c r="E47" s="2" t="str">
        <f>HYPERLINK("capsilon://?command=openfolder&amp;siteaddress=FAM.docvelocity-na8.net&amp;folderid=FX5D451816-A0CA-C012-88FD-68C733393718","FX201227485")</f>
        <v>FX201227485</v>
      </c>
      <c r="F47" t="s">
        <v>19</v>
      </c>
      <c r="G47" t="s">
        <v>19</v>
      </c>
      <c r="H47" t="s">
        <v>82</v>
      </c>
      <c r="I47" t="s">
        <v>229</v>
      </c>
      <c r="J47">
        <v>113</v>
      </c>
      <c r="K47" t="s">
        <v>84</v>
      </c>
      <c r="L47" t="s">
        <v>85</v>
      </c>
      <c r="M47" t="s">
        <v>86</v>
      </c>
      <c r="N47">
        <v>3</v>
      </c>
      <c r="O47" s="1">
        <v>44225.472951388889</v>
      </c>
      <c r="P47" s="1">
        <v>44225.526053240741</v>
      </c>
      <c r="Q47">
        <v>116</v>
      </c>
      <c r="R47">
        <v>4472</v>
      </c>
      <c r="S47" t="b">
        <v>0</v>
      </c>
      <c r="T47" t="s">
        <v>87</v>
      </c>
      <c r="U47" t="b">
        <v>0</v>
      </c>
      <c r="V47" t="s">
        <v>146</v>
      </c>
      <c r="W47" s="1">
        <v>44225.498148148145</v>
      </c>
      <c r="X47">
        <v>2176</v>
      </c>
      <c r="Y47">
        <v>119</v>
      </c>
      <c r="Z47">
        <v>0</v>
      </c>
      <c r="AA47">
        <v>119</v>
      </c>
      <c r="AB47">
        <v>0</v>
      </c>
      <c r="AC47">
        <v>63</v>
      </c>
      <c r="AD47">
        <v>-6</v>
      </c>
      <c r="AE47">
        <v>0</v>
      </c>
      <c r="AF47">
        <v>0</v>
      </c>
      <c r="AG47">
        <v>0</v>
      </c>
      <c r="AH47" t="s">
        <v>89</v>
      </c>
      <c r="AI47" s="1">
        <v>44225.525567129633</v>
      </c>
      <c r="AJ47">
        <v>2259</v>
      </c>
      <c r="AK47">
        <v>3</v>
      </c>
      <c r="AL47">
        <v>0</v>
      </c>
      <c r="AM47">
        <v>3</v>
      </c>
      <c r="AN47">
        <v>0</v>
      </c>
      <c r="AO47">
        <v>2</v>
      </c>
      <c r="AP47">
        <v>-9</v>
      </c>
      <c r="AQ47">
        <v>0</v>
      </c>
      <c r="AR47">
        <v>0</v>
      </c>
      <c r="AS47">
        <v>0</v>
      </c>
      <c r="AT47" t="s">
        <v>90</v>
      </c>
      <c r="AU47" s="1">
        <v>44225.526053240741</v>
      </c>
      <c r="AV47">
        <v>37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-9</v>
      </c>
      <c r="BC47">
        <v>0</v>
      </c>
      <c r="BD47">
        <v>0</v>
      </c>
      <c r="BE47">
        <v>0</v>
      </c>
    </row>
    <row r="48" spans="1:57" hidden="1" x14ac:dyDescent="0.45">
      <c r="A48" t="s">
        <v>230</v>
      </c>
      <c r="B48" t="s">
        <v>79</v>
      </c>
      <c r="C48" t="s">
        <v>231</v>
      </c>
      <c r="D48" t="s">
        <v>81</v>
      </c>
      <c r="E48" s="2" t="str">
        <f>HYPERLINK("capsilon://?command=openfolder&amp;siteaddress=FAM.docvelocity-na8.net&amp;folderid=FXE5C46432-82AF-4B8B-37FA-2D72242E23D1","FX201222948")</f>
        <v>FX201222948</v>
      </c>
      <c r="F48" t="s">
        <v>19</v>
      </c>
      <c r="G48" t="s">
        <v>19</v>
      </c>
      <c r="H48" t="s">
        <v>82</v>
      </c>
      <c r="I48" t="s">
        <v>232</v>
      </c>
      <c r="J48">
        <v>66</v>
      </c>
      <c r="K48" t="s">
        <v>84</v>
      </c>
      <c r="L48" t="s">
        <v>85</v>
      </c>
      <c r="M48" t="s">
        <v>86</v>
      </c>
      <c r="N48">
        <v>3</v>
      </c>
      <c r="O48" s="1">
        <v>44225.473055555558</v>
      </c>
      <c r="P48" s="1">
        <v>44225.501759259256</v>
      </c>
      <c r="Q48">
        <v>2364</v>
      </c>
      <c r="R48">
        <v>116</v>
      </c>
      <c r="S48" t="b">
        <v>0</v>
      </c>
      <c r="T48" t="s">
        <v>87</v>
      </c>
      <c r="U48" t="b">
        <v>0</v>
      </c>
      <c r="V48" t="s">
        <v>98</v>
      </c>
      <c r="W48" s="1">
        <v>44225.474259259259</v>
      </c>
      <c r="X48">
        <v>103</v>
      </c>
      <c r="Y48">
        <v>0</v>
      </c>
      <c r="Z48">
        <v>0</v>
      </c>
      <c r="AA48">
        <v>0</v>
      </c>
      <c r="AB48">
        <v>52</v>
      </c>
      <c r="AC48">
        <v>0</v>
      </c>
      <c r="AD48">
        <v>66</v>
      </c>
      <c r="AE48">
        <v>0</v>
      </c>
      <c r="AF48">
        <v>0</v>
      </c>
      <c r="AG48">
        <v>0</v>
      </c>
      <c r="AH48" t="s">
        <v>132</v>
      </c>
      <c r="AI48" s="1">
        <v>44225.474641203706</v>
      </c>
      <c r="AJ48">
        <v>10</v>
      </c>
      <c r="AK48">
        <v>0</v>
      </c>
      <c r="AL48">
        <v>0</v>
      </c>
      <c r="AM48">
        <v>0</v>
      </c>
      <c r="AN48">
        <v>52</v>
      </c>
      <c r="AO48">
        <v>0</v>
      </c>
      <c r="AP48">
        <v>66</v>
      </c>
      <c r="AQ48">
        <v>0</v>
      </c>
      <c r="AR48">
        <v>0</v>
      </c>
      <c r="AS48">
        <v>0</v>
      </c>
      <c r="AT48" t="s">
        <v>90</v>
      </c>
      <c r="AU48" s="1">
        <v>44225.501759259256</v>
      </c>
      <c r="AV48">
        <v>3</v>
      </c>
      <c r="AW48">
        <v>0</v>
      </c>
      <c r="AX48">
        <v>0</v>
      </c>
      <c r="AY48">
        <v>0</v>
      </c>
      <c r="AZ48">
        <v>52</v>
      </c>
      <c r="BA48">
        <v>0</v>
      </c>
      <c r="BB48">
        <v>66</v>
      </c>
      <c r="BC48">
        <v>0</v>
      </c>
      <c r="BD48">
        <v>0</v>
      </c>
      <c r="BE48">
        <v>0</v>
      </c>
    </row>
    <row r="49" spans="1:57" x14ac:dyDescent="0.45">
      <c r="A49" t="s">
        <v>233</v>
      </c>
      <c r="B49" t="s">
        <v>79</v>
      </c>
      <c r="C49" t="s">
        <v>234</v>
      </c>
      <c r="D49" t="s">
        <v>81</v>
      </c>
      <c r="E49" s="2" t="str">
        <f>HYPERLINK("capsilon://?command=openfolder&amp;siteaddress=FAM.docvelocity-na8.net&amp;folderid=FX2E7088B4-4057-6101-8001-D67BE3E5CBE1","FX210118374")</f>
        <v>FX210118374</v>
      </c>
      <c r="F49" t="s">
        <v>19</v>
      </c>
      <c r="G49" t="s">
        <v>19</v>
      </c>
      <c r="H49" t="s">
        <v>82</v>
      </c>
      <c r="I49" t="s">
        <v>235</v>
      </c>
      <c r="J49">
        <v>100</v>
      </c>
      <c r="K49" t="s">
        <v>84</v>
      </c>
      <c r="L49" t="s">
        <v>85</v>
      </c>
      <c r="M49" t="s">
        <v>86</v>
      </c>
      <c r="N49">
        <v>3</v>
      </c>
      <c r="O49" s="1">
        <v>44225.47792824074</v>
      </c>
      <c r="P49" s="1">
        <v>44225.546284722222</v>
      </c>
      <c r="Q49">
        <v>1372</v>
      </c>
      <c r="R49">
        <v>4534</v>
      </c>
      <c r="S49" t="b">
        <v>0</v>
      </c>
      <c r="T49" t="s">
        <v>87</v>
      </c>
      <c r="U49" t="b">
        <v>0</v>
      </c>
      <c r="V49" t="s">
        <v>98</v>
      </c>
      <c r="W49" s="1">
        <v>44225.525717592594</v>
      </c>
      <c r="X49">
        <v>4128</v>
      </c>
      <c r="Y49">
        <v>144</v>
      </c>
      <c r="Z49">
        <v>0</v>
      </c>
      <c r="AA49">
        <v>144</v>
      </c>
      <c r="AB49">
        <v>0</v>
      </c>
      <c r="AC49">
        <v>91</v>
      </c>
      <c r="AD49">
        <v>-44</v>
      </c>
      <c r="AE49">
        <v>0</v>
      </c>
      <c r="AF49">
        <v>0</v>
      </c>
      <c r="AG49">
        <v>0</v>
      </c>
      <c r="AH49" t="s">
        <v>128</v>
      </c>
      <c r="AI49" s="1">
        <v>44225.533020833333</v>
      </c>
      <c r="AJ49">
        <v>376</v>
      </c>
      <c r="AK49">
        <v>1</v>
      </c>
      <c r="AL49">
        <v>0</v>
      </c>
      <c r="AM49">
        <v>1</v>
      </c>
      <c r="AN49">
        <v>0</v>
      </c>
      <c r="AO49">
        <v>1</v>
      </c>
      <c r="AP49">
        <v>-45</v>
      </c>
      <c r="AQ49">
        <v>0</v>
      </c>
      <c r="AR49">
        <v>0</v>
      </c>
      <c r="AS49">
        <v>0</v>
      </c>
      <c r="AT49" t="s">
        <v>90</v>
      </c>
      <c r="AU49" s="1">
        <v>44225.546284722222</v>
      </c>
      <c r="AV49">
        <v>30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-45</v>
      </c>
      <c r="BC49">
        <v>0</v>
      </c>
      <c r="BD49">
        <v>0</v>
      </c>
      <c r="BE49">
        <v>0</v>
      </c>
    </row>
    <row r="50" spans="1:57" x14ac:dyDescent="0.45">
      <c r="A50" t="s">
        <v>236</v>
      </c>
      <c r="B50" t="s">
        <v>79</v>
      </c>
      <c r="C50" t="s">
        <v>237</v>
      </c>
      <c r="D50" t="s">
        <v>81</v>
      </c>
      <c r="E50" s="2" t="str">
        <f>HYPERLINK("capsilon://?command=openfolder&amp;siteaddress=FAM.docvelocity-na8.net&amp;folderid=FX77FE708E-F5BC-62CF-9850-6EA68E72E9E1","FX201113642")</f>
        <v>FX201113642</v>
      </c>
      <c r="F50" t="s">
        <v>19</v>
      </c>
      <c r="G50" t="s">
        <v>19</v>
      </c>
      <c r="H50" t="s">
        <v>82</v>
      </c>
      <c r="I50" t="s">
        <v>238</v>
      </c>
      <c r="J50">
        <v>66</v>
      </c>
      <c r="K50" t="s">
        <v>84</v>
      </c>
      <c r="L50" t="s">
        <v>85</v>
      </c>
      <c r="M50" t="s">
        <v>86</v>
      </c>
      <c r="N50">
        <v>3</v>
      </c>
      <c r="O50" s="1">
        <v>44225.480844907404</v>
      </c>
      <c r="P50" s="1">
        <v>44225.501793981479</v>
      </c>
      <c r="Q50">
        <v>1733</v>
      </c>
      <c r="R50">
        <v>77</v>
      </c>
      <c r="S50" t="b">
        <v>0</v>
      </c>
      <c r="T50" t="s">
        <v>87</v>
      </c>
      <c r="U50" t="b">
        <v>0</v>
      </c>
      <c r="V50" t="s">
        <v>160</v>
      </c>
      <c r="W50" s="1">
        <v>44225.481562499997</v>
      </c>
      <c r="X50">
        <v>61</v>
      </c>
      <c r="Y50">
        <v>38</v>
      </c>
      <c r="Z50">
        <v>0</v>
      </c>
      <c r="AA50">
        <v>38</v>
      </c>
      <c r="AB50">
        <v>52</v>
      </c>
      <c r="AC50">
        <v>0</v>
      </c>
      <c r="AD50">
        <v>28</v>
      </c>
      <c r="AE50">
        <v>0</v>
      </c>
      <c r="AF50">
        <v>0</v>
      </c>
      <c r="AG50">
        <v>0</v>
      </c>
      <c r="AH50" t="s">
        <v>132</v>
      </c>
      <c r="AI50" s="1">
        <v>44225.481990740744</v>
      </c>
      <c r="AJ50">
        <v>14</v>
      </c>
      <c r="AK50">
        <v>0</v>
      </c>
      <c r="AL50">
        <v>0</v>
      </c>
      <c r="AM50">
        <v>0</v>
      </c>
      <c r="AN50">
        <v>52</v>
      </c>
      <c r="AO50">
        <v>0</v>
      </c>
      <c r="AP50">
        <v>28</v>
      </c>
      <c r="AQ50">
        <v>0</v>
      </c>
      <c r="AR50">
        <v>0</v>
      </c>
      <c r="AS50">
        <v>0</v>
      </c>
      <c r="AT50" t="s">
        <v>90</v>
      </c>
      <c r="AU50" s="1">
        <v>44225.501793981479</v>
      </c>
      <c r="AV50">
        <v>2</v>
      </c>
      <c r="AW50">
        <v>0</v>
      </c>
      <c r="AX50">
        <v>0</v>
      </c>
      <c r="AY50">
        <v>0</v>
      </c>
      <c r="AZ50">
        <v>52</v>
      </c>
      <c r="BA50">
        <v>0</v>
      </c>
      <c r="BB50">
        <v>28</v>
      </c>
      <c r="BC50">
        <v>0</v>
      </c>
      <c r="BD50">
        <v>0</v>
      </c>
      <c r="BE50">
        <v>0</v>
      </c>
    </row>
    <row r="51" spans="1:57" x14ac:dyDescent="0.45">
      <c r="A51" t="s">
        <v>239</v>
      </c>
      <c r="B51" t="s">
        <v>79</v>
      </c>
      <c r="C51" t="s">
        <v>240</v>
      </c>
      <c r="D51" t="s">
        <v>81</v>
      </c>
      <c r="E51" s="2" t="str">
        <f>HYPERLINK("capsilon://?command=openfolder&amp;siteaddress=FAM.docvelocity-na8.net&amp;folderid=FX34768451-A8B2-1F34-7388-CC3EA1351C40","FX201229197")</f>
        <v>FX201229197</v>
      </c>
      <c r="F51" t="s">
        <v>19</v>
      </c>
      <c r="G51" t="s">
        <v>19</v>
      </c>
      <c r="H51" t="s">
        <v>82</v>
      </c>
      <c r="I51" t="s">
        <v>241</v>
      </c>
      <c r="J51">
        <v>76</v>
      </c>
      <c r="K51" t="s">
        <v>84</v>
      </c>
      <c r="L51" t="s">
        <v>85</v>
      </c>
      <c r="M51" t="s">
        <v>86</v>
      </c>
      <c r="N51">
        <v>3</v>
      </c>
      <c r="O51" s="1">
        <v>44225.483518518522</v>
      </c>
      <c r="P51" s="1">
        <v>44225.548009259262</v>
      </c>
      <c r="Q51">
        <v>667</v>
      </c>
      <c r="R51">
        <v>4905</v>
      </c>
      <c r="S51" t="b">
        <v>0</v>
      </c>
      <c r="T51" t="s">
        <v>87</v>
      </c>
      <c r="U51" t="b">
        <v>0</v>
      </c>
      <c r="V51" t="s">
        <v>242</v>
      </c>
      <c r="W51" s="1">
        <v>44225.538159722222</v>
      </c>
      <c r="X51">
        <v>4716</v>
      </c>
      <c r="Y51">
        <v>74</v>
      </c>
      <c r="Z51">
        <v>0</v>
      </c>
      <c r="AA51">
        <v>74</v>
      </c>
      <c r="AB51">
        <v>0</v>
      </c>
      <c r="AC51">
        <v>68</v>
      </c>
      <c r="AD51">
        <v>2</v>
      </c>
      <c r="AE51">
        <v>0</v>
      </c>
      <c r="AF51">
        <v>0</v>
      </c>
      <c r="AG51">
        <v>0</v>
      </c>
      <c r="AH51" t="s">
        <v>128</v>
      </c>
      <c r="AI51" s="1">
        <v>44225.542291666665</v>
      </c>
      <c r="AJ51">
        <v>182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2</v>
      </c>
      <c r="AQ51">
        <v>0</v>
      </c>
      <c r="AR51">
        <v>0</v>
      </c>
      <c r="AS51">
        <v>0</v>
      </c>
      <c r="AT51" t="s">
        <v>90</v>
      </c>
      <c r="AU51" s="1">
        <v>44225.548009259262</v>
      </c>
      <c r="AV51">
        <v>7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2</v>
      </c>
      <c r="BC51">
        <v>0</v>
      </c>
      <c r="BD51">
        <v>0</v>
      </c>
      <c r="BE51">
        <v>0</v>
      </c>
    </row>
    <row r="52" spans="1:57" x14ac:dyDescent="0.45">
      <c r="A52" t="s">
        <v>243</v>
      </c>
      <c r="B52" t="s">
        <v>79</v>
      </c>
      <c r="C52" t="s">
        <v>244</v>
      </c>
      <c r="D52" t="s">
        <v>81</v>
      </c>
      <c r="E52" s="2" t="str">
        <f>HYPERLINK("capsilon://?command=openfolder&amp;siteaddress=FAM.docvelocity-na8.net&amp;folderid=FX7B68B37A-E02E-7AAE-122B-F7D91F11608C","FX20126422")</f>
        <v>FX20126422</v>
      </c>
      <c r="F52" t="s">
        <v>19</v>
      </c>
      <c r="G52" t="s">
        <v>19</v>
      </c>
      <c r="H52" t="s">
        <v>82</v>
      </c>
      <c r="I52" t="s">
        <v>245</v>
      </c>
      <c r="J52">
        <v>66</v>
      </c>
      <c r="K52" t="s">
        <v>84</v>
      </c>
      <c r="L52" t="s">
        <v>85</v>
      </c>
      <c r="M52" t="s">
        <v>86</v>
      </c>
      <c r="N52">
        <v>3</v>
      </c>
      <c r="O52" s="1">
        <v>44225.490231481483</v>
      </c>
      <c r="P52" s="1">
        <v>44225.501828703702</v>
      </c>
      <c r="Q52">
        <v>868</v>
      </c>
      <c r="R52">
        <v>134</v>
      </c>
      <c r="S52" t="b">
        <v>0</v>
      </c>
      <c r="T52" t="s">
        <v>87</v>
      </c>
      <c r="U52" t="b">
        <v>0</v>
      </c>
      <c r="V52" t="s">
        <v>171</v>
      </c>
      <c r="W52" s="1">
        <v>44225.491481481484</v>
      </c>
      <c r="X52">
        <v>107</v>
      </c>
      <c r="Y52">
        <v>40</v>
      </c>
      <c r="Z52">
        <v>0</v>
      </c>
      <c r="AA52">
        <v>40</v>
      </c>
      <c r="AB52">
        <v>52</v>
      </c>
      <c r="AC52">
        <v>0</v>
      </c>
      <c r="AD52">
        <v>26</v>
      </c>
      <c r="AE52">
        <v>0</v>
      </c>
      <c r="AF52">
        <v>0</v>
      </c>
      <c r="AG52">
        <v>0</v>
      </c>
      <c r="AH52" t="s">
        <v>94</v>
      </c>
      <c r="AI52" s="1">
        <v>44225.492337962962</v>
      </c>
      <c r="AJ52">
        <v>24</v>
      </c>
      <c r="AK52">
        <v>0</v>
      </c>
      <c r="AL52">
        <v>0</v>
      </c>
      <c r="AM52">
        <v>0</v>
      </c>
      <c r="AN52">
        <v>52</v>
      </c>
      <c r="AO52">
        <v>0</v>
      </c>
      <c r="AP52">
        <v>26</v>
      </c>
      <c r="AQ52">
        <v>0</v>
      </c>
      <c r="AR52">
        <v>0</v>
      </c>
      <c r="AS52">
        <v>0</v>
      </c>
      <c r="AT52" t="s">
        <v>90</v>
      </c>
      <c r="AU52" s="1">
        <v>44225.501828703702</v>
      </c>
      <c r="AV52">
        <v>3</v>
      </c>
      <c r="AW52">
        <v>0</v>
      </c>
      <c r="AX52">
        <v>0</v>
      </c>
      <c r="AY52">
        <v>0</v>
      </c>
      <c r="AZ52">
        <v>52</v>
      </c>
      <c r="BA52">
        <v>0</v>
      </c>
      <c r="BB52">
        <v>26</v>
      </c>
      <c r="BC52">
        <v>0</v>
      </c>
      <c r="BD52">
        <v>0</v>
      </c>
      <c r="BE52">
        <v>0</v>
      </c>
    </row>
    <row r="53" spans="1:57" hidden="1" x14ac:dyDescent="0.45">
      <c r="A53" t="s">
        <v>246</v>
      </c>
      <c r="B53" t="s">
        <v>79</v>
      </c>
      <c r="C53" t="s">
        <v>247</v>
      </c>
      <c r="D53" t="s">
        <v>81</v>
      </c>
      <c r="E53" s="2" t="str">
        <f>HYPERLINK("capsilon://?command=openfolder&amp;siteaddress=FAM.docvelocity-na8.net&amp;folderid=FX7A9BBBDB-CEB6-8284-2B0A-47A65583CAFA","FX20126965")</f>
        <v>FX20126965</v>
      </c>
      <c r="F53" t="s">
        <v>19</v>
      </c>
      <c r="G53" t="s">
        <v>19</v>
      </c>
      <c r="H53" t="s">
        <v>82</v>
      </c>
      <c r="I53" t="s">
        <v>248</v>
      </c>
      <c r="J53">
        <v>66</v>
      </c>
      <c r="K53" t="s">
        <v>84</v>
      </c>
      <c r="L53" t="s">
        <v>85</v>
      </c>
      <c r="M53" t="s">
        <v>86</v>
      </c>
      <c r="N53">
        <v>3</v>
      </c>
      <c r="O53" s="1">
        <v>44225.491180555553</v>
      </c>
      <c r="P53" s="1">
        <v>44225.501875000002</v>
      </c>
      <c r="Q53">
        <v>753</v>
      </c>
      <c r="R53">
        <v>171</v>
      </c>
      <c r="S53" t="b">
        <v>0</v>
      </c>
      <c r="T53" t="s">
        <v>87</v>
      </c>
      <c r="U53" t="b">
        <v>0</v>
      </c>
      <c r="V53" t="s">
        <v>105</v>
      </c>
      <c r="W53" s="1">
        <v>44225.493148148147</v>
      </c>
      <c r="X53">
        <v>119</v>
      </c>
      <c r="Y53">
        <v>0</v>
      </c>
      <c r="Z53">
        <v>0</v>
      </c>
      <c r="AA53">
        <v>0</v>
      </c>
      <c r="AB53">
        <v>52</v>
      </c>
      <c r="AC53">
        <v>0</v>
      </c>
      <c r="AD53">
        <v>66</v>
      </c>
      <c r="AE53">
        <v>0</v>
      </c>
      <c r="AF53">
        <v>0</v>
      </c>
      <c r="AG53">
        <v>0</v>
      </c>
      <c r="AH53" t="s">
        <v>128</v>
      </c>
      <c r="AI53" s="1">
        <v>44225.495358796295</v>
      </c>
      <c r="AJ53">
        <v>14</v>
      </c>
      <c r="AK53">
        <v>0</v>
      </c>
      <c r="AL53">
        <v>0</v>
      </c>
      <c r="AM53">
        <v>0</v>
      </c>
      <c r="AN53">
        <v>52</v>
      </c>
      <c r="AO53">
        <v>0</v>
      </c>
      <c r="AP53">
        <v>66</v>
      </c>
      <c r="AQ53">
        <v>0</v>
      </c>
      <c r="AR53">
        <v>0</v>
      </c>
      <c r="AS53">
        <v>0</v>
      </c>
      <c r="AT53" t="s">
        <v>90</v>
      </c>
      <c r="AU53" s="1">
        <v>44225.501875000002</v>
      </c>
      <c r="AV53">
        <v>3</v>
      </c>
      <c r="AW53">
        <v>0</v>
      </c>
      <c r="AX53">
        <v>0</v>
      </c>
      <c r="AY53">
        <v>0</v>
      </c>
      <c r="AZ53">
        <v>52</v>
      </c>
      <c r="BA53">
        <v>0</v>
      </c>
      <c r="BB53">
        <v>66</v>
      </c>
      <c r="BC53">
        <v>0</v>
      </c>
      <c r="BD53">
        <v>0</v>
      </c>
      <c r="BE53">
        <v>0</v>
      </c>
    </row>
    <row r="54" spans="1:57" x14ac:dyDescent="0.45">
      <c r="A54" t="s">
        <v>249</v>
      </c>
      <c r="B54" t="s">
        <v>79</v>
      </c>
      <c r="C54" t="s">
        <v>250</v>
      </c>
      <c r="D54" t="s">
        <v>81</v>
      </c>
      <c r="E54" s="2" t="str">
        <f>HYPERLINK("capsilon://?command=openfolder&amp;siteaddress=FAM.docvelocity-na8.net&amp;folderid=FX2C9C0388-1124-3BAB-D819-B328AB9A05D4","FX20126895")</f>
        <v>FX20126895</v>
      </c>
      <c r="F54" t="s">
        <v>19</v>
      </c>
      <c r="G54" t="s">
        <v>19</v>
      </c>
      <c r="H54" t="s">
        <v>82</v>
      </c>
      <c r="I54" t="s">
        <v>251</v>
      </c>
      <c r="J54">
        <v>74</v>
      </c>
      <c r="K54" t="s">
        <v>84</v>
      </c>
      <c r="L54" t="s">
        <v>85</v>
      </c>
      <c r="M54" t="s">
        <v>86</v>
      </c>
      <c r="N54">
        <v>3</v>
      </c>
      <c r="O54" s="1">
        <v>44225.493194444447</v>
      </c>
      <c r="P54" s="1">
        <v>44225.525625000002</v>
      </c>
      <c r="Q54">
        <v>632</v>
      </c>
      <c r="R54">
        <v>2170</v>
      </c>
      <c r="S54" t="b">
        <v>0</v>
      </c>
      <c r="T54" t="s">
        <v>87</v>
      </c>
      <c r="U54" t="b">
        <v>0</v>
      </c>
      <c r="V54" t="s">
        <v>171</v>
      </c>
      <c r="W54" s="1">
        <v>44225.515416666669</v>
      </c>
      <c r="X54">
        <v>1919</v>
      </c>
      <c r="Y54">
        <v>71</v>
      </c>
      <c r="Z54">
        <v>0</v>
      </c>
      <c r="AA54">
        <v>71</v>
      </c>
      <c r="AB54">
        <v>0</v>
      </c>
      <c r="AC54">
        <v>27</v>
      </c>
      <c r="AD54">
        <v>3</v>
      </c>
      <c r="AE54">
        <v>0</v>
      </c>
      <c r="AF54">
        <v>0</v>
      </c>
      <c r="AG54">
        <v>0</v>
      </c>
      <c r="AH54" t="s">
        <v>132</v>
      </c>
      <c r="AI54" s="1">
        <v>44225.523819444446</v>
      </c>
      <c r="AJ54">
        <v>152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3</v>
      </c>
      <c r="AQ54">
        <v>0</v>
      </c>
      <c r="AR54">
        <v>0</v>
      </c>
      <c r="AS54">
        <v>0</v>
      </c>
      <c r="AT54" t="s">
        <v>90</v>
      </c>
      <c r="AU54" s="1">
        <v>44225.525625000002</v>
      </c>
      <c r="AV54">
        <v>32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3</v>
      </c>
      <c r="BC54">
        <v>0</v>
      </c>
      <c r="BD54">
        <v>0</v>
      </c>
      <c r="BE54">
        <v>0</v>
      </c>
    </row>
    <row r="55" spans="1:57" x14ac:dyDescent="0.45">
      <c r="A55" t="s">
        <v>252</v>
      </c>
      <c r="B55" t="s">
        <v>79</v>
      </c>
      <c r="C55" t="s">
        <v>253</v>
      </c>
      <c r="D55" t="s">
        <v>81</v>
      </c>
      <c r="E55" s="2" t="str">
        <f>HYPERLINK("capsilon://?command=openfolder&amp;siteaddress=FAM.docvelocity-na8.net&amp;folderid=FXE3B3A21A-78D5-14EE-2F6A-8CC9BE6AB349","FX201114524")</f>
        <v>FX201114524</v>
      </c>
      <c r="F55" t="s">
        <v>19</v>
      </c>
      <c r="G55" t="s">
        <v>19</v>
      </c>
      <c r="H55" t="s">
        <v>82</v>
      </c>
      <c r="I55" t="s">
        <v>254</v>
      </c>
      <c r="J55">
        <v>53</v>
      </c>
      <c r="K55" t="s">
        <v>84</v>
      </c>
      <c r="L55" t="s">
        <v>85</v>
      </c>
      <c r="M55" t="s">
        <v>86</v>
      </c>
      <c r="N55">
        <v>3</v>
      </c>
      <c r="O55" s="1">
        <v>44225.499166666668</v>
      </c>
      <c r="P55" s="1">
        <v>44225.526226851849</v>
      </c>
      <c r="Q55">
        <v>1979</v>
      </c>
      <c r="R55">
        <v>359</v>
      </c>
      <c r="S55" t="b">
        <v>0</v>
      </c>
      <c r="T55" t="s">
        <v>87</v>
      </c>
      <c r="U55" t="b">
        <v>0</v>
      </c>
      <c r="V55" t="s">
        <v>255</v>
      </c>
      <c r="W55" s="1">
        <v>44225.501747685186</v>
      </c>
      <c r="X55">
        <v>217</v>
      </c>
      <c r="Y55">
        <v>49</v>
      </c>
      <c r="Z55">
        <v>0</v>
      </c>
      <c r="AA55">
        <v>49</v>
      </c>
      <c r="AB55">
        <v>0</v>
      </c>
      <c r="AC55">
        <v>11</v>
      </c>
      <c r="AD55">
        <v>4</v>
      </c>
      <c r="AE55">
        <v>0</v>
      </c>
      <c r="AF55">
        <v>0</v>
      </c>
      <c r="AG55">
        <v>0</v>
      </c>
      <c r="AH55" t="s">
        <v>128</v>
      </c>
      <c r="AI55" s="1">
        <v>44225.504733796297</v>
      </c>
      <c r="AJ55">
        <v>127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</v>
      </c>
      <c r="AQ55">
        <v>0</v>
      </c>
      <c r="AR55">
        <v>0</v>
      </c>
      <c r="AS55">
        <v>0</v>
      </c>
      <c r="AT55" t="s">
        <v>90</v>
      </c>
      <c r="AU55" s="1">
        <v>44225.526226851849</v>
      </c>
      <c r="AV55">
        <v>15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4</v>
      </c>
      <c r="BC55">
        <v>0</v>
      </c>
      <c r="BD55">
        <v>0</v>
      </c>
      <c r="BE55">
        <v>0</v>
      </c>
    </row>
    <row r="56" spans="1:57" x14ac:dyDescent="0.45">
      <c r="A56" t="s">
        <v>256</v>
      </c>
      <c r="B56" t="s">
        <v>79</v>
      </c>
      <c r="C56" t="s">
        <v>257</v>
      </c>
      <c r="D56" t="s">
        <v>81</v>
      </c>
      <c r="E56" s="2" t="str">
        <f>HYPERLINK("capsilon://?command=openfolder&amp;siteaddress=FAM.docvelocity-na8.net&amp;folderid=FXF4BA127C-759C-89E4-DB3B-623B2424AF25","FX210114659")</f>
        <v>FX210114659</v>
      </c>
      <c r="F56" t="s">
        <v>19</v>
      </c>
      <c r="G56" t="s">
        <v>19</v>
      </c>
      <c r="H56" t="s">
        <v>82</v>
      </c>
      <c r="I56" t="s">
        <v>258</v>
      </c>
      <c r="J56">
        <v>222</v>
      </c>
      <c r="K56" t="s">
        <v>84</v>
      </c>
      <c r="L56" t="s">
        <v>85</v>
      </c>
      <c r="M56" t="s">
        <v>86</v>
      </c>
      <c r="N56">
        <v>3</v>
      </c>
      <c r="O56" s="1">
        <v>44225.499537037038</v>
      </c>
      <c r="P56" s="1">
        <v>44225.526921296296</v>
      </c>
      <c r="Q56">
        <v>533</v>
      </c>
      <c r="R56">
        <v>1833</v>
      </c>
      <c r="S56" t="b">
        <v>0</v>
      </c>
      <c r="T56" t="s">
        <v>87</v>
      </c>
      <c r="U56" t="b">
        <v>0</v>
      </c>
      <c r="V56" t="s">
        <v>259</v>
      </c>
      <c r="W56" s="1">
        <v>44225.514085648145</v>
      </c>
      <c r="X56">
        <v>1222</v>
      </c>
      <c r="Y56">
        <v>209</v>
      </c>
      <c r="Z56">
        <v>0</v>
      </c>
      <c r="AA56">
        <v>209</v>
      </c>
      <c r="AB56">
        <v>0</v>
      </c>
      <c r="AC56">
        <v>84</v>
      </c>
      <c r="AD56">
        <v>13</v>
      </c>
      <c r="AE56">
        <v>0</v>
      </c>
      <c r="AF56">
        <v>0</v>
      </c>
      <c r="AG56">
        <v>0</v>
      </c>
      <c r="AH56" t="s">
        <v>132</v>
      </c>
      <c r="AI56" s="1">
        <v>44225.522048611114</v>
      </c>
      <c r="AJ56">
        <v>552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13</v>
      </c>
      <c r="AQ56">
        <v>0</v>
      </c>
      <c r="AR56">
        <v>0</v>
      </c>
      <c r="AS56">
        <v>0</v>
      </c>
      <c r="AT56" t="s">
        <v>90</v>
      </c>
      <c r="AU56" s="1">
        <v>44225.526921296296</v>
      </c>
      <c r="AV56">
        <v>59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13</v>
      </c>
      <c r="BC56">
        <v>0</v>
      </c>
      <c r="BD56">
        <v>0</v>
      </c>
      <c r="BE56">
        <v>0</v>
      </c>
    </row>
    <row r="57" spans="1:57" x14ac:dyDescent="0.45">
      <c r="A57" t="s">
        <v>260</v>
      </c>
      <c r="B57" t="s">
        <v>79</v>
      </c>
      <c r="C57" t="s">
        <v>253</v>
      </c>
      <c r="D57" t="s">
        <v>81</v>
      </c>
      <c r="E57" s="2" t="str">
        <f>HYPERLINK("capsilon://?command=openfolder&amp;siteaddress=FAM.docvelocity-na8.net&amp;folderid=FXE3B3A21A-78D5-14EE-2F6A-8CC9BE6AB349","FX201114524")</f>
        <v>FX201114524</v>
      </c>
      <c r="F57" t="s">
        <v>19</v>
      </c>
      <c r="G57" t="s">
        <v>19</v>
      </c>
      <c r="H57" t="s">
        <v>82</v>
      </c>
      <c r="I57" t="s">
        <v>261</v>
      </c>
      <c r="J57">
        <v>48</v>
      </c>
      <c r="K57" t="s">
        <v>84</v>
      </c>
      <c r="L57" t="s">
        <v>85</v>
      </c>
      <c r="M57" t="s">
        <v>86</v>
      </c>
      <c r="N57">
        <v>3</v>
      </c>
      <c r="O57" s="1">
        <v>44225.500254629631</v>
      </c>
      <c r="P57" s="1">
        <v>44225.527175925927</v>
      </c>
      <c r="Q57">
        <v>1747</v>
      </c>
      <c r="R57">
        <v>579</v>
      </c>
      <c r="S57" t="b">
        <v>0</v>
      </c>
      <c r="T57" t="s">
        <v>87</v>
      </c>
      <c r="U57" t="b">
        <v>0</v>
      </c>
      <c r="V57" t="s">
        <v>262</v>
      </c>
      <c r="W57" s="1">
        <v>44225.505567129629</v>
      </c>
      <c r="X57">
        <v>437</v>
      </c>
      <c r="Y57">
        <v>44</v>
      </c>
      <c r="Z57">
        <v>0</v>
      </c>
      <c r="AA57">
        <v>44</v>
      </c>
      <c r="AB57">
        <v>0</v>
      </c>
      <c r="AC57">
        <v>11</v>
      </c>
      <c r="AD57">
        <v>4</v>
      </c>
      <c r="AE57">
        <v>0</v>
      </c>
      <c r="AF57">
        <v>0</v>
      </c>
      <c r="AG57">
        <v>0</v>
      </c>
      <c r="AH57" t="s">
        <v>128</v>
      </c>
      <c r="AI57" s="1">
        <v>44225.509479166663</v>
      </c>
      <c r="AJ57">
        <v>121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4</v>
      </c>
      <c r="AQ57">
        <v>0</v>
      </c>
      <c r="AR57">
        <v>0</v>
      </c>
      <c r="AS57">
        <v>0</v>
      </c>
      <c r="AT57" t="s">
        <v>90</v>
      </c>
      <c r="AU57" s="1">
        <v>44225.527175925927</v>
      </c>
      <c r="AV57">
        <v>21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4</v>
      </c>
      <c r="BC57">
        <v>0</v>
      </c>
      <c r="BD57">
        <v>0</v>
      </c>
      <c r="BE57">
        <v>0</v>
      </c>
    </row>
    <row r="58" spans="1:57" x14ac:dyDescent="0.45">
      <c r="A58" t="s">
        <v>263</v>
      </c>
      <c r="B58" t="s">
        <v>79</v>
      </c>
      <c r="C58" t="s">
        <v>264</v>
      </c>
      <c r="D58" t="s">
        <v>81</v>
      </c>
      <c r="E58" s="2" t="str">
        <f>HYPERLINK("capsilon://?command=openfolder&amp;siteaddress=FAM.docvelocity-na8.net&amp;folderid=FX8648AFB7-A673-7E5E-1826-6822EAF61057","FX20127389")</f>
        <v>FX20127389</v>
      </c>
      <c r="F58" t="s">
        <v>19</v>
      </c>
      <c r="G58" t="s">
        <v>19</v>
      </c>
      <c r="H58" t="s">
        <v>82</v>
      </c>
      <c r="I58" t="s">
        <v>265</v>
      </c>
      <c r="J58">
        <v>38</v>
      </c>
      <c r="K58" t="s">
        <v>84</v>
      </c>
      <c r="L58" t="s">
        <v>85</v>
      </c>
      <c r="M58" t="s">
        <v>86</v>
      </c>
      <c r="N58">
        <v>3</v>
      </c>
      <c r="O58" s="1">
        <v>44201.747824074075</v>
      </c>
      <c r="P58" s="1">
        <v>44202.33971064815</v>
      </c>
      <c r="Q58">
        <v>50281</v>
      </c>
      <c r="R58">
        <v>858</v>
      </c>
      <c r="S58" t="b">
        <v>0</v>
      </c>
      <c r="T58" t="s">
        <v>87</v>
      </c>
      <c r="U58" t="b">
        <v>1</v>
      </c>
      <c r="V58" t="s">
        <v>266</v>
      </c>
      <c r="W58" s="1">
        <v>44201.756643518522</v>
      </c>
      <c r="X58">
        <v>680</v>
      </c>
      <c r="Y58">
        <v>37</v>
      </c>
      <c r="Z58">
        <v>0</v>
      </c>
      <c r="AA58">
        <v>37</v>
      </c>
      <c r="AB58">
        <v>0</v>
      </c>
      <c r="AC58">
        <v>18</v>
      </c>
      <c r="AD58">
        <v>1</v>
      </c>
      <c r="AE58">
        <v>0</v>
      </c>
      <c r="AF58">
        <v>0</v>
      </c>
      <c r="AG58">
        <v>0</v>
      </c>
      <c r="AH58" t="s">
        <v>267</v>
      </c>
      <c r="AI58" s="1">
        <v>44201.758877314816</v>
      </c>
      <c r="AJ58">
        <v>118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 t="s">
        <v>90</v>
      </c>
      <c r="AU58" s="1">
        <v>44202.33971064815</v>
      </c>
      <c r="AV58">
        <v>60</v>
      </c>
      <c r="AW58">
        <v>1</v>
      </c>
      <c r="AX58">
        <v>0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</row>
    <row r="59" spans="1:57" x14ac:dyDescent="0.45">
      <c r="A59" t="s">
        <v>268</v>
      </c>
      <c r="B59" t="s">
        <v>79</v>
      </c>
      <c r="C59" t="s">
        <v>269</v>
      </c>
      <c r="D59" t="s">
        <v>81</v>
      </c>
      <c r="E59" s="2" t="str">
        <f>HYPERLINK("capsilon://?command=openfolder&amp;siteaddress=FAM.docvelocity-na8.net&amp;folderid=FX101A67EE-F24A-CEDE-4B4C-06F4DB72EB88","FX210119391")</f>
        <v>FX210119391</v>
      </c>
      <c r="F59" t="s">
        <v>19</v>
      </c>
      <c r="G59" t="s">
        <v>19</v>
      </c>
      <c r="H59" t="s">
        <v>82</v>
      </c>
      <c r="I59" t="s">
        <v>270</v>
      </c>
      <c r="J59">
        <v>255</v>
      </c>
      <c r="K59" t="s">
        <v>84</v>
      </c>
      <c r="L59" t="s">
        <v>85</v>
      </c>
      <c r="M59" t="s">
        <v>86</v>
      </c>
      <c r="N59">
        <v>3</v>
      </c>
      <c r="O59" s="1">
        <v>44225.506284722222</v>
      </c>
      <c r="P59" s="1">
        <v>44225.548460648148</v>
      </c>
      <c r="Q59">
        <v>1747</v>
      </c>
      <c r="R59">
        <v>1897</v>
      </c>
      <c r="S59" t="b">
        <v>0</v>
      </c>
      <c r="T59" t="s">
        <v>87</v>
      </c>
      <c r="U59" t="b">
        <v>0</v>
      </c>
      <c r="V59" t="s">
        <v>255</v>
      </c>
      <c r="W59" s="1">
        <v>44225.521909722222</v>
      </c>
      <c r="X59">
        <v>1303</v>
      </c>
      <c r="Y59">
        <v>176</v>
      </c>
      <c r="Z59">
        <v>0</v>
      </c>
      <c r="AA59">
        <v>176</v>
      </c>
      <c r="AB59">
        <v>42</v>
      </c>
      <c r="AC59">
        <v>61</v>
      </c>
      <c r="AD59">
        <v>79</v>
      </c>
      <c r="AE59">
        <v>0</v>
      </c>
      <c r="AF59">
        <v>0</v>
      </c>
      <c r="AG59">
        <v>0</v>
      </c>
      <c r="AH59" t="s">
        <v>128</v>
      </c>
      <c r="AI59" s="1">
        <v>44225.528668981482</v>
      </c>
      <c r="AJ59">
        <v>520</v>
      </c>
      <c r="AK59">
        <v>0</v>
      </c>
      <c r="AL59">
        <v>0</v>
      </c>
      <c r="AM59">
        <v>0</v>
      </c>
      <c r="AN59">
        <v>42</v>
      </c>
      <c r="AO59">
        <v>0</v>
      </c>
      <c r="AP59">
        <v>79</v>
      </c>
      <c r="AQ59">
        <v>0</v>
      </c>
      <c r="AR59">
        <v>0</v>
      </c>
      <c r="AS59">
        <v>0</v>
      </c>
      <c r="AT59" t="s">
        <v>90</v>
      </c>
      <c r="AU59" s="1">
        <v>44225.548460648148</v>
      </c>
      <c r="AV59">
        <v>38</v>
      </c>
      <c r="AW59">
        <v>0</v>
      </c>
      <c r="AX59">
        <v>0</v>
      </c>
      <c r="AY59">
        <v>0</v>
      </c>
      <c r="AZ59">
        <v>42</v>
      </c>
      <c r="BA59">
        <v>0</v>
      </c>
      <c r="BB59">
        <v>79</v>
      </c>
      <c r="BC59">
        <v>0</v>
      </c>
      <c r="BD59">
        <v>0</v>
      </c>
      <c r="BE59">
        <v>0</v>
      </c>
    </row>
    <row r="60" spans="1:57" x14ac:dyDescent="0.45">
      <c r="A60" t="s">
        <v>271</v>
      </c>
      <c r="B60" t="s">
        <v>79</v>
      </c>
      <c r="C60" t="s">
        <v>272</v>
      </c>
      <c r="D60" t="s">
        <v>81</v>
      </c>
      <c r="E60" s="2" t="str">
        <f>HYPERLINK("capsilon://?command=openfolder&amp;siteaddress=FAM.docvelocity-na8.net&amp;folderid=FXC2F14801-28B9-CFE9-D8D4-95D71E85657A","FX20128353")</f>
        <v>FX20128353</v>
      </c>
      <c r="F60" t="s">
        <v>19</v>
      </c>
      <c r="G60" t="s">
        <v>19</v>
      </c>
      <c r="H60" t="s">
        <v>82</v>
      </c>
      <c r="I60" t="s">
        <v>273</v>
      </c>
      <c r="J60">
        <v>38</v>
      </c>
      <c r="K60" t="s">
        <v>84</v>
      </c>
      <c r="L60" t="s">
        <v>85</v>
      </c>
      <c r="M60" t="s">
        <v>86</v>
      </c>
      <c r="N60">
        <v>3</v>
      </c>
      <c r="O60" s="1">
        <v>44201.749351851853</v>
      </c>
      <c r="P60" s="1">
        <v>44202.339780092596</v>
      </c>
      <c r="Q60">
        <v>50027</v>
      </c>
      <c r="R60">
        <v>986</v>
      </c>
      <c r="S60" t="b">
        <v>0</v>
      </c>
      <c r="T60" t="s">
        <v>87</v>
      </c>
      <c r="U60" t="b">
        <v>1</v>
      </c>
      <c r="V60" t="s">
        <v>160</v>
      </c>
      <c r="W60" s="1">
        <v>44201.76253472222</v>
      </c>
      <c r="X60">
        <v>902</v>
      </c>
      <c r="Y60">
        <v>37</v>
      </c>
      <c r="Z60">
        <v>0</v>
      </c>
      <c r="AA60">
        <v>37</v>
      </c>
      <c r="AB60">
        <v>0</v>
      </c>
      <c r="AC60">
        <v>30</v>
      </c>
      <c r="AD60">
        <v>1</v>
      </c>
      <c r="AE60">
        <v>0</v>
      </c>
      <c r="AF60">
        <v>0</v>
      </c>
      <c r="AG60">
        <v>0</v>
      </c>
      <c r="AH60" t="s">
        <v>267</v>
      </c>
      <c r="AI60" s="1">
        <v>44201.766250000001</v>
      </c>
      <c r="AJ60">
        <v>79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 t="s">
        <v>90</v>
      </c>
      <c r="AU60" s="1">
        <v>44202.339780092596</v>
      </c>
      <c r="AV60">
        <v>5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</row>
    <row r="61" spans="1:57" hidden="1" x14ac:dyDescent="0.45">
      <c r="A61" t="s">
        <v>274</v>
      </c>
      <c r="B61" t="s">
        <v>79</v>
      </c>
      <c r="C61" t="s">
        <v>275</v>
      </c>
      <c r="D61" t="s">
        <v>81</v>
      </c>
      <c r="E61" s="2" t="str">
        <f>HYPERLINK("capsilon://?command=openfolder&amp;siteaddress=FAM.docvelocity-na8.net&amp;folderid=FXC6E32F4C-72B1-C386-B21F-71D552CBC579","FX20127051")</f>
        <v>FX20127051</v>
      </c>
      <c r="F61" t="s">
        <v>19</v>
      </c>
      <c r="G61" t="s">
        <v>19</v>
      </c>
      <c r="H61" t="s">
        <v>82</v>
      </c>
      <c r="I61" t="s">
        <v>276</v>
      </c>
      <c r="J61">
        <v>66</v>
      </c>
      <c r="K61" t="s">
        <v>84</v>
      </c>
      <c r="L61" t="s">
        <v>85</v>
      </c>
      <c r="M61" t="s">
        <v>86</v>
      </c>
      <c r="N61">
        <v>1</v>
      </c>
      <c r="O61" s="1">
        <v>44225.513553240744</v>
      </c>
      <c r="P61" s="1">
        <v>44225.513993055552</v>
      </c>
      <c r="Q61">
        <v>1</v>
      </c>
      <c r="R61">
        <v>37</v>
      </c>
      <c r="S61" t="b">
        <v>0</v>
      </c>
      <c r="T61" t="s">
        <v>87</v>
      </c>
      <c r="U61" t="b">
        <v>0</v>
      </c>
      <c r="V61" t="s">
        <v>160</v>
      </c>
      <c r="W61" s="1">
        <v>44225.513993055552</v>
      </c>
      <c r="X61">
        <v>37</v>
      </c>
      <c r="Y61">
        <v>0</v>
      </c>
      <c r="Z61">
        <v>0</v>
      </c>
      <c r="AA61">
        <v>0</v>
      </c>
      <c r="AB61">
        <v>0</v>
      </c>
      <c r="AC61">
        <v>0</v>
      </c>
      <c r="AD61">
        <v>66</v>
      </c>
      <c r="AE61">
        <v>52</v>
      </c>
      <c r="AF61">
        <v>0</v>
      </c>
      <c r="AG61">
        <v>1</v>
      </c>
      <c r="AH61" t="s">
        <v>87</v>
      </c>
      <c r="AI61" t="s">
        <v>87</v>
      </c>
      <c r="AJ61" t="s">
        <v>87</v>
      </c>
      <c r="AK61" t="s">
        <v>87</v>
      </c>
      <c r="AL61" t="s">
        <v>87</v>
      </c>
      <c r="AM61" t="s">
        <v>87</v>
      </c>
      <c r="AN61" t="s">
        <v>87</v>
      </c>
      <c r="AO61" t="s">
        <v>87</v>
      </c>
      <c r="AP61" t="s">
        <v>87</v>
      </c>
      <c r="AQ61" t="s">
        <v>87</v>
      </c>
      <c r="AR61" t="s">
        <v>87</v>
      </c>
      <c r="AS61" t="s">
        <v>87</v>
      </c>
      <c r="AT61" t="s">
        <v>87</v>
      </c>
      <c r="AU61" t="s">
        <v>87</v>
      </c>
      <c r="AV61" t="s">
        <v>87</v>
      </c>
      <c r="AW61" t="s">
        <v>87</v>
      </c>
      <c r="AX61" t="s">
        <v>87</v>
      </c>
      <c r="AY61" t="s">
        <v>87</v>
      </c>
      <c r="AZ61" t="s">
        <v>87</v>
      </c>
      <c r="BA61" t="s">
        <v>87</v>
      </c>
      <c r="BB61" t="s">
        <v>87</v>
      </c>
      <c r="BC61" t="s">
        <v>87</v>
      </c>
      <c r="BD61" t="s">
        <v>87</v>
      </c>
      <c r="BE61" t="s">
        <v>87</v>
      </c>
    </row>
    <row r="62" spans="1:57" x14ac:dyDescent="0.45">
      <c r="A62" t="s">
        <v>277</v>
      </c>
      <c r="B62" t="s">
        <v>79</v>
      </c>
      <c r="C62" t="s">
        <v>278</v>
      </c>
      <c r="D62" t="s">
        <v>81</v>
      </c>
      <c r="E62" s="2" t="str">
        <f>HYPERLINK("capsilon://?command=openfolder&amp;siteaddress=FAM.docvelocity-na8.net&amp;folderid=FX03419559-4EBF-1E98-3A7C-B73F43662617","FX20119760")</f>
        <v>FX20119760</v>
      </c>
      <c r="F62" t="s">
        <v>19</v>
      </c>
      <c r="G62" t="s">
        <v>19</v>
      </c>
      <c r="H62" t="s">
        <v>82</v>
      </c>
      <c r="I62" t="s">
        <v>279</v>
      </c>
      <c r="J62">
        <v>456</v>
      </c>
      <c r="K62" t="s">
        <v>84</v>
      </c>
      <c r="L62" t="s">
        <v>85</v>
      </c>
      <c r="M62" t="s">
        <v>86</v>
      </c>
      <c r="N62">
        <v>3</v>
      </c>
      <c r="O62" s="1">
        <v>44201.750324074077</v>
      </c>
      <c r="P62" s="1">
        <v>44202.344490740739</v>
      </c>
      <c r="Q62">
        <v>38495</v>
      </c>
      <c r="R62">
        <v>12841</v>
      </c>
      <c r="S62" t="b">
        <v>0</v>
      </c>
      <c r="T62" t="s">
        <v>87</v>
      </c>
      <c r="U62" t="b">
        <v>1</v>
      </c>
      <c r="V62" t="s">
        <v>171</v>
      </c>
      <c r="W62" s="1">
        <v>44201.812604166669</v>
      </c>
      <c r="X62">
        <v>5108</v>
      </c>
      <c r="Y62">
        <v>451</v>
      </c>
      <c r="Z62">
        <v>0</v>
      </c>
      <c r="AA62">
        <v>451</v>
      </c>
      <c r="AB62">
        <v>0</v>
      </c>
      <c r="AC62">
        <v>293</v>
      </c>
      <c r="AD62">
        <v>5</v>
      </c>
      <c r="AE62">
        <v>0</v>
      </c>
      <c r="AF62">
        <v>0</v>
      </c>
      <c r="AG62">
        <v>0</v>
      </c>
      <c r="AH62" t="s">
        <v>89</v>
      </c>
      <c r="AI62" s="1">
        <v>44202.255266203705</v>
      </c>
      <c r="AJ62">
        <v>3299</v>
      </c>
      <c r="AK62">
        <v>5</v>
      </c>
      <c r="AL62">
        <v>0</v>
      </c>
      <c r="AM62">
        <v>5</v>
      </c>
      <c r="AN62">
        <v>0</v>
      </c>
      <c r="AO62">
        <v>4</v>
      </c>
      <c r="AP62">
        <v>0</v>
      </c>
      <c r="AQ62">
        <v>0</v>
      </c>
      <c r="AR62">
        <v>0</v>
      </c>
      <c r="AS62">
        <v>0</v>
      </c>
      <c r="AT62" t="s">
        <v>90</v>
      </c>
      <c r="AU62" s="1">
        <v>44202.344490740739</v>
      </c>
      <c r="AV62">
        <v>406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45">
      <c r="A63" t="s">
        <v>280</v>
      </c>
      <c r="B63" t="s">
        <v>79</v>
      </c>
      <c r="C63" t="s">
        <v>275</v>
      </c>
      <c r="D63" t="s">
        <v>81</v>
      </c>
      <c r="E63" s="2" t="str">
        <f>HYPERLINK("capsilon://?command=openfolder&amp;siteaddress=FAM.docvelocity-na8.net&amp;folderid=FXC6E32F4C-72B1-C386-B21F-71D552CBC579","FX20127051")</f>
        <v>FX20127051</v>
      </c>
      <c r="F63" t="s">
        <v>19</v>
      </c>
      <c r="G63" t="s">
        <v>19</v>
      </c>
      <c r="H63" t="s">
        <v>82</v>
      </c>
      <c r="I63" t="s">
        <v>276</v>
      </c>
      <c r="J63">
        <v>38</v>
      </c>
      <c r="K63" t="s">
        <v>84</v>
      </c>
      <c r="L63" t="s">
        <v>85</v>
      </c>
      <c r="M63" t="s">
        <v>86</v>
      </c>
      <c r="N63">
        <v>3</v>
      </c>
      <c r="O63" s="1">
        <v>44225.514293981483</v>
      </c>
      <c r="P63" s="1">
        <v>44225.524884259263</v>
      </c>
      <c r="Q63">
        <v>376</v>
      </c>
      <c r="R63">
        <v>539</v>
      </c>
      <c r="S63" t="b">
        <v>0</v>
      </c>
      <c r="T63" t="s">
        <v>87</v>
      </c>
      <c r="U63" t="b">
        <v>1</v>
      </c>
      <c r="V63" t="s">
        <v>160</v>
      </c>
      <c r="W63" s="1">
        <v>44225.518518518518</v>
      </c>
      <c r="X63">
        <v>364</v>
      </c>
      <c r="Y63">
        <v>37</v>
      </c>
      <c r="Z63">
        <v>0</v>
      </c>
      <c r="AA63">
        <v>37</v>
      </c>
      <c r="AB63">
        <v>0</v>
      </c>
      <c r="AC63">
        <v>35</v>
      </c>
      <c r="AD63">
        <v>1</v>
      </c>
      <c r="AE63">
        <v>0</v>
      </c>
      <c r="AF63">
        <v>0</v>
      </c>
      <c r="AG63">
        <v>0</v>
      </c>
      <c r="AH63" t="s">
        <v>128</v>
      </c>
      <c r="AI63" s="1">
        <v>44225.522638888891</v>
      </c>
      <c r="AJ63">
        <v>168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 t="s">
        <v>90</v>
      </c>
      <c r="AU63" s="1">
        <v>44225.524884259263</v>
      </c>
      <c r="AV63">
        <v>7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</row>
    <row r="64" spans="1:57" x14ac:dyDescent="0.45">
      <c r="A64" t="s">
        <v>281</v>
      </c>
      <c r="B64" t="s">
        <v>79</v>
      </c>
      <c r="C64" t="s">
        <v>282</v>
      </c>
      <c r="D64" t="s">
        <v>81</v>
      </c>
      <c r="E64" s="2" t="str">
        <f>HYPERLINK("capsilon://?command=openfolder&amp;siteaddress=FAM.docvelocity-na8.net&amp;folderid=FX7F35D3FF-F2A8-EBE1-EFF3-BC050B772D63","FX201229157")</f>
        <v>FX201229157</v>
      </c>
      <c r="F64" t="s">
        <v>19</v>
      </c>
      <c r="G64" t="s">
        <v>19</v>
      </c>
      <c r="H64" t="s">
        <v>82</v>
      </c>
      <c r="I64" t="s">
        <v>283</v>
      </c>
      <c r="J64">
        <v>333</v>
      </c>
      <c r="K64" t="s">
        <v>84</v>
      </c>
      <c r="L64" t="s">
        <v>85</v>
      </c>
      <c r="M64" t="s">
        <v>86</v>
      </c>
      <c r="N64">
        <v>3</v>
      </c>
      <c r="O64" s="1">
        <v>44225.520208333335</v>
      </c>
      <c r="P64" s="1">
        <v>44225.551874999997</v>
      </c>
      <c r="Q64">
        <v>536</v>
      </c>
      <c r="R64">
        <v>2200</v>
      </c>
      <c r="S64" t="b">
        <v>0</v>
      </c>
      <c r="T64" t="s">
        <v>87</v>
      </c>
      <c r="U64" t="b">
        <v>0</v>
      </c>
      <c r="V64" t="s">
        <v>171</v>
      </c>
      <c r="W64" s="1">
        <v>44225.540266203701</v>
      </c>
      <c r="X64">
        <v>1732</v>
      </c>
      <c r="Y64">
        <v>186</v>
      </c>
      <c r="Z64">
        <v>0</v>
      </c>
      <c r="AA64">
        <v>186</v>
      </c>
      <c r="AB64">
        <v>0</v>
      </c>
      <c r="AC64">
        <v>96</v>
      </c>
      <c r="AD64">
        <v>147</v>
      </c>
      <c r="AE64">
        <v>0</v>
      </c>
      <c r="AF64">
        <v>0</v>
      </c>
      <c r="AG64">
        <v>0</v>
      </c>
      <c r="AH64" t="s">
        <v>132</v>
      </c>
      <c r="AI64" s="1">
        <v>44225.551122685189</v>
      </c>
      <c r="AJ64">
        <v>439</v>
      </c>
      <c r="AK64">
        <v>3</v>
      </c>
      <c r="AL64">
        <v>0</v>
      </c>
      <c r="AM64">
        <v>3</v>
      </c>
      <c r="AN64">
        <v>0</v>
      </c>
      <c r="AO64">
        <v>2</v>
      </c>
      <c r="AP64">
        <v>144</v>
      </c>
      <c r="AQ64">
        <v>0</v>
      </c>
      <c r="AR64">
        <v>0</v>
      </c>
      <c r="AS64">
        <v>0</v>
      </c>
      <c r="AT64" t="s">
        <v>90</v>
      </c>
      <c r="AU64" s="1">
        <v>44225.551874999997</v>
      </c>
      <c r="AV64">
        <v>21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144</v>
      </c>
      <c r="BC64">
        <v>0</v>
      </c>
      <c r="BD64">
        <v>0</v>
      </c>
      <c r="BE64">
        <v>0</v>
      </c>
    </row>
    <row r="65" spans="1:57" hidden="1" x14ac:dyDescent="0.45">
      <c r="A65" t="s">
        <v>284</v>
      </c>
      <c r="B65" t="s">
        <v>79</v>
      </c>
      <c r="C65" t="s">
        <v>285</v>
      </c>
      <c r="D65" t="s">
        <v>81</v>
      </c>
      <c r="E65" s="2" t="str">
        <f>HYPERLINK("capsilon://?command=openfolder&amp;siteaddress=FAM.docvelocity-na8.net&amp;folderid=FX2D5E71D1-474C-5A40-734F-6E40DCD221E7","FX20123627")</f>
        <v>FX20123627</v>
      </c>
      <c r="F65" t="s">
        <v>19</v>
      </c>
      <c r="G65" t="s">
        <v>19</v>
      </c>
      <c r="H65" t="s">
        <v>82</v>
      </c>
      <c r="I65" t="s">
        <v>286</v>
      </c>
      <c r="J65">
        <v>66</v>
      </c>
      <c r="K65" t="s">
        <v>84</v>
      </c>
      <c r="L65" t="s">
        <v>85</v>
      </c>
      <c r="M65" t="s">
        <v>86</v>
      </c>
      <c r="N65">
        <v>3</v>
      </c>
      <c r="O65" s="1">
        <v>44225.520405092589</v>
      </c>
      <c r="P65" s="1">
        <v>44225.52721064815</v>
      </c>
      <c r="Q65">
        <v>492</v>
      </c>
      <c r="R65">
        <v>96</v>
      </c>
      <c r="S65" t="b">
        <v>0</v>
      </c>
      <c r="T65" t="s">
        <v>87</v>
      </c>
      <c r="U65" t="b">
        <v>0</v>
      </c>
      <c r="V65" t="s">
        <v>168</v>
      </c>
      <c r="W65" s="1">
        <v>44225.521377314813</v>
      </c>
      <c r="X65">
        <v>83</v>
      </c>
      <c r="Y65">
        <v>0</v>
      </c>
      <c r="Z65">
        <v>0</v>
      </c>
      <c r="AA65">
        <v>0</v>
      </c>
      <c r="AB65">
        <v>52</v>
      </c>
      <c r="AC65">
        <v>0</v>
      </c>
      <c r="AD65">
        <v>66</v>
      </c>
      <c r="AE65">
        <v>0</v>
      </c>
      <c r="AF65">
        <v>0</v>
      </c>
      <c r="AG65">
        <v>0</v>
      </c>
      <c r="AH65" t="s">
        <v>132</v>
      </c>
      <c r="AI65" s="1">
        <v>44225.523946759262</v>
      </c>
      <c r="AJ65">
        <v>10</v>
      </c>
      <c r="AK65">
        <v>0</v>
      </c>
      <c r="AL65">
        <v>0</v>
      </c>
      <c r="AM65">
        <v>0</v>
      </c>
      <c r="AN65">
        <v>52</v>
      </c>
      <c r="AO65">
        <v>0</v>
      </c>
      <c r="AP65">
        <v>66</v>
      </c>
      <c r="AQ65">
        <v>0</v>
      </c>
      <c r="AR65">
        <v>0</v>
      </c>
      <c r="AS65">
        <v>0</v>
      </c>
      <c r="AT65" t="s">
        <v>90</v>
      </c>
      <c r="AU65" s="1">
        <v>44225.52721064815</v>
      </c>
      <c r="AV65">
        <v>3</v>
      </c>
      <c r="AW65">
        <v>0</v>
      </c>
      <c r="AX65">
        <v>0</v>
      </c>
      <c r="AY65">
        <v>0</v>
      </c>
      <c r="AZ65">
        <v>52</v>
      </c>
      <c r="BA65">
        <v>0</v>
      </c>
      <c r="BB65">
        <v>66</v>
      </c>
      <c r="BC65">
        <v>0</v>
      </c>
      <c r="BD65">
        <v>0</v>
      </c>
      <c r="BE65">
        <v>0</v>
      </c>
    </row>
    <row r="66" spans="1:57" x14ac:dyDescent="0.45">
      <c r="A66" t="s">
        <v>287</v>
      </c>
      <c r="B66" t="s">
        <v>79</v>
      </c>
      <c r="C66" t="s">
        <v>288</v>
      </c>
      <c r="D66" t="s">
        <v>81</v>
      </c>
      <c r="E66" s="2" t="str">
        <f>HYPERLINK("capsilon://?command=openfolder&amp;siteaddress=FAM.docvelocity-na8.net&amp;folderid=FXC58572E7-CDAF-B1C1-1AB3-F4F12BD0EF91","FX201224400")</f>
        <v>FX201224400</v>
      </c>
      <c r="F66" t="s">
        <v>19</v>
      </c>
      <c r="G66" t="s">
        <v>19</v>
      </c>
      <c r="H66" t="s">
        <v>82</v>
      </c>
      <c r="I66" t="s">
        <v>289</v>
      </c>
      <c r="J66">
        <v>546</v>
      </c>
      <c r="K66" t="s">
        <v>84</v>
      </c>
      <c r="L66" t="s">
        <v>85</v>
      </c>
      <c r="M66" t="s">
        <v>86</v>
      </c>
      <c r="N66">
        <v>3</v>
      </c>
      <c r="O66" s="1">
        <v>44225.523564814815</v>
      </c>
      <c r="P66" s="1">
        <v>44225.636412037034</v>
      </c>
      <c r="Q66">
        <v>3064</v>
      </c>
      <c r="R66">
        <v>6686</v>
      </c>
      <c r="S66" t="b">
        <v>0</v>
      </c>
      <c r="T66" t="s">
        <v>87</v>
      </c>
      <c r="U66" t="b">
        <v>0</v>
      </c>
      <c r="V66" t="s">
        <v>146</v>
      </c>
      <c r="W66" s="1">
        <v>44225.578692129631</v>
      </c>
      <c r="X66">
        <v>4643</v>
      </c>
      <c r="Y66">
        <v>396</v>
      </c>
      <c r="Z66">
        <v>0</v>
      </c>
      <c r="AA66">
        <v>396</v>
      </c>
      <c r="AB66">
        <v>0</v>
      </c>
      <c r="AC66">
        <v>229</v>
      </c>
      <c r="AD66">
        <v>150</v>
      </c>
      <c r="AE66">
        <v>0</v>
      </c>
      <c r="AF66">
        <v>0</v>
      </c>
      <c r="AG66">
        <v>0</v>
      </c>
      <c r="AH66" t="s">
        <v>128</v>
      </c>
      <c r="AI66" s="1">
        <v>44225.601423611108</v>
      </c>
      <c r="AJ66">
        <v>1887</v>
      </c>
      <c r="AK66">
        <v>2</v>
      </c>
      <c r="AL66">
        <v>0</v>
      </c>
      <c r="AM66">
        <v>2</v>
      </c>
      <c r="AN66">
        <v>0</v>
      </c>
      <c r="AO66">
        <v>2</v>
      </c>
      <c r="AP66">
        <v>148</v>
      </c>
      <c r="AQ66">
        <v>0</v>
      </c>
      <c r="AR66">
        <v>0</v>
      </c>
      <c r="AS66">
        <v>0</v>
      </c>
      <c r="AT66" t="s">
        <v>90</v>
      </c>
      <c r="AU66" s="1">
        <v>44225.636412037034</v>
      </c>
      <c r="AV66">
        <v>35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148</v>
      </c>
      <c r="BC66">
        <v>0</v>
      </c>
      <c r="BD66">
        <v>0</v>
      </c>
      <c r="BE66">
        <v>0</v>
      </c>
    </row>
    <row r="67" spans="1:57" x14ac:dyDescent="0.45">
      <c r="A67" t="s">
        <v>290</v>
      </c>
      <c r="B67" t="s">
        <v>79</v>
      </c>
      <c r="C67" t="s">
        <v>291</v>
      </c>
      <c r="D67" t="s">
        <v>81</v>
      </c>
      <c r="E67" s="2" t="str">
        <f>HYPERLINK("capsilon://?command=openfolder&amp;siteaddress=FAM.docvelocity-na8.net&amp;folderid=FX70828DD1-7C8A-408D-824A-3E564181271A","FX20128019")</f>
        <v>FX20128019</v>
      </c>
      <c r="F67" t="s">
        <v>19</v>
      </c>
      <c r="G67" t="s">
        <v>19</v>
      </c>
      <c r="H67" t="s">
        <v>82</v>
      </c>
      <c r="I67" t="s">
        <v>292</v>
      </c>
      <c r="J67">
        <v>66</v>
      </c>
      <c r="K67" t="s">
        <v>84</v>
      </c>
      <c r="L67" t="s">
        <v>85</v>
      </c>
      <c r="M67" t="s">
        <v>86</v>
      </c>
      <c r="N67">
        <v>3</v>
      </c>
      <c r="O67" s="1">
        <v>44225.524189814816</v>
      </c>
      <c r="P67" s="1">
        <v>44225.548784722225</v>
      </c>
      <c r="Q67">
        <v>813</v>
      </c>
      <c r="R67">
        <v>1312</v>
      </c>
      <c r="S67" t="b">
        <v>0</v>
      </c>
      <c r="T67" t="s">
        <v>87</v>
      </c>
      <c r="U67" t="b">
        <v>0</v>
      </c>
      <c r="V67" t="s">
        <v>168</v>
      </c>
      <c r="W67" s="1">
        <v>44225.536921296298</v>
      </c>
      <c r="X67">
        <v>1099</v>
      </c>
      <c r="Y67">
        <v>52</v>
      </c>
      <c r="Z67">
        <v>0</v>
      </c>
      <c r="AA67">
        <v>52</v>
      </c>
      <c r="AB67">
        <v>0</v>
      </c>
      <c r="AC67">
        <v>51</v>
      </c>
      <c r="AD67">
        <v>14</v>
      </c>
      <c r="AE67">
        <v>0</v>
      </c>
      <c r="AF67">
        <v>0</v>
      </c>
      <c r="AG67">
        <v>0</v>
      </c>
      <c r="AH67" t="s">
        <v>128</v>
      </c>
      <c r="AI67" s="1">
        <v>44225.540173611109</v>
      </c>
      <c r="AJ67">
        <v>186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14</v>
      </c>
      <c r="AQ67">
        <v>0</v>
      </c>
      <c r="AR67">
        <v>0</v>
      </c>
      <c r="AS67">
        <v>0</v>
      </c>
      <c r="AT67" t="s">
        <v>90</v>
      </c>
      <c r="AU67" s="1">
        <v>44225.548784722225</v>
      </c>
      <c r="AV67">
        <v>27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14</v>
      </c>
      <c r="BC67">
        <v>0</v>
      </c>
      <c r="BD67">
        <v>0</v>
      </c>
      <c r="BE67">
        <v>0</v>
      </c>
    </row>
    <row r="68" spans="1:57" x14ac:dyDescent="0.45">
      <c r="A68" t="s">
        <v>293</v>
      </c>
      <c r="B68" t="s">
        <v>79</v>
      </c>
      <c r="C68" t="s">
        <v>294</v>
      </c>
      <c r="D68" t="s">
        <v>81</v>
      </c>
      <c r="E68" s="2" t="str">
        <f>HYPERLINK("capsilon://?command=openfolder&amp;siteaddress=FAM.docvelocity-na8.net&amp;folderid=FX33CF4119-65E0-B1E1-871E-06022BB7064C","FX20121054")</f>
        <v>FX20121054</v>
      </c>
      <c r="F68" t="s">
        <v>19</v>
      </c>
      <c r="G68" t="s">
        <v>19</v>
      </c>
      <c r="H68" t="s">
        <v>82</v>
      </c>
      <c r="I68" t="s">
        <v>295</v>
      </c>
      <c r="J68">
        <v>113</v>
      </c>
      <c r="K68" t="s">
        <v>84</v>
      </c>
      <c r="L68" t="s">
        <v>85</v>
      </c>
      <c r="M68" t="s">
        <v>86</v>
      </c>
      <c r="N68">
        <v>3</v>
      </c>
      <c r="O68" s="1">
        <v>44225.525185185186</v>
      </c>
      <c r="P68" s="1">
        <v>44225.550138888888</v>
      </c>
      <c r="Q68">
        <v>1169</v>
      </c>
      <c r="R68">
        <v>987</v>
      </c>
      <c r="S68" t="b">
        <v>0</v>
      </c>
      <c r="T68" t="s">
        <v>87</v>
      </c>
      <c r="U68" t="b">
        <v>0</v>
      </c>
      <c r="V68" t="s">
        <v>259</v>
      </c>
      <c r="W68" s="1">
        <v>44225.53261574074</v>
      </c>
      <c r="X68">
        <v>624</v>
      </c>
      <c r="Y68">
        <v>99</v>
      </c>
      <c r="Z68">
        <v>0</v>
      </c>
      <c r="AA68">
        <v>99</v>
      </c>
      <c r="AB68">
        <v>0</v>
      </c>
      <c r="AC68">
        <v>35</v>
      </c>
      <c r="AD68">
        <v>14</v>
      </c>
      <c r="AE68">
        <v>0</v>
      </c>
      <c r="AF68">
        <v>0</v>
      </c>
      <c r="AG68">
        <v>0</v>
      </c>
      <c r="AH68" t="s">
        <v>128</v>
      </c>
      <c r="AI68" s="1">
        <v>44225.53800925926</v>
      </c>
      <c r="AJ68">
        <v>247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14</v>
      </c>
      <c r="AQ68">
        <v>0</v>
      </c>
      <c r="AR68">
        <v>0</v>
      </c>
      <c r="AS68">
        <v>0</v>
      </c>
      <c r="AT68" t="s">
        <v>90</v>
      </c>
      <c r="AU68" s="1">
        <v>44225.550138888888</v>
      </c>
      <c r="AV68">
        <v>116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14</v>
      </c>
      <c r="BC68">
        <v>0</v>
      </c>
      <c r="BD68">
        <v>0</v>
      </c>
      <c r="BE68">
        <v>0</v>
      </c>
    </row>
    <row r="69" spans="1:57" hidden="1" x14ac:dyDescent="0.45">
      <c r="A69" t="s">
        <v>296</v>
      </c>
      <c r="B69" t="s">
        <v>79</v>
      </c>
      <c r="C69" t="s">
        <v>297</v>
      </c>
      <c r="D69" t="s">
        <v>81</v>
      </c>
      <c r="E69" s="2" t="str">
        <f>HYPERLINK("capsilon://?command=openfolder&amp;siteaddress=FAM.docvelocity-na8.net&amp;folderid=FX2479CCCD-400C-6FBA-D49B-1C32E065F806","FX2012244")</f>
        <v>FX2012244</v>
      </c>
      <c r="F69" t="s">
        <v>19</v>
      </c>
      <c r="G69" t="s">
        <v>19</v>
      </c>
      <c r="H69" t="s">
        <v>82</v>
      </c>
      <c r="I69" t="s">
        <v>298</v>
      </c>
      <c r="J69">
        <v>66</v>
      </c>
      <c r="K69" t="s">
        <v>84</v>
      </c>
      <c r="L69" t="s">
        <v>85</v>
      </c>
      <c r="M69" t="s">
        <v>86</v>
      </c>
      <c r="N69">
        <v>1</v>
      </c>
      <c r="O69" s="1">
        <v>44225.526562500003</v>
      </c>
      <c r="P69" s="1">
        <v>44225.527013888888</v>
      </c>
      <c r="Q69">
        <v>1</v>
      </c>
      <c r="R69">
        <v>38</v>
      </c>
      <c r="S69" t="b">
        <v>0</v>
      </c>
      <c r="T69" t="s">
        <v>87</v>
      </c>
      <c r="U69" t="b">
        <v>0</v>
      </c>
      <c r="V69" t="s">
        <v>160</v>
      </c>
      <c r="W69" s="1">
        <v>44225.527013888888</v>
      </c>
      <c r="X69">
        <v>38</v>
      </c>
      <c r="Y69">
        <v>19</v>
      </c>
      <c r="Z69">
        <v>0</v>
      </c>
      <c r="AA69">
        <v>19</v>
      </c>
      <c r="AB69">
        <v>0</v>
      </c>
      <c r="AC69">
        <v>0</v>
      </c>
      <c r="AD69">
        <v>47</v>
      </c>
      <c r="AE69">
        <v>52</v>
      </c>
      <c r="AF69">
        <v>0</v>
      </c>
      <c r="AG69">
        <v>1</v>
      </c>
      <c r="AH69" t="s">
        <v>87</v>
      </c>
      <c r="AI69" t="s">
        <v>87</v>
      </c>
      <c r="AJ69" t="s">
        <v>87</v>
      </c>
      <c r="AK69" t="s">
        <v>87</v>
      </c>
      <c r="AL69" t="s">
        <v>87</v>
      </c>
      <c r="AM69" t="s">
        <v>87</v>
      </c>
      <c r="AN69" t="s">
        <v>87</v>
      </c>
      <c r="AO69" t="s">
        <v>87</v>
      </c>
      <c r="AP69" t="s">
        <v>87</v>
      </c>
      <c r="AQ69" t="s">
        <v>87</v>
      </c>
      <c r="AR69" t="s">
        <v>87</v>
      </c>
      <c r="AS69" t="s">
        <v>87</v>
      </c>
      <c r="AT69" t="s">
        <v>87</v>
      </c>
      <c r="AU69" t="s">
        <v>87</v>
      </c>
      <c r="AV69" t="s">
        <v>87</v>
      </c>
      <c r="AW69" t="s">
        <v>87</v>
      </c>
      <c r="AX69" t="s">
        <v>87</v>
      </c>
      <c r="AY69" t="s">
        <v>87</v>
      </c>
      <c r="AZ69" t="s">
        <v>87</v>
      </c>
      <c r="BA69" t="s">
        <v>87</v>
      </c>
      <c r="BB69" t="s">
        <v>87</v>
      </c>
      <c r="BC69" t="s">
        <v>87</v>
      </c>
      <c r="BD69" t="s">
        <v>87</v>
      </c>
      <c r="BE69" t="s">
        <v>87</v>
      </c>
    </row>
    <row r="70" spans="1:57" x14ac:dyDescent="0.45">
      <c r="A70" t="s">
        <v>299</v>
      </c>
      <c r="B70" t="s">
        <v>79</v>
      </c>
      <c r="C70" t="s">
        <v>297</v>
      </c>
      <c r="D70" t="s">
        <v>81</v>
      </c>
      <c r="E70" s="2" t="str">
        <f>HYPERLINK("capsilon://?command=openfolder&amp;siteaddress=FAM.docvelocity-na8.net&amp;folderid=FX2479CCCD-400C-6FBA-D49B-1C32E065F806","FX2012244")</f>
        <v>FX2012244</v>
      </c>
      <c r="F70" t="s">
        <v>19</v>
      </c>
      <c r="G70" t="s">
        <v>19</v>
      </c>
      <c r="H70" t="s">
        <v>82</v>
      </c>
      <c r="I70" t="s">
        <v>298</v>
      </c>
      <c r="J70">
        <v>38</v>
      </c>
      <c r="K70" t="s">
        <v>84</v>
      </c>
      <c r="L70" t="s">
        <v>85</v>
      </c>
      <c r="M70" t="s">
        <v>86</v>
      </c>
      <c r="N70">
        <v>3</v>
      </c>
      <c r="O70" s="1">
        <v>44225.527291666665</v>
      </c>
      <c r="P70" s="1">
        <v>44225.54583333333</v>
      </c>
      <c r="Q70">
        <v>1129</v>
      </c>
      <c r="R70">
        <v>473</v>
      </c>
      <c r="S70" t="b">
        <v>0</v>
      </c>
      <c r="T70" t="s">
        <v>87</v>
      </c>
      <c r="U70" t="b">
        <v>1</v>
      </c>
      <c r="V70" t="s">
        <v>255</v>
      </c>
      <c r="W70" s="1">
        <v>44225.530601851853</v>
      </c>
      <c r="X70">
        <v>284</v>
      </c>
      <c r="Y70">
        <v>37</v>
      </c>
      <c r="Z70">
        <v>0</v>
      </c>
      <c r="AA70">
        <v>37</v>
      </c>
      <c r="AB70">
        <v>0</v>
      </c>
      <c r="AC70">
        <v>13</v>
      </c>
      <c r="AD70">
        <v>1</v>
      </c>
      <c r="AE70">
        <v>0</v>
      </c>
      <c r="AF70">
        <v>0</v>
      </c>
      <c r="AG70">
        <v>0</v>
      </c>
      <c r="AH70" t="s">
        <v>128</v>
      </c>
      <c r="AI70" s="1">
        <v>44225.535138888888</v>
      </c>
      <c r="AJ70">
        <v>182</v>
      </c>
      <c r="AK70">
        <v>1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 t="s">
        <v>90</v>
      </c>
      <c r="AU70" s="1">
        <v>44225.54583333333</v>
      </c>
      <c r="AV70">
        <v>7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hidden="1" x14ac:dyDescent="0.45">
      <c r="A71" t="s">
        <v>300</v>
      </c>
      <c r="B71" t="s">
        <v>79</v>
      </c>
      <c r="C71" t="s">
        <v>301</v>
      </c>
      <c r="D71" t="s">
        <v>81</v>
      </c>
      <c r="E71" s="2" t="str">
        <f>HYPERLINK("capsilon://?command=openfolder&amp;siteaddress=FAM.docvelocity-na8.net&amp;folderid=FX92FF92E6-9D83-A7FF-9C46-83D03BCF16B5","FX20123914")</f>
        <v>FX20123914</v>
      </c>
      <c r="F71" t="s">
        <v>19</v>
      </c>
      <c r="G71" t="s">
        <v>19</v>
      </c>
      <c r="H71" t="s">
        <v>82</v>
      </c>
      <c r="I71" t="s">
        <v>302</v>
      </c>
      <c r="J71">
        <v>66</v>
      </c>
      <c r="K71" t="s">
        <v>84</v>
      </c>
      <c r="L71" t="s">
        <v>85</v>
      </c>
      <c r="M71" t="s">
        <v>86</v>
      </c>
      <c r="N71">
        <v>1</v>
      </c>
      <c r="O71" s="1">
        <v>44225.534641203703</v>
      </c>
      <c r="P71" s="1">
        <v>44225.536064814813</v>
      </c>
      <c r="Q71">
        <v>1</v>
      </c>
      <c r="R71">
        <v>122</v>
      </c>
      <c r="S71" t="b">
        <v>0</v>
      </c>
      <c r="T71" t="s">
        <v>87</v>
      </c>
      <c r="U71" t="b">
        <v>0</v>
      </c>
      <c r="V71" t="s">
        <v>142</v>
      </c>
      <c r="W71" s="1">
        <v>44225.536064814813</v>
      </c>
      <c r="X71">
        <v>122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66</v>
      </c>
      <c r="AE71">
        <v>52</v>
      </c>
      <c r="AF71">
        <v>0</v>
      </c>
      <c r="AG71">
        <v>1</v>
      </c>
      <c r="AH71" t="s">
        <v>87</v>
      </c>
      <c r="AI71" t="s">
        <v>87</v>
      </c>
      <c r="AJ71" t="s">
        <v>87</v>
      </c>
      <c r="AK71" t="s">
        <v>87</v>
      </c>
      <c r="AL71" t="s">
        <v>87</v>
      </c>
      <c r="AM71" t="s">
        <v>87</v>
      </c>
      <c r="AN71" t="s">
        <v>87</v>
      </c>
      <c r="AO71" t="s">
        <v>87</v>
      </c>
      <c r="AP71" t="s">
        <v>87</v>
      </c>
      <c r="AQ71" t="s">
        <v>87</v>
      </c>
      <c r="AR71" t="s">
        <v>87</v>
      </c>
      <c r="AS71" t="s">
        <v>87</v>
      </c>
      <c r="AT71" t="s">
        <v>87</v>
      </c>
      <c r="AU71" t="s">
        <v>87</v>
      </c>
      <c r="AV71" t="s">
        <v>87</v>
      </c>
      <c r="AW71" t="s">
        <v>87</v>
      </c>
      <c r="AX71" t="s">
        <v>87</v>
      </c>
      <c r="AY71" t="s">
        <v>87</v>
      </c>
      <c r="AZ71" t="s">
        <v>87</v>
      </c>
      <c r="BA71" t="s">
        <v>87</v>
      </c>
      <c r="BB71" t="s">
        <v>87</v>
      </c>
      <c r="BC71" t="s">
        <v>87</v>
      </c>
      <c r="BD71" t="s">
        <v>87</v>
      </c>
      <c r="BE71" t="s">
        <v>87</v>
      </c>
    </row>
    <row r="72" spans="1:57" x14ac:dyDescent="0.45">
      <c r="A72" t="s">
        <v>303</v>
      </c>
      <c r="B72" t="s">
        <v>79</v>
      </c>
      <c r="C72" t="s">
        <v>301</v>
      </c>
      <c r="D72" t="s">
        <v>81</v>
      </c>
      <c r="E72" s="2" t="str">
        <f>HYPERLINK("capsilon://?command=openfolder&amp;siteaddress=FAM.docvelocity-na8.net&amp;folderid=FX92FF92E6-9D83-A7FF-9C46-83D03BCF16B5","FX20123914")</f>
        <v>FX20123914</v>
      </c>
      <c r="F72" t="s">
        <v>19</v>
      </c>
      <c r="G72" t="s">
        <v>19</v>
      </c>
      <c r="H72" t="s">
        <v>82</v>
      </c>
      <c r="I72" t="s">
        <v>302</v>
      </c>
      <c r="J72">
        <v>38</v>
      </c>
      <c r="K72" t="s">
        <v>84</v>
      </c>
      <c r="L72" t="s">
        <v>85</v>
      </c>
      <c r="M72" t="s">
        <v>86</v>
      </c>
      <c r="N72">
        <v>3</v>
      </c>
      <c r="O72" s="1">
        <v>44225.536400462966</v>
      </c>
      <c r="P72" s="1">
        <v>44225.545937499999</v>
      </c>
      <c r="Q72">
        <v>367</v>
      </c>
      <c r="R72">
        <v>457</v>
      </c>
      <c r="S72" t="b">
        <v>0</v>
      </c>
      <c r="T72" t="s">
        <v>87</v>
      </c>
      <c r="U72" t="b">
        <v>1</v>
      </c>
      <c r="V72" t="s">
        <v>160</v>
      </c>
      <c r="W72" s="1">
        <v>44225.540393518517</v>
      </c>
      <c r="X72">
        <v>345</v>
      </c>
      <c r="Y72">
        <v>37</v>
      </c>
      <c r="Z72">
        <v>0</v>
      </c>
      <c r="AA72">
        <v>37</v>
      </c>
      <c r="AB72">
        <v>0</v>
      </c>
      <c r="AC72">
        <v>35</v>
      </c>
      <c r="AD72">
        <v>1</v>
      </c>
      <c r="AE72">
        <v>0</v>
      </c>
      <c r="AF72">
        <v>0</v>
      </c>
      <c r="AG72">
        <v>0</v>
      </c>
      <c r="AH72" t="s">
        <v>128</v>
      </c>
      <c r="AI72" s="1">
        <v>44225.543506944443</v>
      </c>
      <c r="AJ72">
        <v>104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 t="s">
        <v>90</v>
      </c>
      <c r="AU72" s="1">
        <v>44225.545937499999</v>
      </c>
      <c r="AV72">
        <v>8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</row>
    <row r="73" spans="1:57" hidden="1" x14ac:dyDescent="0.45">
      <c r="A73" t="s">
        <v>304</v>
      </c>
      <c r="B73" t="s">
        <v>79</v>
      </c>
      <c r="C73" t="s">
        <v>305</v>
      </c>
      <c r="D73" t="s">
        <v>81</v>
      </c>
      <c r="E73" s="2" t="str">
        <f>HYPERLINK("capsilon://?command=openfolder&amp;siteaddress=FAM.docvelocity-na8.net&amp;folderid=FX1668A7E5-4B33-63B3-32BE-EBE758011AFA","FX201013660")</f>
        <v>FX201013660</v>
      </c>
      <c r="F73" t="s">
        <v>19</v>
      </c>
      <c r="G73" t="s">
        <v>19</v>
      </c>
      <c r="H73" t="s">
        <v>82</v>
      </c>
      <c r="I73" t="s">
        <v>306</v>
      </c>
      <c r="J73">
        <v>66</v>
      </c>
      <c r="K73" t="s">
        <v>84</v>
      </c>
      <c r="L73" t="s">
        <v>85</v>
      </c>
      <c r="M73" t="s">
        <v>86</v>
      </c>
      <c r="N73">
        <v>3</v>
      </c>
      <c r="O73" s="1">
        <v>44225.542488425926</v>
      </c>
      <c r="P73" s="1">
        <v>44225.551921296297</v>
      </c>
      <c r="Q73">
        <v>734</v>
      </c>
      <c r="R73">
        <v>81</v>
      </c>
      <c r="S73" t="b">
        <v>0</v>
      </c>
      <c r="T73" t="s">
        <v>87</v>
      </c>
      <c r="U73" t="b">
        <v>0</v>
      </c>
      <c r="V73" t="s">
        <v>255</v>
      </c>
      <c r="W73" s="1">
        <v>44225.543275462966</v>
      </c>
      <c r="X73">
        <v>67</v>
      </c>
      <c r="Y73">
        <v>0</v>
      </c>
      <c r="Z73">
        <v>0</v>
      </c>
      <c r="AA73">
        <v>0</v>
      </c>
      <c r="AB73">
        <v>52</v>
      </c>
      <c r="AC73">
        <v>0</v>
      </c>
      <c r="AD73">
        <v>66</v>
      </c>
      <c r="AE73">
        <v>0</v>
      </c>
      <c r="AF73">
        <v>0</v>
      </c>
      <c r="AG73">
        <v>0</v>
      </c>
      <c r="AH73" t="s">
        <v>128</v>
      </c>
      <c r="AI73" s="1">
        <v>44225.550995370373</v>
      </c>
      <c r="AJ73">
        <v>11</v>
      </c>
      <c r="AK73">
        <v>0</v>
      </c>
      <c r="AL73">
        <v>0</v>
      </c>
      <c r="AM73">
        <v>0</v>
      </c>
      <c r="AN73">
        <v>52</v>
      </c>
      <c r="AO73">
        <v>0</v>
      </c>
      <c r="AP73">
        <v>66</v>
      </c>
      <c r="AQ73">
        <v>0</v>
      </c>
      <c r="AR73">
        <v>0</v>
      </c>
      <c r="AS73">
        <v>0</v>
      </c>
      <c r="AT73" t="s">
        <v>90</v>
      </c>
      <c r="AU73" s="1">
        <v>44225.551921296297</v>
      </c>
      <c r="AV73">
        <v>3</v>
      </c>
      <c r="AW73">
        <v>0</v>
      </c>
      <c r="AX73">
        <v>0</v>
      </c>
      <c r="AY73">
        <v>0</v>
      </c>
      <c r="AZ73">
        <v>52</v>
      </c>
      <c r="BA73">
        <v>0</v>
      </c>
      <c r="BB73">
        <v>66</v>
      </c>
      <c r="BC73">
        <v>0</v>
      </c>
      <c r="BD73">
        <v>0</v>
      </c>
      <c r="BE73">
        <v>0</v>
      </c>
    </row>
    <row r="74" spans="1:57" x14ac:dyDescent="0.45">
      <c r="A74" t="s">
        <v>307</v>
      </c>
      <c r="B74" t="s">
        <v>79</v>
      </c>
      <c r="C74" t="s">
        <v>209</v>
      </c>
      <c r="D74" t="s">
        <v>81</v>
      </c>
      <c r="E74" s="2" t="str">
        <f>HYPERLINK("capsilon://?command=openfolder&amp;siteaddress=FAM.docvelocity-na8.net&amp;folderid=FX2DDBCF15-7061-4BE6-9F57-0C59C38D1085","FX210118774")</f>
        <v>FX210118774</v>
      </c>
      <c r="F74" t="s">
        <v>19</v>
      </c>
      <c r="G74" t="s">
        <v>19</v>
      </c>
      <c r="H74" t="s">
        <v>82</v>
      </c>
      <c r="I74" t="s">
        <v>308</v>
      </c>
      <c r="J74">
        <v>26</v>
      </c>
      <c r="K74" t="s">
        <v>84</v>
      </c>
      <c r="L74" t="s">
        <v>85</v>
      </c>
      <c r="M74" t="s">
        <v>86</v>
      </c>
      <c r="N74">
        <v>3</v>
      </c>
      <c r="O74" s="1">
        <v>44225.551458333335</v>
      </c>
      <c r="P74" s="1">
        <v>44225.559513888889</v>
      </c>
      <c r="Q74">
        <v>434</v>
      </c>
      <c r="R74">
        <v>262</v>
      </c>
      <c r="S74" t="b">
        <v>0</v>
      </c>
      <c r="T74" t="s">
        <v>87</v>
      </c>
      <c r="U74" t="b">
        <v>0</v>
      </c>
      <c r="V74" t="s">
        <v>168</v>
      </c>
      <c r="W74" s="1">
        <v>44225.553726851853</v>
      </c>
      <c r="X74">
        <v>196</v>
      </c>
      <c r="Y74">
        <v>21</v>
      </c>
      <c r="Z74">
        <v>0</v>
      </c>
      <c r="AA74">
        <v>21</v>
      </c>
      <c r="AB74">
        <v>0</v>
      </c>
      <c r="AC74">
        <v>4</v>
      </c>
      <c r="AD74">
        <v>5</v>
      </c>
      <c r="AE74">
        <v>0</v>
      </c>
      <c r="AF74">
        <v>0</v>
      </c>
      <c r="AG74">
        <v>0</v>
      </c>
      <c r="AH74" t="s">
        <v>132</v>
      </c>
      <c r="AI74" s="1">
        <v>44225.554756944446</v>
      </c>
      <c r="AJ74">
        <v>61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5</v>
      </c>
      <c r="AQ74">
        <v>0</v>
      </c>
      <c r="AR74">
        <v>0</v>
      </c>
      <c r="AS74">
        <v>0</v>
      </c>
      <c r="AT74" t="s">
        <v>90</v>
      </c>
      <c r="AU74" s="1">
        <v>44225.559513888889</v>
      </c>
      <c r="AV74">
        <v>5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5</v>
      </c>
      <c r="BC74">
        <v>0</v>
      </c>
      <c r="BD74">
        <v>0</v>
      </c>
      <c r="BE74">
        <v>0</v>
      </c>
    </row>
    <row r="75" spans="1:57" x14ac:dyDescent="0.45">
      <c r="A75" t="s">
        <v>309</v>
      </c>
      <c r="B75" t="s">
        <v>79</v>
      </c>
      <c r="C75" t="s">
        <v>310</v>
      </c>
      <c r="D75" t="s">
        <v>81</v>
      </c>
      <c r="E75" s="2" t="str">
        <f>HYPERLINK("capsilon://?command=openfolder&amp;siteaddress=FAM.docvelocity-na8.net&amp;folderid=FXD28C886E-B96C-599B-A42E-607C33587F6C","FX21014602")</f>
        <v>FX21014602</v>
      </c>
      <c r="F75" t="s">
        <v>19</v>
      </c>
      <c r="G75" t="s">
        <v>19</v>
      </c>
      <c r="H75" t="s">
        <v>82</v>
      </c>
      <c r="I75" t="s">
        <v>311</v>
      </c>
      <c r="J75">
        <v>271</v>
      </c>
      <c r="K75" t="s">
        <v>84</v>
      </c>
      <c r="L75" t="s">
        <v>85</v>
      </c>
      <c r="M75" t="s">
        <v>86</v>
      </c>
      <c r="N75">
        <v>3</v>
      </c>
      <c r="O75" s="1">
        <v>44225.558819444443</v>
      </c>
      <c r="P75" s="1">
        <v>44225.63726851852</v>
      </c>
      <c r="Q75">
        <v>2320</v>
      </c>
      <c r="R75">
        <v>4458</v>
      </c>
      <c r="S75" t="b">
        <v>0</v>
      </c>
      <c r="T75" t="s">
        <v>87</v>
      </c>
      <c r="U75" t="b">
        <v>0</v>
      </c>
      <c r="V75" t="s">
        <v>171</v>
      </c>
      <c r="W75" s="1">
        <v>44225.604988425926</v>
      </c>
      <c r="X75">
        <v>3988</v>
      </c>
      <c r="Y75">
        <v>229</v>
      </c>
      <c r="Z75">
        <v>0</v>
      </c>
      <c r="AA75">
        <v>229</v>
      </c>
      <c r="AB75">
        <v>39</v>
      </c>
      <c r="AC75">
        <v>123</v>
      </c>
      <c r="AD75">
        <v>42</v>
      </c>
      <c r="AE75">
        <v>0</v>
      </c>
      <c r="AF75">
        <v>0</v>
      </c>
      <c r="AG75">
        <v>0</v>
      </c>
      <c r="AH75" t="s">
        <v>132</v>
      </c>
      <c r="AI75" s="1">
        <v>44225.610925925925</v>
      </c>
      <c r="AJ75">
        <v>396</v>
      </c>
      <c r="AK75">
        <v>0</v>
      </c>
      <c r="AL75">
        <v>0</v>
      </c>
      <c r="AM75">
        <v>0</v>
      </c>
      <c r="AN75">
        <v>39</v>
      </c>
      <c r="AO75">
        <v>0</v>
      </c>
      <c r="AP75">
        <v>42</v>
      </c>
      <c r="AQ75">
        <v>0</v>
      </c>
      <c r="AR75">
        <v>0</v>
      </c>
      <c r="AS75">
        <v>0</v>
      </c>
      <c r="AT75" t="s">
        <v>90</v>
      </c>
      <c r="AU75" s="1">
        <v>44225.63726851852</v>
      </c>
      <c r="AV75">
        <v>74</v>
      </c>
      <c r="AW75">
        <v>0</v>
      </c>
      <c r="AX75">
        <v>0</v>
      </c>
      <c r="AY75">
        <v>0</v>
      </c>
      <c r="AZ75">
        <v>39</v>
      </c>
      <c r="BA75">
        <v>0</v>
      </c>
      <c r="BB75">
        <v>42</v>
      </c>
      <c r="BC75">
        <v>0</v>
      </c>
      <c r="BD75">
        <v>0</v>
      </c>
      <c r="BE75">
        <v>0</v>
      </c>
    </row>
    <row r="76" spans="1:57" x14ac:dyDescent="0.45">
      <c r="A76" t="s">
        <v>312</v>
      </c>
      <c r="B76" t="s">
        <v>79</v>
      </c>
      <c r="C76" t="s">
        <v>313</v>
      </c>
      <c r="D76" t="s">
        <v>81</v>
      </c>
      <c r="E76" s="2" t="str">
        <f>HYPERLINK("capsilon://?command=openfolder&amp;siteaddress=FAM.docvelocity-na8.net&amp;folderid=FXABC31742-D1F3-C1C4-1824-A15C1053F1EC","FX201222710")</f>
        <v>FX201222710</v>
      </c>
      <c r="F76" t="s">
        <v>19</v>
      </c>
      <c r="G76" t="s">
        <v>19</v>
      </c>
      <c r="H76" t="s">
        <v>82</v>
      </c>
      <c r="I76" t="s">
        <v>314</v>
      </c>
      <c r="J76">
        <v>250</v>
      </c>
      <c r="K76" t="s">
        <v>84</v>
      </c>
      <c r="L76" t="s">
        <v>85</v>
      </c>
      <c r="M76" t="s">
        <v>86</v>
      </c>
      <c r="N76">
        <v>3</v>
      </c>
      <c r="O76" s="1">
        <v>44225.564340277779</v>
      </c>
      <c r="P76" s="1">
        <v>44225.637592592589</v>
      </c>
      <c r="Q76">
        <v>5038</v>
      </c>
      <c r="R76">
        <v>1291</v>
      </c>
      <c r="S76" t="b">
        <v>0</v>
      </c>
      <c r="T76" t="s">
        <v>87</v>
      </c>
      <c r="U76" t="b">
        <v>0</v>
      </c>
      <c r="V76" t="s">
        <v>255</v>
      </c>
      <c r="W76" s="1">
        <v>44225.575543981482</v>
      </c>
      <c r="X76">
        <v>968</v>
      </c>
      <c r="Y76">
        <v>254</v>
      </c>
      <c r="Z76">
        <v>0</v>
      </c>
      <c r="AA76">
        <v>254</v>
      </c>
      <c r="AB76">
        <v>0</v>
      </c>
      <c r="AC76">
        <v>149</v>
      </c>
      <c r="AD76">
        <v>-4</v>
      </c>
      <c r="AE76">
        <v>0</v>
      </c>
      <c r="AF76">
        <v>0</v>
      </c>
      <c r="AG76">
        <v>0</v>
      </c>
      <c r="AH76" t="s">
        <v>132</v>
      </c>
      <c r="AI76" s="1">
        <v>44225.583715277775</v>
      </c>
      <c r="AJ76">
        <v>288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-4</v>
      </c>
      <c r="AQ76">
        <v>0</v>
      </c>
      <c r="AR76">
        <v>0</v>
      </c>
      <c r="AS76">
        <v>0</v>
      </c>
      <c r="AT76" t="s">
        <v>90</v>
      </c>
      <c r="AU76" s="1">
        <v>44225.637592592589</v>
      </c>
      <c r="AV76">
        <v>28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-4</v>
      </c>
      <c r="BC76">
        <v>0</v>
      </c>
      <c r="BD76">
        <v>0</v>
      </c>
      <c r="BE76">
        <v>0</v>
      </c>
    </row>
    <row r="77" spans="1:57" hidden="1" x14ac:dyDescent="0.45">
      <c r="A77" t="s">
        <v>315</v>
      </c>
      <c r="B77" t="s">
        <v>79</v>
      </c>
      <c r="C77" t="s">
        <v>285</v>
      </c>
      <c r="D77" t="s">
        <v>81</v>
      </c>
      <c r="E77" s="2" t="str">
        <f>HYPERLINK("capsilon://?command=openfolder&amp;siteaddress=FAM.docvelocity-na8.net&amp;folderid=FX2D5E71D1-474C-5A40-734F-6E40DCD221E7","FX20123627")</f>
        <v>FX20123627</v>
      </c>
      <c r="F77" t="s">
        <v>19</v>
      </c>
      <c r="G77" t="s">
        <v>19</v>
      </c>
      <c r="H77" t="s">
        <v>82</v>
      </c>
      <c r="I77" t="s">
        <v>316</v>
      </c>
      <c r="J77">
        <v>66</v>
      </c>
      <c r="K77" t="s">
        <v>84</v>
      </c>
      <c r="L77" t="s">
        <v>85</v>
      </c>
      <c r="M77" t="s">
        <v>86</v>
      </c>
      <c r="N77">
        <v>3</v>
      </c>
      <c r="O77" s="1">
        <v>44225.573414351849</v>
      </c>
      <c r="P77" s="1">
        <v>44225.637638888889</v>
      </c>
      <c r="Q77">
        <v>5410</v>
      </c>
      <c r="R77">
        <v>139</v>
      </c>
      <c r="S77" t="b">
        <v>0</v>
      </c>
      <c r="T77" t="s">
        <v>87</v>
      </c>
      <c r="U77" t="b">
        <v>0</v>
      </c>
      <c r="V77" t="s">
        <v>179</v>
      </c>
      <c r="W77" s="1">
        <v>44225.574791666666</v>
      </c>
      <c r="X77">
        <v>118</v>
      </c>
      <c r="Y77">
        <v>0</v>
      </c>
      <c r="Z77">
        <v>0</v>
      </c>
      <c r="AA77">
        <v>0</v>
      </c>
      <c r="AB77">
        <v>52</v>
      </c>
      <c r="AC77">
        <v>0</v>
      </c>
      <c r="AD77">
        <v>66</v>
      </c>
      <c r="AE77">
        <v>0</v>
      </c>
      <c r="AF77">
        <v>0</v>
      </c>
      <c r="AG77">
        <v>0</v>
      </c>
      <c r="AH77" t="s">
        <v>132</v>
      </c>
      <c r="AI77" s="1">
        <v>44225.575138888889</v>
      </c>
      <c r="AJ77">
        <v>18</v>
      </c>
      <c r="AK77">
        <v>0</v>
      </c>
      <c r="AL77">
        <v>0</v>
      </c>
      <c r="AM77">
        <v>0</v>
      </c>
      <c r="AN77">
        <v>52</v>
      </c>
      <c r="AO77">
        <v>0</v>
      </c>
      <c r="AP77">
        <v>66</v>
      </c>
      <c r="AQ77">
        <v>0</v>
      </c>
      <c r="AR77">
        <v>0</v>
      </c>
      <c r="AS77">
        <v>0</v>
      </c>
      <c r="AT77" t="s">
        <v>90</v>
      </c>
      <c r="AU77" s="1">
        <v>44225.637638888889</v>
      </c>
      <c r="AV77">
        <v>3</v>
      </c>
      <c r="AW77">
        <v>0</v>
      </c>
      <c r="AX77">
        <v>0</v>
      </c>
      <c r="AY77">
        <v>0</v>
      </c>
      <c r="AZ77">
        <v>52</v>
      </c>
      <c r="BA77">
        <v>0</v>
      </c>
      <c r="BB77">
        <v>66</v>
      </c>
      <c r="BC77">
        <v>0</v>
      </c>
      <c r="BD77">
        <v>0</v>
      </c>
      <c r="BE77">
        <v>0</v>
      </c>
    </row>
    <row r="78" spans="1:57" x14ac:dyDescent="0.45">
      <c r="A78" t="s">
        <v>317</v>
      </c>
      <c r="B78" t="s">
        <v>79</v>
      </c>
      <c r="C78" t="s">
        <v>318</v>
      </c>
      <c r="D78" t="s">
        <v>81</v>
      </c>
      <c r="E78" s="2" t="str">
        <f>HYPERLINK("capsilon://?command=openfolder&amp;siteaddress=FAM.docvelocity-na8.net&amp;folderid=FX39A69605-FBB9-947F-8931-86539DBF7CBF","FX210118074")</f>
        <v>FX210118074</v>
      </c>
      <c r="F78" t="s">
        <v>19</v>
      </c>
      <c r="G78" t="s">
        <v>19</v>
      </c>
      <c r="H78" t="s">
        <v>82</v>
      </c>
      <c r="I78" t="s">
        <v>319</v>
      </c>
      <c r="J78">
        <v>66</v>
      </c>
      <c r="K78" t="s">
        <v>84</v>
      </c>
      <c r="L78" t="s">
        <v>85</v>
      </c>
      <c r="M78" t="s">
        <v>86</v>
      </c>
      <c r="N78">
        <v>3</v>
      </c>
      <c r="O78" s="1">
        <v>44225.576608796298</v>
      </c>
      <c r="P78" s="1">
        <v>44225.637916666667</v>
      </c>
      <c r="Q78">
        <v>4640</v>
      </c>
      <c r="R78">
        <v>657</v>
      </c>
      <c r="S78" t="b">
        <v>0</v>
      </c>
      <c r="T78" t="s">
        <v>87</v>
      </c>
      <c r="U78" t="b">
        <v>0</v>
      </c>
      <c r="V78" t="s">
        <v>179</v>
      </c>
      <c r="W78" s="1">
        <v>44225.583194444444</v>
      </c>
      <c r="X78">
        <v>568</v>
      </c>
      <c r="Y78">
        <v>52</v>
      </c>
      <c r="Z78">
        <v>0</v>
      </c>
      <c r="AA78">
        <v>52</v>
      </c>
      <c r="AB78">
        <v>0</v>
      </c>
      <c r="AC78">
        <v>38</v>
      </c>
      <c r="AD78">
        <v>14</v>
      </c>
      <c r="AE78">
        <v>0</v>
      </c>
      <c r="AF78">
        <v>0</v>
      </c>
      <c r="AG78">
        <v>0</v>
      </c>
      <c r="AH78" t="s">
        <v>132</v>
      </c>
      <c r="AI78" s="1">
        <v>44225.584490740737</v>
      </c>
      <c r="AJ78">
        <v>66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14</v>
      </c>
      <c r="AQ78">
        <v>0</v>
      </c>
      <c r="AR78">
        <v>0</v>
      </c>
      <c r="AS78">
        <v>0</v>
      </c>
      <c r="AT78" t="s">
        <v>90</v>
      </c>
      <c r="AU78" s="1">
        <v>44225.637916666667</v>
      </c>
      <c r="AV78">
        <v>23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14</v>
      </c>
      <c r="BC78">
        <v>0</v>
      </c>
      <c r="BD78">
        <v>0</v>
      </c>
      <c r="BE78">
        <v>0</v>
      </c>
    </row>
    <row r="79" spans="1:57" x14ac:dyDescent="0.45">
      <c r="A79" t="s">
        <v>320</v>
      </c>
      <c r="B79" t="s">
        <v>79</v>
      </c>
      <c r="C79" t="s">
        <v>321</v>
      </c>
      <c r="D79" t="s">
        <v>81</v>
      </c>
      <c r="E79" s="2" t="str">
        <f>HYPERLINK("capsilon://?command=openfolder&amp;siteaddress=FAM.docvelocity-na8.net&amp;folderid=FX7513E49C-2685-EB45-82F2-D98DE5E65C0B","FX21016772")</f>
        <v>FX21016772</v>
      </c>
      <c r="F79" t="s">
        <v>19</v>
      </c>
      <c r="G79" t="s">
        <v>19</v>
      </c>
      <c r="H79" t="s">
        <v>82</v>
      </c>
      <c r="I79" t="s">
        <v>322</v>
      </c>
      <c r="J79">
        <v>278</v>
      </c>
      <c r="K79" t="s">
        <v>84</v>
      </c>
      <c r="L79" t="s">
        <v>85</v>
      </c>
      <c r="M79" t="s">
        <v>86</v>
      </c>
      <c r="N79">
        <v>3</v>
      </c>
      <c r="O79" s="1">
        <v>44225.5784375</v>
      </c>
      <c r="P79" s="1">
        <v>44225.640613425923</v>
      </c>
      <c r="Q79">
        <v>2392</v>
      </c>
      <c r="R79">
        <v>2980</v>
      </c>
      <c r="S79" t="b">
        <v>0</v>
      </c>
      <c r="T79" t="s">
        <v>87</v>
      </c>
      <c r="U79" t="b">
        <v>0</v>
      </c>
      <c r="V79" t="s">
        <v>160</v>
      </c>
      <c r="W79" s="1">
        <v>44225.603356481479</v>
      </c>
      <c r="X79">
        <v>2152</v>
      </c>
      <c r="Y79">
        <v>135</v>
      </c>
      <c r="Z79">
        <v>0</v>
      </c>
      <c r="AA79">
        <v>135</v>
      </c>
      <c r="AB79">
        <v>106</v>
      </c>
      <c r="AC79">
        <v>121</v>
      </c>
      <c r="AD79">
        <v>143</v>
      </c>
      <c r="AE79">
        <v>0</v>
      </c>
      <c r="AF79">
        <v>0</v>
      </c>
      <c r="AG79">
        <v>0</v>
      </c>
      <c r="AH79" t="s">
        <v>128</v>
      </c>
      <c r="AI79" s="1">
        <v>44225.614050925928</v>
      </c>
      <c r="AJ79">
        <v>596</v>
      </c>
      <c r="AK79">
        <v>5</v>
      </c>
      <c r="AL79">
        <v>0</v>
      </c>
      <c r="AM79">
        <v>5</v>
      </c>
      <c r="AN79">
        <v>106</v>
      </c>
      <c r="AO79">
        <v>5</v>
      </c>
      <c r="AP79">
        <v>138</v>
      </c>
      <c r="AQ79">
        <v>0</v>
      </c>
      <c r="AR79">
        <v>0</v>
      </c>
      <c r="AS79">
        <v>0</v>
      </c>
      <c r="AT79" t="s">
        <v>90</v>
      </c>
      <c r="AU79" s="1">
        <v>44225.640613425923</v>
      </c>
      <c r="AV79">
        <v>232</v>
      </c>
      <c r="AW79">
        <v>0</v>
      </c>
      <c r="AX79">
        <v>0</v>
      </c>
      <c r="AY79">
        <v>0</v>
      </c>
      <c r="AZ79">
        <v>106</v>
      </c>
      <c r="BA79">
        <v>0</v>
      </c>
      <c r="BB79">
        <v>138</v>
      </c>
      <c r="BC79">
        <v>0</v>
      </c>
      <c r="BD79">
        <v>0</v>
      </c>
      <c r="BE79">
        <v>0</v>
      </c>
    </row>
    <row r="80" spans="1:57" hidden="1" x14ac:dyDescent="0.45">
      <c r="A80" t="s">
        <v>323</v>
      </c>
      <c r="B80" t="s">
        <v>79</v>
      </c>
      <c r="C80" t="s">
        <v>100</v>
      </c>
      <c r="D80" t="s">
        <v>81</v>
      </c>
      <c r="E80" s="2" t="str">
        <f>HYPERLINK("capsilon://?command=openfolder&amp;siteaddress=FAM.docvelocity-na8.net&amp;folderid=FXB90166FC-1BB4-0DB6-C76C-D5B89C33472B","FX201224447")</f>
        <v>FX201224447</v>
      </c>
      <c r="F80" t="s">
        <v>19</v>
      </c>
      <c r="G80" t="s">
        <v>19</v>
      </c>
      <c r="H80" t="s">
        <v>82</v>
      </c>
      <c r="I80" t="s">
        <v>324</v>
      </c>
      <c r="J80">
        <v>66</v>
      </c>
      <c r="K80" t="s">
        <v>84</v>
      </c>
      <c r="L80" t="s">
        <v>85</v>
      </c>
      <c r="M80" t="s">
        <v>86</v>
      </c>
      <c r="N80">
        <v>3</v>
      </c>
      <c r="O80" s="1">
        <v>44225.579525462963</v>
      </c>
      <c r="P80" s="1">
        <v>44225.640659722223</v>
      </c>
      <c r="Q80">
        <v>5218</v>
      </c>
      <c r="R80">
        <v>64</v>
      </c>
      <c r="S80" t="b">
        <v>0</v>
      </c>
      <c r="T80" t="s">
        <v>87</v>
      </c>
      <c r="U80" t="b">
        <v>0</v>
      </c>
      <c r="V80" t="s">
        <v>168</v>
      </c>
      <c r="W80" s="1">
        <v>44225.580138888887</v>
      </c>
      <c r="X80">
        <v>52</v>
      </c>
      <c r="Y80">
        <v>0</v>
      </c>
      <c r="Z80">
        <v>0</v>
      </c>
      <c r="AA80">
        <v>0</v>
      </c>
      <c r="AB80">
        <v>52</v>
      </c>
      <c r="AC80">
        <v>0</v>
      </c>
      <c r="AD80">
        <v>66</v>
      </c>
      <c r="AE80">
        <v>0</v>
      </c>
      <c r="AF80">
        <v>0</v>
      </c>
      <c r="AG80">
        <v>0</v>
      </c>
      <c r="AH80" t="s">
        <v>132</v>
      </c>
      <c r="AI80" s="1">
        <v>44225.584594907406</v>
      </c>
      <c r="AJ80">
        <v>8</v>
      </c>
      <c r="AK80">
        <v>0</v>
      </c>
      <c r="AL80">
        <v>0</v>
      </c>
      <c r="AM80">
        <v>0</v>
      </c>
      <c r="AN80">
        <v>52</v>
      </c>
      <c r="AO80">
        <v>0</v>
      </c>
      <c r="AP80">
        <v>66</v>
      </c>
      <c r="AQ80">
        <v>0</v>
      </c>
      <c r="AR80">
        <v>0</v>
      </c>
      <c r="AS80">
        <v>0</v>
      </c>
      <c r="AT80" t="s">
        <v>90</v>
      </c>
      <c r="AU80" s="1">
        <v>44225.640659722223</v>
      </c>
      <c r="AV80">
        <v>4</v>
      </c>
      <c r="AW80">
        <v>0</v>
      </c>
      <c r="AX80">
        <v>0</v>
      </c>
      <c r="AY80">
        <v>0</v>
      </c>
      <c r="AZ80">
        <v>52</v>
      </c>
      <c r="BA80">
        <v>0</v>
      </c>
      <c r="BB80">
        <v>66</v>
      </c>
      <c r="BC80">
        <v>0</v>
      </c>
      <c r="BD80">
        <v>0</v>
      </c>
      <c r="BE80">
        <v>0</v>
      </c>
    </row>
    <row r="81" spans="1:57" x14ac:dyDescent="0.45">
      <c r="A81" t="s">
        <v>325</v>
      </c>
      <c r="B81" t="s">
        <v>79</v>
      </c>
      <c r="C81" t="s">
        <v>326</v>
      </c>
      <c r="D81" t="s">
        <v>81</v>
      </c>
      <c r="E81" s="2" t="str">
        <f>HYPERLINK("capsilon://?command=openfolder&amp;siteaddress=FAM.docvelocity-na8.net&amp;folderid=FX3BF4975A-982D-D67F-A18D-9DC38CA4C521","FX210114390")</f>
        <v>FX210114390</v>
      </c>
      <c r="F81" t="s">
        <v>19</v>
      </c>
      <c r="G81" t="s">
        <v>19</v>
      </c>
      <c r="H81" t="s">
        <v>82</v>
      </c>
      <c r="I81" t="s">
        <v>327</v>
      </c>
      <c r="J81">
        <v>66</v>
      </c>
      <c r="K81" t="s">
        <v>84</v>
      </c>
      <c r="L81" t="s">
        <v>85</v>
      </c>
      <c r="M81" t="s">
        <v>86</v>
      </c>
      <c r="N81">
        <v>3</v>
      </c>
      <c r="O81" s="1">
        <v>44225.581006944441</v>
      </c>
      <c r="P81" s="1">
        <v>44225.640949074077</v>
      </c>
      <c r="Q81">
        <v>4061</v>
      </c>
      <c r="R81">
        <v>1118</v>
      </c>
      <c r="S81" t="b">
        <v>0</v>
      </c>
      <c r="T81" t="s">
        <v>87</v>
      </c>
      <c r="U81" t="b">
        <v>0</v>
      </c>
      <c r="V81" t="s">
        <v>168</v>
      </c>
      <c r="W81" s="1">
        <v>44225.590254629627</v>
      </c>
      <c r="X81">
        <v>798</v>
      </c>
      <c r="Y81">
        <v>52</v>
      </c>
      <c r="Z81">
        <v>0</v>
      </c>
      <c r="AA81">
        <v>52</v>
      </c>
      <c r="AB81">
        <v>0</v>
      </c>
      <c r="AC81">
        <v>42</v>
      </c>
      <c r="AD81">
        <v>14</v>
      </c>
      <c r="AE81">
        <v>0</v>
      </c>
      <c r="AF81">
        <v>0</v>
      </c>
      <c r="AG81">
        <v>0</v>
      </c>
      <c r="AH81" t="s">
        <v>132</v>
      </c>
      <c r="AI81" s="1">
        <v>44225.595671296294</v>
      </c>
      <c r="AJ81">
        <v>295</v>
      </c>
      <c r="AK81">
        <v>2</v>
      </c>
      <c r="AL81">
        <v>0</v>
      </c>
      <c r="AM81">
        <v>2</v>
      </c>
      <c r="AN81">
        <v>0</v>
      </c>
      <c r="AO81">
        <v>1</v>
      </c>
      <c r="AP81">
        <v>12</v>
      </c>
      <c r="AQ81">
        <v>0</v>
      </c>
      <c r="AR81">
        <v>0</v>
      </c>
      <c r="AS81">
        <v>0</v>
      </c>
      <c r="AT81" t="s">
        <v>90</v>
      </c>
      <c r="AU81" s="1">
        <v>44225.640949074077</v>
      </c>
      <c r="AV81">
        <v>25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12</v>
      </c>
      <c r="BC81">
        <v>0</v>
      </c>
      <c r="BD81">
        <v>0</v>
      </c>
      <c r="BE81">
        <v>0</v>
      </c>
    </row>
    <row r="82" spans="1:57" x14ac:dyDescent="0.45">
      <c r="A82" t="s">
        <v>328</v>
      </c>
      <c r="B82" t="s">
        <v>79</v>
      </c>
      <c r="C82" t="s">
        <v>329</v>
      </c>
      <c r="D82" t="s">
        <v>81</v>
      </c>
      <c r="E82" s="2" t="str">
        <f>HYPERLINK("capsilon://?command=openfolder&amp;siteaddress=FAM.docvelocity-na8.net&amp;folderid=FX0BD32A85-A619-C74A-F14E-C9072E4F6F4C","FX210119838")</f>
        <v>FX210119838</v>
      </c>
      <c r="F82" t="s">
        <v>19</v>
      </c>
      <c r="G82" t="s">
        <v>19</v>
      </c>
      <c r="H82" t="s">
        <v>82</v>
      </c>
      <c r="I82" t="s">
        <v>330</v>
      </c>
      <c r="J82">
        <v>312</v>
      </c>
      <c r="K82" t="s">
        <v>84</v>
      </c>
      <c r="L82" t="s">
        <v>85</v>
      </c>
      <c r="M82" t="s">
        <v>86</v>
      </c>
      <c r="N82">
        <v>3</v>
      </c>
      <c r="O82" s="1">
        <v>44225.583541666667</v>
      </c>
      <c r="P82" s="1">
        <v>44225.641504629632</v>
      </c>
      <c r="Q82">
        <v>1766</v>
      </c>
      <c r="R82">
        <v>3242</v>
      </c>
      <c r="S82" t="b">
        <v>0</v>
      </c>
      <c r="T82" t="s">
        <v>87</v>
      </c>
      <c r="U82" t="b">
        <v>0</v>
      </c>
      <c r="V82" t="s">
        <v>179</v>
      </c>
      <c r="W82" s="1">
        <v>44225.614421296297</v>
      </c>
      <c r="X82">
        <v>2664</v>
      </c>
      <c r="Y82">
        <v>209</v>
      </c>
      <c r="Z82">
        <v>0</v>
      </c>
      <c r="AA82">
        <v>209</v>
      </c>
      <c r="AB82">
        <v>21</v>
      </c>
      <c r="AC82">
        <v>125</v>
      </c>
      <c r="AD82">
        <v>103</v>
      </c>
      <c r="AE82">
        <v>0</v>
      </c>
      <c r="AF82">
        <v>0</v>
      </c>
      <c r="AG82">
        <v>0</v>
      </c>
      <c r="AH82" t="s">
        <v>132</v>
      </c>
      <c r="AI82" s="1">
        <v>44225.635138888887</v>
      </c>
      <c r="AJ82">
        <v>531</v>
      </c>
      <c r="AK82">
        <v>4</v>
      </c>
      <c r="AL82">
        <v>0</v>
      </c>
      <c r="AM82">
        <v>4</v>
      </c>
      <c r="AN82">
        <v>21</v>
      </c>
      <c r="AO82">
        <v>3</v>
      </c>
      <c r="AP82">
        <v>99</v>
      </c>
      <c r="AQ82">
        <v>0</v>
      </c>
      <c r="AR82">
        <v>0</v>
      </c>
      <c r="AS82">
        <v>0</v>
      </c>
      <c r="AT82" t="s">
        <v>90</v>
      </c>
      <c r="AU82" s="1">
        <v>44225.641504629632</v>
      </c>
      <c r="AV82">
        <v>47</v>
      </c>
      <c r="AW82">
        <v>0</v>
      </c>
      <c r="AX82">
        <v>0</v>
      </c>
      <c r="AY82">
        <v>0</v>
      </c>
      <c r="AZ82">
        <v>21</v>
      </c>
      <c r="BA82">
        <v>0</v>
      </c>
      <c r="BB82">
        <v>99</v>
      </c>
      <c r="BC82">
        <v>0</v>
      </c>
      <c r="BD82">
        <v>0</v>
      </c>
      <c r="BE82">
        <v>0</v>
      </c>
    </row>
    <row r="83" spans="1:57" hidden="1" x14ac:dyDescent="0.45">
      <c r="A83" t="s">
        <v>331</v>
      </c>
      <c r="B83" t="s">
        <v>79</v>
      </c>
      <c r="C83" t="s">
        <v>253</v>
      </c>
      <c r="D83" t="s">
        <v>81</v>
      </c>
      <c r="E83" s="2" t="str">
        <f>HYPERLINK("capsilon://?command=openfolder&amp;siteaddress=FAM.docvelocity-na8.net&amp;folderid=FXE3B3A21A-78D5-14EE-2F6A-8CC9BE6AB349","FX201114524")</f>
        <v>FX201114524</v>
      </c>
      <c r="F83" t="s">
        <v>19</v>
      </c>
      <c r="G83" t="s">
        <v>19</v>
      </c>
      <c r="H83" t="s">
        <v>82</v>
      </c>
      <c r="I83" t="s">
        <v>332</v>
      </c>
      <c r="J83">
        <v>66</v>
      </c>
      <c r="K83" t="s">
        <v>84</v>
      </c>
      <c r="L83" t="s">
        <v>85</v>
      </c>
      <c r="M83" t="s">
        <v>86</v>
      </c>
      <c r="N83">
        <v>1</v>
      </c>
      <c r="O83" s="1">
        <v>44225.586122685185</v>
      </c>
      <c r="P83" s="1">
        <v>44225.587245370371</v>
      </c>
      <c r="Q83">
        <v>1</v>
      </c>
      <c r="R83">
        <v>96</v>
      </c>
      <c r="S83" t="b">
        <v>0</v>
      </c>
      <c r="T83" t="s">
        <v>87</v>
      </c>
      <c r="U83" t="b">
        <v>0</v>
      </c>
      <c r="V83" t="s">
        <v>146</v>
      </c>
      <c r="W83" s="1">
        <v>44225.587245370371</v>
      </c>
      <c r="X83">
        <v>96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66</v>
      </c>
      <c r="AE83">
        <v>52</v>
      </c>
      <c r="AF83">
        <v>0</v>
      </c>
      <c r="AG83">
        <v>1</v>
      </c>
      <c r="AH83" t="s">
        <v>87</v>
      </c>
      <c r="AI83" t="s">
        <v>87</v>
      </c>
      <c r="AJ83" t="s">
        <v>87</v>
      </c>
      <c r="AK83" t="s">
        <v>87</v>
      </c>
      <c r="AL83" t="s">
        <v>87</v>
      </c>
      <c r="AM83" t="s">
        <v>87</v>
      </c>
      <c r="AN83" t="s">
        <v>87</v>
      </c>
      <c r="AO83" t="s">
        <v>87</v>
      </c>
      <c r="AP83" t="s">
        <v>87</v>
      </c>
      <c r="AQ83" t="s">
        <v>87</v>
      </c>
      <c r="AR83" t="s">
        <v>87</v>
      </c>
      <c r="AS83" t="s">
        <v>87</v>
      </c>
      <c r="AT83" t="s">
        <v>87</v>
      </c>
      <c r="AU83" t="s">
        <v>87</v>
      </c>
      <c r="AV83" t="s">
        <v>87</v>
      </c>
      <c r="AW83" t="s">
        <v>87</v>
      </c>
      <c r="AX83" t="s">
        <v>87</v>
      </c>
      <c r="AY83" t="s">
        <v>87</v>
      </c>
      <c r="AZ83" t="s">
        <v>87</v>
      </c>
      <c r="BA83" t="s">
        <v>87</v>
      </c>
      <c r="BB83" t="s">
        <v>87</v>
      </c>
      <c r="BC83" t="s">
        <v>87</v>
      </c>
      <c r="BD83" t="s">
        <v>87</v>
      </c>
      <c r="BE83" t="s">
        <v>87</v>
      </c>
    </row>
    <row r="84" spans="1:57" hidden="1" x14ac:dyDescent="0.45">
      <c r="A84" t="s">
        <v>333</v>
      </c>
      <c r="B84" t="s">
        <v>79</v>
      </c>
      <c r="C84" t="s">
        <v>253</v>
      </c>
      <c r="D84" t="s">
        <v>81</v>
      </c>
      <c r="E84" s="2" t="str">
        <f>HYPERLINK("capsilon://?command=openfolder&amp;siteaddress=FAM.docvelocity-na8.net&amp;folderid=FXE3B3A21A-78D5-14EE-2F6A-8CC9BE6AB349","FX201114524")</f>
        <v>FX201114524</v>
      </c>
      <c r="F84" t="s">
        <v>19</v>
      </c>
      <c r="G84" t="s">
        <v>19</v>
      </c>
      <c r="H84" t="s">
        <v>82</v>
      </c>
      <c r="I84" t="s">
        <v>334</v>
      </c>
      <c r="J84">
        <v>66</v>
      </c>
      <c r="K84" t="s">
        <v>84</v>
      </c>
      <c r="L84" t="s">
        <v>85</v>
      </c>
      <c r="M84" t="s">
        <v>86</v>
      </c>
      <c r="N84">
        <v>1</v>
      </c>
      <c r="O84" s="1">
        <v>44225.586886574078</v>
      </c>
      <c r="P84" s="1">
        <v>44225.587800925925</v>
      </c>
      <c r="Q84">
        <v>1</v>
      </c>
      <c r="R84">
        <v>78</v>
      </c>
      <c r="S84" t="b">
        <v>0</v>
      </c>
      <c r="T84" t="s">
        <v>87</v>
      </c>
      <c r="U84" t="b">
        <v>0</v>
      </c>
      <c r="V84" t="s">
        <v>142</v>
      </c>
      <c r="W84" s="1">
        <v>44225.587800925925</v>
      </c>
      <c r="X84">
        <v>78</v>
      </c>
      <c r="Y84">
        <v>0</v>
      </c>
      <c r="Z84">
        <v>0</v>
      </c>
      <c r="AA84">
        <v>0</v>
      </c>
      <c r="AB84">
        <v>0</v>
      </c>
      <c r="AC84">
        <v>0</v>
      </c>
      <c r="AD84">
        <v>66</v>
      </c>
      <c r="AE84">
        <v>52</v>
      </c>
      <c r="AF84">
        <v>0</v>
      </c>
      <c r="AG84">
        <v>1</v>
      </c>
      <c r="AH84" t="s">
        <v>87</v>
      </c>
      <c r="AI84" t="s">
        <v>87</v>
      </c>
      <c r="AJ84" t="s">
        <v>87</v>
      </c>
      <c r="AK84" t="s">
        <v>87</v>
      </c>
      <c r="AL84" t="s">
        <v>87</v>
      </c>
      <c r="AM84" t="s">
        <v>87</v>
      </c>
      <c r="AN84" t="s">
        <v>87</v>
      </c>
      <c r="AO84" t="s">
        <v>87</v>
      </c>
      <c r="AP84" t="s">
        <v>87</v>
      </c>
      <c r="AQ84" t="s">
        <v>87</v>
      </c>
      <c r="AR84" t="s">
        <v>87</v>
      </c>
      <c r="AS84" t="s">
        <v>87</v>
      </c>
      <c r="AT84" t="s">
        <v>87</v>
      </c>
      <c r="AU84" t="s">
        <v>87</v>
      </c>
      <c r="AV84" t="s">
        <v>87</v>
      </c>
      <c r="AW84" t="s">
        <v>87</v>
      </c>
      <c r="AX84" t="s">
        <v>87</v>
      </c>
      <c r="AY84" t="s">
        <v>87</v>
      </c>
      <c r="AZ84" t="s">
        <v>87</v>
      </c>
      <c r="BA84" t="s">
        <v>87</v>
      </c>
      <c r="BB84" t="s">
        <v>87</v>
      </c>
      <c r="BC84" t="s">
        <v>87</v>
      </c>
      <c r="BD84" t="s">
        <v>87</v>
      </c>
      <c r="BE84" t="s">
        <v>87</v>
      </c>
    </row>
    <row r="85" spans="1:57" x14ac:dyDescent="0.45">
      <c r="A85" t="s">
        <v>335</v>
      </c>
      <c r="B85" t="s">
        <v>79</v>
      </c>
      <c r="C85" t="s">
        <v>253</v>
      </c>
      <c r="D85" t="s">
        <v>81</v>
      </c>
      <c r="E85" s="2" t="str">
        <f>HYPERLINK("capsilon://?command=openfolder&amp;siteaddress=FAM.docvelocity-na8.net&amp;folderid=FXE3B3A21A-78D5-14EE-2F6A-8CC9BE6AB349","FX201114524")</f>
        <v>FX201114524</v>
      </c>
      <c r="F85" t="s">
        <v>19</v>
      </c>
      <c r="G85" t="s">
        <v>19</v>
      </c>
      <c r="H85" t="s">
        <v>82</v>
      </c>
      <c r="I85" t="s">
        <v>332</v>
      </c>
      <c r="J85">
        <v>38</v>
      </c>
      <c r="K85" t="s">
        <v>84</v>
      </c>
      <c r="L85" t="s">
        <v>85</v>
      </c>
      <c r="M85" t="s">
        <v>86</v>
      </c>
      <c r="N85">
        <v>3</v>
      </c>
      <c r="O85" s="1">
        <v>44225.587465277778</v>
      </c>
      <c r="P85" s="1">
        <v>44225.605567129627</v>
      </c>
      <c r="Q85">
        <v>873</v>
      </c>
      <c r="R85">
        <v>691</v>
      </c>
      <c r="S85" t="b">
        <v>0</v>
      </c>
      <c r="T85" t="s">
        <v>87</v>
      </c>
      <c r="U85" t="b">
        <v>1</v>
      </c>
      <c r="V85" t="s">
        <v>146</v>
      </c>
      <c r="W85" s="1">
        <v>44225.594629629632</v>
      </c>
      <c r="X85">
        <v>618</v>
      </c>
      <c r="Y85">
        <v>37</v>
      </c>
      <c r="Z85">
        <v>0</v>
      </c>
      <c r="AA85">
        <v>37</v>
      </c>
      <c r="AB85">
        <v>0</v>
      </c>
      <c r="AC85">
        <v>35</v>
      </c>
      <c r="AD85">
        <v>1</v>
      </c>
      <c r="AE85">
        <v>0</v>
      </c>
      <c r="AF85">
        <v>0</v>
      </c>
      <c r="AG85">
        <v>0</v>
      </c>
      <c r="AH85" t="s">
        <v>132</v>
      </c>
      <c r="AI85" s="1">
        <v>44225.596412037034</v>
      </c>
      <c r="AJ85">
        <v>64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 t="s">
        <v>90</v>
      </c>
      <c r="AU85" s="1">
        <v>44225.605567129627</v>
      </c>
      <c r="AV85">
        <v>9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</row>
    <row r="86" spans="1:57" x14ac:dyDescent="0.45">
      <c r="A86" t="s">
        <v>336</v>
      </c>
      <c r="B86" t="s">
        <v>79</v>
      </c>
      <c r="C86" t="s">
        <v>253</v>
      </c>
      <c r="D86" t="s">
        <v>81</v>
      </c>
      <c r="E86" s="2" t="str">
        <f>HYPERLINK("capsilon://?command=openfolder&amp;siteaddress=FAM.docvelocity-na8.net&amp;folderid=FXE3B3A21A-78D5-14EE-2F6A-8CC9BE6AB349","FX201114524")</f>
        <v>FX201114524</v>
      </c>
      <c r="F86" t="s">
        <v>19</v>
      </c>
      <c r="G86" t="s">
        <v>19</v>
      </c>
      <c r="H86" t="s">
        <v>82</v>
      </c>
      <c r="I86" t="s">
        <v>334</v>
      </c>
      <c r="J86">
        <v>38</v>
      </c>
      <c r="K86" t="s">
        <v>84</v>
      </c>
      <c r="L86" t="s">
        <v>85</v>
      </c>
      <c r="M86" t="s">
        <v>86</v>
      </c>
      <c r="N86">
        <v>3</v>
      </c>
      <c r="O86" s="1">
        <v>44225.588067129633</v>
      </c>
      <c r="P86" s="1">
        <v>44225.605636574073</v>
      </c>
      <c r="Q86">
        <v>986</v>
      </c>
      <c r="R86">
        <v>532</v>
      </c>
      <c r="S86" t="b">
        <v>0</v>
      </c>
      <c r="T86" t="s">
        <v>87</v>
      </c>
      <c r="U86" t="b">
        <v>1</v>
      </c>
      <c r="V86" t="s">
        <v>142</v>
      </c>
      <c r="W86" s="1">
        <v>44225.593449074076</v>
      </c>
      <c r="X86">
        <v>463</v>
      </c>
      <c r="Y86">
        <v>37</v>
      </c>
      <c r="Z86">
        <v>0</v>
      </c>
      <c r="AA86">
        <v>37</v>
      </c>
      <c r="AB86">
        <v>0</v>
      </c>
      <c r="AC86">
        <v>34</v>
      </c>
      <c r="AD86">
        <v>1</v>
      </c>
      <c r="AE86">
        <v>0</v>
      </c>
      <c r="AF86">
        <v>0</v>
      </c>
      <c r="AG86">
        <v>0</v>
      </c>
      <c r="AH86" t="s">
        <v>132</v>
      </c>
      <c r="AI86" s="1">
        <v>44225.59715277778</v>
      </c>
      <c r="AJ86">
        <v>63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 t="s">
        <v>90</v>
      </c>
      <c r="AU86" s="1">
        <v>44225.605636574073</v>
      </c>
      <c r="AV86">
        <v>6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</row>
    <row r="87" spans="1:57" hidden="1" x14ac:dyDescent="0.45">
      <c r="A87" t="s">
        <v>337</v>
      </c>
      <c r="B87" t="s">
        <v>79</v>
      </c>
      <c r="C87" t="s">
        <v>338</v>
      </c>
      <c r="D87" t="s">
        <v>81</v>
      </c>
      <c r="E87" s="2" t="str">
        <f>HYPERLINK("capsilon://?command=openfolder&amp;siteaddress=FAM.docvelocity-na8.net&amp;folderid=FX35A6CCCA-E6F2-F563-65F0-E66B6287601E","FX210120253")</f>
        <v>FX210120253</v>
      </c>
      <c r="F87" t="s">
        <v>19</v>
      </c>
      <c r="G87" t="s">
        <v>19</v>
      </c>
      <c r="H87" t="s">
        <v>82</v>
      </c>
      <c r="I87" t="s">
        <v>339</v>
      </c>
      <c r="J87">
        <v>362</v>
      </c>
      <c r="K87" t="s">
        <v>84</v>
      </c>
      <c r="L87" t="s">
        <v>85</v>
      </c>
      <c r="M87" t="s">
        <v>86</v>
      </c>
      <c r="N87">
        <v>1</v>
      </c>
      <c r="O87" s="1">
        <v>44225.589224537034</v>
      </c>
      <c r="P87" s="1">
        <v>44225.592997685184</v>
      </c>
      <c r="Q87">
        <v>8</v>
      </c>
      <c r="R87">
        <v>318</v>
      </c>
      <c r="S87" t="b">
        <v>0</v>
      </c>
      <c r="T87" t="s">
        <v>87</v>
      </c>
      <c r="U87" t="b">
        <v>0</v>
      </c>
      <c r="V87" t="s">
        <v>242</v>
      </c>
      <c r="W87" s="1">
        <v>44225.592997685184</v>
      </c>
      <c r="X87">
        <v>318</v>
      </c>
      <c r="Y87">
        <v>37</v>
      </c>
      <c r="Z87">
        <v>0</v>
      </c>
      <c r="AA87">
        <v>37</v>
      </c>
      <c r="AB87">
        <v>0</v>
      </c>
      <c r="AC87">
        <v>0</v>
      </c>
      <c r="AD87">
        <v>325</v>
      </c>
      <c r="AE87">
        <v>293</v>
      </c>
      <c r="AF87">
        <v>0</v>
      </c>
      <c r="AG87">
        <v>8</v>
      </c>
      <c r="AH87" t="s">
        <v>87</v>
      </c>
      <c r="AI87" t="s">
        <v>87</v>
      </c>
      <c r="AJ87" t="s">
        <v>87</v>
      </c>
      <c r="AK87" t="s">
        <v>87</v>
      </c>
      <c r="AL87" t="s">
        <v>87</v>
      </c>
      <c r="AM87" t="s">
        <v>87</v>
      </c>
      <c r="AN87" t="s">
        <v>87</v>
      </c>
      <c r="AO87" t="s">
        <v>87</v>
      </c>
      <c r="AP87" t="s">
        <v>87</v>
      </c>
      <c r="AQ87" t="s">
        <v>87</v>
      </c>
      <c r="AR87" t="s">
        <v>87</v>
      </c>
      <c r="AS87" t="s">
        <v>87</v>
      </c>
      <c r="AT87" t="s">
        <v>87</v>
      </c>
      <c r="AU87" t="s">
        <v>87</v>
      </c>
      <c r="AV87" t="s">
        <v>87</v>
      </c>
      <c r="AW87" t="s">
        <v>87</v>
      </c>
      <c r="AX87" t="s">
        <v>87</v>
      </c>
      <c r="AY87" t="s">
        <v>87</v>
      </c>
      <c r="AZ87" t="s">
        <v>87</v>
      </c>
      <c r="BA87" t="s">
        <v>87</v>
      </c>
      <c r="BB87" t="s">
        <v>87</v>
      </c>
      <c r="BC87" t="s">
        <v>87</v>
      </c>
      <c r="BD87" t="s">
        <v>87</v>
      </c>
      <c r="BE87" t="s">
        <v>87</v>
      </c>
    </row>
    <row r="88" spans="1:57" x14ac:dyDescent="0.45">
      <c r="A88" t="s">
        <v>340</v>
      </c>
      <c r="B88" t="s">
        <v>79</v>
      </c>
      <c r="C88" t="s">
        <v>341</v>
      </c>
      <c r="D88" t="s">
        <v>81</v>
      </c>
      <c r="E88" s="2" t="str">
        <f>HYPERLINK("capsilon://?command=openfolder&amp;siteaddress=FAM.docvelocity-na8.net&amp;folderid=FX3786D0CE-A0A4-9E49-250B-D73DB6FEC6DC","FX20122432")</f>
        <v>FX20122432</v>
      </c>
      <c r="F88" t="s">
        <v>19</v>
      </c>
      <c r="G88" t="s">
        <v>19</v>
      </c>
      <c r="H88" t="s">
        <v>82</v>
      </c>
      <c r="I88" t="s">
        <v>342</v>
      </c>
      <c r="J88">
        <v>77</v>
      </c>
      <c r="K88" t="s">
        <v>84</v>
      </c>
      <c r="L88" t="s">
        <v>85</v>
      </c>
      <c r="M88" t="s">
        <v>86</v>
      </c>
      <c r="N88">
        <v>3</v>
      </c>
      <c r="O88" s="1">
        <v>44225.591921296298</v>
      </c>
      <c r="P88" s="1">
        <v>44225.64230324074</v>
      </c>
      <c r="Q88">
        <v>2757</v>
      </c>
      <c r="R88">
        <v>1596</v>
      </c>
      <c r="S88" t="b">
        <v>0</v>
      </c>
      <c r="T88" t="s">
        <v>87</v>
      </c>
      <c r="U88" t="b">
        <v>0</v>
      </c>
      <c r="V88" t="s">
        <v>343</v>
      </c>
      <c r="W88" s="1">
        <v>44225.608136574076</v>
      </c>
      <c r="X88">
        <v>1384</v>
      </c>
      <c r="Y88">
        <v>83</v>
      </c>
      <c r="Z88">
        <v>0</v>
      </c>
      <c r="AA88">
        <v>83</v>
      </c>
      <c r="AB88">
        <v>0</v>
      </c>
      <c r="AC88">
        <v>70</v>
      </c>
      <c r="AD88">
        <v>-6</v>
      </c>
      <c r="AE88">
        <v>0</v>
      </c>
      <c r="AF88">
        <v>0</v>
      </c>
      <c r="AG88">
        <v>0</v>
      </c>
      <c r="AH88" t="s">
        <v>132</v>
      </c>
      <c r="AI88" s="1">
        <v>44225.612604166665</v>
      </c>
      <c r="AJ88">
        <v>144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-6</v>
      </c>
      <c r="AQ88">
        <v>0</v>
      </c>
      <c r="AR88">
        <v>0</v>
      </c>
      <c r="AS88">
        <v>0</v>
      </c>
      <c r="AT88" t="s">
        <v>90</v>
      </c>
      <c r="AU88" s="1">
        <v>44225.64230324074</v>
      </c>
      <c r="AV88">
        <v>68</v>
      </c>
      <c r="AW88">
        <v>1</v>
      </c>
      <c r="AX88">
        <v>0</v>
      </c>
      <c r="AY88">
        <v>1</v>
      </c>
      <c r="AZ88">
        <v>0</v>
      </c>
      <c r="BA88">
        <v>1</v>
      </c>
      <c r="BB88">
        <v>-7</v>
      </c>
      <c r="BC88">
        <v>0</v>
      </c>
      <c r="BD88">
        <v>0</v>
      </c>
      <c r="BE88">
        <v>0</v>
      </c>
    </row>
    <row r="89" spans="1:57" x14ac:dyDescent="0.45">
      <c r="A89" t="s">
        <v>344</v>
      </c>
      <c r="B89" t="s">
        <v>79</v>
      </c>
      <c r="C89" t="s">
        <v>338</v>
      </c>
      <c r="D89" t="s">
        <v>81</v>
      </c>
      <c r="E89" s="2" t="str">
        <f>HYPERLINK("capsilon://?command=openfolder&amp;siteaddress=FAM.docvelocity-na8.net&amp;folderid=FX35A6CCCA-E6F2-F563-65F0-E66B6287601E","FX210120253")</f>
        <v>FX210120253</v>
      </c>
      <c r="F89" t="s">
        <v>19</v>
      </c>
      <c r="G89" t="s">
        <v>19</v>
      </c>
      <c r="H89" t="s">
        <v>82</v>
      </c>
      <c r="I89" t="s">
        <v>339</v>
      </c>
      <c r="J89">
        <v>381</v>
      </c>
      <c r="K89" t="s">
        <v>84</v>
      </c>
      <c r="L89" t="s">
        <v>85</v>
      </c>
      <c r="M89" t="s">
        <v>86</v>
      </c>
      <c r="N89">
        <v>3</v>
      </c>
      <c r="O89" s="1">
        <v>44225.59443287037</v>
      </c>
      <c r="P89" s="1">
        <v>44225.635868055557</v>
      </c>
      <c r="Q89">
        <v>797</v>
      </c>
      <c r="R89">
        <v>2783</v>
      </c>
      <c r="S89" t="b">
        <v>0</v>
      </c>
      <c r="T89" t="s">
        <v>87</v>
      </c>
      <c r="U89" t="b">
        <v>1</v>
      </c>
      <c r="V89" t="s">
        <v>168</v>
      </c>
      <c r="W89" s="1">
        <v>44225.620972222219</v>
      </c>
      <c r="X89">
        <v>2185</v>
      </c>
      <c r="Y89">
        <v>315</v>
      </c>
      <c r="Z89">
        <v>0</v>
      </c>
      <c r="AA89">
        <v>315</v>
      </c>
      <c r="AB89">
        <v>0</v>
      </c>
      <c r="AC89">
        <v>141</v>
      </c>
      <c r="AD89">
        <v>66</v>
      </c>
      <c r="AE89">
        <v>0</v>
      </c>
      <c r="AF89">
        <v>0</v>
      </c>
      <c r="AG89">
        <v>0</v>
      </c>
      <c r="AH89" t="s">
        <v>132</v>
      </c>
      <c r="AI89" s="1">
        <v>44225.628981481481</v>
      </c>
      <c r="AJ89">
        <v>457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66</v>
      </c>
      <c r="AQ89">
        <v>0</v>
      </c>
      <c r="AR89">
        <v>0</v>
      </c>
      <c r="AS89">
        <v>0</v>
      </c>
      <c r="AT89" t="s">
        <v>90</v>
      </c>
      <c r="AU89" s="1">
        <v>44225.635868055557</v>
      </c>
      <c r="AV89">
        <v>35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66</v>
      </c>
      <c r="BC89">
        <v>0</v>
      </c>
      <c r="BD89">
        <v>0</v>
      </c>
      <c r="BE89">
        <v>0</v>
      </c>
    </row>
    <row r="90" spans="1:57" hidden="1" x14ac:dyDescent="0.45">
      <c r="A90" t="s">
        <v>345</v>
      </c>
      <c r="B90" t="s">
        <v>79</v>
      </c>
      <c r="C90" t="s">
        <v>346</v>
      </c>
      <c r="D90" t="s">
        <v>81</v>
      </c>
      <c r="E90" s="2" t="str">
        <f>HYPERLINK("capsilon://?command=openfolder&amp;siteaddress=FAM.docvelocity-na8.net&amp;folderid=FX463D5318-D956-0F6F-56FC-642CE044B762","FX20121355")</f>
        <v>FX20121355</v>
      </c>
      <c r="F90" t="s">
        <v>19</v>
      </c>
      <c r="G90" t="s">
        <v>19</v>
      </c>
      <c r="H90" t="s">
        <v>82</v>
      </c>
      <c r="I90" t="s">
        <v>347</v>
      </c>
      <c r="J90">
        <v>66</v>
      </c>
      <c r="K90" t="s">
        <v>84</v>
      </c>
      <c r="L90" t="s">
        <v>85</v>
      </c>
      <c r="M90" t="s">
        <v>86</v>
      </c>
      <c r="N90">
        <v>3</v>
      </c>
      <c r="O90" s="1">
        <v>44225.59784722222</v>
      </c>
      <c r="P90" s="1">
        <v>44225.642337962963</v>
      </c>
      <c r="Q90">
        <v>3762</v>
      </c>
      <c r="R90">
        <v>82</v>
      </c>
      <c r="S90" t="b">
        <v>0</v>
      </c>
      <c r="T90" t="s">
        <v>87</v>
      </c>
      <c r="U90" t="b">
        <v>0</v>
      </c>
      <c r="V90" t="s">
        <v>146</v>
      </c>
      <c r="W90" s="1">
        <v>44225.598680555559</v>
      </c>
      <c r="X90">
        <v>70</v>
      </c>
      <c r="Y90">
        <v>0</v>
      </c>
      <c r="Z90">
        <v>0</v>
      </c>
      <c r="AA90">
        <v>0</v>
      </c>
      <c r="AB90">
        <v>52</v>
      </c>
      <c r="AC90">
        <v>0</v>
      </c>
      <c r="AD90">
        <v>66</v>
      </c>
      <c r="AE90">
        <v>0</v>
      </c>
      <c r="AF90">
        <v>0</v>
      </c>
      <c r="AG90">
        <v>0</v>
      </c>
      <c r="AH90" t="s">
        <v>132</v>
      </c>
      <c r="AI90" s="1">
        <v>44225.60050925926</v>
      </c>
      <c r="AJ90">
        <v>9</v>
      </c>
      <c r="AK90">
        <v>0</v>
      </c>
      <c r="AL90">
        <v>0</v>
      </c>
      <c r="AM90">
        <v>0</v>
      </c>
      <c r="AN90">
        <v>52</v>
      </c>
      <c r="AO90">
        <v>0</v>
      </c>
      <c r="AP90">
        <v>66</v>
      </c>
      <c r="AQ90">
        <v>0</v>
      </c>
      <c r="AR90">
        <v>0</v>
      </c>
      <c r="AS90">
        <v>0</v>
      </c>
      <c r="AT90" t="s">
        <v>90</v>
      </c>
      <c r="AU90" s="1">
        <v>44225.642337962963</v>
      </c>
      <c r="AV90">
        <v>3</v>
      </c>
      <c r="AW90">
        <v>0</v>
      </c>
      <c r="AX90">
        <v>0</v>
      </c>
      <c r="AY90">
        <v>0</v>
      </c>
      <c r="AZ90">
        <v>52</v>
      </c>
      <c r="BA90">
        <v>0</v>
      </c>
      <c r="BB90">
        <v>66</v>
      </c>
      <c r="BC90">
        <v>0</v>
      </c>
      <c r="BD90">
        <v>0</v>
      </c>
      <c r="BE90">
        <v>0</v>
      </c>
    </row>
    <row r="91" spans="1:57" hidden="1" x14ac:dyDescent="0.45">
      <c r="A91" t="s">
        <v>348</v>
      </c>
      <c r="B91" t="s">
        <v>79</v>
      </c>
      <c r="C91" t="s">
        <v>349</v>
      </c>
      <c r="D91" t="s">
        <v>81</v>
      </c>
      <c r="E91" s="2" t="str">
        <f>HYPERLINK("capsilon://?command=openfolder&amp;siteaddress=FAM.docvelocity-na8.net&amp;folderid=FX46C28C40-7299-63C9-BD02-FBF9B73D2FE5","FX20127220")</f>
        <v>FX20127220</v>
      </c>
      <c r="F91" t="s">
        <v>19</v>
      </c>
      <c r="G91" t="s">
        <v>19</v>
      </c>
      <c r="H91" t="s">
        <v>82</v>
      </c>
      <c r="I91" t="s">
        <v>350</v>
      </c>
      <c r="J91">
        <v>66</v>
      </c>
      <c r="K91" t="s">
        <v>84</v>
      </c>
      <c r="L91" t="s">
        <v>85</v>
      </c>
      <c r="M91" t="s">
        <v>86</v>
      </c>
      <c r="N91">
        <v>3</v>
      </c>
      <c r="O91" s="1">
        <v>44225.611956018518</v>
      </c>
      <c r="P91" s="1">
        <v>44225.642372685186</v>
      </c>
      <c r="Q91">
        <v>2533</v>
      </c>
      <c r="R91">
        <v>95</v>
      </c>
      <c r="S91" t="b">
        <v>0</v>
      </c>
      <c r="T91" t="s">
        <v>87</v>
      </c>
      <c r="U91" t="b">
        <v>0</v>
      </c>
      <c r="V91" t="s">
        <v>242</v>
      </c>
      <c r="W91" s="1">
        <v>44225.612962962965</v>
      </c>
      <c r="X91">
        <v>85</v>
      </c>
      <c r="Y91">
        <v>0</v>
      </c>
      <c r="Z91">
        <v>0</v>
      </c>
      <c r="AA91">
        <v>0</v>
      </c>
      <c r="AB91">
        <v>52</v>
      </c>
      <c r="AC91">
        <v>0</v>
      </c>
      <c r="AD91">
        <v>66</v>
      </c>
      <c r="AE91">
        <v>0</v>
      </c>
      <c r="AF91">
        <v>0</v>
      </c>
      <c r="AG91">
        <v>0</v>
      </c>
      <c r="AH91" t="s">
        <v>128</v>
      </c>
      <c r="AI91" s="1">
        <v>44225.61414351852</v>
      </c>
      <c r="AJ91">
        <v>8</v>
      </c>
      <c r="AK91">
        <v>0</v>
      </c>
      <c r="AL91">
        <v>0</v>
      </c>
      <c r="AM91">
        <v>0</v>
      </c>
      <c r="AN91">
        <v>52</v>
      </c>
      <c r="AO91">
        <v>0</v>
      </c>
      <c r="AP91">
        <v>66</v>
      </c>
      <c r="AQ91">
        <v>0</v>
      </c>
      <c r="AR91">
        <v>0</v>
      </c>
      <c r="AS91">
        <v>0</v>
      </c>
      <c r="AT91" t="s">
        <v>90</v>
      </c>
      <c r="AU91" s="1">
        <v>44225.642372685186</v>
      </c>
      <c r="AV91">
        <v>2</v>
      </c>
      <c r="AW91">
        <v>0</v>
      </c>
      <c r="AX91">
        <v>0</v>
      </c>
      <c r="AY91">
        <v>0</v>
      </c>
      <c r="AZ91">
        <v>52</v>
      </c>
      <c r="BA91">
        <v>0</v>
      </c>
      <c r="BB91">
        <v>66</v>
      </c>
      <c r="BC91">
        <v>0</v>
      </c>
      <c r="BD91">
        <v>0</v>
      </c>
      <c r="BE91">
        <v>0</v>
      </c>
    </row>
    <row r="92" spans="1:57" x14ac:dyDescent="0.45">
      <c r="A92" t="s">
        <v>351</v>
      </c>
      <c r="B92" t="s">
        <v>79</v>
      </c>
      <c r="C92" t="s">
        <v>352</v>
      </c>
      <c r="D92" t="s">
        <v>81</v>
      </c>
      <c r="E92" s="2" t="str">
        <f>HYPERLINK("capsilon://?command=openfolder&amp;siteaddress=FAM.docvelocity-na8.net&amp;folderid=FX28540A2B-B4B7-B090-4083-416F79A7CBB2","FX210119908")</f>
        <v>FX210119908</v>
      </c>
      <c r="F92" t="s">
        <v>19</v>
      </c>
      <c r="G92" t="s">
        <v>19</v>
      </c>
      <c r="H92" t="s">
        <v>82</v>
      </c>
      <c r="I92" t="s">
        <v>353</v>
      </c>
      <c r="J92">
        <v>263</v>
      </c>
      <c r="K92" t="s">
        <v>84</v>
      </c>
      <c r="L92" t="s">
        <v>85</v>
      </c>
      <c r="M92" t="s">
        <v>86</v>
      </c>
      <c r="N92">
        <v>3</v>
      </c>
      <c r="O92" s="1">
        <v>44225.615381944444</v>
      </c>
      <c r="P92" s="1">
        <v>44225.647118055553</v>
      </c>
      <c r="Q92">
        <v>279</v>
      </c>
      <c r="R92">
        <v>2463</v>
      </c>
      <c r="S92" t="b">
        <v>0</v>
      </c>
      <c r="T92" t="s">
        <v>87</v>
      </c>
      <c r="U92" t="b">
        <v>0</v>
      </c>
      <c r="V92" t="s">
        <v>242</v>
      </c>
      <c r="W92" s="1">
        <v>44225.632708333331</v>
      </c>
      <c r="X92">
        <v>1493</v>
      </c>
      <c r="Y92">
        <v>202</v>
      </c>
      <c r="Z92">
        <v>0</v>
      </c>
      <c r="AA92">
        <v>202</v>
      </c>
      <c r="AB92">
        <v>37</v>
      </c>
      <c r="AC92">
        <v>114</v>
      </c>
      <c r="AD92">
        <v>61</v>
      </c>
      <c r="AE92">
        <v>0</v>
      </c>
      <c r="AF92">
        <v>0</v>
      </c>
      <c r="AG92">
        <v>0</v>
      </c>
      <c r="AH92" t="s">
        <v>128</v>
      </c>
      <c r="AI92" s="1">
        <v>44225.645787037036</v>
      </c>
      <c r="AJ92">
        <v>946</v>
      </c>
      <c r="AK92">
        <v>0</v>
      </c>
      <c r="AL92">
        <v>0</v>
      </c>
      <c r="AM92">
        <v>0</v>
      </c>
      <c r="AN92">
        <v>37</v>
      </c>
      <c r="AO92">
        <v>0</v>
      </c>
      <c r="AP92">
        <v>61</v>
      </c>
      <c r="AQ92">
        <v>0</v>
      </c>
      <c r="AR92">
        <v>0</v>
      </c>
      <c r="AS92">
        <v>0</v>
      </c>
      <c r="AT92" t="s">
        <v>90</v>
      </c>
      <c r="AU92" s="1">
        <v>44225.647118055553</v>
      </c>
      <c r="AV92">
        <v>24</v>
      </c>
      <c r="AW92">
        <v>0</v>
      </c>
      <c r="AX92">
        <v>0</v>
      </c>
      <c r="AY92">
        <v>0</v>
      </c>
      <c r="AZ92">
        <v>37</v>
      </c>
      <c r="BA92">
        <v>0</v>
      </c>
      <c r="BB92">
        <v>61</v>
      </c>
      <c r="BC92">
        <v>0</v>
      </c>
      <c r="BD92">
        <v>0</v>
      </c>
      <c r="BE92">
        <v>0</v>
      </c>
    </row>
    <row r="93" spans="1:57" hidden="1" x14ac:dyDescent="0.45">
      <c r="A93" t="s">
        <v>354</v>
      </c>
      <c r="B93" t="s">
        <v>79</v>
      </c>
      <c r="C93" t="s">
        <v>355</v>
      </c>
      <c r="D93" t="s">
        <v>81</v>
      </c>
      <c r="E93" s="2" t="str">
        <f>HYPERLINK("capsilon://?command=openfolder&amp;siteaddress=FAM.docvelocity-na8.net&amp;folderid=FX0E4D785E-8218-7960-B749-3B4DB300D051","FX20125999")</f>
        <v>FX20125999</v>
      </c>
      <c r="F93" t="s">
        <v>19</v>
      </c>
      <c r="G93" t="s">
        <v>19</v>
      </c>
      <c r="H93" t="s">
        <v>82</v>
      </c>
      <c r="I93" t="s">
        <v>356</v>
      </c>
      <c r="J93">
        <v>66</v>
      </c>
      <c r="K93" t="s">
        <v>84</v>
      </c>
      <c r="L93" t="s">
        <v>85</v>
      </c>
      <c r="M93" t="s">
        <v>86</v>
      </c>
      <c r="N93">
        <v>3</v>
      </c>
      <c r="O93" s="1">
        <v>44225.616782407407</v>
      </c>
      <c r="P93" s="1">
        <v>44225.642407407409</v>
      </c>
      <c r="Q93">
        <v>1932</v>
      </c>
      <c r="R93">
        <v>282</v>
      </c>
      <c r="S93" t="b">
        <v>0</v>
      </c>
      <c r="T93" t="s">
        <v>87</v>
      </c>
      <c r="U93" t="b">
        <v>0</v>
      </c>
      <c r="V93" t="s">
        <v>259</v>
      </c>
      <c r="W93" s="1">
        <v>44225.620243055557</v>
      </c>
      <c r="X93">
        <v>162</v>
      </c>
      <c r="Y93">
        <v>0</v>
      </c>
      <c r="Z93">
        <v>0</v>
      </c>
      <c r="AA93">
        <v>0</v>
      </c>
      <c r="AB93">
        <v>52</v>
      </c>
      <c r="AC93">
        <v>0</v>
      </c>
      <c r="AD93">
        <v>66</v>
      </c>
      <c r="AE93">
        <v>0</v>
      </c>
      <c r="AF93">
        <v>0</v>
      </c>
      <c r="AG93">
        <v>0</v>
      </c>
      <c r="AH93" t="s">
        <v>128</v>
      </c>
      <c r="AI93" s="1">
        <v>44225.630740740744</v>
      </c>
      <c r="AJ93">
        <v>9</v>
      </c>
      <c r="AK93">
        <v>0</v>
      </c>
      <c r="AL93">
        <v>0</v>
      </c>
      <c r="AM93">
        <v>0</v>
      </c>
      <c r="AN93">
        <v>52</v>
      </c>
      <c r="AO93">
        <v>0</v>
      </c>
      <c r="AP93">
        <v>66</v>
      </c>
      <c r="AQ93">
        <v>0</v>
      </c>
      <c r="AR93">
        <v>0</v>
      </c>
      <c r="AS93">
        <v>0</v>
      </c>
      <c r="AT93" t="s">
        <v>90</v>
      </c>
      <c r="AU93" s="1">
        <v>44225.642407407409</v>
      </c>
      <c r="AV93">
        <v>2</v>
      </c>
      <c r="AW93">
        <v>0</v>
      </c>
      <c r="AX93">
        <v>0</v>
      </c>
      <c r="AY93">
        <v>0</v>
      </c>
      <c r="AZ93">
        <v>52</v>
      </c>
      <c r="BA93">
        <v>0</v>
      </c>
      <c r="BB93">
        <v>66</v>
      </c>
      <c r="BC93">
        <v>0</v>
      </c>
      <c r="BD93">
        <v>0</v>
      </c>
      <c r="BE93">
        <v>0</v>
      </c>
    </row>
    <row r="94" spans="1:57" hidden="1" x14ac:dyDescent="0.45">
      <c r="A94" t="s">
        <v>357</v>
      </c>
      <c r="B94" t="s">
        <v>79</v>
      </c>
      <c r="C94" t="s">
        <v>358</v>
      </c>
      <c r="D94" t="s">
        <v>81</v>
      </c>
      <c r="E94" s="2" t="str">
        <f>HYPERLINK("capsilon://?command=openfolder&amp;siteaddress=FAM.docvelocity-na8.net&amp;folderid=FX7015030B-92AD-1FD5-ECEA-50796840F6C0","FX201010020")</f>
        <v>FX201010020</v>
      </c>
      <c r="F94" t="s">
        <v>19</v>
      </c>
      <c r="G94" t="s">
        <v>19</v>
      </c>
      <c r="H94" t="s">
        <v>82</v>
      </c>
      <c r="I94" t="s">
        <v>359</v>
      </c>
      <c r="J94">
        <v>66</v>
      </c>
      <c r="K94" t="s">
        <v>84</v>
      </c>
      <c r="L94" t="s">
        <v>85</v>
      </c>
      <c r="M94" t="s">
        <v>86</v>
      </c>
      <c r="N94">
        <v>3</v>
      </c>
      <c r="O94" s="1">
        <v>44225.617129629631</v>
      </c>
      <c r="P94" s="1">
        <v>44225.642442129632</v>
      </c>
      <c r="Q94">
        <v>2103</v>
      </c>
      <c r="R94">
        <v>84</v>
      </c>
      <c r="S94" t="b">
        <v>0</v>
      </c>
      <c r="T94" t="s">
        <v>87</v>
      </c>
      <c r="U94" t="b">
        <v>0</v>
      </c>
      <c r="V94" t="s">
        <v>142</v>
      </c>
      <c r="W94" s="1">
        <v>44225.618692129632</v>
      </c>
      <c r="X94">
        <v>74</v>
      </c>
      <c r="Y94">
        <v>0</v>
      </c>
      <c r="Z94">
        <v>0</v>
      </c>
      <c r="AA94">
        <v>0</v>
      </c>
      <c r="AB94">
        <v>52</v>
      </c>
      <c r="AC94">
        <v>0</v>
      </c>
      <c r="AD94">
        <v>66</v>
      </c>
      <c r="AE94">
        <v>0</v>
      </c>
      <c r="AF94">
        <v>0</v>
      </c>
      <c r="AG94">
        <v>0</v>
      </c>
      <c r="AH94" t="s">
        <v>128</v>
      </c>
      <c r="AI94" s="1">
        <v>44225.630844907406</v>
      </c>
      <c r="AJ94">
        <v>8</v>
      </c>
      <c r="AK94">
        <v>0</v>
      </c>
      <c r="AL94">
        <v>0</v>
      </c>
      <c r="AM94">
        <v>0</v>
      </c>
      <c r="AN94">
        <v>52</v>
      </c>
      <c r="AO94">
        <v>0</v>
      </c>
      <c r="AP94">
        <v>66</v>
      </c>
      <c r="AQ94">
        <v>0</v>
      </c>
      <c r="AR94">
        <v>0</v>
      </c>
      <c r="AS94">
        <v>0</v>
      </c>
      <c r="AT94" t="s">
        <v>90</v>
      </c>
      <c r="AU94" s="1">
        <v>44225.642442129632</v>
      </c>
      <c r="AV94">
        <v>2</v>
      </c>
      <c r="AW94">
        <v>0</v>
      </c>
      <c r="AX94">
        <v>0</v>
      </c>
      <c r="AY94">
        <v>0</v>
      </c>
      <c r="AZ94">
        <v>52</v>
      </c>
      <c r="BA94">
        <v>0</v>
      </c>
      <c r="BB94">
        <v>66</v>
      </c>
      <c r="BC94">
        <v>0</v>
      </c>
      <c r="BD94">
        <v>0</v>
      </c>
      <c r="BE94">
        <v>0</v>
      </c>
    </row>
    <row r="95" spans="1:57" x14ac:dyDescent="0.45">
      <c r="A95" t="s">
        <v>360</v>
      </c>
      <c r="B95" t="s">
        <v>79</v>
      </c>
      <c r="C95" t="s">
        <v>361</v>
      </c>
      <c r="D95" t="s">
        <v>81</v>
      </c>
      <c r="E95" s="2" t="str">
        <f>HYPERLINK("capsilon://?command=openfolder&amp;siteaddress=FAM.docvelocity-na8.net&amp;folderid=FXAFF75FC4-3E33-DFDB-F6B7-E48387BE3769","FX201220780")</f>
        <v>FX201220780</v>
      </c>
      <c r="F95" t="s">
        <v>19</v>
      </c>
      <c r="G95" t="s">
        <v>19</v>
      </c>
      <c r="H95" t="s">
        <v>82</v>
      </c>
      <c r="I95" t="s">
        <v>362</v>
      </c>
      <c r="J95">
        <v>38</v>
      </c>
      <c r="K95" t="s">
        <v>84</v>
      </c>
      <c r="L95" t="s">
        <v>85</v>
      </c>
      <c r="M95" t="s">
        <v>86</v>
      </c>
      <c r="N95">
        <v>3</v>
      </c>
      <c r="O95" s="1">
        <v>44225.618680555555</v>
      </c>
      <c r="P95" s="1">
        <v>44225.642638888887</v>
      </c>
      <c r="Q95">
        <v>1426</v>
      </c>
      <c r="R95">
        <v>644</v>
      </c>
      <c r="S95" t="b">
        <v>0</v>
      </c>
      <c r="T95" t="s">
        <v>87</v>
      </c>
      <c r="U95" t="b">
        <v>0</v>
      </c>
      <c r="V95" t="s">
        <v>142</v>
      </c>
      <c r="W95" s="1">
        <v>44225.623541666668</v>
      </c>
      <c r="X95">
        <v>418</v>
      </c>
      <c r="Y95">
        <v>37</v>
      </c>
      <c r="Z95">
        <v>0</v>
      </c>
      <c r="AA95">
        <v>37</v>
      </c>
      <c r="AB95">
        <v>0</v>
      </c>
      <c r="AC95">
        <v>34</v>
      </c>
      <c r="AD95">
        <v>1</v>
      </c>
      <c r="AE95">
        <v>0</v>
      </c>
      <c r="AF95">
        <v>0</v>
      </c>
      <c r="AG95">
        <v>0</v>
      </c>
      <c r="AH95" t="s">
        <v>128</v>
      </c>
      <c r="AI95" s="1">
        <v>44225.633287037039</v>
      </c>
      <c r="AJ95">
        <v>210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 t="s">
        <v>90</v>
      </c>
      <c r="AU95" s="1">
        <v>44225.642638888887</v>
      </c>
      <c r="AV95">
        <v>16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hidden="1" x14ac:dyDescent="0.45">
      <c r="A96" t="s">
        <v>363</v>
      </c>
      <c r="B96" t="s">
        <v>79</v>
      </c>
      <c r="C96" t="s">
        <v>364</v>
      </c>
      <c r="D96" t="s">
        <v>81</v>
      </c>
      <c r="E96" s="2" t="str">
        <f>HYPERLINK("capsilon://?command=openfolder&amp;siteaddress=FAM.docvelocity-na8.net&amp;folderid=FXB3651E3F-06D8-899A-8677-3034E239CD09","FX20124870")</f>
        <v>FX20124870</v>
      </c>
      <c r="F96" t="s">
        <v>19</v>
      </c>
      <c r="G96" t="s">
        <v>19</v>
      </c>
      <c r="H96" t="s">
        <v>82</v>
      </c>
      <c r="I96" t="s">
        <v>365</v>
      </c>
      <c r="J96">
        <v>66</v>
      </c>
      <c r="K96" t="s">
        <v>84</v>
      </c>
      <c r="L96" t="s">
        <v>85</v>
      </c>
      <c r="M96" t="s">
        <v>86</v>
      </c>
      <c r="N96">
        <v>3</v>
      </c>
      <c r="O96" s="1">
        <v>44225.618715277778</v>
      </c>
      <c r="P96" s="1">
        <v>44225.64267361111</v>
      </c>
      <c r="Q96">
        <v>2000</v>
      </c>
      <c r="R96">
        <v>70</v>
      </c>
      <c r="S96" t="b">
        <v>0</v>
      </c>
      <c r="T96" t="s">
        <v>87</v>
      </c>
      <c r="U96" t="b">
        <v>0</v>
      </c>
      <c r="V96" t="s">
        <v>255</v>
      </c>
      <c r="W96" s="1">
        <v>44225.619409722225</v>
      </c>
      <c r="X96">
        <v>56</v>
      </c>
      <c r="Y96">
        <v>0</v>
      </c>
      <c r="Z96">
        <v>0</v>
      </c>
      <c r="AA96">
        <v>0</v>
      </c>
      <c r="AB96">
        <v>52</v>
      </c>
      <c r="AC96">
        <v>0</v>
      </c>
      <c r="AD96">
        <v>66</v>
      </c>
      <c r="AE96">
        <v>0</v>
      </c>
      <c r="AF96">
        <v>0</v>
      </c>
      <c r="AG96">
        <v>0</v>
      </c>
      <c r="AH96" t="s">
        <v>132</v>
      </c>
      <c r="AI96" s="1">
        <v>44225.635277777779</v>
      </c>
      <c r="AJ96">
        <v>11</v>
      </c>
      <c r="AK96">
        <v>0</v>
      </c>
      <c r="AL96">
        <v>0</v>
      </c>
      <c r="AM96">
        <v>0</v>
      </c>
      <c r="AN96">
        <v>52</v>
      </c>
      <c r="AO96">
        <v>0</v>
      </c>
      <c r="AP96">
        <v>66</v>
      </c>
      <c r="AQ96">
        <v>0</v>
      </c>
      <c r="AR96">
        <v>0</v>
      </c>
      <c r="AS96">
        <v>0</v>
      </c>
      <c r="AT96" t="s">
        <v>90</v>
      </c>
      <c r="AU96" s="1">
        <v>44225.64267361111</v>
      </c>
      <c r="AV96">
        <v>3</v>
      </c>
      <c r="AW96">
        <v>0</v>
      </c>
      <c r="AX96">
        <v>0</v>
      </c>
      <c r="AY96">
        <v>0</v>
      </c>
      <c r="AZ96">
        <v>52</v>
      </c>
      <c r="BA96">
        <v>0</v>
      </c>
      <c r="BB96">
        <v>66</v>
      </c>
      <c r="BC96">
        <v>0</v>
      </c>
      <c r="BD96">
        <v>0</v>
      </c>
      <c r="BE96">
        <v>0</v>
      </c>
    </row>
    <row r="97" spans="1:57" x14ac:dyDescent="0.45">
      <c r="A97" t="s">
        <v>366</v>
      </c>
      <c r="B97" t="s">
        <v>79</v>
      </c>
      <c r="C97" t="s">
        <v>367</v>
      </c>
      <c r="D97" t="s">
        <v>81</v>
      </c>
      <c r="E97" s="2" t="str">
        <f>HYPERLINK("capsilon://?command=openfolder&amp;siteaddress=FAM.docvelocity-na8.net&amp;folderid=FX1D6B906C-B14E-159E-9229-BF9BC8468DF3","FX201224031")</f>
        <v>FX201224031</v>
      </c>
      <c r="F97" t="s">
        <v>19</v>
      </c>
      <c r="G97" t="s">
        <v>19</v>
      </c>
      <c r="H97" t="s">
        <v>82</v>
      </c>
      <c r="I97" t="s">
        <v>368</v>
      </c>
      <c r="J97">
        <v>95</v>
      </c>
      <c r="K97" t="s">
        <v>84</v>
      </c>
      <c r="L97" t="s">
        <v>85</v>
      </c>
      <c r="M97" t="s">
        <v>86</v>
      </c>
      <c r="N97">
        <v>3</v>
      </c>
      <c r="O97" s="1">
        <v>44225.621759259258</v>
      </c>
      <c r="P97" s="1">
        <v>44225.642881944441</v>
      </c>
      <c r="Q97">
        <v>1132</v>
      </c>
      <c r="R97">
        <v>693</v>
      </c>
      <c r="S97" t="b">
        <v>0</v>
      </c>
      <c r="T97" t="s">
        <v>87</v>
      </c>
      <c r="U97" t="b">
        <v>0</v>
      </c>
      <c r="V97" t="s">
        <v>168</v>
      </c>
      <c r="W97" s="1">
        <v>44225.628171296295</v>
      </c>
      <c r="X97">
        <v>552</v>
      </c>
      <c r="Y97">
        <v>84</v>
      </c>
      <c r="Z97">
        <v>0</v>
      </c>
      <c r="AA97">
        <v>84</v>
      </c>
      <c r="AB97">
        <v>0</v>
      </c>
      <c r="AC97">
        <v>35</v>
      </c>
      <c r="AD97">
        <v>11</v>
      </c>
      <c r="AE97">
        <v>0</v>
      </c>
      <c r="AF97">
        <v>0</v>
      </c>
      <c r="AG97">
        <v>0</v>
      </c>
      <c r="AH97" t="s">
        <v>132</v>
      </c>
      <c r="AI97" s="1">
        <v>44225.636724537035</v>
      </c>
      <c r="AJ97">
        <v>124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11</v>
      </c>
      <c r="AQ97">
        <v>0</v>
      </c>
      <c r="AR97">
        <v>0</v>
      </c>
      <c r="AS97">
        <v>0</v>
      </c>
      <c r="AT97" t="s">
        <v>90</v>
      </c>
      <c r="AU97" s="1">
        <v>44225.642881944441</v>
      </c>
      <c r="AV97">
        <v>17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11</v>
      </c>
      <c r="BC97">
        <v>0</v>
      </c>
      <c r="BD97">
        <v>0</v>
      </c>
      <c r="BE97">
        <v>0</v>
      </c>
    </row>
    <row r="98" spans="1:57" hidden="1" x14ac:dyDescent="0.45">
      <c r="A98" t="s">
        <v>369</v>
      </c>
      <c r="B98" t="s">
        <v>79</v>
      </c>
      <c r="C98" t="s">
        <v>370</v>
      </c>
      <c r="D98" t="s">
        <v>81</v>
      </c>
      <c r="E98" s="2" t="str">
        <f>HYPERLINK("capsilon://?command=openfolder&amp;siteaddress=FAM.docvelocity-na8.net&amp;folderid=FXA3595BC5-DDCE-6402-C8E0-E0FD97C40266","FX20125329")</f>
        <v>FX20125329</v>
      </c>
      <c r="F98" t="s">
        <v>19</v>
      </c>
      <c r="G98" t="s">
        <v>19</v>
      </c>
      <c r="H98" t="s">
        <v>82</v>
      </c>
      <c r="I98" t="s">
        <v>371</v>
      </c>
      <c r="J98">
        <v>66</v>
      </c>
      <c r="K98" t="s">
        <v>84</v>
      </c>
      <c r="L98" t="s">
        <v>85</v>
      </c>
      <c r="M98" t="s">
        <v>86</v>
      </c>
      <c r="N98">
        <v>1</v>
      </c>
      <c r="O98" s="1">
        <v>44225.625439814816</v>
      </c>
      <c r="P98" s="1">
        <v>44225.627187500002</v>
      </c>
      <c r="Q98">
        <v>50</v>
      </c>
      <c r="R98">
        <v>101</v>
      </c>
      <c r="S98" t="b">
        <v>0</v>
      </c>
      <c r="T98" t="s">
        <v>87</v>
      </c>
      <c r="U98" t="b">
        <v>0</v>
      </c>
      <c r="V98" t="s">
        <v>262</v>
      </c>
      <c r="W98" s="1">
        <v>44225.627187500002</v>
      </c>
      <c r="X98">
        <v>90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66</v>
      </c>
      <c r="AE98">
        <v>52</v>
      </c>
      <c r="AF98">
        <v>0</v>
      </c>
      <c r="AG98">
        <v>1</v>
      </c>
      <c r="AH98" t="s">
        <v>87</v>
      </c>
      <c r="AI98" t="s">
        <v>87</v>
      </c>
      <c r="AJ98" t="s">
        <v>87</v>
      </c>
      <c r="AK98" t="s">
        <v>87</v>
      </c>
      <c r="AL98" t="s">
        <v>87</v>
      </c>
      <c r="AM98" t="s">
        <v>87</v>
      </c>
      <c r="AN98" t="s">
        <v>87</v>
      </c>
      <c r="AO98" t="s">
        <v>87</v>
      </c>
      <c r="AP98" t="s">
        <v>87</v>
      </c>
      <c r="AQ98" t="s">
        <v>87</v>
      </c>
      <c r="AR98" t="s">
        <v>87</v>
      </c>
      <c r="AS98" t="s">
        <v>87</v>
      </c>
      <c r="AT98" t="s">
        <v>87</v>
      </c>
      <c r="AU98" t="s">
        <v>87</v>
      </c>
      <c r="AV98" t="s">
        <v>87</v>
      </c>
      <c r="AW98" t="s">
        <v>87</v>
      </c>
      <c r="AX98" t="s">
        <v>87</v>
      </c>
      <c r="AY98" t="s">
        <v>87</v>
      </c>
      <c r="AZ98" t="s">
        <v>87</v>
      </c>
      <c r="BA98" t="s">
        <v>87</v>
      </c>
      <c r="BB98" t="s">
        <v>87</v>
      </c>
      <c r="BC98" t="s">
        <v>87</v>
      </c>
      <c r="BD98" t="s">
        <v>87</v>
      </c>
      <c r="BE98" t="s">
        <v>87</v>
      </c>
    </row>
    <row r="99" spans="1:57" x14ac:dyDescent="0.45">
      <c r="A99" t="s">
        <v>372</v>
      </c>
      <c r="B99" t="s">
        <v>79</v>
      </c>
      <c r="C99" t="s">
        <v>370</v>
      </c>
      <c r="D99" t="s">
        <v>81</v>
      </c>
      <c r="E99" s="2" t="str">
        <f>HYPERLINK("capsilon://?command=openfolder&amp;siteaddress=FAM.docvelocity-na8.net&amp;folderid=FXA3595BC5-DDCE-6402-C8E0-E0FD97C40266","FX20125329")</f>
        <v>FX20125329</v>
      </c>
      <c r="F99" t="s">
        <v>19</v>
      </c>
      <c r="G99" t="s">
        <v>19</v>
      </c>
      <c r="H99" t="s">
        <v>82</v>
      </c>
      <c r="I99" t="s">
        <v>371</v>
      </c>
      <c r="J99">
        <v>38</v>
      </c>
      <c r="K99" t="s">
        <v>84</v>
      </c>
      <c r="L99" t="s">
        <v>85</v>
      </c>
      <c r="M99" t="s">
        <v>86</v>
      </c>
      <c r="N99">
        <v>3</v>
      </c>
      <c r="O99" s="1">
        <v>44225.627453703702</v>
      </c>
      <c r="P99" s="1">
        <v>44225.635995370372</v>
      </c>
      <c r="Q99">
        <v>217</v>
      </c>
      <c r="R99">
        <v>521</v>
      </c>
      <c r="S99" t="b">
        <v>0</v>
      </c>
      <c r="T99" t="s">
        <v>87</v>
      </c>
      <c r="U99" t="b">
        <v>1</v>
      </c>
      <c r="V99" t="s">
        <v>259</v>
      </c>
      <c r="W99" s="1">
        <v>44225.631863425922</v>
      </c>
      <c r="X99">
        <v>379</v>
      </c>
      <c r="Y99">
        <v>37</v>
      </c>
      <c r="Z99">
        <v>0</v>
      </c>
      <c r="AA99">
        <v>37</v>
      </c>
      <c r="AB99">
        <v>0</v>
      </c>
      <c r="AC99">
        <v>35</v>
      </c>
      <c r="AD99">
        <v>1</v>
      </c>
      <c r="AE99">
        <v>0</v>
      </c>
      <c r="AF99">
        <v>0</v>
      </c>
      <c r="AG99">
        <v>0</v>
      </c>
      <c r="AH99" t="s">
        <v>128</v>
      </c>
      <c r="AI99" s="1">
        <v>44225.634826388887</v>
      </c>
      <c r="AJ99">
        <v>132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 t="s">
        <v>90</v>
      </c>
      <c r="AU99" s="1">
        <v>44225.635995370372</v>
      </c>
      <c r="AV99">
        <v>10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</row>
    <row r="100" spans="1:57" x14ac:dyDescent="0.45">
      <c r="A100" t="s">
        <v>373</v>
      </c>
      <c r="B100" t="s">
        <v>79</v>
      </c>
      <c r="C100" t="s">
        <v>374</v>
      </c>
      <c r="D100" t="s">
        <v>81</v>
      </c>
      <c r="E100" s="2" t="str">
        <f>HYPERLINK("capsilon://?command=openfolder&amp;siteaddress=FAM.docvelocity-na8.net&amp;folderid=FX9DB31829-F916-2D88-3A11-1694C448F202","FX21016484")</f>
        <v>FX21016484</v>
      </c>
      <c r="F100" t="s">
        <v>19</v>
      </c>
      <c r="G100" t="s">
        <v>19</v>
      </c>
      <c r="H100" t="s">
        <v>82</v>
      </c>
      <c r="I100" t="s">
        <v>375</v>
      </c>
      <c r="J100">
        <v>26</v>
      </c>
      <c r="K100" t="s">
        <v>84</v>
      </c>
      <c r="L100" t="s">
        <v>85</v>
      </c>
      <c r="M100" t="s">
        <v>86</v>
      </c>
      <c r="N100">
        <v>3</v>
      </c>
      <c r="O100" s="1">
        <v>44225.630925925929</v>
      </c>
      <c r="P100" s="1">
        <v>44225.642928240741</v>
      </c>
      <c r="Q100">
        <v>512</v>
      </c>
      <c r="R100">
        <v>525</v>
      </c>
      <c r="S100" t="b">
        <v>0</v>
      </c>
      <c r="T100" t="s">
        <v>87</v>
      </c>
      <c r="U100" t="b">
        <v>0</v>
      </c>
      <c r="V100" t="s">
        <v>168</v>
      </c>
      <c r="W100" s="1">
        <v>44225.636261574073</v>
      </c>
      <c r="X100">
        <v>460</v>
      </c>
      <c r="Y100">
        <v>21</v>
      </c>
      <c r="Z100">
        <v>0</v>
      </c>
      <c r="AA100">
        <v>21</v>
      </c>
      <c r="AB100">
        <v>0</v>
      </c>
      <c r="AC100">
        <v>18</v>
      </c>
      <c r="AD100">
        <v>5</v>
      </c>
      <c r="AE100">
        <v>0</v>
      </c>
      <c r="AF100">
        <v>0</v>
      </c>
      <c r="AG100">
        <v>0</v>
      </c>
      <c r="AH100" t="s">
        <v>132</v>
      </c>
      <c r="AI100" s="1">
        <v>44225.637453703705</v>
      </c>
      <c r="AJ100">
        <v>62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5</v>
      </c>
      <c r="AQ100">
        <v>0</v>
      </c>
      <c r="AR100">
        <v>0</v>
      </c>
      <c r="AS100">
        <v>0</v>
      </c>
      <c r="AT100" t="s">
        <v>90</v>
      </c>
      <c r="AU100" s="1">
        <v>44225.642928240741</v>
      </c>
      <c r="AV100">
        <v>3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5</v>
      </c>
      <c r="BC100">
        <v>0</v>
      </c>
      <c r="BD100">
        <v>0</v>
      </c>
      <c r="BE100">
        <v>0</v>
      </c>
    </row>
    <row r="101" spans="1:57" x14ac:dyDescent="0.45">
      <c r="A101" t="s">
        <v>376</v>
      </c>
      <c r="B101" t="s">
        <v>79</v>
      </c>
      <c r="C101" t="s">
        <v>361</v>
      </c>
      <c r="D101" t="s">
        <v>81</v>
      </c>
      <c r="E101" s="2" t="str">
        <f>HYPERLINK("capsilon://?command=openfolder&amp;siteaddress=FAM.docvelocity-na8.net&amp;folderid=FXAFF75FC4-3E33-DFDB-F6B7-E48387BE3769","FX201220780")</f>
        <v>FX201220780</v>
      </c>
      <c r="F101" t="s">
        <v>19</v>
      </c>
      <c r="G101" t="s">
        <v>19</v>
      </c>
      <c r="H101" t="s">
        <v>82</v>
      </c>
      <c r="I101" t="s">
        <v>377</v>
      </c>
      <c r="J101">
        <v>38</v>
      </c>
      <c r="K101" t="s">
        <v>84</v>
      </c>
      <c r="L101" t="s">
        <v>85</v>
      </c>
      <c r="M101" t="s">
        <v>86</v>
      </c>
      <c r="N101">
        <v>3</v>
      </c>
      <c r="O101" s="1">
        <v>44225.63175925926</v>
      </c>
      <c r="P101" s="1">
        <v>44225.643009259256</v>
      </c>
      <c r="Q101">
        <v>561</v>
      </c>
      <c r="R101">
        <v>411</v>
      </c>
      <c r="S101" t="b">
        <v>0</v>
      </c>
      <c r="T101" t="s">
        <v>87</v>
      </c>
      <c r="U101" t="b">
        <v>0</v>
      </c>
      <c r="V101" t="s">
        <v>255</v>
      </c>
      <c r="W101" s="1">
        <v>44225.635775462964</v>
      </c>
      <c r="X101">
        <v>347</v>
      </c>
      <c r="Y101">
        <v>37</v>
      </c>
      <c r="Z101">
        <v>0</v>
      </c>
      <c r="AA101">
        <v>37</v>
      </c>
      <c r="AB101">
        <v>0</v>
      </c>
      <c r="AC101">
        <v>34</v>
      </c>
      <c r="AD101">
        <v>1</v>
      </c>
      <c r="AE101">
        <v>0</v>
      </c>
      <c r="AF101">
        <v>0</v>
      </c>
      <c r="AG101">
        <v>0</v>
      </c>
      <c r="AH101" t="s">
        <v>132</v>
      </c>
      <c r="AI101" s="1">
        <v>44225.638136574074</v>
      </c>
      <c r="AJ101">
        <v>58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 t="s">
        <v>90</v>
      </c>
      <c r="AU101" s="1">
        <v>44225.643009259256</v>
      </c>
      <c r="AV101">
        <v>6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</row>
    <row r="102" spans="1:57" hidden="1" x14ac:dyDescent="0.45">
      <c r="A102" t="s">
        <v>378</v>
      </c>
      <c r="B102" t="s">
        <v>79</v>
      </c>
      <c r="C102" t="s">
        <v>374</v>
      </c>
      <c r="D102" t="s">
        <v>81</v>
      </c>
      <c r="E102" s="2" t="str">
        <f>HYPERLINK("capsilon://?command=openfolder&amp;siteaddress=FAM.docvelocity-na8.net&amp;folderid=FX9DB31829-F916-2D88-3A11-1694C448F202","FX21016484")</f>
        <v>FX21016484</v>
      </c>
      <c r="F102" t="s">
        <v>19</v>
      </c>
      <c r="G102" t="s">
        <v>19</v>
      </c>
      <c r="H102" t="s">
        <v>82</v>
      </c>
      <c r="I102" t="s">
        <v>379</v>
      </c>
      <c r="J102">
        <v>105</v>
      </c>
      <c r="K102" t="s">
        <v>84</v>
      </c>
      <c r="L102" t="s">
        <v>85</v>
      </c>
      <c r="M102" t="s">
        <v>86</v>
      </c>
      <c r="N102">
        <v>1</v>
      </c>
      <c r="O102" s="1">
        <v>44225.632743055554</v>
      </c>
      <c r="P102" s="1">
        <v>44225.644837962966</v>
      </c>
      <c r="Q102">
        <v>353</v>
      </c>
      <c r="R102">
        <v>692</v>
      </c>
      <c r="S102" t="b">
        <v>0</v>
      </c>
      <c r="T102" t="s">
        <v>87</v>
      </c>
      <c r="U102" t="b">
        <v>0</v>
      </c>
      <c r="V102" t="s">
        <v>168</v>
      </c>
      <c r="W102" s="1">
        <v>44225.644837962966</v>
      </c>
      <c r="X102">
        <v>656</v>
      </c>
      <c r="Y102">
        <v>49</v>
      </c>
      <c r="Z102">
        <v>0</v>
      </c>
      <c r="AA102">
        <v>49</v>
      </c>
      <c r="AB102">
        <v>0</v>
      </c>
      <c r="AC102">
        <v>39</v>
      </c>
      <c r="AD102">
        <v>56</v>
      </c>
      <c r="AE102">
        <v>0</v>
      </c>
      <c r="AF102">
        <v>0</v>
      </c>
      <c r="AG102">
        <v>2</v>
      </c>
      <c r="AH102" t="s">
        <v>87</v>
      </c>
      <c r="AI102" t="s">
        <v>87</v>
      </c>
      <c r="AJ102" t="s">
        <v>87</v>
      </c>
      <c r="AK102" t="s">
        <v>87</v>
      </c>
      <c r="AL102" t="s">
        <v>87</v>
      </c>
      <c r="AM102" t="s">
        <v>87</v>
      </c>
      <c r="AN102" t="s">
        <v>87</v>
      </c>
      <c r="AO102" t="s">
        <v>87</v>
      </c>
      <c r="AP102" t="s">
        <v>87</v>
      </c>
      <c r="AQ102" t="s">
        <v>87</v>
      </c>
      <c r="AR102" t="s">
        <v>87</v>
      </c>
      <c r="AS102" t="s">
        <v>87</v>
      </c>
      <c r="AT102" t="s">
        <v>87</v>
      </c>
      <c r="AU102" t="s">
        <v>87</v>
      </c>
      <c r="AV102" t="s">
        <v>87</v>
      </c>
      <c r="AW102" t="s">
        <v>87</v>
      </c>
      <c r="AX102" t="s">
        <v>87</v>
      </c>
      <c r="AY102" t="s">
        <v>87</v>
      </c>
      <c r="AZ102" t="s">
        <v>87</v>
      </c>
      <c r="BA102" t="s">
        <v>87</v>
      </c>
      <c r="BB102" t="s">
        <v>87</v>
      </c>
      <c r="BC102" t="s">
        <v>87</v>
      </c>
      <c r="BD102" t="s">
        <v>87</v>
      </c>
      <c r="BE102" t="s">
        <v>87</v>
      </c>
    </row>
    <row r="103" spans="1:57" x14ac:dyDescent="0.45">
      <c r="A103" t="s">
        <v>380</v>
      </c>
      <c r="B103" t="s">
        <v>79</v>
      </c>
      <c r="C103" t="s">
        <v>361</v>
      </c>
      <c r="D103" t="s">
        <v>81</v>
      </c>
      <c r="E103" s="2" t="str">
        <f>HYPERLINK("capsilon://?command=openfolder&amp;siteaddress=FAM.docvelocity-na8.net&amp;folderid=FXAFF75FC4-3E33-DFDB-F6B7-E48387BE3769","FX201220780")</f>
        <v>FX201220780</v>
      </c>
      <c r="F103" t="s">
        <v>19</v>
      </c>
      <c r="G103" t="s">
        <v>19</v>
      </c>
      <c r="H103" t="s">
        <v>82</v>
      </c>
      <c r="I103" t="s">
        <v>381</v>
      </c>
      <c r="J103">
        <v>38</v>
      </c>
      <c r="K103" t="s">
        <v>84</v>
      </c>
      <c r="L103" t="s">
        <v>85</v>
      </c>
      <c r="M103" t="s">
        <v>86</v>
      </c>
      <c r="N103">
        <v>3</v>
      </c>
      <c r="O103" s="1">
        <v>44225.63484953704</v>
      </c>
      <c r="P103" s="1">
        <v>44225.65111111111</v>
      </c>
      <c r="Q103">
        <v>513</v>
      </c>
      <c r="R103">
        <v>892</v>
      </c>
      <c r="S103" t="b">
        <v>0</v>
      </c>
      <c r="T103" t="s">
        <v>87</v>
      </c>
      <c r="U103" t="b">
        <v>0</v>
      </c>
      <c r="V103" t="s">
        <v>146</v>
      </c>
      <c r="W103" s="1">
        <v>44225.64335648148</v>
      </c>
      <c r="X103">
        <v>734</v>
      </c>
      <c r="Y103">
        <v>37</v>
      </c>
      <c r="Z103">
        <v>0</v>
      </c>
      <c r="AA103">
        <v>37</v>
      </c>
      <c r="AB103">
        <v>0</v>
      </c>
      <c r="AC103">
        <v>35</v>
      </c>
      <c r="AD103">
        <v>1</v>
      </c>
      <c r="AE103">
        <v>0</v>
      </c>
      <c r="AF103">
        <v>0</v>
      </c>
      <c r="AG103">
        <v>0</v>
      </c>
      <c r="AH103" t="s">
        <v>128</v>
      </c>
      <c r="AI103" s="1">
        <v>44225.647546296299</v>
      </c>
      <c r="AJ103">
        <v>151</v>
      </c>
      <c r="AK103">
        <v>1</v>
      </c>
      <c r="AL103">
        <v>0</v>
      </c>
      <c r="AM103">
        <v>1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 t="s">
        <v>90</v>
      </c>
      <c r="AU103" s="1">
        <v>44225.65111111111</v>
      </c>
      <c r="AV103">
        <v>7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hidden="1" x14ac:dyDescent="0.45">
      <c r="A104" t="s">
        <v>382</v>
      </c>
      <c r="B104" t="s">
        <v>79</v>
      </c>
      <c r="C104" t="s">
        <v>383</v>
      </c>
      <c r="D104" t="s">
        <v>81</v>
      </c>
      <c r="E104" s="2" t="str">
        <f>HYPERLINK("capsilon://?command=openfolder&amp;siteaddress=FAM.docvelocity-na8.net&amp;folderid=FX5C99BD6C-ED2F-CB9B-B782-8871373DF35E","FX201225044")</f>
        <v>FX201225044</v>
      </c>
      <c r="F104" t="s">
        <v>19</v>
      </c>
      <c r="G104" t="s">
        <v>19</v>
      </c>
      <c r="H104" t="s">
        <v>82</v>
      </c>
      <c r="I104" t="s">
        <v>384</v>
      </c>
      <c r="J104">
        <v>131</v>
      </c>
      <c r="K104" t="s">
        <v>84</v>
      </c>
      <c r="L104" t="s">
        <v>85</v>
      </c>
      <c r="M104" t="s">
        <v>86</v>
      </c>
      <c r="N104">
        <v>1</v>
      </c>
      <c r="O104" s="1">
        <v>44225.635185185187</v>
      </c>
      <c r="P104" s="1">
        <v>44225.636469907404</v>
      </c>
      <c r="Q104">
        <v>3</v>
      </c>
      <c r="R104">
        <v>108</v>
      </c>
      <c r="S104" t="b">
        <v>0</v>
      </c>
      <c r="T104" t="s">
        <v>87</v>
      </c>
      <c r="U104" t="b">
        <v>0</v>
      </c>
      <c r="V104" t="s">
        <v>242</v>
      </c>
      <c r="W104" s="1">
        <v>44225.636469907404</v>
      </c>
      <c r="X104">
        <v>108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131</v>
      </c>
      <c r="AE104">
        <v>118</v>
      </c>
      <c r="AF104">
        <v>0</v>
      </c>
      <c r="AG104">
        <v>4</v>
      </c>
      <c r="AH104" t="s">
        <v>87</v>
      </c>
      <c r="AI104" t="s">
        <v>87</v>
      </c>
      <c r="AJ104" t="s">
        <v>87</v>
      </c>
      <c r="AK104" t="s">
        <v>87</v>
      </c>
      <c r="AL104" t="s">
        <v>87</v>
      </c>
      <c r="AM104" t="s">
        <v>87</v>
      </c>
      <c r="AN104" t="s">
        <v>87</v>
      </c>
      <c r="AO104" t="s">
        <v>87</v>
      </c>
      <c r="AP104" t="s">
        <v>87</v>
      </c>
      <c r="AQ104" t="s">
        <v>87</v>
      </c>
      <c r="AR104" t="s">
        <v>87</v>
      </c>
      <c r="AS104" t="s">
        <v>87</v>
      </c>
      <c r="AT104" t="s">
        <v>87</v>
      </c>
      <c r="AU104" t="s">
        <v>87</v>
      </c>
      <c r="AV104" t="s">
        <v>87</v>
      </c>
      <c r="AW104" t="s">
        <v>87</v>
      </c>
      <c r="AX104" t="s">
        <v>87</v>
      </c>
      <c r="AY104" t="s">
        <v>87</v>
      </c>
      <c r="AZ104" t="s">
        <v>87</v>
      </c>
      <c r="BA104" t="s">
        <v>87</v>
      </c>
      <c r="BB104" t="s">
        <v>87</v>
      </c>
      <c r="BC104" t="s">
        <v>87</v>
      </c>
      <c r="BD104" t="s">
        <v>87</v>
      </c>
      <c r="BE104" t="s">
        <v>87</v>
      </c>
    </row>
    <row r="105" spans="1:57" x14ac:dyDescent="0.45">
      <c r="A105" t="s">
        <v>385</v>
      </c>
      <c r="B105" t="s">
        <v>79</v>
      </c>
      <c r="C105" t="s">
        <v>383</v>
      </c>
      <c r="D105" t="s">
        <v>81</v>
      </c>
      <c r="E105" s="2" t="str">
        <f>HYPERLINK("capsilon://?command=openfolder&amp;siteaddress=FAM.docvelocity-na8.net&amp;folderid=FX5C99BD6C-ED2F-CB9B-B782-8871373DF35E","FX201225044")</f>
        <v>FX201225044</v>
      </c>
      <c r="F105" t="s">
        <v>19</v>
      </c>
      <c r="G105" t="s">
        <v>19</v>
      </c>
      <c r="H105" t="s">
        <v>82</v>
      </c>
      <c r="I105" t="s">
        <v>384</v>
      </c>
      <c r="J105">
        <v>180</v>
      </c>
      <c r="K105" t="s">
        <v>84</v>
      </c>
      <c r="L105" t="s">
        <v>85</v>
      </c>
      <c r="M105" t="s">
        <v>86</v>
      </c>
      <c r="N105">
        <v>3</v>
      </c>
      <c r="O105" s="1">
        <v>44225.637719907405</v>
      </c>
      <c r="P105" s="1">
        <v>44225.680231481485</v>
      </c>
      <c r="Q105">
        <v>319</v>
      </c>
      <c r="R105">
        <v>3354</v>
      </c>
      <c r="S105" t="b">
        <v>0</v>
      </c>
      <c r="T105" t="s">
        <v>87</v>
      </c>
      <c r="U105" t="b">
        <v>1</v>
      </c>
      <c r="V105" t="s">
        <v>160</v>
      </c>
      <c r="W105" s="1">
        <v>44225.670810185184</v>
      </c>
      <c r="X105">
        <v>2859</v>
      </c>
      <c r="Y105">
        <v>178</v>
      </c>
      <c r="Z105">
        <v>0</v>
      </c>
      <c r="AA105">
        <v>178</v>
      </c>
      <c r="AB105">
        <v>0</v>
      </c>
      <c r="AC105">
        <v>167</v>
      </c>
      <c r="AD105">
        <v>2</v>
      </c>
      <c r="AE105">
        <v>0</v>
      </c>
      <c r="AF105">
        <v>0</v>
      </c>
      <c r="AG105">
        <v>0</v>
      </c>
      <c r="AH105" t="s">
        <v>128</v>
      </c>
      <c r="AI105" s="1">
        <v>44225.676574074074</v>
      </c>
      <c r="AJ105">
        <v>458</v>
      </c>
      <c r="AK105">
        <v>3</v>
      </c>
      <c r="AL105">
        <v>0</v>
      </c>
      <c r="AM105">
        <v>3</v>
      </c>
      <c r="AN105">
        <v>0</v>
      </c>
      <c r="AO105">
        <v>3</v>
      </c>
      <c r="AP105">
        <v>-1</v>
      </c>
      <c r="AQ105">
        <v>0</v>
      </c>
      <c r="AR105">
        <v>0</v>
      </c>
      <c r="AS105">
        <v>0</v>
      </c>
      <c r="AT105" t="s">
        <v>90</v>
      </c>
      <c r="AU105" s="1">
        <v>44225.680231481485</v>
      </c>
      <c r="AV105">
        <v>27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-1</v>
      </c>
      <c r="BC105">
        <v>0</v>
      </c>
      <c r="BD105">
        <v>0</v>
      </c>
      <c r="BE105">
        <v>0</v>
      </c>
    </row>
    <row r="106" spans="1:57" x14ac:dyDescent="0.45">
      <c r="A106" t="s">
        <v>386</v>
      </c>
      <c r="B106" t="s">
        <v>79</v>
      </c>
      <c r="C106" t="s">
        <v>387</v>
      </c>
      <c r="D106" t="s">
        <v>81</v>
      </c>
      <c r="E106" s="2" t="str">
        <f>HYPERLINK("capsilon://?command=openfolder&amp;siteaddress=FAM.docvelocity-na8.net&amp;folderid=FXC92E8873-0C06-1B1E-AB2C-7CD2EA56F080","FX201227607")</f>
        <v>FX201227607</v>
      </c>
      <c r="F106" t="s">
        <v>19</v>
      </c>
      <c r="G106" t="s">
        <v>19</v>
      </c>
      <c r="H106" t="s">
        <v>82</v>
      </c>
      <c r="I106" t="s">
        <v>388</v>
      </c>
      <c r="J106">
        <v>66</v>
      </c>
      <c r="K106" t="s">
        <v>84</v>
      </c>
      <c r="L106" t="s">
        <v>85</v>
      </c>
      <c r="M106" t="s">
        <v>86</v>
      </c>
      <c r="N106">
        <v>3</v>
      </c>
      <c r="O106" s="1">
        <v>44201.76394675926</v>
      </c>
      <c r="P106" s="1">
        <v>44202.368333333332</v>
      </c>
      <c r="Q106">
        <v>51481</v>
      </c>
      <c r="R106">
        <v>738</v>
      </c>
      <c r="S106" t="b">
        <v>0</v>
      </c>
      <c r="T106" t="s">
        <v>87</v>
      </c>
      <c r="U106" t="b">
        <v>0</v>
      </c>
      <c r="V106" t="s">
        <v>255</v>
      </c>
      <c r="W106" s="1">
        <v>44201.767743055556</v>
      </c>
      <c r="X106">
        <v>287</v>
      </c>
      <c r="Y106">
        <v>52</v>
      </c>
      <c r="Z106">
        <v>0</v>
      </c>
      <c r="AA106">
        <v>52</v>
      </c>
      <c r="AB106">
        <v>0</v>
      </c>
      <c r="AC106">
        <v>24</v>
      </c>
      <c r="AD106">
        <v>14</v>
      </c>
      <c r="AE106">
        <v>0</v>
      </c>
      <c r="AF106">
        <v>0</v>
      </c>
      <c r="AG106">
        <v>0</v>
      </c>
      <c r="AH106" t="s">
        <v>128</v>
      </c>
      <c r="AI106" s="1">
        <v>44201.781828703701</v>
      </c>
      <c r="AJ106">
        <v>387</v>
      </c>
      <c r="AK106">
        <v>1</v>
      </c>
      <c r="AL106">
        <v>0</v>
      </c>
      <c r="AM106">
        <v>1</v>
      </c>
      <c r="AN106">
        <v>0</v>
      </c>
      <c r="AO106">
        <v>1</v>
      </c>
      <c r="AP106">
        <v>13</v>
      </c>
      <c r="AQ106">
        <v>0</v>
      </c>
      <c r="AR106">
        <v>0</v>
      </c>
      <c r="AS106">
        <v>0</v>
      </c>
      <c r="AT106" t="s">
        <v>90</v>
      </c>
      <c r="AU106" s="1">
        <v>44202.368333333332</v>
      </c>
      <c r="AV106">
        <v>64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13</v>
      </c>
      <c r="BC106">
        <v>0</v>
      </c>
      <c r="BD106">
        <v>0</v>
      </c>
      <c r="BE106">
        <v>0</v>
      </c>
    </row>
    <row r="107" spans="1:57" x14ac:dyDescent="0.45">
      <c r="A107" t="s">
        <v>389</v>
      </c>
      <c r="B107" t="s">
        <v>79</v>
      </c>
      <c r="C107" t="s">
        <v>355</v>
      </c>
      <c r="D107" t="s">
        <v>81</v>
      </c>
      <c r="E107" s="2" t="str">
        <f>HYPERLINK("capsilon://?command=openfolder&amp;siteaddress=FAM.docvelocity-na8.net&amp;folderid=FX0E4D785E-8218-7960-B749-3B4DB300D051","FX20125999")</f>
        <v>FX20125999</v>
      </c>
      <c r="F107" t="s">
        <v>19</v>
      </c>
      <c r="G107" t="s">
        <v>19</v>
      </c>
      <c r="H107" t="s">
        <v>82</v>
      </c>
      <c r="I107" t="s">
        <v>390</v>
      </c>
      <c r="J107">
        <v>40</v>
      </c>
      <c r="K107" t="s">
        <v>84</v>
      </c>
      <c r="L107" t="s">
        <v>85</v>
      </c>
      <c r="M107" t="s">
        <v>86</v>
      </c>
      <c r="N107">
        <v>3</v>
      </c>
      <c r="O107" s="1">
        <v>44225.643634259257</v>
      </c>
      <c r="P107" s="1">
        <v>44225.670729166668</v>
      </c>
      <c r="Q107">
        <v>289</v>
      </c>
      <c r="R107">
        <v>2052</v>
      </c>
      <c r="S107" t="b">
        <v>0</v>
      </c>
      <c r="T107" t="s">
        <v>87</v>
      </c>
      <c r="U107" t="b">
        <v>0</v>
      </c>
      <c r="V107" t="s">
        <v>171</v>
      </c>
      <c r="W107" s="1">
        <v>44225.665567129632</v>
      </c>
      <c r="X107">
        <v>1894</v>
      </c>
      <c r="Y107">
        <v>41</v>
      </c>
      <c r="Z107">
        <v>0</v>
      </c>
      <c r="AA107">
        <v>41</v>
      </c>
      <c r="AB107">
        <v>0</v>
      </c>
      <c r="AC107">
        <v>34</v>
      </c>
      <c r="AD107">
        <v>-1</v>
      </c>
      <c r="AE107">
        <v>0</v>
      </c>
      <c r="AF107">
        <v>0</v>
      </c>
      <c r="AG107">
        <v>0</v>
      </c>
      <c r="AH107" t="s">
        <v>132</v>
      </c>
      <c r="AI107" s="1">
        <v>44225.667187500003</v>
      </c>
      <c r="AJ107">
        <v>134</v>
      </c>
      <c r="AK107">
        <v>1</v>
      </c>
      <c r="AL107">
        <v>0</v>
      </c>
      <c r="AM107">
        <v>1</v>
      </c>
      <c r="AN107">
        <v>0</v>
      </c>
      <c r="AO107">
        <v>1</v>
      </c>
      <c r="AP107">
        <v>-2</v>
      </c>
      <c r="AQ107">
        <v>0</v>
      </c>
      <c r="AR107">
        <v>0</v>
      </c>
      <c r="AS107">
        <v>0</v>
      </c>
      <c r="AT107" t="s">
        <v>90</v>
      </c>
      <c r="AU107" s="1">
        <v>44225.670729166668</v>
      </c>
      <c r="AV107">
        <v>24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-2</v>
      </c>
      <c r="BC107">
        <v>0</v>
      </c>
      <c r="BD107">
        <v>0</v>
      </c>
      <c r="BE107">
        <v>0</v>
      </c>
    </row>
    <row r="108" spans="1:57" hidden="1" x14ac:dyDescent="0.45">
      <c r="A108" t="s">
        <v>391</v>
      </c>
      <c r="B108" t="s">
        <v>79</v>
      </c>
      <c r="C108" t="s">
        <v>392</v>
      </c>
      <c r="D108" t="s">
        <v>81</v>
      </c>
      <c r="E108" s="2" t="str">
        <f>HYPERLINK("capsilon://?command=openfolder&amp;siteaddress=FAM.docvelocity-na8.net&amp;folderid=FXF4969719-A629-8E75-DC1C-7EE0D9F2CDF5","FX20127324")</f>
        <v>FX20127324</v>
      </c>
      <c r="F108" t="s">
        <v>19</v>
      </c>
      <c r="G108" t="s">
        <v>19</v>
      </c>
      <c r="H108" t="s">
        <v>82</v>
      </c>
      <c r="I108" t="s">
        <v>393</v>
      </c>
      <c r="J108">
        <v>66</v>
      </c>
      <c r="K108" t="s">
        <v>84</v>
      </c>
      <c r="L108" t="s">
        <v>85</v>
      </c>
      <c r="M108" t="s">
        <v>86</v>
      </c>
      <c r="N108">
        <v>3</v>
      </c>
      <c r="O108" s="1">
        <v>44225.64403935185</v>
      </c>
      <c r="P108" s="1">
        <v>44225.651145833333</v>
      </c>
      <c r="Q108">
        <v>462</v>
      </c>
      <c r="R108">
        <v>152</v>
      </c>
      <c r="S108" t="b">
        <v>0</v>
      </c>
      <c r="T108" t="s">
        <v>87</v>
      </c>
      <c r="U108" t="b">
        <v>0</v>
      </c>
      <c r="V108" t="s">
        <v>255</v>
      </c>
      <c r="W108" s="1">
        <v>44225.645648148151</v>
      </c>
      <c r="X108">
        <v>138</v>
      </c>
      <c r="Y108">
        <v>0</v>
      </c>
      <c r="Z108">
        <v>0</v>
      </c>
      <c r="AA108">
        <v>0</v>
      </c>
      <c r="AB108">
        <v>52</v>
      </c>
      <c r="AC108">
        <v>0</v>
      </c>
      <c r="AD108">
        <v>66</v>
      </c>
      <c r="AE108">
        <v>0</v>
      </c>
      <c r="AF108">
        <v>0</v>
      </c>
      <c r="AG108">
        <v>0</v>
      </c>
      <c r="AH108" t="s">
        <v>132</v>
      </c>
      <c r="AI108" s="1">
        <v>44225.64738425926</v>
      </c>
      <c r="AJ108">
        <v>11</v>
      </c>
      <c r="AK108">
        <v>0</v>
      </c>
      <c r="AL108">
        <v>0</v>
      </c>
      <c r="AM108">
        <v>0</v>
      </c>
      <c r="AN108">
        <v>52</v>
      </c>
      <c r="AO108">
        <v>0</v>
      </c>
      <c r="AP108">
        <v>66</v>
      </c>
      <c r="AQ108">
        <v>0</v>
      </c>
      <c r="AR108">
        <v>0</v>
      </c>
      <c r="AS108">
        <v>0</v>
      </c>
      <c r="AT108" t="s">
        <v>90</v>
      </c>
      <c r="AU108" s="1">
        <v>44225.651145833333</v>
      </c>
      <c r="AV108">
        <v>3</v>
      </c>
      <c r="AW108">
        <v>0</v>
      </c>
      <c r="AX108">
        <v>0</v>
      </c>
      <c r="AY108">
        <v>0</v>
      </c>
      <c r="AZ108">
        <v>52</v>
      </c>
      <c r="BA108">
        <v>0</v>
      </c>
      <c r="BB108">
        <v>66</v>
      </c>
      <c r="BC108">
        <v>0</v>
      </c>
      <c r="BD108">
        <v>0</v>
      </c>
      <c r="BE108">
        <v>0</v>
      </c>
    </row>
    <row r="109" spans="1:57" x14ac:dyDescent="0.45">
      <c r="A109" t="s">
        <v>394</v>
      </c>
      <c r="B109" t="s">
        <v>79</v>
      </c>
      <c r="C109" t="s">
        <v>374</v>
      </c>
      <c r="D109" t="s">
        <v>81</v>
      </c>
      <c r="E109" s="2" t="str">
        <f>HYPERLINK("capsilon://?command=openfolder&amp;siteaddress=FAM.docvelocity-na8.net&amp;folderid=FX9DB31829-F916-2D88-3A11-1694C448F202","FX21016484")</f>
        <v>FX21016484</v>
      </c>
      <c r="F109" t="s">
        <v>19</v>
      </c>
      <c r="G109" t="s">
        <v>19</v>
      </c>
      <c r="H109" t="s">
        <v>82</v>
      </c>
      <c r="I109" t="s">
        <v>379</v>
      </c>
      <c r="J109">
        <v>98</v>
      </c>
      <c r="K109" t="s">
        <v>84</v>
      </c>
      <c r="L109" t="s">
        <v>85</v>
      </c>
      <c r="M109" t="s">
        <v>86</v>
      </c>
      <c r="N109">
        <v>3</v>
      </c>
      <c r="O109" s="1">
        <v>44225.645833333336</v>
      </c>
      <c r="P109" s="1">
        <v>44225.697129629632</v>
      </c>
      <c r="Q109">
        <v>230</v>
      </c>
      <c r="R109">
        <v>4202</v>
      </c>
      <c r="S109" t="b">
        <v>0</v>
      </c>
      <c r="T109" t="s">
        <v>87</v>
      </c>
      <c r="U109" t="b">
        <v>1</v>
      </c>
      <c r="V109" t="s">
        <v>146</v>
      </c>
      <c r="W109" s="1">
        <v>44225.690578703703</v>
      </c>
      <c r="X109">
        <v>3865</v>
      </c>
      <c r="Y109">
        <v>155</v>
      </c>
      <c r="Z109">
        <v>0</v>
      </c>
      <c r="AA109">
        <v>155</v>
      </c>
      <c r="AB109">
        <v>0</v>
      </c>
      <c r="AC109">
        <v>118</v>
      </c>
      <c r="AD109">
        <v>-57</v>
      </c>
      <c r="AE109">
        <v>0</v>
      </c>
      <c r="AF109">
        <v>0</v>
      </c>
      <c r="AG109">
        <v>0</v>
      </c>
      <c r="AH109" t="s">
        <v>128</v>
      </c>
      <c r="AI109" s="1">
        <v>44225.694560185184</v>
      </c>
      <c r="AJ109">
        <v>315</v>
      </c>
      <c r="AK109">
        <v>3</v>
      </c>
      <c r="AL109">
        <v>0</v>
      </c>
      <c r="AM109">
        <v>3</v>
      </c>
      <c r="AN109">
        <v>0</v>
      </c>
      <c r="AO109">
        <v>3</v>
      </c>
      <c r="AP109">
        <v>-60</v>
      </c>
      <c r="AQ109">
        <v>0</v>
      </c>
      <c r="AR109">
        <v>0</v>
      </c>
      <c r="AS109">
        <v>0</v>
      </c>
      <c r="AT109" t="s">
        <v>90</v>
      </c>
      <c r="AU109" s="1">
        <v>44225.697129629632</v>
      </c>
      <c r="AV109">
        <v>22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-60</v>
      </c>
      <c r="BC109">
        <v>0</v>
      </c>
      <c r="BD109">
        <v>0</v>
      </c>
      <c r="BE109">
        <v>0</v>
      </c>
    </row>
    <row r="110" spans="1:57" x14ac:dyDescent="0.45">
      <c r="A110" t="s">
        <v>395</v>
      </c>
      <c r="B110" t="s">
        <v>79</v>
      </c>
      <c r="C110" t="s">
        <v>396</v>
      </c>
      <c r="D110" t="s">
        <v>81</v>
      </c>
      <c r="E110" s="2" t="str">
        <f>HYPERLINK("capsilon://?command=openfolder&amp;siteaddress=FAM.docvelocity-na8.net&amp;folderid=FX5A13C4F9-0FE6-0711-A1E6-8D9B737ADA29","FX210117175")</f>
        <v>FX210117175</v>
      </c>
      <c r="F110" t="s">
        <v>19</v>
      </c>
      <c r="G110" t="s">
        <v>19</v>
      </c>
      <c r="H110" t="s">
        <v>82</v>
      </c>
      <c r="I110" t="s">
        <v>397</v>
      </c>
      <c r="J110">
        <v>157</v>
      </c>
      <c r="K110" t="s">
        <v>84</v>
      </c>
      <c r="L110" t="s">
        <v>85</v>
      </c>
      <c r="M110" t="s">
        <v>86</v>
      </c>
      <c r="N110">
        <v>3</v>
      </c>
      <c r="O110" s="1">
        <v>44225.648043981484</v>
      </c>
      <c r="P110" s="1">
        <v>44225.671631944446</v>
      </c>
      <c r="Q110">
        <v>772</v>
      </c>
      <c r="R110">
        <v>1266</v>
      </c>
      <c r="S110" t="b">
        <v>0</v>
      </c>
      <c r="T110" t="s">
        <v>87</v>
      </c>
      <c r="U110" t="b">
        <v>0</v>
      </c>
      <c r="V110" t="s">
        <v>255</v>
      </c>
      <c r="W110" s="1">
        <v>44225.658194444448</v>
      </c>
      <c r="X110">
        <v>875</v>
      </c>
      <c r="Y110">
        <v>194</v>
      </c>
      <c r="Z110">
        <v>0</v>
      </c>
      <c r="AA110">
        <v>194</v>
      </c>
      <c r="AB110">
        <v>0</v>
      </c>
      <c r="AC110">
        <v>123</v>
      </c>
      <c r="AD110">
        <v>-37</v>
      </c>
      <c r="AE110">
        <v>0</v>
      </c>
      <c r="AF110">
        <v>0</v>
      </c>
      <c r="AG110">
        <v>0</v>
      </c>
      <c r="AH110" t="s">
        <v>132</v>
      </c>
      <c r="AI110" s="1">
        <v>44225.665625000001</v>
      </c>
      <c r="AJ110">
        <v>302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-37</v>
      </c>
      <c r="AQ110">
        <v>0</v>
      </c>
      <c r="AR110">
        <v>0</v>
      </c>
      <c r="AS110">
        <v>0</v>
      </c>
      <c r="AT110" t="s">
        <v>90</v>
      </c>
      <c r="AU110" s="1">
        <v>44225.671631944446</v>
      </c>
      <c r="AV110">
        <v>77</v>
      </c>
      <c r="AW110">
        <v>3</v>
      </c>
      <c r="AX110">
        <v>0</v>
      </c>
      <c r="AY110">
        <v>3</v>
      </c>
      <c r="AZ110">
        <v>0</v>
      </c>
      <c r="BA110">
        <v>3</v>
      </c>
      <c r="BB110">
        <v>-40</v>
      </c>
      <c r="BC110">
        <v>0</v>
      </c>
      <c r="BD110">
        <v>0</v>
      </c>
      <c r="BE110">
        <v>0</v>
      </c>
    </row>
    <row r="111" spans="1:57" hidden="1" x14ac:dyDescent="0.45">
      <c r="A111" t="s">
        <v>398</v>
      </c>
      <c r="B111" t="s">
        <v>79</v>
      </c>
      <c r="C111" t="s">
        <v>100</v>
      </c>
      <c r="D111" t="s">
        <v>81</v>
      </c>
      <c r="E111" s="2" t="str">
        <f>HYPERLINK("capsilon://?command=openfolder&amp;siteaddress=FAM.docvelocity-na8.net&amp;folderid=FXB90166FC-1BB4-0DB6-C76C-D5B89C33472B","FX201224447")</f>
        <v>FX201224447</v>
      </c>
      <c r="F111" t="s">
        <v>19</v>
      </c>
      <c r="G111" t="s">
        <v>19</v>
      </c>
      <c r="H111" t="s">
        <v>82</v>
      </c>
      <c r="I111" t="s">
        <v>399</v>
      </c>
      <c r="J111">
        <v>66</v>
      </c>
      <c r="K111" t="s">
        <v>84</v>
      </c>
      <c r="L111" t="s">
        <v>85</v>
      </c>
      <c r="M111" t="s">
        <v>86</v>
      </c>
      <c r="N111">
        <v>3</v>
      </c>
      <c r="O111" s="1">
        <v>44225.652615740742</v>
      </c>
      <c r="P111" s="1">
        <v>44225.662499999999</v>
      </c>
      <c r="Q111">
        <v>772</v>
      </c>
      <c r="R111">
        <v>82</v>
      </c>
      <c r="S111" t="b">
        <v>0</v>
      </c>
      <c r="T111" t="s">
        <v>87</v>
      </c>
      <c r="U111" t="b">
        <v>0</v>
      </c>
      <c r="V111" t="s">
        <v>142</v>
      </c>
      <c r="W111" s="1">
        <v>44225.654687499999</v>
      </c>
      <c r="X111">
        <v>59</v>
      </c>
      <c r="Y111">
        <v>0</v>
      </c>
      <c r="Z111">
        <v>0</v>
      </c>
      <c r="AA111">
        <v>0</v>
      </c>
      <c r="AB111">
        <v>52</v>
      </c>
      <c r="AC111">
        <v>0</v>
      </c>
      <c r="AD111">
        <v>66</v>
      </c>
      <c r="AE111">
        <v>0</v>
      </c>
      <c r="AF111">
        <v>0</v>
      </c>
      <c r="AG111">
        <v>0</v>
      </c>
      <c r="AH111" t="s">
        <v>132</v>
      </c>
      <c r="AI111" s="1">
        <v>44225.65556712963</v>
      </c>
      <c r="AJ111">
        <v>9</v>
      </c>
      <c r="AK111">
        <v>0</v>
      </c>
      <c r="AL111">
        <v>0</v>
      </c>
      <c r="AM111">
        <v>0</v>
      </c>
      <c r="AN111">
        <v>52</v>
      </c>
      <c r="AO111">
        <v>0</v>
      </c>
      <c r="AP111">
        <v>66</v>
      </c>
      <c r="AQ111">
        <v>0</v>
      </c>
      <c r="AR111">
        <v>0</v>
      </c>
      <c r="AS111">
        <v>0</v>
      </c>
      <c r="AT111" t="s">
        <v>90</v>
      </c>
      <c r="AU111" s="1">
        <v>44225.662499999999</v>
      </c>
      <c r="AV111">
        <v>3</v>
      </c>
      <c r="AW111">
        <v>0</v>
      </c>
      <c r="AX111">
        <v>0</v>
      </c>
      <c r="AY111">
        <v>0</v>
      </c>
      <c r="AZ111">
        <v>52</v>
      </c>
      <c r="BA111">
        <v>0</v>
      </c>
      <c r="BB111">
        <v>66</v>
      </c>
      <c r="BC111">
        <v>0</v>
      </c>
      <c r="BD111">
        <v>0</v>
      </c>
      <c r="BE111">
        <v>0</v>
      </c>
    </row>
    <row r="112" spans="1:57" hidden="1" x14ac:dyDescent="0.45">
      <c r="A112" t="s">
        <v>400</v>
      </c>
      <c r="B112" t="s">
        <v>79</v>
      </c>
      <c r="C112" t="s">
        <v>100</v>
      </c>
      <c r="D112" t="s">
        <v>81</v>
      </c>
      <c r="E112" s="2" t="str">
        <f>HYPERLINK("capsilon://?command=openfolder&amp;siteaddress=FAM.docvelocity-na8.net&amp;folderid=FXB90166FC-1BB4-0DB6-C76C-D5B89C33472B","FX201224447")</f>
        <v>FX201224447</v>
      </c>
      <c r="F112" t="s">
        <v>19</v>
      </c>
      <c r="G112" t="s">
        <v>19</v>
      </c>
      <c r="H112" t="s">
        <v>82</v>
      </c>
      <c r="I112" t="s">
        <v>401</v>
      </c>
      <c r="J112">
        <v>66</v>
      </c>
      <c r="K112" t="s">
        <v>84</v>
      </c>
      <c r="L112" t="s">
        <v>85</v>
      </c>
      <c r="M112" t="s">
        <v>86</v>
      </c>
      <c r="N112">
        <v>3</v>
      </c>
      <c r="O112" s="1">
        <v>44225.654340277775</v>
      </c>
      <c r="P112" s="1">
        <v>44225.662546296298</v>
      </c>
      <c r="Q112">
        <v>578</v>
      </c>
      <c r="R112">
        <v>131</v>
      </c>
      <c r="S112" t="b">
        <v>0</v>
      </c>
      <c r="T112" t="s">
        <v>87</v>
      </c>
      <c r="U112" t="b">
        <v>0</v>
      </c>
      <c r="V112" t="s">
        <v>259</v>
      </c>
      <c r="W112" s="1">
        <v>44225.655763888892</v>
      </c>
      <c r="X112">
        <v>119</v>
      </c>
      <c r="Y112">
        <v>0</v>
      </c>
      <c r="Z112">
        <v>0</v>
      </c>
      <c r="AA112">
        <v>0</v>
      </c>
      <c r="AB112">
        <v>52</v>
      </c>
      <c r="AC112">
        <v>0</v>
      </c>
      <c r="AD112">
        <v>66</v>
      </c>
      <c r="AE112">
        <v>0</v>
      </c>
      <c r="AF112">
        <v>0</v>
      </c>
      <c r="AG112">
        <v>0</v>
      </c>
      <c r="AH112" t="s">
        <v>132</v>
      </c>
      <c r="AI112" s="1">
        <v>44225.656469907408</v>
      </c>
      <c r="AJ112">
        <v>9</v>
      </c>
      <c r="AK112">
        <v>0</v>
      </c>
      <c r="AL112">
        <v>0</v>
      </c>
      <c r="AM112">
        <v>0</v>
      </c>
      <c r="AN112">
        <v>52</v>
      </c>
      <c r="AO112">
        <v>0</v>
      </c>
      <c r="AP112">
        <v>66</v>
      </c>
      <c r="AQ112">
        <v>0</v>
      </c>
      <c r="AR112">
        <v>0</v>
      </c>
      <c r="AS112">
        <v>0</v>
      </c>
      <c r="AT112" t="s">
        <v>90</v>
      </c>
      <c r="AU112" s="1">
        <v>44225.662546296298</v>
      </c>
      <c r="AV112">
        <v>3</v>
      </c>
      <c r="AW112">
        <v>0</v>
      </c>
      <c r="AX112">
        <v>0</v>
      </c>
      <c r="AY112">
        <v>0</v>
      </c>
      <c r="AZ112">
        <v>52</v>
      </c>
      <c r="BA112">
        <v>0</v>
      </c>
      <c r="BB112">
        <v>66</v>
      </c>
      <c r="BC112">
        <v>0</v>
      </c>
      <c r="BD112">
        <v>0</v>
      </c>
      <c r="BE112">
        <v>0</v>
      </c>
    </row>
    <row r="113" spans="1:57" x14ac:dyDescent="0.45">
      <c r="A113" t="s">
        <v>402</v>
      </c>
      <c r="B113" t="s">
        <v>79</v>
      </c>
      <c r="C113" t="s">
        <v>403</v>
      </c>
      <c r="D113" t="s">
        <v>81</v>
      </c>
      <c r="E113" s="2" t="str">
        <f>HYPERLINK("capsilon://?command=openfolder&amp;siteaddress=FAM.docvelocity-na8.net&amp;folderid=FX6905A340-6F45-9B41-421E-179791D5B467","FX201011417")</f>
        <v>FX201011417</v>
      </c>
      <c r="F113" t="s">
        <v>19</v>
      </c>
      <c r="G113" t="s">
        <v>19</v>
      </c>
      <c r="H113" t="s">
        <v>82</v>
      </c>
      <c r="I113" t="s">
        <v>404</v>
      </c>
      <c r="J113">
        <v>118</v>
      </c>
      <c r="K113" t="s">
        <v>84</v>
      </c>
      <c r="L113" t="s">
        <v>85</v>
      </c>
      <c r="M113" t="s">
        <v>86</v>
      </c>
      <c r="N113">
        <v>3</v>
      </c>
      <c r="O113" s="1">
        <v>44225.654872685183</v>
      </c>
      <c r="P113" s="1">
        <v>44225.672951388886</v>
      </c>
      <c r="Q113">
        <v>449</v>
      </c>
      <c r="R113">
        <v>1113</v>
      </c>
      <c r="S113" t="b">
        <v>0</v>
      </c>
      <c r="T113" t="s">
        <v>87</v>
      </c>
      <c r="U113" t="b">
        <v>0</v>
      </c>
      <c r="V113" t="s">
        <v>242</v>
      </c>
      <c r="W113" s="1">
        <v>44225.664293981485</v>
      </c>
      <c r="X113">
        <v>809</v>
      </c>
      <c r="Y113">
        <v>121</v>
      </c>
      <c r="Z113">
        <v>0</v>
      </c>
      <c r="AA113">
        <v>121</v>
      </c>
      <c r="AB113">
        <v>0</v>
      </c>
      <c r="AC113">
        <v>85</v>
      </c>
      <c r="AD113">
        <v>-3</v>
      </c>
      <c r="AE113">
        <v>0</v>
      </c>
      <c r="AF113">
        <v>0</v>
      </c>
      <c r="AG113">
        <v>0</v>
      </c>
      <c r="AH113" t="s">
        <v>132</v>
      </c>
      <c r="AI113" s="1">
        <v>44225.669398148151</v>
      </c>
      <c r="AJ113">
        <v>190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-3</v>
      </c>
      <c r="AQ113">
        <v>0</v>
      </c>
      <c r="AR113">
        <v>0</v>
      </c>
      <c r="AS113">
        <v>0</v>
      </c>
      <c r="AT113" t="s">
        <v>90</v>
      </c>
      <c r="AU113" s="1">
        <v>44225.672951388886</v>
      </c>
      <c r="AV113">
        <v>114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-3</v>
      </c>
      <c r="BC113">
        <v>0</v>
      </c>
      <c r="BD113">
        <v>0</v>
      </c>
      <c r="BE113">
        <v>0</v>
      </c>
    </row>
    <row r="114" spans="1:57" hidden="1" x14ac:dyDescent="0.45">
      <c r="A114" t="s">
        <v>405</v>
      </c>
      <c r="B114" t="s">
        <v>79</v>
      </c>
      <c r="C114" t="s">
        <v>100</v>
      </c>
      <c r="D114" t="s">
        <v>81</v>
      </c>
      <c r="E114" s="2" t="str">
        <f>HYPERLINK("capsilon://?command=openfolder&amp;siteaddress=FAM.docvelocity-na8.net&amp;folderid=FXB90166FC-1BB4-0DB6-C76C-D5B89C33472B","FX201224447")</f>
        <v>FX201224447</v>
      </c>
      <c r="F114" t="s">
        <v>19</v>
      </c>
      <c r="G114" t="s">
        <v>19</v>
      </c>
      <c r="H114" t="s">
        <v>82</v>
      </c>
      <c r="I114" t="s">
        <v>406</v>
      </c>
      <c r="J114">
        <v>66</v>
      </c>
      <c r="K114" t="s">
        <v>84</v>
      </c>
      <c r="L114" t="s">
        <v>85</v>
      </c>
      <c r="M114" t="s">
        <v>86</v>
      </c>
      <c r="N114">
        <v>3</v>
      </c>
      <c r="O114" s="1">
        <v>44225.657222222224</v>
      </c>
      <c r="P114" s="1">
        <v>44225.672986111109</v>
      </c>
      <c r="Q114">
        <v>1245</v>
      </c>
      <c r="R114">
        <v>117</v>
      </c>
      <c r="S114" t="b">
        <v>0</v>
      </c>
      <c r="T114" t="s">
        <v>87</v>
      </c>
      <c r="U114" t="b">
        <v>0</v>
      </c>
      <c r="V114" t="s">
        <v>259</v>
      </c>
      <c r="W114" s="1">
        <v>44225.659421296295</v>
      </c>
      <c r="X114">
        <v>106</v>
      </c>
      <c r="Y114">
        <v>0</v>
      </c>
      <c r="Z114">
        <v>0</v>
      </c>
      <c r="AA114">
        <v>0</v>
      </c>
      <c r="AB114">
        <v>52</v>
      </c>
      <c r="AC114">
        <v>0</v>
      </c>
      <c r="AD114">
        <v>66</v>
      </c>
      <c r="AE114">
        <v>0</v>
      </c>
      <c r="AF114">
        <v>0</v>
      </c>
      <c r="AG114">
        <v>0</v>
      </c>
      <c r="AH114" t="s">
        <v>132</v>
      </c>
      <c r="AI114" s="1">
        <v>44225.66951388889</v>
      </c>
      <c r="AJ114">
        <v>9</v>
      </c>
      <c r="AK114">
        <v>0</v>
      </c>
      <c r="AL114">
        <v>0</v>
      </c>
      <c r="AM114">
        <v>0</v>
      </c>
      <c r="AN114">
        <v>52</v>
      </c>
      <c r="AO114">
        <v>0</v>
      </c>
      <c r="AP114">
        <v>66</v>
      </c>
      <c r="AQ114">
        <v>0</v>
      </c>
      <c r="AR114">
        <v>0</v>
      </c>
      <c r="AS114">
        <v>0</v>
      </c>
      <c r="AT114" t="s">
        <v>90</v>
      </c>
      <c r="AU114" s="1">
        <v>44225.672986111109</v>
      </c>
      <c r="AV114">
        <v>2</v>
      </c>
      <c r="AW114">
        <v>0</v>
      </c>
      <c r="AX114">
        <v>0</v>
      </c>
      <c r="AY114">
        <v>0</v>
      </c>
      <c r="AZ114">
        <v>52</v>
      </c>
      <c r="BA114">
        <v>0</v>
      </c>
      <c r="BB114">
        <v>66</v>
      </c>
      <c r="BC114">
        <v>0</v>
      </c>
      <c r="BD114">
        <v>0</v>
      </c>
      <c r="BE114">
        <v>0</v>
      </c>
    </row>
    <row r="115" spans="1:57" x14ac:dyDescent="0.45">
      <c r="A115" t="s">
        <v>407</v>
      </c>
      <c r="B115" t="s">
        <v>79</v>
      </c>
      <c r="C115" t="s">
        <v>408</v>
      </c>
      <c r="D115" t="s">
        <v>81</v>
      </c>
      <c r="E115" s="2" t="str">
        <f>HYPERLINK("capsilon://?command=openfolder&amp;siteaddress=FAM.docvelocity-na8.net&amp;folderid=FXFE12F0A7-EB43-433D-2C97-777C9F5771D8","FX210120148")</f>
        <v>FX210120148</v>
      </c>
      <c r="F115" t="s">
        <v>19</v>
      </c>
      <c r="G115" t="s">
        <v>19</v>
      </c>
      <c r="H115" t="s">
        <v>82</v>
      </c>
      <c r="I115" t="s">
        <v>409</v>
      </c>
      <c r="J115">
        <v>223</v>
      </c>
      <c r="K115" t="s">
        <v>84</v>
      </c>
      <c r="L115" t="s">
        <v>85</v>
      </c>
      <c r="M115" t="s">
        <v>86</v>
      </c>
      <c r="N115">
        <v>3</v>
      </c>
      <c r="O115" s="1">
        <v>44225.667685185188</v>
      </c>
      <c r="P115" s="1">
        <v>44225.690451388888</v>
      </c>
      <c r="Q115">
        <v>49</v>
      </c>
      <c r="R115">
        <v>1918</v>
      </c>
      <c r="S115" t="b">
        <v>0</v>
      </c>
      <c r="T115" t="s">
        <v>87</v>
      </c>
      <c r="U115" t="b">
        <v>0</v>
      </c>
      <c r="V115" t="s">
        <v>242</v>
      </c>
      <c r="W115" s="1">
        <v>44225.682708333334</v>
      </c>
      <c r="X115">
        <v>1292</v>
      </c>
      <c r="Y115">
        <v>156</v>
      </c>
      <c r="Z115">
        <v>0</v>
      </c>
      <c r="AA115">
        <v>156</v>
      </c>
      <c r="AB115">
        <v>0</v>
      </c>
      <c r="AC115">
        <v>64</v>
      </c>
      <c r="AD115">
        <v>67</v>
      </c>
      <c r="AE115">
        <v>0</v>
      </c>
      <c r="AF115">
        <v>0</v>
      </c>
      <c r="AG115">
        <v>0</v>
      </c>
      <c r="AH115" t="s">
        <v>128</v>
      </c>
      <c r="AI115" s="1">
        <v>44225.689675925925</v>
      </c>
      <c r="AJ115">
        <v>594</v>
      </c>
      <c r="AK115">
        <v>1</v>
      </c>
      <c r="AL115">
        <v>0</v>
      </c>
      <c r="AM115">
        <v>1</v>
      </c>
      <c r="AN115">
        <v>0</v>
      </c>
      <c r="AO115">
        <v>1</v>
      </c>
      <c r="AP115">
        <v>66</v>
      </c>
      <c r="AQ115">
        <v>0</v>
      </c>
      <c r="AR115">
        <v>0</v>
      </c>
      <c r="AS115">
        <v>0</v>
      </c>
      <c r="AT115" t="s">
        <v>90</v>
      </c>
      <c r="AU115" s="1">
        <v>44225.690451388888</v>
      </c>
      <c r="AV115">
        <v>32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66</v>
      </c>
      <c r="BC115">
        <v>0</v>
      </c>
      <c r="BD115">
        <v>0</v>
      </c>
      <c r="BE115">
        <v>0</v>
      </c>
    </row>
    <row r="116" spans="1:57" x14ac:dyDescent="0.45">
      <c r="A116" t="s">
        <v>410</v>
      </c>
      <c r="B116" t="s">
        <v>79</v>
      </c>
      <c r="C116" t="s">
        <v>411</v>
      </c>
      <c r="D116" t="s">
        <v>81</v>
      </c>
      <c r="E116" s="2" t="str">
        <f>HYPERLINK("capsilon://?command=openfolder&amp;siteaddress=FAM.docvelocity-na8.net&amp;folderid=FX171E02FA-34FA-65A9-2E32-52C843A1CCDD","FX210118156")</f>
        <v>FX210118156</v>
      </c>
      <c r="F116" t="s">
        <v>19</v>
      </c>
      <c r="G116" t="s">
        <v>19</v>
      </c>
      <c r="H116" t="s">
        <v>82</v>
      </c>
      <c r="I116" t="s">
        <v>412</v>
      </c>
      <c r="J116">
        <v>38</v>
      </c>
      <c r="K116" t="s">
        <v>84</v>
      </c>
      <c r="L116" t="s">
        <v>85</v>
      </c>
      <c r="M116" t="s">
        <v>86</v>
      </c>
      <c r="N116">
        <v>3</v>
      </c>
      <c r="O116" s="1">
        <v>44225.668425925927</v>
      </c>
      <c r="P116" s="1">
        <v>44225.68037037037</v>
      </c>
      <c r="Q116">
        <v>608</v>
      </c>
      <c r="R116">
        <v>424</v>
      </c>
      <c r="S116" t="b">
        <v>0</v>
      </c>
      <c r="T116" t="s">
        <v>87</v>
      </c>
      <c r="U116" t="b">
        <v>0</v>
      </c>
      <c r="V116" t="s">
        <v>255</v>
      </c>
      <c r="W116" s="1">
        <v>44225.67287037037</v>
      </c>
      <c r="X116">
        <v>309</v>
      </c>
      <c r="Y116">
        <v>37</v>
      </c>
      <c r="Z116">
        <v>0</v>
      </c>
      <c r="AA116">
        <v>37</v>
      </c>
      <c r="AB116">
        <v>0</v>
      </c>
      <c r="AC116">
        <v>28</v>
      </c>
      <c r="AD116">
        <v>1</v>
      </c>
      <c r="AE116">
        <v>0</v>
      </c>
      <c r="AF116">
        <v>0</v>
      </c>
      <c r="AG116">
        <v>0</v>
      </c>
      <c r="AH116" t="s">
        <v>128</v>
      </c>
      <c r="AI116" s="1">
        <v>44225.677789351852</v>
      </c>
      <c r="AJ116">
        <v>104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 t="s">
        <v>90</v>
      </c>
      <c r="AU116" s="1">
        <v>44225.68037037037</v>
      </c>
      <c r="AV116">
        <v>11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</row>
    <row r="117" spans="1:57" x14ac:dyDescent="0.45">
      <c r="A117" t="s">
        <v>413</v>
      </c>
      <c r="B117" t="s">
        <v>79</v>
      </c>
      <c r="C117" t="s">
        <v>414</v>
      </c>
      <c r="D117" t="s">
        <v>81</v>
      </c>
      <c r="E117" s="2" t="str">
        <f>HYPERLINK("capsilon://?command=openfolder&amp;siteaddress=FAM.docvelocity-na8.net&amp;folderid=FX2FF501F7-4BEA-365D-F57D-E177A2D26809","FX201228321")</f>
        <v>FX201228321</v>
      </c>
      <c r="F117" t="s">
        <v>19</v>
      </c>
      <c r="G117" t="s">
        <v>19</v>
      </c>
      <c r="H117" t="s">
        <v>82</v>
      </c>
      <c r="I117" t="s">
        <v>415</v>
      </c>
      <c r="J117">
        <v>26</v>
      </c>
      <c r="K117" t="s">
        <v>84</v>
      </c>
      <c r="L117" t="s">
        <v>85</v>
      </c>
      <c r="M117" t="s">
        <v>86</v>
      </c>
      <c r="N117">
        <v>3</v>
      </c>
      <c r="O117" s="1">
        <v>44225.669247685182</v>
      </c>
      <c r="P117" s="1">
        <v>44225.685995370368</v>
      </c>
      <c r="Q117">
        <v>530</v>
      </c>
      <c r="R117">
        <v>917</v>
      </c>
      <c r="S117" t="b">
        <v>0</v>
      </c>
      <c r="T117" t="s">
        <v>87</v>
      </c>
      <c r="U117" t="b">
        <v>0</v>
      </c>
      <c r="V117" t="s">
        <v>171</v>
      </c>
      <c r="W117" s="1">
        <v>44225.678402777776</v>
      </c>
      <c r="X117">
        <v>716</v>
      </c>
      <c r="Y117">
        <v>21</v>
      </c>
      <c r="Z117">
        <v>0</v>
      </c>
      <c r="AA117">
        <v>21</v>
      </c>
      <c r="AB117">
        <v>0</v>
      </c>
      <c r="AC117">
        <v>20</v>
      </c>
      <c r="AD117">
        <v>5</v>
      </c>
      <c r="AE117">
        <v>0</v>
      </c>
      <c r="AF117">
        <v>0</v>
      </c>
      <c r="AG117">
        <v>0</v>
      </c>
      <c r="AH117" t="s">
        <v>128</v>
      </c>
      <c r="AI117" s="1">
        <v>44225.681574074071</v>
      </c>
      <c r="AJ117">
        <v>196</v>
      </c>
      <c r="AK117">
        <v>1</v>
      </c>
      <c r="AL117">
        <v>0</v>
      </c>
      <c r="AM117">
        <v>1</v>
      </c>
      <c r="AN117">
        <v>0</v>
      </c>
      <c r="AO117">
        <v>1</v>
      </c>
      <c r="AP117">
        <v>4</v>
      </c>
      <c r="AQ117">
        <v>0</v>
      </c>
      <c r="AR117">
        <v>0</v>
      </c>
      <c r="AS117">
        <v>0</v>
      </c>
      <c r="AT117" t="s">
        <v>90</v>
      </c>
      <c r="AU117" s="1">
        <v>44225.685995370368</v>
      </c>
      <c r="AV117">
        <v>5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4</v>
      </c>
      <c r="BC117">
        <v>0</v>
      </c>
      <c r="BD117">
        <v>0</v>
      </c>
      <c r="BE117">
        <v>0</v>
      </c>
    </row>
    <row r="118" spans="1:57" x14ac:dyDescent="0.45">
      <c r="A118" t="s">
        <v>416</v>
      </c>
      <c r="B118" t="s">
        <v>79</v>
      </c>
      <c r="C118" t="s">
        <v>417</v>
      </c>
      <c r="D118" t="s">
        <v>81</v>
      </c>
      <c r="E118" s="2" t="str">
        <f>HYPERLINK("capsilon://?command=openfolder&amp;siteaddress=FAM.docvelocity-na8.net&amp;folderid=FXDD5CC737-B106-12E0-A5D9-392782159236","FX201227130")</f>
        <v>FX201227130</v>
      </c>
      <c r="F118" t="s">
        <v>19</v>
      </c>
      <c r="G118" t="s">
        <v>19</v>
      </c>
      <c r="H118" t="s">
        <v>82</v>
      </c>
      <c r="I118" t="s">
        <v>418</v>
      </c>
      <c r="J118">
        <v>56</v>
      </c>
      <c r="K118" t="s">
        <v>84</v>
      </c>
      <c r="L118" t="s">
        <v>85</v>
      </c>
      <c r="M118" t="s">
        <v>86</v>
      </c>
      <c r="N118">
        <v>3</v>
      </c>
      <c r="O118" s="1">
        <v>44198.95722222222</v>
      </c>
      <c r="P118" s="1">
        <v>44200.353368055556</v>
      </c>
      <c r="Q118">
        <v>118351</v>
      </c>
      <c r="R118">
        <v>2276</v>
      </c>
      <c r="S118" t="b">
        <v>0</v>
      </c>
      <c r="T118" t="s">
        <v>87</v>
      </c>
      <c r="U118" t="b">
        <v>0</v>
      </c>
      <c r="V118" t="s">
        <v>419</v>
      </c>
      <c r="W118" s="1">
        <v>44200.15929398148</v>
      </c>
      <c r="X118">
        <v>1428</v>
      </c>
      <c r="Y118">
        <v>64</v>
      </c>
      <c r="Z118">
        <v>0</v>
      </c>
      <c r="AA118">
        <v>64</v>
      </c>
      <c r="AB118">
        <v>0</v>
      </c>
      <c r="AC118">
        <v>44</v>
      </c>
      <c r="AD118">
        <v>-8</v>
      </c>
      <c r="AE118">
        <v>0</v>
      </c>
      <c r="AF118">
        <v>0</v>
      </c>
      <c r="AG118">
        <v>0</v>
      </c>
      <c r="AH118" t="s">
        <v>89</v>
      </c>
      <c r="AI118" s="1">
        <v>44200.177881944444</v>
      </c>
      <c r="AJ118">
        <v>722</v>
      </c>
      <c r="AK118">
        <v>4</v>
      </c>
      <c r="AL118">
        <v>0</v>
      </c>
      <c r="AM118">
        <v>4</v>
      </c>
      <c r="AN118">
        <v>0</v>
      </c>
      <c r="AO118">
        <v>3</v>
      </c>
      <c r="AP118">
        <v>-12</v>
      </c>
      <c r="AQ118">
        <v>0</v>
      </c>
      <c r="AR118">
        <v>0</v>
      </c>
      <c r="AS118">
        <v>0</v>
      </c>
      <c r="AT118" t="s">
        <v>90</v>
      </c>
      <c r="AU118" s="1">
        <v>44200.353368055556</v>
      </c>
      <c r="AV118">
        <v>55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-12</v>
      </c>
      <c r="BC118">
        <v>0</v>
      </c>
      <c r="BD118">
        <v>0</v>
      </c>
      <c r="BE118">
        <v>0</v>
      </c>
    </row>
    <row r="119" spans="1:57" x14ac:dyDescent="0.45">
      <c r="A119" t="s">
        <v>420</v>
      </c>
      <c r="B119" t="s">
        <v>79</v>
      </c>
      <c r="C119" t="s">
        <v>421</v>
      </c>
      <c r="D119" t="s">
        <v>81</v>
      </c>
      <c r="E119" s="2" t="str">
        <f>HYPERLINK("capsilon://?command=openfolder&amp;siteaddress=FAM.docvelocity-na8.net&amp;folderid=FXC96A83F2-1C8D-2674-87B1-2B1D6A794BB3","FX201110728")</f>
        <v>FX201110728</v>
      </c>
      <c r="F119" t="s">
        <v>19</v>
      </c>
      <c r="G119" t="s">
        <v>19</v>
      </c>
      <c r="H119" t="s">
        <v>82</v>
      </c>
      <c r="I119" t="s">
        <v>422</v>
      </c>
      <c r="J119">
        <v>76</v>
      </c>
      <c r="K119" t="s">
        <v>84</v>
      </c>
      <c r="L119" t="s">
        <v>85</v>
      </c>
      <c r="M119" t="s">
        <v>86</v>
      </c>
      <c r="N119">
        <v>3</v>
      </c>
      <c r="O119" s="1">
        <v>44225.674479166664</v>
      </c>
      <c r="P119" s="1">
        <v>44225.680601851855</v>
      </c>
      <c r="Q119">
        <v>196</v>
      </c>
      <c r="R119">
        <v>333</v>
      </c>
      <c r="S119" t="b">
        <v>0</v>
      </c>
      <c r="T119" t="s">
        <v>87</v>
      </c>
      <c r="U119" t="b">
        <v>0</v>
      </c>
      <c r="V119" t="s">
        <v>255</v>
      </c>
      <c r="W119" s="1">
        <v>44225.676701388889</v>
      </c>
      <c r="X119">
        <v>184</v>
      </c>
      <c r="Y119">
        <v>54</v>
      </c>
      <c r="Z119">
        <v>0</v>
      </c>
      <c r="AA119">
        <v>54</v>
      </c>
      <c r="AB119">
        <v>0</v>
      </c>
      <c r="AC119">
        <v>12</v>
      </c>
      <c r="AD119">
        <v>22</v>
      </c>
      <c r="AE119">
        <v>0</v>
      </c>
      <c r="AF119">
        <v>0</v>
      </c>
      <c r="AG119">
        <v>0</v>
      </c>
      <c r="AH119" t="s">
        <v>128</v>
      </c>
      <c r="AI119" s="1">
        <v>44225.679293981484</v>
      </c>
      <c r="AJ119">
        <v>130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22</v>
      </c>
      <c r="AQ119">
        <v>0</v>
      </c>
      <c r="AR119">
        <v>0</v>
      </c>
      <c r="AS119">
        <v>0</v>
      </c>
      <c r="AT119" t="s">
        <v>90</v>
      </c>
      <c r="AU119" s="1">
        <v>44225.680601851855</v>
      </c>
      <c r="AV119">
        <v>19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22</v>
      </c>
      <c r="BC119">
        <v>0</v>
      </c>
      <c r="BD119">
        <v>0</v>
      </c>
      <c r="BE119">
        <v>0</v>
      </c>
    </row>
    <row r="120" spans="1:57" x14ac:dyDescent="0.45">
      <c r="A120" t="s">
        <v>423</v>
      </c>
      <c r="B120" t="s">
        <v>79</v>
      </c>
      <c r="C120" t="s">
        <v>421</v>
      </c>
      <c r="D120" t="s">
        <v>81</v>
      </c>
      <c r="E120" s="2" t="str">
        <f>HYPERLINK("capsilon://?command=openfolder&amp;siteaddress=FAM.docvelocity-na8.net&amp;folderid=FXC96A83F2-1C8D-2674-87B1-2B1D6A794BB3","FX201110728")</f>
        <v>FX201110728</v>
      </c>
      <c r="F120" t="s">
        <v>19</v>
      </c>
      <c r="G120" t="s">
        <v>19</v>
      </c>
      <c r="H120" t="s">
        <v>82</v>
      </c>
      <c r="I120" t="s">
        <v>424</v>
      </c>
      <c r="J120">
        <v>58</v>
      </c>
      <c r="K120" t="s">
        <v>84</v>
      </c>
      <c r="L120" t="s">
        <v>85</v>
      </c>
      <c r="M120" t="s">
        <v>86</v>
      </c>
      <c r="N120">
        <v>3</v>
      </c>
      <c r="O120" s="1">
        <v>44225.674791666665</v>
      </c>
      <c r="P120" s="1">
        <v>44225.686203703706</v>
      </c>
      <c r="Q120">
        <v>499</v>
      </c>
      <c r="R120">
        <v>487</v>
      </c>
      <c r="S120" t="b">
        <v>0</v>
      </c>
      <c r="T120" t="s">
        <v>87</v>
      </c>
      <c r="U120" t="b">
        <v>0</v>
      </c>
      <c r="V120" t="s">
        <v>160</v>
      </c>
      <c r="W120" s="1">
        <v>44225.679212962961</v>
      </c>
      <c r="X120">
        <v>365</v>
      </c>
      <c r="Y120">
        <v>39</v>
      </c>
      <c r="Z120">
        <v>0</v>
      </c>
      <c r="AA120">
        <v>39</v>
      </c>
      <c r="AB120">
        <v>0</v>
      </c>
      <c r="AC120">
        <v>35</v>
      </c>
      <c r="AD120">
        <v>19</v>
      </c>
      <c r="AE120">
        <v>0</v>
      </c>
      <c r="AF120">
        <v>0</v>
      </c>
      <c r="AG120">
        <v>0</v>
      </c>
      <c r="AH120" t="s">
        <v>128</v>
      </c>
      <c r="AI120" s="1">
        <v>44225.682789351849</v>
      </c>
      <c r="AJ120">
        <v>104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19</v>
      </c>
      <c r="AQ120">
        <v>0</v>
      </c>
      <c r="AR120">
        <v>0</v>
      </c>
      <c r="AS120">
        <v>0</v>
      </c>
      <c r="AT120" t="s">
        <v>90</v>
      </c>
      <c r="AU120" s="1">
        <v>44225.686203703706</v>
      </c>
      <c r="AV120">
        <v>18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19</v>
      </c>
      <c r="BC120">
        <v>0</v>
      </c>
      <c r="BD120">
        <v>0</v>
      </c>
      <c r="BE120">
        <v>0</v>
      </c>
    </row>
    <row r="121" spans="1:57" x14ac:dyDescent="0.45">
      <c r="A121" t="s">
        <v>425</v>
      </c>
      <c r="B121" t="s">
        <v>79</v>
      </c>
      <c r="C121" t="s">
        <v>426</v>
      </c>
      <c r="D121" t="s">
        <v>81</v>
      </c>
      <c r="E121" s="2" t="str">
        <f>HYPERLINK("capsilon://?command=openfolder&amp;siteaddress=FAM.docvelocity-na8.net&amp;folderid=FX0B860323-F60E-A002-C8A1-5AA317528F11","FX210118563")</f>
        <v>FX210118563</v>
      </c>
      <c r="F121" t="s">
        <v>19</v>
      </c>
      <c r="G121" t="s">
        <v>19</v>
      </c>
      <c r="H121" t="s">
        <v>82</v>
      </c>
      <c r="I121" t="s">
        <v>427</v>
      </c>
      <c r="J121">
        <v>156</v>
      </c>
      <c r="K121" t="s">
        <v>84</v>
      </c>
      <c r="L121" t="s">
        <v>85</v>
      </c>
      <c r="M121" t="s">
        <v>86</v>
      </c>
      <c r="N121">
        <v>3</v>
      </c>
      <c r="O121" s="1">
        <v>44225.678171296298</v>
      </c>
      <c r="P121" s="1">
        <v>44225.690983796296</v>
      </c>
      <c r="Q121">
        <v>333</v>
      </c>
      <c r="R121">
        <v>774</v>
      </c>
      <c r="S121" t="b">
        <v>0</v>
      </c>
      <c r="T121" t="s">
        <v>87</v>
      </c>
      <c r="U121" t="b">
        <v>0</v>
      </c>
      <c r="V121" t="s">
        <v>255</v>
      </c>
      <c r="W121" s="1">
        <v>44225.684293981481</v>
      </c>
      <c r="X121">
        <v>529</v>
      </c>
      <c r="Y121">
        <v>145</v>
      </c>
      <c r="Z121">
        <v>0</v>
      </c>
      <c r="AA121">
        <v>145</v>
      </c>
      <c r="AB121">
        <v>0</v>
      </c>
      <c r="AC121">
        <v>49</v>
      </c>
      <c r="AD121">
        <v>11</v>
      </c>
      <c r="AE121">
        <v>0</v>
      </c>
      <c r="AF121">
        <v>0</v>
      </c>
      <c r="AG121">
        <v>0</v>
      </c>
      <c r="AH121" t="s">
        <v>132</v>
      </c>
      <c r="AI121" s="1">
        <v>44225.688993055555</v>
      </c>
      <c r="AJ121">
        <v>199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11</v>
      </c>
      <c r="AQ121">
        <v>0</v>
      </c>
      <c r="AR121">
        <v>0</v>
      </c>
      <c r="AS121">
        <v>0</v>
      </c>
      <c r="AT121" t="s">
        <v>90</v>
      </c>
      <c r="AU121" s="1">
        <v>44225.690983796296</v>
      </c>
      <c r="AV121">
        <v>46</v>
      </c>
      <c r="AW121">
        <v>2</v>
      </c>
      <c r="AX121">
        <v>0</v>
      </c>
      <c r="AY121">
        <v>2</v>
      </c>
      <c r="AZ121">
        <v>0</v>
      </c>
      <c r="BA121">
        <v>2</v>
      </c>
      <c r="BB121">
        <v>9</v>
      </c>
      <c r="BC121">
        <v>0</v>
      </c>
      <c r="BD121">
        <v>0</v>
      </c>
      <c r="BE121">
        <v>0</v>
      </c>
    </row>
    <row r="122" spans="1:57" x14ac:dyDescent="0.45">
      <c r="A122" t="s">
        <v>428</v>
      </c>
      <c r="B122" t="s">
        <v>79</v>
      </c>
      <c r="C122" t="s">
        <v>429</v>
      </c>
      <c r="D122" t="s">
        <v>81</v>
      </c>
      <c r="E122" s="2" t="str">
        <f>HYPERLINK("capsilon://?command=openfolder&amp;siteaddress=FAM.docvelocity-na8.net&amp;folderid=FX08B62DE4-257B-64CC-5602-9E289AC80B14","FX210114688")</f>
        <v>FX210114688</v>
      </c>
      <c r="F122" t="s">
        <v>19</v>
      </c>
      <c r="G122" t="s">
        <v>19</v>
      </c>
      <c r="H122" t="s">
        <v>82</v>
      </c>
      <c r="I122" t="s">
        <v>430</v>
      </c>
      <c r="J122">
        <v>38</v>
      </c>
      <c r="K122" t="s">
        <v>84</v>
      </c>
      <c r="L122" t="s">
        <v>85</v>
      </c>
      <c r="M122" t="s">
        <v>86</v>
      </c>
      <c r="N122">
        <v>3</v>
      </c>
      <c r="O122" s="1">
        <v>44225.684606481482</v>
      </c>
      <c r="P122" s="1">
        <v>44225.697453703702</v>
      </c>
      <c r="Q122">
        <v>383</v>
      </c>
      <c r="R122">
        <v>727</v>
      </c>
      <c r="S122" t="b">
        <v>0</v>
      </c>
      <c r="T122" t="s">
        <v>87</v>
      </c>
      <c r="U122" t="b">
        <v>0</v>
      </c>
      <c r="V122" t="s">
        <v>168</v>
      </c>
      <c r="W122" s="1">
        <v>44225.691481481481</v>
      </c>
      <c r="X122">
        <v>588</v>
      </c>
      <c r="Y122">
        <v>37</v>
      </c>
      <c r="Z122">
        <v>0</v>
      </c>
      <c r="AA122">
        <v>37</v>
      </c>
      <c r="AB122">
        <v>0</v>
      </c>
      <c r="AC122">
        <v>19</v>
      </c>
      <c r="AD122">
        <v>1</v>
      </c>
      <c r="AE122">
        <v>0</v>
      </c>
      <c r="AF122">
        <v>0</v>
      </c>
      <c r="AG122">
        <v>0</v>
      </c>
      <c r="AH122" t="s">
        <v>128</v>
      </c>
      <c r="AI122" s="1">
        <v>44225.696087962962</v>
      </c>
      <c r="AJ122">
        <v>131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 t="s">
        <v>90</v>
      </c>
      <c r="AU122" s="1">
        <v>44225.697453703702</v>
      </c>
      <c r="AV122">
        <v>8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</row>
    <row r="123" spans="1:57" hidden="1" x14ac:dyDescent="0.45">
      <c r="A123" t="s">
        <v>431</v>
      </c>
      <c r="B123" t="s">
        <v>79</v>
      </c>
      <c r="C123" t="s">
        <v>383</v>
      </c>
      <c r="D123" t="s">
        <v>81</v>
      </c>
      <c r="E123" s="2" t="str">
        <f>HYPERLINK("capsilon://?command=openfolder&amp;siteaddress=FAM.docvelocity-na8.net&amp;folderid=FX5C99BD6C-ED2F-CB9B-B782-8871373DF35E","FX201225044")</f>
        <v>FX201225044</v>
      </c>
      <c r="F123" t="s">
        <v>19</v>
      </c>
      <c r="G123" t="s">
        <v>19</v>
      </c>
      <c r="H123" t="s">
        <v>82</v>
      </c>
      <c r="I123" t="s">
        <v>432</v>
      </c>
      <c r="J123">
        <v>26</v>
      </c>
      <c r="K123" t="s">
        <v>84</v>
      </c>
      <c r="L123" t="s">
        <v>85</v>
      </c>
      <c r="M123" t="s">
        <v>86</v>
      </c>
      <c r="N123">
        <v>1</v>
      </c>
      <c r="O123" s="1">
        <v>44225.685162037036</v>
      </c>
      <c r="P123" s="1">
        <v>44225.686226851853</v>
      </c>
      <c r="Q123">
        <v>3</v>
      </c>
      <c r="R123">
        <v>89</v>
      </c>
      <c r="S123" t="b">
        <v>0</v>
      </c>
      <c r="T123" t="s">
        <v>87</v>
      </c>
      <c r="U123" t="b">
        <v>0</v>
      </c>
      <c r="V123" t="s">
        <v>242</v>
      </c>
      <c r="W123" s="1">
        <v>44225.686226851853</v>
      </c>
      <c r="X123">
        <v>89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26</v>
      </c>
      <c r="AE123">
        <v>21</v>
      </c>
      <c r="AF123">
        <v>0</v>
      </c>
      <c r="AG123">
        <v>1</v>
      </c>
      <c r="AH123" t="s">
        <v>87</v>
      </c>
      <c r="AI123" t="s">
        <v>87</v>
      </c>
      <c r="AJ123" t="s">
        <v>87</v>
      </c>
      <c r="AK123" t="s">
        <v>87</v>
      </c>
      <c r="AL123" t="s">
        <v>87</v>
      </c>
      <c r="AM123" t="s">
        <v>87</v>
      </c>
      <c r="AN123" t="s">
        <v>87</v>
      </c>
      <c r="AO123" t="s">
        <v>87</v>
      </c>
      <c r="AP123" t="s">
        <v>87</v>
      </c>
      <c r="AQ123" t="s">
        <v>87</v>
      </c>
      <c r="AR123" t="s">
        <v>87</v>
      </c>
      <c r="AS123" t="s">
        <v>87</v>
      </c>
      <c r="AT123" t="s">
        <v>87</v>
      </c>
      <c r="AU123" t="s">
        <v>87</v>
      </c>
      <c r="AV123" t="s">
        <v>87</v>
      </c>
      <c r="AW123" t="s">
        <v>87</v>
      </c>
      <c r="AX123" t="s">
        <v>87</v>
      </c>
      <c r="AY123" t="s">
        <v>87</v>
      </c>
      <c r="AZ123" t="s">
        <v>87</v>
      </c>
      <c r="BA123" t="s">
        <v>87</v>
      </c>
      <c r="BB123" t="s">
        <v>87</v>
      </c>
      <c r="BC123" t="s">
        <v>87</v>
      </c>
      <c r="BD123" t="s">
        <v>87</v>
      </c>
      <c r="BE123" t="s">
        <v>87</v>
      </c>
    </row>
    <row r="124" spans="1:57" x14ac:dyDescent="0.45">
      <c r="A124" t="s">
        <v>433</v>
      </c>
      <c r="B124" t="s">
        <v>79</v>
      </c>
      <c r="C124" t="s">
        <v>383</v>
      </c>
      <c r="D124" t="s">
        <v>81</v>
      </c>
      <c r="E124" s="2" t="str">
        <f>HYPERLINK("capsilon://?command=openfolder&amp;siteaddress=FAM.docvelocity-na8.net&amp;folderid=FX5C99BD6C-ED2F-CB9B-B782-8871373DF35E","FX201225044")</f>
        <v>FX201225044</v>
      </c>
      <c r="F124" t="s">
        <v>19</v>
      </c>
      <c r="G124" t="s">
        <v>19</v>
      </c>
      <c r="H124" t="s">
        <v>82</v>
      </c>
      <c r="I124" t="s">
        <v>432</v>
      </c>
      <c r="J124">
        <v>26</v>
      </c>
      <c r="K124" t="s">
        <v>84</v>
      </c>
      <c r="L124" t="s">
        <v>85</v>
      </c>
      <c r="M124" t="s">
        <v>86</v>
      </c>
      <c r="N124">
        <v>3</v>
      </c>
      <c r="O124" s="1">
        <v>44225.686608796299</v>
      </c>
      <c r="P124" s="1">
        <v>44225.691041666665</v>
      </c>
      <c r="Q124">
        <v>46</v>
      </c>
      <c r="R124">
        <v>337</v>
      </c>
      <c r="S124" t="b">
        <v>0</v>
      </c>
      <c r="T124" t="s">
        <v>87</v>
      </c>
      <c r="U124" t="b">
        <v>1</v>
      </c>
      <c r="V124" t="s">
        <v>242</v>
      </c>
      <c r="W124" s="1">
        <v>44225.689282407409</v>
      </c>
      <c r="X124">
        <v>228</v>
      </c>
      <c r="Y124">
        <v>21</v>
      </c>
      <c r="Z124">
        <v>0</v>
      </c>
      <c r="AA124">
        <v>21</v>
      </c>
      <c r="AB124">
        <v>0</v>
      </c>
      <c r="AC124">
        <v>14</v>
      </c>
      <c r="AD124">
        <v>5</v>
      </c>
      <c r="AE124">
        <v>0</v>
      </c>
      <c r="AF124">
        <v>0</v>
      </c>
      <c r="AG124">
        <v>0</v>
      </c>
      <c r="AH124" t="s">
        <v>128</v>
      </c>
      <c r="AI124" s="1">
        <v>44225.69090277778</v>
      </c>
      <c r="AJ124">
        <v>105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5</v>
      </c>
      <c r="AQ124">
        <v>0</v>
      </c>
      <c r="AR124">
        <v>0</v>
      </c>
      <c r="AS124">
        <v>0</v>
      </c>
      <c r="AT124" t="s">
        <v>90</v>
      </c>
      <c r="AU124" s="1">
        <v>44225.691041666665</v>
      </c>
      <c r="AV124">
        <v>4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5</v>
      </c>
      <c r="BC124">
        <v>0</v>
      </c>
      <c r="BD124">
        <v>0</v>
      </c>
      <c r="BE124">
        <v>0</v>
      </c>
    </row>
    <row r="125" spans="1:57" hidden="1" x14ac:dyDescent="0.45">
      <c r="A125" t="s">
        <v>434</v>
      </c>
      <c r="B125" t="s">
        <v>79</v>
      </c>
      <c r="C125" t="s">
        <v>435</v>
      </c>
      <c r="D125" t="s">
        <v>81</v>
      </c>
      <c r="E125" s="2" t="str">
        <f>HYPERLINK("capsilon://?command=openfolder&amp;siteaddress=FAM.docvelocity-na8.net&amp;folderid=FX6BCC71FD-49D5-7670-3D74-130175EBC378","FX210117253")</f>
        <v>FX210117253</v>
      </c>
      <c r="F125" t="s">
        <v>19</v>
      </c>
      <c r="G125" t="s">
        <v>19</v>
      </c>
      <c r="H125" t="s">
        <v>82</v>
      </c>
      <c r="I125" t="s">
        <v>436</v>
      </c>
      <c r="J125">
        <v>38</v>
      </c>
      <c r="K125" t="s">
        <v>84</v>
      </c>
      <c r="L125" t="s">
        <v>85</v>
      </c>
      <c r="M125" t="s">
        <v>86</v>
      </c>
      <c r="N125">
        <v>1</v>
      </c>
      <c r="O125" s="1">
        <v>44225.688761574071</v>
      </c>
      <c r="P125" s="1">
        <v>44225.690081018518</v>
      </c>
      <c r="Q125">
        <v>10</v>
      </c>
      <c r="R125">
        <v>104</v>
      </c>
      <c r="S125" t="b">
        <v>0</v>
      </c>
      <c r="T125" t="s">
        <v>87</v>
      </c>
      <c r="U125" t="b">
        <v>0</v>
      </c>
      <c r="V125" t="s">
        <v>255</v>
      </c>
      <c r="W125" s="1">
        <v>44225.690081018518</v>
      </c>
      <c r="X125">
        <v>104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38</v>
      </c>
      <c r="AE125">
        <v>37</v>
      </c>
      <c r="AF125">
        <v>0</v>
      </c>
      <c r="AG125">
        <v>1</v>
      </c>
      <c r="AH125" t="s">
        <v>87</v>
      </c>
      <c r="AI125" t="s">
        <v>87</v>
      </c>
      <c r="AJ125" t="s">
        <v>87</v>
      </c>
      <c r="AK125" t="s">
        <v>87</v>
      </c>
      <c r="AL125" t="s">
        <v>87</v>
      </c>
      <c r="AM125" t="s">
        <v>87</v>
      </c>
      <c r="AN125" t="s">
        <v>87</v>
      </c>
      <c r="AO125" t="s">
        <v>87</v>
      </c>
      <c r="AP125" t="s">
        <v>87</v>
      </c>
      <c r="AQ125" t="s">
        <v>87</v>
      </c>
      <c r="AR125" t="s">
        <v>87</v>
      </c>
      <c r="AS125" t="s">
        <v>87</v>
      </c>
      <c r="AT125" t="s">
        <v>87</v>
      </c>
      <c r="AU125" t="s">
        <v>87</v>
      </c>
      <c r="AV125" t="s">
        <v>87</v>
      </c>
      <c r="AW125" t="s">
        <v>87</v>
      </c>
      <c r="AX125" t="s">
        <v>87</v>
      </c>
      <c r="AY125" t="s">
        <v>87</v>
      </c>
      <c r="AZ125" t="s">
        <v>87</v>
      </c>
      <c r="BA125" t="s">
        <v>87</v>
      </c>
      <c r="BB125" t="s">
        <v>87</v>
      </c>
      <c r="BC125" t="s">
        <v>87</v>
      </c>
      <c r="BD125" t="s">
        <v>87</v>
      </c>
      <c r="BE125" t="s">
        <v>87</v>
      </c>
    </row>
    <row r="126" spans="1:57" x14ac:dyDescent="0.45">
      <c r="A126" t="s">
        <v>437</v>
      </c>
      <c r="B126" t="s">
        <v>79</v>
      </c>
      <c r="C126" t="s">
        <v>435</v>
      </c>
      <c r="D126" t="s">
        <v>81</v>
      </c>
      <c r="E126" s="2" t="str">
        <f>HYPERLINK("capsilon://?command=openfolder&amp;siteaddress=FAM.docvelocity-na8.net&amp;folderid=FX6BCC71FD-49D5-7670-3D74-130175EBC378","FX210117253")</f>
        <v>FX210117253</v>
      </c>
      <c r="F126" t="s">
        <v>19</v>
      </c>
      <c r="G126" t="s">
        <v>19</v>
      </c>
      <c r="H126" t="s">
        <v>82</v>
      </c>
      <c r="I126" t="s">
        <v>436</v>
      </c>
      <c r="J126">
        <v>66</v>
      </c>
      <c r="K126" t="s">
        <v>84</v>
      </c>
      <c r="L126" t="s">
        <v>85</v>
      </c>
      <c r="M126" t="s">
        <v>86</v>
      </c>
      <c r="N126">
        <v>3</v>
      </c>
      <c r="O126" s="1">
        <v>44225.690381944441</v>
      </c>
      <c r="P126" s="1">
        <v>44225.69736111111</v>
      </c>
      <c r="Q126">
        <v>275</v>
      </c>
      <c r="R126">
        <v>328</v>
      </c>
      <c r="S126" t="b">
        <v>0</v>
      </c>
      <c r="T126" t="s">
        <v>87</v>
      </c>
      <c r="U126" t="b">
        <v>1</v>
      </c>
      <c r="V126" t="s">
        <v>255</v>
      </c>
      <c r="W126" s="1">
        <v>44225.692997685182</v>
      </c>
      <c r="X126">
        <v>225</v>
      </c>
      <c r="Y126">
        <v>52</v>
      </c>
      <c r="Z126">
        <v>0</v>
      </c>
      <c r="AA126">
        <v>52</v>
      </c>
      <c r="AB126">
        <v>0</v>
      </c>
      <c r="AC126">
        <v>23</v>
      </c>
      <c r="AD126">
        <v>14</v>
      </c>
      <c r="AE126">
        <v>0</v>
      </c>
      <c r="AF126">
        <v>0</v>
      </c>
      <c r="AG126">
        <v>0</v>
      </c>
      <c r="AH126" t="s">
        <v>132</v>
      </c>
      <c r="AI126" s="1">
        <v>44225.695370370369</v>
      </c>
      <c r="AJ126">
        <v>83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14</v>
      </c>
      <c r="AQ126">
        <v>0</v>
      </c>
      <c r="AR126">
        <v>0</v>
      </c>
      <c r="AS126">
        <v>0</v>
      </c>
      <c r="AT126" t="s">
        <v>90</v>
      </c>
      <c r="AU126" s="1">
        <v>44225.69736111111</v>
      </c>
      <c r="AV126">
        <v>20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14</v>
      </c>
      <c r="BC126">
        <v>0</v>
      </c>
      <c r="BD126">
        <v>0</v>
      </c>
      <c r="BE126">
        <v>0</v>
      </c>
    </row>
    <row r="127" spans="1:57" hidden="1" x14ac:dyDescent="0.45">
      <c r="A127" t="s">
        <v>438</v>
      </c>
      <c r="B127" t="s">
        <v>79</v>
      </c>
      <c r="C127" t="s">
        <v>439</v>
      </c>
      <c r="D127" t="s">
        <v>81</v>
      </c>
      <c r="E127" s="2" t="str">
        <f>HYPERLINK("capsilon://?command=openfolder&amp;siteaddress=FAM.docvelocity-na8.net&amp;folderid=FX5D0A6F78-9011-AFF2-CE3C-7512CB05F010","FX201220788")</f>
        <v>FX201220788</v>
      </c>
      <c r="F127" t="s">
        <v>19</v>
      </c>
      <c r="G127" t="s">
        <v>19</v>
      </c>
      <c r="H127" t="s">
        <v>82</v>
      </c>
      <c r="I127" t="s">
        <v>440</v>
      </c>
      <c r="J127">
        <v>66</v>
      </c>
      <c r="K127" t="s">
        <v>84</v>
      </c>
      <c r="L127" t="s">
        <v>85</v>
      </c>
      <c r="M127" t="s">
        <v>86</v>
      </c>
      <c r="N127">
        <v>3</v>
      </c>
      <c r="O127" s="1">
        <v>44225.691180555557</v>
      </c>
      <c r="P127" s="1">
        <v>44225.697488425925</v>
      </c>
      <c r="Q127">
        <v>424</v>
      </c>
      <c r="R127">
        <v>121</v>
      </c>
      <c r="S127" t="b">
        <v>0</v>
      </c>
      <c r="T127" t="s">
        <v>87</v>
      </c>
      <c r="U127" t="b">
        <v>0</v>
      </c>
      <c r="V127" t="s">
        <v>146</v>
      </c>
      <c r="W127" s="1">
        <v>44225.692476851851</v>
      </c>
      <c r="X127">
        <v>111</v>
      </c>
      <c r="Y127">
        <v>0</v>
      </c>
      <c r="Z127">
        <v>0</v>
      </c>
      <c r="AA127">
        <v>0</v>
      </c>
      <c r="AB127">
        <v>52</v>
      </c>
      <c r="AC127">
        <v>0</v>
      </c>
      <c r="AD127">
        <v>66</v>
      </c>
      <c r="AE127">
        <v>0</v>
      </c>
      <c r="AF127">
        <v>0</v>
      </c>
      <c r="AG127">
        <v>0</v>
      </c>
      <c r="AH127" t="s">
        <v>132</v>
      </c>
      <c r="AI127" s="1">
        <v>44225.695474537039</v>
      </c>
      <c r="AJ127">
        <v>8</v>
      </c>
      <c r="AK127">
        <v>0</v>
      </c>
      <c r="AL127">
        <v>0</v>
      </c>
      <c r="AM127">
        <v>0</v>
      </c>
      <c r="AN127">
        <v>52</v>
      </c>
      <c r="AO127">
        <v>0</v>
      </c>
      <c r="AP127">
        <v>66</v>
      </c>
      <c r="AQ127">
        <v>0</v>
      </c>
      <c r="AR127">
        <v>0</v>
      </c>
      <c r="AS127">
        <v>0</v>
      </c>
      <c r="AT127" t="s">
        <v>90</v>
      </c>
      <c r="AU127" s="1">
        <v>44225.697488425925</v>
      </c>
      <c r="AV127">
        <v>2</v>
      </c>
      <c r="AW127">
        <v>0</v>
      </c>
      <c r="AX127">
        <v>0</v>
      </c>
      <c r="AY127">
        <v>0</v>
      </c>
      <c r="AZ127">
        <v>52</v>
      </c>
      <c r="BA127">
        <v>0</v>
      </c>
      <c r="BB127">
        <v>66</v>
      </c>
      <c r="BC127">
        <v>0</v>
      </c>
      <c r="BD127">
        <v>0</v>
      </c>
      <c r="BE127">
        <v>0</v>
      </c>
    </row>
    <row r="128" spans="1:57" hidden="1" x14ac:dyDescent="0.45">
      <c r="A128" t="s">
        <v>441</v>
      </c>
      <c r="B128" t="s">
        <v>79</v>
      </c>
      <c r="C128" t="s">
        <v>442</v>
      </c>
      <c r="D128" t="s">
        <v>81</v>
      </c>
      <c r="E128" s="2" t="str">
        <f>HYPERLINK("capsilon://?command=openfolder&amp;siteaddress=FAM.docvelocity-na8.net&amp;folderid=FX4A1920FC-25A5-7C14-09FE-D4F5CF9E70C3","FX201225769")</f>
        <v>FX201225769</v>
      </c>
      <c r="F128" t="s">
        <v>19</v>
      </c>
      <c r="G128" t="s">
        <v>19</v>
      </c>
      <c r="H128" t="s">
        <v>82</v>
      </c>
      <c r="I128" t="s">
        <v>443</v>
      </c>
      <c r="J128">
        <v>43</v>
      </c>
      <c r="K128" t="s">
        <v>84</v>
      </c>
      <c r="L128" t="s">
        <v>85</v>
      </c>
      <c r="M128" t="s">
        <v>86</v>
      </c>
      <c r="N128">
        <v>1</v>
      </c>
      <c r="O128" s="1">
        <v>44225.720601851855</v>
      </c>
      <c r="P128" s="1">
        <v>44225.727893518517</v>
      </c>
      <c r="Q128">
        <v>114</v>
      </c>
      <c r="R128">
        <v>516</v>
      </c>
      <c r="S128" t="b">
        <v>0</v>
      </c>
      <c r="T128" t="s">
        <v>87</v>
      </c>
      <c r="U128" t="b">
        <v>0</v>
      </c>
      <c r="V128" t="s">
        <v>146</v>
      </c>
      <c r="W128" s="1">
        <v>44225.727893518517</v>
      </c>
      <c r="X128">
        <v>516</v>
      </c>
      <c r="Y128">
        <v>14</v>
      </c>
      <c r="Z128">
        <v>0</v>
      </c>
      <c r="AA128">
        <v>14</v>
      </c>
      <c r="AB128">
        <v>0</v>
      </c>
      <c r="AC128">
        <v>14</v>
      </c>
      <c r="AD128">
        <v>29</v>
      </c>
      <c r="AE128">
        <v>39</v>
      </c>
      <c r="AF128">
        <v>0</v>
      </c>
      <c r="AG128">
        <v>2</v>
      </c>
      <c r="AH128" t="s">
        <v>87</v>
      </c>
      <c r="AI128" t="s">
        <v>87</v>
      </c>
      <c r="AJ128" t="s">
        <v>87</v>
      </c>
      <c r="AK128" t="s">
        <v>87</v>
      </c>
      <c r="AL128" t="s">
        <v>87</v>
      </c>
      <c r="AM128" t="s">
        <v>87</v>
      </c>
      <c r="AN128" t="s">
        <v>87</v>
      </c>
      <c r="AO128" t="s">
        <v>87</v>
      </c>
      <c r="AP128" t="s">
        <v>87</v>
      </c>
      <c r="AQ128" t="s">
        <v>87</v>
      </c>
      <c r="AR128" t="s">
        <v>87</v>
      </c>
      <c r="AS128" t="s">
        <v>87</v>
      </c>
      <c r="AT128" t="s">
        <v>87</v>
      </c>
      <c r="AU128" t="s">
        <v>87</v>
      </c>
      <c r="AV128" t="s">
        <v>87</v>
      </c>
      <c r="AW128" t="s">
        <v>87</v>
      </c>
      <c r="AX128" t="s">
        <v>87</v>
      </c>
      <c r="AY128" t="s">
        <v>87</v>
      </c>
      <c r="AZ128" t="s">
        <v>87</v>
      </c>
      <c r="BA128" t="s">
        <v>87</v>
      </c>
      <c r="BB128" t="s">
        <v>87</v>
      </c>
      <c r="BC128" t="s">
        <v>87</v>
      </c>
      <c r="BD128" t="s">
        <v>87</v>
      </c>
      <c r="BE128" t="s">
        <v>87</v>
      </c>
    </row>
    <row r="129" spans="1:57" x14ac:dyDescent="0.45">
      <c r="A129" t="s">
        <v>444</v>
      </c>
      <c r="B129" t="s">
        <v>79</v>
      </c>
      <c r="C129" t="s">
        <v>445</v>
      </c>
      <c r="D129" t="s">
        <v>81</v>
      </c>
      <c r="E129" s="2" t="str">
        <f>HYPERLINK("capsilon://?command=openfolder&amp;siteaddress=FAM.docvelocity-na8.net&amp;folderid=FXF403B8C9-DBD0-2B41-FB20-1964E3CB0752","FX201224297")</f>
        <v>FX201224297</v>
      </c>
      <c r="F129" t="s">
        <v>19</v>
      </c>
      <c r="G129" t="s">
        <v>19</v>
      </c>
      <c r="H129" t="s">
        <v>82</v>
      </c>
      <c r="I129" t="s">
        <v>446</v>
      </c>
      <c r="J129">
        <v>66</v>
      </c>
      <c r="K129" t="s">
        <v>84</v>
      </c>
      <c r="L129" t="s">
        <v>85</v>
      </c>
      <c r="M129" t="s">
        <v>86</v>
      </c>
      <c r="N129">
        <v>3</v>
      </c>
      <c r="O129" s="1">
        <v>44201.771643518521</v>
      </c>
      <c r="P129" s="1">
        <v>44202.368958333333</v>
      </c>
      <c r="Q129">
        <v>50077</v>
      </c>
      <c r="R129">
        <v>1531</v>
      </c>
      <c r="S129" t="b">
        <v>0</v>
      </c>
      <c r="T129" t="s">
        <v>87</v>
      </c>
      <c r="U129" t="b">
        <v>0</v>
      </c>
      <c r="V129" t="s">
        <v>179</v>
      </c>
      <c r="W129" s="1">
        <v>44201.787523148145</v>
      </c>
      <c r="X129">
        <v>1372</v>
      </c>
      <c r="Y129">
        <v>52</v>
      </c>
      <c r="Z129">
        <v>0</v>
      </c>
      <c r="AA129">
        <v>52</v>
      </c>
      <c r="AB129">
        <v>0</v>
      </c>
      <c r="AC129">
        <v>33</v>
      </c>
      <c r="AD129">
        <v>14</v>
      </c>
      <c r="AE129">
        <v>0</v>
      </c>
      <c r="AF129">
        <v>0</v>
      </c>
      <c r="AG129">
        <v>0</v>
      </c>
      <c r="AH129" t="s">
        <v>267</v>
      </c>
      <c r="AI129" s="1">
        <v>44201.791678240741</v>
      </c>
      <c r="AJ129">
        <v>106</v>
      </c>
      <c r="AK129">
        <v>2</v>
      </c>
      <c r="AL129">
        <v>0</v>
      </c>
      <c r="AM129">
        <v>2</v>
      </c>
      <c r="AN129">
        <v>0</v>
      </c>
      <c r="AO129">
        <v>1</v>
      </c>
      <c r="AP129">
        <v>12</v>
      </c>
      <c r="AQ129">
        <v>0</v>
      </c>
      <c r="AR129">
        <v>0</v>
      </c>
      <c r="AS129">
        <v>0</v>
      </c>
      <c r="AT129" t="s">
        <v>90</v>
      </c>
      <c r="AU129" s="1">
        <v>44202.368958333333</v>
      </c>
      <c r="AV129">
        <v>53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12</v>
      </c>
      <c r="BC129">
        <v>0</v>
      </c>
      <c r="BD129">
        <v>0</v>
      </c>
      <c r="BE129">
        <v>0</v>
      </c>
    </row>
    <row r="130" spans="1:57" hidden="1" x14ac:dyDescent="0.45">
      <c r="A130" t="s">
        <v>447</v>
      </c>
      <c r="B130" t="s">
        <v>79</v>
      </c>
      <c r="C130" t="s">
        <v>383</v>
      </c>
      <c r="D130" t="s">
        <v>81</v>
      </c>
      <c r="E130" s="2" t="str">
        <f>HYPERLINK("capsilon://?command=openfolder&amp;siteaddress=FAM.docvelocity-na8.net&amp;folderid=FX5C99BD6C-ED2F-CB9B-B782-8871373DF35E","FX201225044")</f>
        <v>FX201225044</v>
      </c>
      <c r="F130" t="s">
        <v>19</v>
      </c>
      <c r="G130" t="s">
        <v>19</v>
      </c>
      <c r="H130" t="s">
        <v>82</v>
      </c>
      <c r="I130" t="s">
        <v>448</v>
      </c>
      <c r="J130">
        <v>82</v>
      </c>
      <c r="K130" t="s">
        <v>84</v>
      </c>
      <c r="L130" t="s">
        <v>85</v>
      </c>
      <c r="M130" t="s">
        <v>86</v>
      </c>
      <c r="N130">
        <v>1</v>
      </c>
      <c r="O130" s="1">
        <v>44225.728043981479</v>
      </c>
      <c r="P130" s="1">
        <v>44225.740162037036</v>
      </c>
      <c r="Q130">
        <v>1</v>
      </c>
      <c r="R130">
        <v>1046</v>
      </c>
      <c r="S130" t="b">
        <v>0</v>
      </c>
      <c r="T130" t="s">
        <v>87</v>
      </c>
      <c r="U130" t="b">
        <v>0</v>
      </c>
      <c r="V130" t="s">
        <v>146</v>
      </c>
      <c r="W130" s="1">
        <v>44225.740162037036</v>
      </c>
      <c r="X130">
        <v>1046</v>
      </c>
      <c r="Y130">
        <v>70</v>
      </c>
      <c r="Z130">
        <v>0</v>
      </c>
      <c r="AA130">
        <v>70</v>
      </c>
      <c r="AB130">
        <v>0</v>
      </c>
      <c r="AC130">
        <v>43</v>
      </c>
      <c r="AD130">
        <v>12</v>
      </c>
      <c r="AE130">
        <v>49</v>
      </c>
      <c r="AF130">
        <v>0</v>
      </c>
      <c r="AG130">
        <v>2</v>
      </c>
      <c r="AH130" t="s">
        <v>87</v>
      </c>
      <c r="AI130" t="s">
        <v>87</v>
      </c>
      <c r="AJ130" t="s">
        <v>87</v>
      </c>
      <c r="AK130" t="s">
        <v>87</v>
      </c>
      <c r="AL130" t="s">
        <v>87</v>
      </c>
      <c r="AM130" t="s">
        <v>87</v>
      </c>
      <c r="AN130" t="s">
        <v>87</v>
      </c>
      <c r="AO130" t="s">
        <v>87</v>
      </c>
      <c r="AP130" t="s">
        <v>87</v>
      </c>
      <c r="AQ130" t="s">
        <v>87</v>
      </c>
      <c r="AR130" t="s">
        <v>87</v>
      </c>
      <c r="AS130" t="s">
        <v>87</v>
      </c>
      <c r="AT130" t="s">
        <v>87</v>
      </c>
      <c r="AU130" t="s">
        <v>87</v>
      </c>
      <c r="AV130" t="s">
        <v>87</v>
      </c>
      <c r="AW130" t="s">
        <v>87</v>
      </c>
      <c r="AX130" t="s">
        <v>87</v>
      </c>
      <c r="AY130" t="s">
        <v>87</v>
      </c>
      <c r="AZ130" t="s">
        <v>87</v>
      </c>
      <c r="BA130" t="s">
        <v>87</v>
      </c>
      <c r="BB130" t="s">
        <v>87</v>
      </c>
      <c r="BC130" t="s">
        <v>87</v>
      </c>
      <c r="BD130" t="s">
        <v>87</v>
      </c>
      <c r="BE130" t="s">
        <v>87</v>
      </c>
    </row>
    <row r="131" spans="1:57" x14ac:dyDescent="0.45">
      <c r="A131" t="s">
        <v>449</v>
      </c>
      <c r="B131" t="s">
        <v>79</v>
      </c>
      <c r="C131" t="s">
        <v>450</v>
      </c>
      <c r="D131" t="s">
        <v>81</v>
      </c>
      <c r="E131" s="2" t="str">
        <f>HYPERLINK("capsilon://?command=openfolder&amp;siteaddress=FAM.docvelocity-na8.net&amp;folderid=FXBB287EF1-F6B9-3AFC-9DF7-CB7C4CF65509","FX20126038")</f>
        <v>FX20126038</v>
      </c>
      <c r="F131" t="s">
        <v>19</v>
      </c>
      <c r="G131" t="s">
        <v>19</v>
      </c>
      <c r="H131" t="s">
        <v>82</v>
      </c>
      <c r="I131" t="s">
        <v>451</v>
      </c>
      <c r="J131">
        <v>143</v>
      </c>
      <c r="K131" t="s">
        <v>84</v>
      </c>
      <c r="L131" t="s">
        <v>85</v>
      </c>
      <c r="M131" t="s">
        <v>86</v>
      </c>
      <c r="N131">
        <v>3</v>
      </c>
      <c r="O131" s="1">
        <v>44201.773368055554</v>
      </c>
      <c r="P131" s="1">
        <v>44202.369849537034</v>
      </c>
      <c r="Q131">
        <v>44902</v>
      </c>
      <c r="R131">
        <v>6634</v>
      </c>
      <c r="S131" t="b">
        <v>0</v>
      </c>
      <c r="T131" t="s">
        <v>87</v>
      </c>
      <c r="U131" t="b">
        <v>0</v>
      </c>
      <c r="V131" t="s">
        <v>88</v>
      </c>
      <c r="W131" s="1">
        <v>44202.182592592595</v>
      </c>
      <c r="X131">
        <v>3713</v>
      </c>
      <c r="Y131">
        <v>143</v>
      </c>
      <c r="Z131">
        <v>0</v>
      </c>
      <c r="AA131">
        <v>143</v>
      </c>
      <c r="AB131">
        <v>0</v>
      </c>
      <c r="AC131">
        <v>145</v>
      </c>
      <c r="AD131">
        <v>0</v>
      </c>
      <c r="AE131">
        <v>0</v>
      </c>
      <c r="AF131">
        <v>0</v>
      </c>
      <c r="AG131">
        <v>0</v>
      </c>
      <c r="AH131" t="s">
        <v>89</v>
      </c>
      <c r="AI131" s="1">
        <v>44202.280486111114</v>
      </c>
      <c r="AJ131">
        <v>1453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 t="s">
        <v>90</v>
      </c>
      <c r="AU131" s="1">
        <v>44202.369849537034</v>
      </c>
      <c r="AV131">
        <v>77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hidden="1" x14ac:dyDescent="0.45">
      <c r="A132" t="s">
        <v>452</v>
      </c>
      <c r="B132" t="s">
        <v>79</v>
      </c>
      <c r="C132" t="s">
        <v>453</v>
      </c>
      <c r="D132" t="s">
        <v>81</v>
      </c>
      <c r="E132" s="2" t="str">
        <f>HYPERLINK("capsilon://?command=openfolder&amp;siteaddress=FAM.docvelocity-na8.net&amp;folderid=FX65F9267C-A10A-B3BD-32DA-30C2EC159857","FX20126492")</f>
        <v>FX20126492</v>
      </c>
      <c r="F132" t="s">
        <v>19</v>
      </c>
      <c r="G132" t="s">
        <v>19</v>
      </c>
      <c r="H132" t="s">
        <v>82</v>
      </c>
      <c r="I132" t="s">
        <v>454</v>
      </c>
      <c r="J132">
        <v>66</v>
      </c>
      <c r="K132" t="s">
        <v>84</v>
      </c>
      <c r="L132" t="s">
        <v>85</v>
      </c>
      <c r="M132" t="s">
        <v>86</v>
      </c>
      <c r="N132">
        <v>1</v>
      </c>
      <c r="O132" s="1">
        <v>44201.788518518515</v>
      </c>
      <c r="P132" s="1">
        <v>44201.803078703706</v>
      </c>
      <c r="Q132">
        <v>1</v>
      </c>
      <c r="R132">
        <v>1257</v>
      </c>
      <c r="S132" t="b">
        <v>0</v>
      </c>
      <c r="T132" t="s">
        <v>87</v>
      </c>
      <c r="U132" t="b">
        <v>0</v>
      </c>
      <c r="V132" t="s">
        <v>168</v>
      </c>
      <c r="W132" s="1">
        <v>44201.803078703706</v>
      </c>
      <c r="X132">
        <v>1257</v>
      </c>
      <c r="Y132">
        <v>52</v>
      </c>
      <c r="Z132">
        <v>0</v>
      </c>
      <c r="AA132">
        <v>52</v>
      </c>
      <c r="AB132">
        <v>0</v>
      </c>
      <c r="AC132">
        <v>23</v>
      </c>
      <c r="AD132">
        <v>14</v>
      </c>
      <c r="AE132">
        <v>52</v>
      </c>
      <c r="AF132">
        <v>0</v>
      </c>
      <c r="AG132">
        <v>1</v>
      </c>
      <c r="AH132" t="s">
        <v>87</v>
      </c>
      <c r="AI132" t="s">
        <v>87</v>
      </c>
      <c r="AJ132" t="s">
        <v>87</v>
      </c>
      <c r="AK132" t="s">
        <v>87</v>
      </c>
      <c r="AL132" t="s">
        <v>87</v>
      </c>
      <c r="AM132" t="s">
        <v>87</v>
      </c>
      <c r="AN132" t="s">
        <v>87</v>
      </c>
      <c r="AO132" t="s">
        <v>87</v>
      </c>
      <c r="AP132" t="s">
        <v>87</v>
      </c>
      <c r="AQ132" t="s">
        <v>87</v>
      </c>
      <c r="AR132" t="s">
        <v>87</v>
      </c>
      <c r="AS132" t="s">
        <v>87</v>
      </c>
      <c r="AT132" t="s">
        <v>87</v>
      </c>
      <c r="AU132" t="s">
        <v>87</v>
      </c>
      <c r="AV132" t="s">
        <v>87</v>
      </c>
      <c r="AW132" t="s">
        <v>87</v>
      </c>
      <c r="AX132" t="s">
        <v>87</v>
      </c>
      <c r="AY132" t="s">
        <v>87</v>
      </c>
      <c r="AZ132" t="s">
        <v>87</v>
      </c>
      <c r="BA132" t="s">
        <v>87</v>
      </c>
      <c r="BB132" t="s">
        <v>87</v>
      </c>
      <c r="BC132" t="s">
        <v>87</v>
      </c>
      <c r="BD132" t="s">
        <v>87</v>
      </c>
      <c r="BE132" t="s">
        <v>87</v>
      </c>
    </row>
    <row r="133" spans="1:57" x14ac:dyDescent="0.45">
      <c r="A133" t="s">
        <v>455</v>
      </c>
      <c r="B133" t="s">
        <v>79</v>
      </c>
      <c r="C133" t="s">
        <v>456</v>
      </c>
      <c r="D133" t="s">
        <v>81</v>
      </c>
      <c r="E133" s="2" t="str">
        <f>HYPERLINK("capsilon://?command=openfolder&amp;siteaddress=FAM.docvelocity-na8.net&amp;folderid=FX36EA77E0-5A1A-BED1-3BDA-40D71C4C7F27","FX201227658")</f>
        <v>FX201227658</v>
      </c>
      <c r="F133" t="s">
        <v>19</v>
      </c>
      <c r="G133" t="s">
        <v>19</v>
      </c>
      <c r="H133" t="s">
        <v>82</v>
      </c>
      <c r="I133" t="s">
        <v>457</v>
      </c>
      <c r="J133">
        <v>350</v>
      </c>
      <c r="K133" t="s">
        <v>84</v>
      </c>
      <c r="L133" t="s">
        <v>85</v>
      </c>
      <c r="M133" t="s">
        <v>86</v>
      </c>
      <c r="N133">
        <v>3</v>
      </c>
      <c r="O133" s="1">
        <v>44201.789629629631</v>
      </c>
      <c r="P133" s="1">
        <v>44202.370347222219</v>
      </c>
      <c r="Q133">
        <v>37156</v>
      </c>
      <c r="R133">
        <v>13018</v>
      </c>
      <c r="S133" t="b">
        <v>0</v>
      </c>
      <c r="T133" t="s">
        <v>87</v>
      </c>
      <c r="U133" t="b">
        <v>0</v>
      </c>
      <c r="V133" t="s">
        <v>419</v>
      </c>
      <c r="W133" s="1">
        <v>44202.259340277778</v>
      </c>
      <c r="X133">
        <v>9629</v>
      </c>
      <c r="Y133">
        <v>441</v>
      </c>
      <c r="Z133">
        <v>0</v>
      </c>
      <c r="AA133">
        <v>441</v>
      </c>
      <c r="AB133">
        <v>111</v>
      </c>
      <c r="AC133">
        <v>391</v>
      </c>
      <c r="AD133">
        <v>-91</v>
      </c>
      <c r="AE133">
        <v>0</v>
      </c>
      <c r="AF133">
        <v>0</v>
      </c>
      <c r="AG133">
        <v>0</v>
      </c>
      <c r="AH133" t="s">
        <v>89</v>
      </c>
      <c r="AI133" s="1">
        <v>44202.317418981482</v>
      </c>
      <c r="AJ133">
        <v>3191</v>
      </c>
      <c r="AK133">
        <v>2</v>
      </c>
      <c r="AL133">
        <v>0</v>
      </c>
      <c r="AM133">
        <v>2</v>
      </c>
      <c r="AN133">
        <v>111</v>
      </c>
      <c r="AO133">
        <v>1</v>
      </c>
      <c r="AP133">
        <v>-93</v>
      </c>
      <c r="AQ133">
        <v>0</v>
      </c>
      <c r="AR133">
        <v>0</v>
      </c>
      <c r="AS133">
        <v>0</v>
      </c>
      <c r="AT133" t="s">
        <v>90</v>
      </c>
      <c r="AU133" s="1">
        <v>44202.370347222219</v>
      </c>
      <c r="AV133">
        <v>42</v>
      </c>
      <c r="AW133">
        <v>0</v>
      </c>
      <c r="AX133">
        <v>0</v>
      </c>
      <c r="AY133">
        <v>0</v>
      </c>
      <c r="AZ133">
        <v>111</v>
      </c>
      <c r="BA133">
        <v>0</v>
      </c>
      <c r="BB133">
        <v>-93</v>
      </c>
      <c r="BC133">
        <v>0</v>
      </c>
      <c r="BD133">
        <v>0</v>
      </c>
      <c r="BE133">
        <v>0</v>
      </c>
    </row>
    <row r="134" spans="1:57" x14ac:dyDescent="0.45">
      <c r="A134" t="s">
        <v>458</v>
      </c>
      <c r="B134" t="s">
        <v>79</v>
      </c>
      <c r="C134" t="s">
        <v>453</v>
      </c>
      <c r="D134" t="s">
        <v>81</v>
      </c>
      <c r="E134" s="2" t="str">
        <f>HYPERLINK("capsilon://?command=openfolder&amp;siteaddress=FAM.docvelocity-na8.net&amp;folderid=FX65F9267C-A10A-B3BD-32DA-30C2EC159857","FX20126492")</f>
        <v>FX20126492</v>
      </c>
      <c r="F134" t="s">
        <v>19</v>
      </c>
      <c r="G134" t="s">
        <v>19</v>
      </c>
      <c r="H134" t="s">
        <v>82</v>
      </c>
      <c r="I134" t="s">
        <v>454</v>
      </c>
      <c r="J134">
        <v>38</v>
      </c>
      <c r="K134" t="s">
        <v>84</v>
      </c>
      <c r="L134" t="s">
        <v>85</v>
      </c>
      <c r="M134" t="s">
        <v>86</v>
      </c>
      <c r="N134">
        <v>3</v>
      </c>
      <c r="O134" s="1">
        <v>44201.803310185183</v>
      </c>
      <c r="P134" s="1">
        <v>44202.344583333332</v>
      </c>
      <c r="Q134">
        <v>45294</v>
      </c>
      <c r="R134">
        <v>1472</v>
      </c>
      <c r="S134" t="b">
        <v>0</v>
      </c>
      <c r="T134" t="s">
        <v>87</v>
      </c>
      <c r="U134" t="b">
        <v>1</v>
      </c>
      <c r="V134" t="s">
        <v>168</v>
      </c>
      <c r="W134" s="1">
        <v>44201.811932870369</v>
      </c>
      <c r="X134">
        <v>741</v>
      </c>
      <c r="Y134">
        <v>37</v>
      </c>
      <c r="Z134">
        <v>0</v>
      </c>
      <c r="AA134">
        <v>37</v>
      </c>
      <c r="AB134">
        <v>0</v>
      </c>
      <c r="AC134">
        <v>28</v>
      </c>
      <c r="AD134">
        <v>1</v>
      </c>
      <c r="AE134">
        <v>0</v>
      </c>
      <c r="AF134">
        <v>0</v>
      </c>
      <c r="AG134">
        <v>0</v>
      </c>
      <c r="AH134" t="s">
        <v>89</v>
      </c>
      <c r="AI134" s="1">
        <v>44202.263657407406</v>
      </c>
      <c r="AJ134">
        <v>724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 t="s">
        <v>90</v>
      </c>
      <c r="AU134" s="1">
        <v>44202.344583333332</v>
      </c>
      <c r="AV134">
        <v>7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</row>
    <row r="135" spans="1:57" x14ac:dyDescent="0.45">
      <c r="A135" t="s">
        <v>459</v>
      </c>
      <c r="B135" t="s">
        <v>79</v>
      </c>
      <c r="C135" t="s">
        <v>456</v>
      </c>
      <c r="D135" t="s">
        <v>81</v>
      </c>
      <c r="E135" s="2" t="str">
        <f>HYPERLINK("capsilon://?command=openfolder&amp;siteaddress=FAM.docvelocity-na8.net&amp;folderid=FX36EA77E0-5A1A-BED1-3BDA-40D71C4C7F27","FX201227658")</f>
        <v>FX201227658</v>
      </c>
      <c r="F135" t="s">
        <v>19</v>
      </c>
      <c r="G135" t="s">
        <v>19</v>
      </c>
      <c r="H135" t="s">
        <v>82</v>
      </c>
      <c r="I135" t="s">
        <v>460</v>
      </c>
      <c r="J135">
        <v>31</v>
      </c>
      <c r="K135" t="s">
        <v>84</v>
      </c>
      <c r="L135" t="s">
        <v>85</v>
      </c>
      <c r="M135" t="s">
        <v>86</v>
      </c>
      <c r="N135">
        <v>3</v>
      </c>
      <c r="O135" s="1">
        <v>44201.811296296299</v>
      </c>
      <c r="P135" s="1">
        <v>44202.370439814818</v>
      </c>
      <c r="Q135">
        <v>45434</v>
      </c>
      <c r="R135">
        <v>2876</v>
      </c>
      <c r="S135" t="b">
        <v>0</v>
      </c>
      <c r="T135" t="s">
        <v>87</v>
      </c>
      <c r="U135" t="b">
        <v>0</v>
      </c>
      <c r="V135" t="s">
        <v>98</v>
      </c>
      <c r="W135" s="1">
        <v>44202.169351851851</v>
      </c>
      <c r="X135">
        <v>1818</v>
      </c>
      <c r="Y135">
        <v>84</v>
      </c>
      <c r="Z135">
        <v>0</v>
      </c>
      <c r="AA135">
        <v>84</v>
      </c>
      <c r="AB135">
        <v>0</v>
      </c>
      <c r="AC135">
        <v>78</v>
      </c>
      <c r="AD135">
        <v>-53</v>
      </c>
      <c r="AE135">
        <v>0</v>
      </c>
      <c r="AF135">
        <v>0</v>
      </c>
      <c r="AG135">
        <v>0</v>
      </c>
      <c r="AH135" t="s">
        <v>89</v>
      </c>
      <c r="AI135" s="1">
        <v>44202.329594907409</v>
      </c>
      <c r="AJ135">
        <v>1051</v>
      </c>
      <c r="AK135">
        <v>3</v>
      </c>
      <c r="AL135">
        <v>0</v>
      </c>
      <c r="AM135">
        <v>3</v>
      </c>
      <c r="AN135">
        <v>0</v>
      </c>
      <c r="AO135">
        <v>2</v>
      </c>
      <c r="AP135">
        <v>-56</v>
      </c>
      <c r="AQ135">
        <v>0</v>
      </c>
      <c r="AR135">
        <v>0</v>
      </c>
      <c r="AS135">
        <v>0</v>
      </c>
      <c r="AT135" t="s">
        <v>90</v>
      </c>
      <c r="AU135" s="1">
        <v>44202.370439814818</v>
      </c>
      <c r="AV135">
        <v>7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-56</v>
      </c>
      <c r="BC135">
        <v>0</v>
      </c>
      <c r="BD135">
        <v>0</v>
      </c>
      <c r="BE135">
        <v>0</v>
      </c>
    </row>
    <row r="136" spans="1:57" x14ac:dyDescent="0.45">
      <c r="A136" t="s">
        <v>461</v>
      </c>
      <c r="B136" t="s">
        <v>79</v>
      </c>
      <c r="C136" t="s">
        <v>462</v>
      </c>
      <c r="D136" t="s">
        <v>81</v>
      </c>
      <c r="E136" s="2" t="str">
        <f>HYPERLINK("capsilon://?command=openfolder&amp;siteaddress=FAM.docvelocity-na8.net&amp;folderid=FXB9A1750D-FDC8-D290-7482-4020B9911EF9","FX20116666")</f>
        <v>FX20116666</v>
      </c>
      <c r="F136" t="s">
        <v>19</v>
      </c>
      <c r="G136" t="s">
        <v>19</v>
      </c>
      <c r="H136" t="s">
        <v>82</v>
      </c>
      <c r="I136" t="s">
        <v>463</v>
      </c>
      <c r="J136">
        <v>110</v>
      </c>
      <c r="K136" t="s">
        <v>84</v>
      </c>
      <c r="L136" t="s">
        <v>85</v>
      </c>
      <c r="M136" t="s">
        <v>86</v>
      </c>
      <c r="N136">
        <v>3</v>
      </c>
      <c r="O136" s="1">
        <v>44201.855127314811</v>
      </c>
      <c r="P136" s="1">
        <v>44202.37164351852</v>
      </c>
      <c r="Q136">
        <v>41874</v>
      </c>
      <c r="R136">
        <v>2753</v>
      </c>
      <c r="S136" t="b">
        <v>0</v>
      </c>
      <c r="T136" t="s">
        <v>87</v>
      </c>
      <c r="U136" t="b">
        <v>0</v>
      </c>
      <c r="V136" t="s">
        <v>98</v>
      </c>
      <c r="W136" s="1">
        <v>44202.186099537037</v>
      </c>
      <c r="X136">
        <v>2048</v>
      </c>
      <c r="Y136">
        <v>130</v>
      </c>
      <c r="Z136">
        <v>0</v>
      </c>
      <c r="AA136">
        <v>130</v>
      </c>
      <c r="AB136">
        <v>0</v>
      </c>
      <c r="AC136">
        <v>73</v>
      </c>
      <c r="AD136">
        <v>-20</v>
      </c>
      <c r="AE136">
        <v>0</v>
      </c>
      <c r="AF136">
        <v>0</v>
      </c>
      <c r="AG136">
        <v>0</v>
      </c>
      <c r="AH136" t="s">
        <v>89</v>
      </c>
      <c r="AI136" s="1">
        <v>44202.336562500001</v>
      </c>
      <c r="AJ136">
        <v>601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-20</v>
      </c>
      <c r="AQ136">
        <v>0</v>
      </c>
      <c r="AR136">
        <v>0</v>
      </c>
      <c r="AS136">
        <v>0</v>
      </c>
      <c r="AT136" t="s">
        <v>90</v>
      </c>
      <c r="AU136" s="1">
        <v>44202.37164351852</v>
      </c>
      <c r="AV136">
        <v>104</v>
      </c>
      <c r="AW136">
        <v>2</v>
      </c>
      <c r="AX136">
        <v>0</v>
      </c>
      <c r="AY136">
        <v>2</v>
      </c>
      <c r="AZ136">
        <v>0</v>
      </c>
      <c r="BA136">
        <v>2</v>
      </c>
      <c r="BB136">
        <v>-22</v>
      </c>
      <c r="BC136">
        <v>0</v>
      </c>
      <c r="BD136">
        <v>0</v>
      </c>
      <c r="BE136">
        <v>0</v>
      </c>
    </row>
    <row r="137" spans="1:57" x14ac:dyDescent="0.45">
      <c r="A137" t="s">
        <v>464</v>
      </c>
      <c r="B137" t="s">
        <v>79</v>
      </c>
      <c r="C137" t="s">
        <v>465</v>
      </c>
      <c r="D137" t="s">
        <v>81</v>
      </c>
      <c r="E137" s="2" t="str">
        <f>HYPERLINK("capsilon://?command=openfolder&amp;siteaddress=FAM.docvelocity-na8.net&amp;folderid=FX76DE781E-196E-20C9-3F54-E07C0E194053","FX2008210")</f>
        <v>FX2008210</v>
      </c>
      <c r="F137" t="s">
        <v>19</v>
      </c>
      <c r="G137" t="s">
        <v>19</v>
      </c>
      <c r="H137" t="s">
        <v>82</v>
      </c>
      <c r="I137" t="s">
        <v>466</v>
      </c>
      <c r="J137">
        <v>441</v>
      </c>
      <c r="K137" t="s">
        <v>84</v>
      </c>
      <c r="L137" t="s">
        <v>85</v>
      </c>
      <c r="M137" t="s">
        <v>86</v>
      </c>
      <c r="N137">
        <v>3</v>
      </c>
      <c r="O137" s="1">
        <v>44202.235046296293</v>
      </c>
      <c r="P137" s="1">
        <v>44202.371712962966</v>
      </c>
      <c r="Q137">
        <v>11106</v>
      </c>
      <c r="R137">
        <v>702</v>
      </c>
      <c r="S137" t="b">
        <v>0</v>
      </c>
      <c r="T137" t="s">
        <v>87</v>
      </c>
      <c r="U137" t="b">
        <v>0</v>
      </c>
      <c r="V137" t="s">
        <v>88</v>
      </c>
      <c r="W137" s="1">
        <v>44202.240011574075</v>
      </c>
      <c r="X137">
        <v>60</v>
      </c>
      <c r="Y137">
        <v>98</v>
      </c>
      <c r="Z137">
        <v>0</v>
      </c>
      <c r="AA137">
        <v>98</v>
      </c>
      <c r="AB137">
        <v>0</v>
      </c>
      <c r="AC137">
        <v>0</v>
      </c>
      <c r="AD137">
        <v>343</v>
      </c>
      <c r="AE137">
        <v>0</v>
      </c>
      <c r="AF137">
        <v>0</v>
      </c>
      <c r="AG137">
        <v>0</v>
      </c>
      <c r="AH137" t="s">
        <v>89</v>
      </c>
      <c r="AI137" s="1">
        <v>44202.343935185185</v>
      </c>
      <c r="AJ137">
        <v>637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343</v>
      </c>
      <c r="AQ137">
        <v>0</v>
      </c>
      <c r="AR137">
        <v>0</v>
      </c>
      <c r="AS137">
        <v>0</v>
      </c>
      <c r="AT137" t="s">
        <v>90</v>
      </c>
      <c r="AU137" s="1">
        <v>44202.371712962966</v>
      </c>
      <c r="AV137">
        <v>5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343</v>
      </c>
      <c r="BC137">
        <v>0</v>
      </c>
      <c r="BD137">
        <v>0</v>
      </c>
      <c r="BE137">
        <v>0</v>
      </c>
    </row>
    <row r="138" spans="1:57" x14ac:dyDescent="0.45">
      <c r="A138" t="s">
        <v>467</v>
      </c>
      <c r="B138" t="s">
        <v>79</v>
      </c>
      <c r="C138" t="s">
        <v>341</v>
      </c>
      <c r="D138" t="s">
        <v>81</v>
      </c>
      <c r="E138" s="2" t="str">
        <f>HYPERLINK("capsilon://?command=openfolder&amp;siteaddress=FAM.docvelocity-na8.net&amp;folderid=FX3786D0CE-A0A4-9E49-250B-D73DB6FEC6DC","FX20122432")</f>
        <v>FX20122432</v>
      </c>
      <c r="F138" t="s">
        <v>19</v>
      </c>
      <c r="G138" t="s">
        <v>19</v>
      </c>
      <c r="H138" t="s">
        <v>82</v>
      </c>
      <c r="I138" t="s">
        <v>468</v>
      </c>
      <c r="J138">
        <v>328</v>
      </c>
      <c r="K138" t="s">
        <v>84</v>
      </c>
      <c r="L138" t="s">
        <v>85</v>
      </c>
      <c r="M138" t="s">
        <v>86</v>
      </c>
      <c r="N138">
        <v>3</v>
      </c>
      <c r="O138" s="1">
        <v>44202.290324074071</v>
      </c>
      <c r="P138" s="1">
        <v>44202.396307870367</v>
      </c>
      <c r="Q138">
        <v>3992</v>
      </c>
      <c r="R138">
        <v>5165</v>
      </c>
      <c r="S138" t="b">
        <v>0</v>
      </c>
      <c r="T138" t="s">
        <v>87</v>
      </c>
      <c r="U138" t="b">
        <v>0</v>
      </c>
      <c r="V138" t="s">
        <v>88</v>
      </c>
      <c r="W138" s="1">
        <v>44202.322048611109</v>
      </c>
      <c r="X138">
        <v>2697</v>
      </c>
      <c r="Y138">
        <v>320</v>
      </c>
      <c r="Z138">
        <v>0</v>
      </c>
      <c r="AA138">
        <v>320</v>
      </c>
      <c r="AB138">
        <v>0</v>
      </c>
      <c r="AC138">
        <v>243</v>
      </c>
      <c r="AD138">
        <v>8</v>
      </c>
      <c r="AE138">
        <v>0</v>
      </c>
      <c r="AF138">
        <v>0</v>
      </c>
      <c r="AG138">
        <v>0</v>
      </c>
      <c r="AH138" t="s">
        <v>89</v>
      </c>
      <c r="AI138" s="1">
        <v>44202.371736111112</v>
      </c>
      <c r="AJ138">
        <v>2401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8</v>
      </c>
      <c r="AQ138">
        <v>0</v>
      </c>
      <c r="AR138">
        <v>0</v>
      </c>
      <c r="AS138">
        <v>0</v>
      </c>
      <c r="AT138" t="s">
        <v>90</v>
      </c>
      <c r="AU138" s="1">
        <v>44202.396307870367</v>
      </c>
      <c r="AV138">
        <v>67</v>
      </c>
      <c r="AW138">
        <v>4</v>
      </c>
      <c r="AX138">
        <v>0</v>
      </c>
      <c r="AY138">
        <v>4</v>
      </c>
      <c r="AZ138">
        <v>0</v>
      </c>
      <c r="BA138">
        <v>4</v>
      </c>
      <c r="BB138">
        <v>4</v>
      </c>
      <c r="BC138">
        <v>0</v>
      </c>
      <c r="BD138">
        <v>0</v>
      </c>
      <c r="BE138">
        <v>0</v>
      </c>
    </row>
    <row r="139" spans="1:57" x14ac:dyDescent="0.45">
      <c r="A139" t="s">
        <v>469</v>
      </c>
      <c r="B139" t="s">
        <v>79</v>
      </c>
      <c r="C139" t="s">
        <v>470</v>
      </c>
      <c r="D139" t="s">
        <v>81</v>
      </c>
      <c r="E139" s="2" t="str">
        <f>HYPERLINK("capsilon://?command=openfolder&amp;siteaddress=FAM.docvelocity-na8.net&amp;folderid=FXAF060C6C-91DE-D077-C5D1-0FD89406D57A","FX20111850")</f>
        <v>FX20111850</v>
      </c>
      <c r="F139" t="s">
        <v>19</v>
      </c>
      <c r="G139" t="s">
        <v>19</v>
      </c>
      <c r="H139" t="s">
        <v>82</v>
      </c>
      <c r="I139" t="s">
        <v>471</v>
      </c>
      <c r="J139">
        <v>51</v>
      </c>
      <c r="K139" t="s">
        <v>84</v>
      </c>
      <c r="L139" t="s">
        <v>85</v>
      </c>
      <c r="M139" t="s">
        <v>86</v>
      </c>
      <c r="N139">
        <v>3</v>
      </c>
      <c r="O139" s="1">
        <v>44202.306284722225</v>
      </c>
      <c r="P139" s="1">
        <v>44202.397013888891</v>
      </c>
      <c r="Q139">
        <v>6519</v>
      </c>
      <c r="R139">
        <v>1320</v>
      </c>
      <c r="S139" t="b">
        <v>0</v>
      </c>
      <c r="T139" t="s">
        <v>87</v>
      </c>
      <c r="U139" t="b">
        <v>0</v>
      </c>
      <c r="V139" t="s">
        <v>112</v>
      </c>
      <c r="W139" s="1">
        <v>44202.319224537037</v>
      </c>
      <c r="X139">
        <v>676</v>
      </c>
      <c r="Y139">
        <v>47</v>
      </c>
      <c r="Z139">
        <v>0</v>
      </c>
      <c r="AA139">
        <v>47</v>
      </c>
      <c r="AB139">
        <v>0</v>
      </c>
      <c r="AC139">
        <v>25</v>
      </c>
      <c r="AD139">
        <v>4</v>
      </c>
      <c r="AE139">
        <v>0</v>
      </c>
      <c r="AF139">
        <v>0</v>
      </c>
      <c r="AG139">
        <v>0</v>
      </c>
      <c r="AH139" t="s">
        <v>89</v>
      </c>
      <c r="AI139" s="1">
        <v>44202.378495370373</v>
      </c>
      <c r="AJ139">
        <v>583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4</v>
      </c>
      <c r="AQ139">
        <v>0</v>
      </c>
      <c r="AR139">
        <v>0</v>
      </c>
      <c r="AS139">
        <v>0</v>
      </c>
      <c r="AT139" t="s">
        <v>90</v>
      </c>
      <c r="AU139" s="1">
        <v>44202.397013888891</v>
      </c>
      <c r="AV139">
        <v>61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4</v>
      </c>
      <c r="BC139">
        <v>0</v>
      </c>
      <c r="BD139">
        <v>0</v>
      </c>
      <c r="BE139">
        <v>0</v>
      </c>
    </row>
    <row r="140" spans="1:57" hidden="1" x14ac:dyDescent="0.45">
      <c r="A140" t="s">
        <v>472</v>
      </c>
      <c r="B140" t="s">
        <v>79</v>
      </c>
      <c r="C140" t="s">
        <v>473</v>
      </c>
      <c r="D140" t="s">
        <v>81</v>
      </c>
      <c r="E140" s="2" t="str">
        <f>HYPERLINK("capsilon://?command=openfolder&amp;siteaddress=FAM.docvelocity-na8.net&amp;folderid=FX1B280235-FEB5-CE42-232E-2E8C7837D086","FX2012367")</f>
        <v>FX2012367</v>
      </c>
      <c r="F140" t="s">
        <v>19</v>
      </c>
      <c r="G140" t="s">
        <v>19</v>
      </c>
      <c r="H140" t="s">
        <v>82</v>
      </c>
      <c r="I140" t="s">
        <v>474</v>
      </c>
      <c r="J140">
        <v>66</v>
      </c>
      <c r="K140" t="s">
        <v>84</v>
      </c>
      <c r="L140" t="s">
        <v>85</v>
      </c>
      <c r="M140" t="s">
        <v>86</v>
      </c>
      <c r="N140">
        <v>3</v>
      </c>
      <c r="O140" s="1">
        <v>44202.324131944442</v>
      </c>
      <c r="P140" s="1">
        <v>44202.397060185183</v>
      </c>
      <c r="Q140">
        <v>6077</v>
      </c>
      <c r="R140">
        <v>224</v>
      </c>
      <c r="S140" t="b">
        <v>0</v>
      </c>
      <c r="T140" t="s">
        <v>87</v>
      </c>
      <c r="U140" t="b">
        <v>0</v>
      </c>
      <c r="V140" t="s">
        <v>88</v>
      </c>
      <c r="W140" s="1">
        <v>44202.327013888891</v>
      </c>
      <c r="X140">
        <v>168</v>
      </c>
      <c r="Y140">
        <v>0</v>
      </c>
      <c r="Z140">
        <v>0</v>
      </c>
      <c r="AA140">
        <v>0</v>
      </c>
      <c r="AB140">
        <v>52</v>
      </c>
      <c r="AC140">
        <v>0</v>
      </c>
      <c r="AD140">
        <v>66</v>
      </c>
      <c r="AE140">
        <v>0</v>
      </c>
      <c r="AF140">
        <v>0</v>
      </c>
      <c r="AG140">
        <v>0</v>
      </c>
      <c r="AH140" t="s">
        <v>89</v>
      </c>
      <c r="AI140" s="1">
        <v>44202.379120370373</v>
      </c>
      <c r="AJ140">
        <v>53</v>
      </c>
      <c r="AK140">
        <v>0</v>
      </c>
      <c r="AL140">
        <v>0</v>
      </c>
      <c r="AM140">
        <v>0</v>
      </c>
      <c r="AN140">
        <v>52</v>
      </c>
      <c r="AO140">
        <v>0</v>
      </c>
      <c r="AP140">
        <v>66</v>
      </c>
      <c r="AQ140">
        <v>0</v>
      </c>
      <c r="AR140">
        <v>0</v>
      </c>
      <c r="AS140">
        <v>0</v>
      </c>
      <c r="AT140" t="s">
        <v>90</v>
      </c>
      <c r="AU140" s="1">
        <v>44202.397060185183</v>
      </c>
      <c r="AV140">
        <v>3</v>
      </c>
      <c r="AW140">
        <v>0</v>
      </c>
      <c r="AX140">
        <v>0</v>
      </c>
      <c r="AY140">
        <v>0</v>
      </c>
      <c r="AZ140">
        <v>52</v>
      </c>
      <c r="BA140">
        <v>0</v>
      </c>
      <c r="BB140">
        <v>66</v>
      </c>
      <c r="BC140">
        <v>0</v>
      </c>
      <c r="BD140">
        <v>0</v>
      </c>
      <c r="BE140">
        <v>0</v>
      </c>
    </row>
    <row r="141" spans="1:57" x14ac:dyDescent="0.45">
      <c r="A141" t="s">
        <v>475</v>
      </c>
      <c r="B141" t="s">
        <v>79</v>
      </c>
      <c r="C141" t="s">
        <v>476</v>
      </c>
      <c r="D141" t="s">
        <v>81</v>
      </c>
      <c r="E141" s="2" t="str">
        <f>HYPERLINK("capsilon://?command=openfolder&amp;siteaddress=FAM.docvelocity-na8.net&amp;folderid=FX8F4C26B2-DABA-62D8-ECAE-1110F6E9A3BD","FX201227029")</f>
        <v>FX201227029</v>
      </c>
      <c r="F141" t="s">
        <v>19</v>
      </c>
      <c r="G141" t="s">
        <v>19</v>
      </c>
      <c r="H141" t="s">
        <v>82</v>
      </c>
      <c r="I141" t="s">
        <v>477</v>
      </c>
      <c r="J141">
        <v>154</v>
      </c>
      <c r="K141" t="s">
        <v>84</v>
      </c>
      <c r="L141" t="s">
        <v>85</v>
      </c>
      <c r="M141" t="s">
        <v>86</v>
      </c>
      <c r="N141">
        <v>3</v>
      </c>
      <c r="O141" s="1">
        <v>44202.328090277777</v>
      </c>
      <c r="P141" s="1">
        <v>44202.397453703707</v>
      </c>
      <c r="Q141">
        <v>4555</v>
      </c>
      <c r="R141">
        <v>1438</v>
      </c>
      <c r="S141" t="b">
        <v>0</v>
      </c>
      <c r="T141" t="s">
        <v>87</v>
      </c>
      <c r="U141" t="b">
        <v>0</v>
      </c>
      <c r="V141" t="s">
        <v>88</v>
      </c>
      <c r="W141" s="1">
        <v>44202.337546296294</v>
      </c>
      <c r="X141">
        <v>812</v>
      </c>
      <c r="Y141">
        <v>65</v>
      </c>
      <c r="Z141">
        <v>0</v>
      </c>
      <c r="AA141">
        <v>65</v>
      </c>
      <c r="AB141">
        <v>74</v>
      </c>
      <c r="AC141">
        <v>16</v>
      </c>
      <c r="AD141">
        <v>89</v>
      </c>
      <c r="AE141">
        <v>0</v>
      </c>
      <c r="AF141">
        <v>0</v>
      </c>
      <c r="AG141">
        <v>0</v>
      </c>
      <c r="AH141" t="s">
        <v>89</v>
      </c>
      <c r="AI141" s="1">
        <v>44202.385995370372</v>
      </c>
      <c r="AJ141">
        <v>593</v>
      </c>
      <c r="AK141">
        <v>0</v>
      </c>
      <c r="AL141">
        <v>0</v>
      </c>
      <c r="AM141">
        <v>0</v>
      </c>
      <c r="AN141">
        <v>74</v>
      </c>
      <c r="AO141">
        <v>0</v>
      </c>
      <c r="AP141">
        <v>89</v>
      </c>
      <c r="AQ141">
        <v>0</v>
      </c>
      <c r="AR141">
        <v>0</v>
      </c>
      <c r="AS141">
        <v>0</v>
      </c>
      <c r="AT141" t="s">
        <v>90</v>
      </c>
      <c r="AU141" s="1">
        <v>44202.397453703707</v>
      </c>
      <c r="AV141">
        <v>33</v>
      </c>
      <c r="AW141">
        <v>0</v>
      </c>
      <c r="AX141">
        <v>0</v>
      </c>
      <c r="AY141">
        <v>0</v>
      </c>
      <c r="AZ141">
        <v>74</v>
      </c>
      <c r="BA141">
        <v>0</v>
      </c>
      <c r="BB141">
        <v>89</v>
      </c>
      <c r="BC141">
        <v>0</v>
      </c>
      <c r="BD141">
        <v>0</v>
      </c>
      <c r="BE141">
        <v>0</v>
      </c>
    </row>
    <row r="142" spans="1:57" hidden="1" x14ac:dyDescent="0.45">
      <c r="A142" t="s">
        <v>478</v>
      </c>
      <c r="B142" t="s">
        <v>79</v>
      </c>
      <c r="C142" t="s">
        <v>479</v>
      </c>
      <c r="D142" t="s">
        <v>81</v>
      </c>
      <c r="E142" s="2" t="str">
        <f>HYPERLINK("capsilon://?command=openfolder&amp;siteaddress=FAM.docvelocity-na8.net&amp;folderid=FX72DB6117-6538-8BB7-9DA9-628F758CFE27","FX201015598")</f>
        <v>FX201015598</v>
      </c>
      <c r="F142" t="s">
        <v>19</v>
      </c>
      <c r="G142" t="s">
        <v>19</v>
      </c>
      <c r="H142" t="s">
        <v>82</v>
      </c>
      <c r="I142" t="s">
        <v>480</v>
      </c>
      <c r="J142">
        <v>540</v>
      </c>
      <c r="K142" t="s">
        <v>84</v>
      </c>
      <c r="L142" t="s">
        <v>85</v>
      </c>
      <c r="M142" t="s">
        <v>81</v>
      </c>
      <c r="N142">
        <v>2</v>
      </c>
      <c r="O142" s="1">
        <v>44202.330995370372</v>
      </c>
      <c r="P142" s="1">
        <v>44202.341493055559</v>
      </c>
      <c r="Q142">
        <v>568</v>
      </c>
      <c r="R142">
        <v>339</v>
      </c>
      <c r="S142" t="b">
        <v>0</v>
      </c>
      <c r="T142" t="s">
        <v>481</v>
      </c>
      <c r="U142" t="b">
        <v>0</v>
      </c>
      <c r="V142" t="s">
        <v>98</v>
      </c>
      <c r="W142" s="1">
        <v>44202.334675925929</v>
      </c>
      <c r="X142">
        <v>295</v>
      </c>
      <c r="Y142">
        <v>98</v>
      </c>
      <c r="Z142">
        <v>0</v>
      </c>
      <c r="AA142">
        <v>98</v>
      </c>
      <c r="AB142">
        <v>0</v>
      </c>
      <c r="AC142">
        <v>0</v>
      </c>
      <c r="AD142">
        <v>442</v>
      </c>
      <c r="AE142">
        <v>0</v>
      </c>
      <c r="AF142">
        <v>0</v>
      </c>
      <c r="AG142">
        <v>0</v>
      </c>
      <c r="AH142" t="s">
        <v>481</v>
      </c>
      <c r="AI142" s="1">
        <v>44202.341493055559</v>
      </c>
      <c r="AJ142">
        <v>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442</v>
      </c>
      <c r="AQ142">
        <v>0</v>
      </c>
      <c r="AR142">
        <v>0</v>
      </c>
      <c r="AS142">
        <v>0</v>
      </c>
      <c r="AT142" t="s">
        <v>87</v>
      </c>
      <c r="AU142" t="s">
        <v>87</v>
      </c>
      <c r="AV142" t="s">
        <v>87</v>
      </c>
      <c r="AW142" t="s">
        <v>87</v>
      </c>
      <c r="AX142" t="s">
        <v>87</v>
      </c>
      <c r="AY142" t="s">
        <v>87</v>
      </c>
      <c r="AZ142" t="s">
        <v>87</v>
      </c>
      <c r="BA142" t="s">
        <v>87</v>
      </c>
      <c r="BB142" t="s">
        <v>87</v>
      </c>
      <c r="BC142" t="s">
        <v>87</v>
      </c>
      <c r="BD142" t="s">
        <v>87</v>
      </c>
      <c r="BE142" t="s">
        <v>87</v>
      </c>
    </row>
    <row r="143" spans="1:57" x14ac:dyDescent="0.45">
      <c r="A143" t="s">
        <v>482</v>
      </c>
      <c r="B143" t="s">
        <v>79</v>
      </c>
      <c r="C143" t="s">
        <v>282</v>
      </c>
      <c r="D143" t="s">
        <v>81</v>
      </c>
      <c r="E143" s="2" t="str">
        <f>HYPERLINK("capsilon://?command=openfolder&amp;siteaddress=FAM.docvelocity-na8.net&amp;folderid=FX7F35D3FF-F2A8-EBE1-EFF3-BC050B772D63","FX201229157")</f>
        <v>FX201229157</v>
      </c>
      <c r="F143" t="s">
        <v>19</v>
      </c>
      <c r="G143" t="s">
        <v>19</v>
      </c>
      <c r="H143" t="s">
        <v>82</v>
      </c>
      <c r="I143" t="s">
        <v>483</v>
      </c>
      <c r="J143">
        <v>348</v>
      </c>
      <c r="K143" t="s">
        <v>84</v>
      </c>
      <c r="L143" t="s">
        <v>85</v>
      </c>
      <c r="M143" t="s">
        <v>86</v>
      </c>
      <c r="N143">
        <v>3</v>
      </c>
      <c r="O143" s="1">
        <v>44202.333055555559</v>
      </c>
      <c r="P143" s="1">
        <v>44202.501296296294</v>
      </c>
      <c r="Q143">
        <v>6985</v>
      </c>
      <c r="R143">
        <v>7551</v>
      </c>
      <c r="S143" t="b">
        <v>0</v>
      </c>
      <c r="T143" t="s">
        <v>87</v>
      </c>
      <c r="U143" t="b">
        <v>0</v>
      </c>
      <c r="V143" t="s">
        <v>98</v>
      </c>
      <c r="W143" s="1">
        <v>44202.373483796298</v>
      </c>
      <c r="X143">
        <v>3352</v>
      </c>
      <c r="Y143">
        <v>187</v>
      </c>
      <c r="Z143">
        <v>0</v>
      </c>
      <c r="AA143">
        <v>187</v>
      </c>
      <c r="AB143">
        <v>48</v>
      </c>
      <c r="AC143">
        <v>105</v>
      </c>
      <c r="AD143">
        <v>161</v>
      </c>
      <c r="AE143">
        <v>0</v>
      </c>
      <c r="AF143">
        <v>0</v>
      </c>
      <c r="AG143">
        <v>0</v>
      </c>
      <c r="AH143" t="s">
        <v>89</v>
      </c>
      <c r="AI143" s="1">
        <v>44202.467175925929</v>
      </c>
      <c r="AJ143">
        <v>4121</v>
      </c>
      <c r="AK143">
        <v>0</v>
      </c>
      <c r="AL143">
        <v>0</v>
      </c>
      <c r="AM143">
        <v>0</v>
      </c>
      <c r="AN143">
        <v>48</v>
      </c>
      <c r="AO143">
        <v>0</v>
      </c>
      <c r="AP143">
        <v>161</v>
      </c>
      <c r="AQ143">
        <v>0</v>
      </c>
      <c r="AR143">
        <v>0</v>
      </c>
      <c r="AS143">
        <v>0</v>
      </c>
      <c r="AT143" t="s">
        <v>90</v>
      </c>
      <c r="AU143" s="1">
        <v>44202.501296296294</v>
      </c>
      <c r="AV143">
        <v>44</v>
      </c>
      <c r="AW143">
        <v>0</v>
      </c>
      <c r="AX143">
        <v>0</v>
      </c>
      <c r="AY143">
        <v>0</v>
      </c>
      <c r="AZ143">
        <v>48</v>
      </c>
      <c r="BA143">
        <v>0</v>
      </c>
      <c r="BB143">
        <v>161</v>
      </c>
      <c r="BC143">
        <v>0</v>
      </c>
      <c r="BD143">
        <v>0</v>
      </c>
      <c r="BE143">
        <v>0</v>
      </c>
    </row>
    <row r="144" spans="1:57" x14ac:dyDescent="0.45">
      <c r="A144" t="s">
        <v>484</v>
      </c>
      <c r="B144" t="s">
        <v>79</v>
      </c>
      <c r="C144" t="s">
        <v>485</v>
      </c>
      <c r="D144" t="s">
        <v>81</v>
      </c>
      <c r="E144" s="2" t="str">
        <f>HYPERLINK("capsilon://?command=openfolder&amp;siteaddress=FAM.docvelocity-na8.net&amp;folderid=FX895C0461-648E-69F0-FC0E-B2AA25336252","FX201222232")</f>
        <v>FX201222232</v>
      </c>
      <c r="F144" t="s">
        <v>19</v>
      </c>
      <c r="G144" t="s">
        <v>19</v>
      </c>
      <c r="H144" t="s">
        <v>82</v>
      </c>
      <c r="I144" t="s">
        <v>486</v>
      </c>
      <c r="J144">
        <v>86</v>
      </c>
      <c r="K144" t="s">
        <v>84</v>
      </c>
      <c r="L144" t="s">
        <v>85</v>
      </c>
      <c r="M144" t="s">
        <v>86</v>
      </c>
      <c r="N144">
        <v>3</v>
      </c>
      <c r="O144" s="1">
        <v>44202.366388888891</v>
      </c>
      <c r="P144" s="1">
        <v>44202.502152777779</v>
      </c>
      <c r="Q144">
        <v>10949</v>
      </c>
      <c r="R144">
        <v>781</v>
      </c>
      <c r="S144" t="b">
        <v>0</v>
      </c>
      <c r="T144" t="s">
        <v>87</v>
      </c>
      <c r="U144" t="b">
        <v>0</v>
      </c>
      <c r="V144" t="s">
        <v>419</v>
      </c>
      <c r="W144" s="1">
        <v>44202.373749999999</v>
      </c>
      <c r="X144">
        <v>594</v>
      </c>
      <c r="Y144">
        <v>64</v>
      </c>
      <c r="Z144">
        <v>0</v>
      </c>
      <c r="AA144">
        <v>64</v>
      </c>
      <c r="AB144">
        <v>0</v>
      </c>
      <c r="AC144">
        <v>29</v>
      </c>
      <c r="AD144">
        <v>22</v>
      </c>
      <c r="AE144">
        <v>0</v>
      </c>
      <c r="AF144">
        <v>0</v>
      </c>
      <c r="AG144">
        <v>0</v>
      </c>
      <c r="AH144" t="s">
        <v>267</v>
      </c>
      <c r="AI144" s="1">
        <v>44202.468831018516</v>
      </c>
      <c r="AJ144">
        <v>113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22</v>
      </c>
      <c r="AQ144">
        <v>0</v>
      </c>
      <c r="AR144">
        <v>0</v>
      </c>
      <c r="AS144">
        <v>0</v>
      </c>
      <c r="AT144" t="s">
        <v>90</v>
      </c>
      <c r="AU144" s="1">
        <v>44202.502152777779</v>
      </c>
      <c r="AV144">
        <v>74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22</v>
      </c>
      <c r="BC144">
        <v>0</v>
      </c>
      <c r="BD144">
        <v>0</v>
      </c>
      <c r="BE144">
        <v>0</v>
      </c>
    </row>
    <row r="145" spans="1:57" hidden="1" x14ac:dyDescent="0.45">
      <c r="A145" t="s">
        <v>487</v>
      </c>
      <c r="B145" t="s">
        <v>79</v>
      </c>
      <c r="C145" t="s">
        <v>285</v>
      </c>
      <c r="D145" t="s">
        <v>81</v>
      </c>
      <c r="E145" s="2" t="str">
        <f>HYPERLINK("capsilon://?command=openfolder&amp;siteaddress=FAM.docvelocity-na8.net&amp;folderid=FX2D5E71D1-474C-5A40-734F-6E40DCD221E7","FX20123627")</f>
        <v>FX20123627</v>
      </c>
      <c r="F145" t="s">
        <v>19</v>
      </c>
      <c r="G145" t="s">
        <v>19</v>
      </c>
      <c r="H145" t="s">
        <v>82</v>
      </c>
      <c r="I145" t="s">
        <v>488</v>
      </c>
      <c r="J145">
        <v>66</v>
      </c>
      <c r="K145" t="s">
        <v>84</v>
      </c>
      <c r="L145" t="s">
        <v>85</v>
      </c>
      <c r="M145" t="s">
        <v>86</v>
      </c>
      <c r="N145">
        <v>1</v>
      </c>
      <c r="O145" s="1">
        <v>44202.388819444444</v>
      </c>
      <c r="P145" s="1">
        <v>44202.389965277776</v>
      </c>
      <c r="Q145">
        <v>8</v>
      </c>
      <c r="R145">
        <v>91</v>
      </c>
      <c r="S145" t="b">
        <v>0</v>
      </c>
      <c r="T145" t="s">
        <v>87</v>
      </c>
      <c r="U145" t="b">
        <v>0</v>
      </c>
      <c r="V145" t="s">
        <v>88</v>
      </c>
      <c r="W145" s="1">
        <v>44202.389965277776</v>
      </c>
      <c r="X145">
        <v>91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66</v>
      </c>
      <c r="AE145">
        <v>52</v>
      </c>
      <c r="AF145">
        <v>0</v>
      </c>
      <c r="AG145">
        <v>1</v>
      </c>
      <c r="AH145" t="s">
        <v>87</v>
      </c>
      <c r="AI145" t="s">
        <v>87</v>
      </c>
      <c r="AJ145" t="s">
        <v>87</v>
      </c>
      <c r="AK145" t="s">
        <v>87</v>
      </c>
      <c r="AL145" t="s">
        <v>87</v>
      </c>
      <c r="AM145" t="s">
        <v>87</v>
      </c>
      <c r="AN145" t="s">
        <v>87</v>
      </c>
      <c r="AO145" t="s">
        <v>87</v>
      </c>
      <c r="AP145" t="s">
        <v>87</v>
      </c>
      <c r="AQ145" t="s">
        <v>87</v>
      </c>
      <c r="AR145" t="s">
        <v>87</v>
      </c>
      <c r="AS145" t="s">
        <v>87</v>
      </c>
      <c r="AT145" t="s">
        <v>87</v>
      </c>
      <c r="AU145" t="s">
        <v>87</v>
      </c>
      <c r="AV145" t="s">
        <v>87</v>
      </c>
      <c r="AW145" t="s">
        <v>87</v>
      </c>
      <c r="AX145" t="s">
        <v>87</v>
      </c>
      <c r="AY145" t="s">
        <v>87</v>
      </c>
      <c r="AZ145" t="s">
        <v>87</v>
      </c>
      <c r="BA145" t="s">
        <v>87</v>
      </c>
      <c r="BB145" t="s">
        <v>87</v>
      </c>
      <c r="BC145" t="s">
        <v>87</v>
      </c>
      <c r="BD145" t="s">
        <v>87</v>
      </c>
      <c r="BE145" t="s">
        <v>87</v>
      </c>
    </row>
    <row r="146" spans="1:57" x14ac:dyDescent="0.45">
      <c r="A146" t="s">
        <v>489</v>
      </c>
      <c r="B146" t="s">
        <v>79</v>
      </c>
      <c r="C146" t="s">
        <v>285</v>
      </c>
      <c r="D146" t="s">
        <v>81</v>
      </c>
      <c r="E146" s="2" t="str">
        <f>HYPERLINK("capsilon://?command=openfolder&amp;siteaddress=FAM.docvelocity-na8.net&amp;folderid=FX2D5E71D1-474C-5A40-734F-6E40DCD221E7","FX20123627")</f>
        <v>FX20123627</v>
      </c>
      <c r="F146" t="s">
        <v>19</v>
      </c>
      <c r="G146" t="s">
        <v>19</v>
      </c>
      <c r="H146" t="s">
        <v>82</v>
      </c>
      <c r="I146" t="s">
        <v>488</v>
      </c>
      <c r="J146">
        <v>38</v>
      </c>
      <c r="K146" t="s">
        <v>84</v>
      </c>
      <c r="L146" t="s">
        <v>85</v>
      </c>
      <c r="M146" t="s">
        <v>86</v>
      </c>
      <c r="N146">
        <v>3</v>
      </c>
      <c r="O146" s="1">
        <v>44202.3903125</v>
      </c>
      <c r="P146" s="1">
        <v>44202.443472222221</v>
      </c>
      <c r="Q146">
        <v>3754</v>
      </c>
      <c r="R146">
        <v>839</v>
      </c>
      <c r="S146" t="b">
        <v>0</v>
      </c>
      <c r="T146" t="s">
        <v>87</v>
      </c>
      <c r="U146" t="b">
        <v>1</v>
      </c>
      <c r="V146" t="s">
        <v>88</v>
      </c>
      <c r="W146" s="1">
        <v>44202.396157407406</v>
      </c>
      <c r="X146">
        <v>502</v>
      </c>
      <c r="Y146">
        <v>37</v>
      </c>
      <c r="Z146">
        <v>0</v>
      </c>
      <c r="AA146">
        <v>37</v>
      </c>
      <c r="AB146">
        <v>0</v>
      </c>
      <c r="AC146">
        <v>16</v>
      </c>
      <c r="AD146">
        <v>1</v>
      </c>
      <c r="AE146">
        <v>0</v>
      </c>
      <c r="AF146">
        <v>0</v>
      </c>
      <c r="AG146">
        <v>0</v>
      </c>
      <c r="AH146" t="s">
        <v>89</v>
      </c>
      <c r="AI146" s="1">
        <v>44202.415405092594</v>
      </c>
      <c r="AJ146">
        <v>329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 t="s">
        <v>90</v>
      </c>
      <c r="AU146" s="1">
        <v>44202.443472222221</v>
      </c>
      <c r="AV146">
        <v>8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</row>
    <row r="147" spans="1:57" hidden="1" x14ac:dyDescent="0.45">
      <c r="A147" t="s">
        <v>490</v>
      </c>
      <c r="B147" t="s">
        <v>79</v>
      </c>
      <c r="C147" t="s">
        <v>491</v>
      </c>
      <c r="D147" t="s">
        <v>81</v>
      </c>
      <c r="E147" s="2" t="str">
        <f>HYPERLINK("capsilon://?command=openfolder&amp;siteaddress=FAM.docvelocity-na8.net&amp;folderid=FX0CC95A92-48A6-2A8C-EAF7-86F593E1988D","FX201114827")</f>
        <v>FX201114827</v>
      </c>
      <c r="F147" t="s">
        <v>19</v>
      </c>
      <c r="G147" t="s">
        <v>19</v>
      </c>
      <c r="H147" t="s">
        <v>82</v>
      </c>
      <c r="I147" t="s">
        <v>492</v>
      </c>
      <c r="J147">
        <v>66</v>
      </c>
      <c r="K147" t="s">
        <v>84</v>
      </c>
      <c r="L147" t="s">
        <v>85</v>
      </c>
      <c r="M147" t="s">
        <v>86</v>
      </c>
      <c r="N147">
        <v>3</v>
      </c>
      <c r="O147" s="1">
        <v>44202.392546296294</v>
      </c>
      <c r="P147" s="1">
        <v>44202.502187500002</v>
      </c>
      <c r="Q147">
        <v>9247</v>
      </c>
      <c r="R147">
        <v>226</v>
      </c>
      <c r="S147" t="b">
        <v>0</v>
      </c>
      <c r="T147" t="s">
        <v>87</v>
      </c>
      <c r="U147" t="b">
        <v>0</v>
      </c>
      <c r="V147" t="s">
        <v>112</v>
      </c>
      <c r="W147" s="1">
        <v>44202.394999999997</v>
      </c>
      <c r="X147">
        <v>202</v>
      </c>
      <c r="Y147">
        <v>0</v>
      </c>
      <c r="Z147">
        <v>0</v>
      </c>
      <c r="AA147">
        <v>0</v>
      </c>
      <c r="AB147">
        <v>52</v>
      </c>
      <c r="AC147">
        <v>0</v>
      </c>
      <c r="AD147">
        <v>66</v>
      </c>
      <c r="AE147">
        <v>0</v>
      </c>
      <c r="AF147">
        <v>0</v>
      </c>
      <c r="AG147">
        <v>0</v>
      </c>
      <c r="AH147" t="s">
        <v>267</v>
      </c>
      <c r="AI147" s="1">
        <v>44202.469097222223</v>
      </c>
      <c r="AJ147">
        <v>22</v>
      </c>
      <c r="AK147">
        <v>0</v>
      </c>
      <c r="AL147">
        <v>0</v>
      </c>
      <c r="AM147">
        <v>0</v>
      </c>
      <c r="AN147">
        <v>52</v>
      </c>
      <c r="AO147">
        <v>0</v>
      </c>
      <c r="AP147">
        <v>66</v>
      </c>
      <c r="AQ147">
        <v>0</v>
      </c>
      <c r="AR147">
        <v>0</v>
      </c>
      <c r="AS147">
        <v>0</v>
      </c>
      <c r="AT147" t="s">
        <v>90</v>
      </c>
      <c r="AU147" s="1">
        <v>44202.502187500002</v>
      </c>
      <c r="AV147">
        <v>2</v>
      </c>
      <c r="AW147">
        <v>0</v>
      </c>
      <c r="AX147">
        <v>0</v>
      </c>
      <c r="AY147">
        <v>0</v>
      </c>
      <c r="AZ147">
        <v>52</v>
      </c>
      <c r="BA147">
        <v>0</v>
      </c>
      <c r="BB147">
        <v>66</v>
      </c>
      <c r="BC147">
        <v>0</v>
      </c>
      <c r="BD147">
        <v>0</v>
      </c>
      <c r="BE147">
        <v>0</v>
      </c>
    </row>
    <row r="148" spans="1:57" hidden="1" x14ac:dyDescent="0.45">
      <c r="A148" t="s">
        <v>493</v>
      </c>
      <c r="B148" t="s">
        <v>79</v>
      </c>
      <c r="C148" t="s">
        <v>445</v>
      </c>
      <c r="D148" t="s">
        <v>81</v>
      </c>
      <c r="E148" s="2" t="str">
        <f>HYPERLINK("capsilon://?command=openfolder&amp;siteaddress=FAM.docvelocity-na8.net&amp;folderid=FXF403B8C9-DBD0-2B41-FB20-1964E3CB0752","FX201224297")</f>
        <v>FX201224297</v>
      </c>
      <c r="F148" t="s">
        <v>19</v>
      </c>
      <c r="G148" t="s">
        <v>19</v>
      </c>
      <c r="H148" t="s">
        <v>82</v>
      </c>
      <c r="I148" t="s">
        <v>494</v>
      </c>
      <c r="J148">
        <v>26</v>
      </c>
      <c r="K148" t="s">
        <v>84</v>
      </c>
      <c r="L148" t="s">
        <v>85</v>
      </c>
      <c r="M148" t="s">
        <v>86</v>
      </c>
      <c r="N148">
        <v>1</v>
      </c>
      <c r="O148" s="1">
        <v>44202.407141203701</v>
      </c>
      <c r="P148" s="1">
        <v>44202.41002314815</v>
      </c>
      <c r="Q148">
        <v>88</v>
      </c>
      <c r="R148">
        <v>161</v>
      </c>
      <c r="S148" t="b">
        <v>0</v>
      </c>
      <c r="T148" t="s">
        <v>87</v>
      </c>
      <c r="U148" t="b">
        <v>0</v>
      </c>
      <c r="V148" t="s">
        <v>88</v>
      </c>
      <c r="W148" s="1">
        <v>44202.41002314815</v>
      </c>
      <c r="X148">
        <v>161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26</v>
      </c>
      <c r="AE148">
        <v>21</v>
      </c>
      <c r="AF148">
        <v>0</v>
      </c>
      <c r="AG148">
        <v>1</v>
      </c>
      <c r="AH148" t="s">
        <v>87</v>
      </c>
      <c r="AI148" t="s">
        <v>87</v>
      </c>
      <c r="AJ148" t="s">
        <v>87</v>
      </c>
      <c r="AK148" t="s">
        <v>87</v>
      </c>
      <c r="AL148" t="s">
        <v>87</v>
      </c>
      <c r="AM148" t="s">
        <v>87</v>
      </c>
      <c r="AN148" t="s">
        <v>87</v>
      </c>
      <c r="AO148" t="s">
        <v>87</v>
      </c>
      <c r="AP148" t="s">
        <v>87</v>
      </c>
      <c r="AQ148" t="s">
        <v>87</v>
      </c>
      <c r="AR148" t="s">
        <v>87</v>
      </c>
      <c r="AS148" t="s">
        <v>87</v>
      </c>
      <c r="AT148" t="s">
        <v>87</v>
      </c>
      <c r="AU148" t="s">
        <v>87</v>
      </c>
      <c r="AV148" t="s">
        <v>87</v>
      </c>
      <c r="AW148" t="s">
        <v>87</v>
      </c>
      <c r="AX148" t="s">
        <v>87</v>
      </c>
      <c r="AY148" t="s">
        <v>87</v>
      </c>
      <c r="AZ148" t="s">
        <v>87</v>
      </c>
      <c r="BA148" t="s">
        <v>87</v>
      </c>
      <c r="BB148" t="s">
        <v>87</v>
      </c>
      <c r="BC148" t="s">
        <v>87</v>
      </c>
      <c r="BD148" t="s">
        <v>87</v>
      </c>
      <c r="BE148" t="s">
        <v>87</v>
      </c>
    </row>
    <row r="149" spans="1:57" hidden="1" x14ac:dyDescent="0.45">
      <c r="A149" t="s">
        <v>495</v>
      </c>
      <c r="B149" t="s">
        <v>79</v>
      </c>
      <c r="C149" t="s">
        <v>496</v>
      </c>
      <c r="D149" t="s">
        <v>81</v>
      </c>
      <c r="E149" s="2" t="str">
        <f>HYPERLINK("capsilon://?command=openfolder&amp;siteaddress=FAM.docvelocity-na8.net&amp;folderid=FXA8AD27CF-5ADC-8B3F-D90E-0066BBB4FEAF","FX20127897")</f>
        <v>FX20127897</v>
      </c>
      <c r="F149" t="s">
        <v>19</v>
      </c>
      <c r="G149" t="s">
        <v>19</v>
      </c>
      <c r="H149" t="s">
        <v>82</v>
      </c>
      <c r="I149" t="s">
        <v>497</v>
      </c>
      <c r="J149">
        <v>66</v>
      </c>
      <c r="K149" t="s">
        <v>84</v>
      </c>
      <c r="L149" t="s">
        <v>85</v>
      </c>
      <c r="M149" t="s">
        <v>86</v>
      </c>
      <c r="N149">
        <v>1</v>
      </c>
      <c r="O149" s="1">
        <v>44202.409363425926</v>
      </c>
      <c r="P149" s="1">
        <v>44202.423425925925</v>
      </c>
      <c r="Q149">
        <v>80</v>
      </c>
      <c r="R149">
        <v>1135</v>
      </c>
      <c r="S149" t="b">
        <v>0</v>
      </c>
      <c r="T149" t="s">
        <v>87</v>
      </c>
      <c r="U149" t="b">
        <v>0</v>
      </c>
      <c r="V149" t="s">
        <v>98</v>
      </c>
      <c r="W149" s="1">
        <v>44202.423425925925</v>
      </c>
      <c r="X149">
        <v>1135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66</v>
      </c>
      <c r="AE149">
        <v>52</v>
      </c>
      <c r="AF149">
        <v>0</v>
      </c>
      <c r="AG149">
        <v>1</v>
      </c>
      <c r="AH149" t="s">
        <v>87</v>
      </c>
      <c r="AI149" t="s">
        <v>87</v>
      </c>
      <c r="AJ149" t="s">
        <v>87</v>
      </c>
      <c r="AK149" t="s">
        <v>87</v>
      </c>
      <c r="AL149" t="s">
        <v>87</v>
      </c>
      <c r="AM149" t="s">
        <v>87</v>
      </c>
      <c r="AN149" t="s">
        <v>87</v>
      </c>
      <c r="AO149" t="s">
        <v>87</v>
      </c>
      <c r="AP149" t="s">
        <v>87</v>
      </c>
      <c r="AQ149" t="s">
        <v>87</v>
      </c>
      <c r="AR149" t="s">
        <v>87</v>
      </c>
      <c r="AS149" t="s">
        <v>87</v>
      </c>
      <c r="AT149" t="s">
        <v>87</v>
      </c>
      <c r="AU149" t="s">
        <v>87</v>
      </c>
      <c r="AV149" t="s">
        <v>87</v>
      </c>
      <c r="AW149" t="s">
        <v>87</v>
      </c>
      <c r="AX149" t="s">
        <v>87</v>
      </c>
      <c r="AY149" t="s">
        <v>87</v>
      </c>
      <c r="AZ149" t="s">
        <v>87</v>
      </c>
      <c r="BA149" t="s">
        <v>87</v>
      </c>
      <c r="BB149" t="s">
        <v>87</v>
      </c>
      <c r="BC149" t="s">
        <v>87</v>
      </c>
      <c r="BD149" t="s">
        <v>87</v>
      </c>
      <c r="BE149" t="s">
        <v>87</v>
      </c>
    </row>
    <row r="150" spans="1:57" x14ac:dyDescent="0.45">
      <c r="A150" t="s">
        <v>498</v>
      </c>
      <c r="B150" t="s">
        <v>79</v>
      </c>
      <c r="C150" t="s">
        <v>445</v>
      </c>
      <c r="D150" t="s">
        <v>81</v>
      </c>
      <c r="E150" s="2" t="str">
        <f>HYPERLINK("capsilon://?command=openfolder&amp;siteaddress=FAM.docvelocity-na8.net&amp;folderid=FXF403B8C9-DBD0-2B41-FB20-1964E3CB0752","FX201224297")</f>
        <v>FX201224297</v>
      </c>
      <c r="F150" t="s">
        <v>19</v>
      </c>
      <c r="G150" t="s">
        <v>19</v>
      </c>
      <c r="H150" t="s">
        <v>82</v>
      </c>
      <c r="I150" t="s">
        <v>494</v>
      </c>
      <c r="J150">
        <v>26</v>
      </c>
      <c r="K150" t="s">
        <v>84</v>
      </c>
      <c r="L150" t="s">
        <v>85</v>
      </c>
      <c r="M150" t="s">
        <v>86</v>
      </c>
      <c r="N150">
        <v>3</v>
      </c>
      <c r="O150" s="1">
        <v>44202.410636574074</v>
      </c>
      <c r="P150" s="1">
        <v>44202.443541666667</v>
      </c>
      <c r="Q150">
        <v>2115</v>
      </c>
      <c r="R150">
        <v>728</v>
      </c>
      <c r="S150" t="b">
        <v>0</v>
      </c>
      <c r="T150" t="s">
        <v>87</v>
      </c>
      <c r="U150" t="b">
        <v>1</v>
      </c>
      <c r="V150" t="s">
        <v>88</v>
      </c>
      <c r="W150" s="1">
        <v>44202.414953703701</v>
      </c>
      <c r="X150">
        <v>372</v>
      </c>
      <c r="Y150">
        <v>21</v>
      </c>
      <c r="Z150">
        <v>0</v>
      </c>
      <c r="AA150">
        <v>21</v>
      </c>
      <c r="AB150">
        <v>0</v>
      </c>
      <c r="AC150">
        <v>21</v>
      </c>
      <c r="AD150">
        <v>5</v>
      </c>
      <c r="AE150">
        <v>0</v>
      </c>
      <c r="AF150">
        <v>0</v>
      </c>
      <c r="AG150">
        <v>0</v>
      </c>
      <c r="AH150" t="s">
        <v>89</v>
      </c>
      <c r="AI150" s="1">
        <v>44202.41946759259</v>
      </c>
      <c r="AJ150">
        <v>350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5</v>
      </c>
      <c r="AQ150">
        <v>0</v>
      </c>
      <c r="AR150">
        <v>0</v>
      </c>
      <c r="AS150">
        <v>0</v>
      </c>
      <c r="AT150" t="s">
        <v>90</v>
      </c>
      <c r="AU150" s="1">
        <v>44202.443541666667</v>
      </c>
      <c r="AV150">
        <v>6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5</v>
      </c>
      <c r="BC150">
        <v>0</v>
      </c>
      <c r="BD150">
        <v>0</v>
      </c>
      <c r="BE150">
        <v>0</v>
      </c>
    </row>
    <row r="151" spans="1:57" hidden="1" x14ac:dyDescent="0.45">
      <c r="A151" t="s">
        <v>499</v>
      </c>
      <c r="B151" t="s">
        <v>79</v>
      </c>
      <c r="C151" t="s">
        <v>500</v>
      </c>
      <c r="D151" t="s">
        <v>81</v>
      </c>
      <c r="E151" s="2" t="str">
        <f>HYPERLINK("capsilon://?command=openfolder&amp;siteaddress=FAM.docvelocity-na8.net&amp;folderid=FX4DB0F62E-18A1-B50F-BAE5-E19605DEE531","FX20127359")</f>
        <v>FX20127359</v>
      </c>
      <c r="F151" t="s">
        <v>19</v>
      </c>
      <c r="G151" t="s">
        <v>19</v>
      </c>
      <c r="H151" t="s">
        <v>82</v>
      </c>
      <c r="I151" t="s">
        <v>501</v>
      </c>
      <c r="J151">
        <v>66</v>
      </c>
      <c r="K151" t="s">
        <v>84</v>
      </c>
      <c r="L151" t="s">
        <v>85</v>
      </c>
      <c r="M151" t="s">
        <v>86</v>
      </c>
      <c r="N151">
        <v>1</v>
      </c>
      <c r="O151" s="1">
        <v>44202.41101851852</v>
      </c>
      <c r="P151" s="1">
        <v>44202.413587962961</v>
      </c>
      <c r="Q151">
        <v>30</v>
      </c>
      <c r="R151">
        <v>192</v>
      </c>
      <c r="S151" t="b">
        <v>0</v>
      </c>
      <c r="T151" t="s">
        <v>87</v>
      </c>
      <c r="U151" t="b">
        <v>0</v>
      </c>
      <c r="V151" t="s">
        <v>112</v>
      </c>
      <c r="W151" s="1">
        <v>44202.413587962961</v>
      </c>
      <c r="X151">
        <v>192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66</v>
      </c>
      <c r="AE151">
        <v>52</v>
      </c>
      <c r="AF151">
        <v>0</v>
      </c>
      <c r="AG151">
        <v>1</v>
      </c>
      <c r="AH151" t="s">
        <v>87</v>
      </c>
      <c r="AI151" t="s">
        <v>87</v>
      </c>
      <c r="AJ151" t="s">
        <v>87</v>
      </c>
      <c r="AK151" t="s">
        <v>87</v>
      </c>
      <c r="AL151" t="s">
        <v>87</v>
      </c>
      <c r="AM151" t="s">
        <v>87</v>
      </c>
      <c r="AN151" t="s">
        <v>87</v>
      </c>
      <c r="AO151" t="s">
        <v>87</v>
      </c>
      <c r="AP151" t="s">
        <v>87</v>
      </c>
      <c r="AQ151" t="s">
        <v>87</v>
      </c>
      <c r="AR151" t="s">
        <v>87</v>
      </c>
      <c r="AS151" t="s">
        <v>87</v>
      </c>
      <c r="AT151" t="s">
        <v>87</v>
      </c>
      <c r="AU151" t="s">
        <v>87</v>
      </c>
      <c r="AV151" t="s">
        <v>87</v>
      </c>
      <c r="AW151" t="s">
        <v>87</v>
      </c>
      <c r="AX151" t="s">
        <v>87</v>
      </c>
      <c r="AY151" t="s">
        <v>87</v>
      </c>
      <c r="AZ151" t="s">
        <v>87</v>
      </c>
      <c r="BA151" t="s">
        <v>87</v>
      </c>
      <c r="BB151" t="s">
        <v>87</v>
      </c>
      <c r="BC151" t="s">
        <v>87</v>
      </c>
      <c r="BD151" t="s">
        <v>87</v>
      </c>
      <c r="BE151" t="s">
        <v>87</v>
      </c>
    </row>
    <row r="152" spans="1:57" x14ac:dyDescent="0.45">
      <c r="A152" t="s">
        <v>502</v>
      </c>
      <c r="B152" t="s">
        <v>79</v>
      </c>
      <c r="C152" t="s">
        <v>503</v>
      </c>
      <c r="D152" t="s">
        <v>81</v>
      </c>
      <c r="E152" s="2" t="str">
        <f>HYPERLINK("capsilon://?command=openfolder&amp;siteaddress=FAM.docvelocity-na8.net&amp;folderid=FX1430ADC3-C304-74A7-B1C3-355A029814EB","FX201112557")</f>
        <v>FX201112557</v>
      </c>
      <c r="F152" t="s">
        <v>19</v>
      </c>
      <c r="G152" t="s">
        <v>19</v>
      </c>
      <c r="H152" t="s">
        <v>82</v>
      </c>
      <c r="I152" t="s">
        <v>504</v>
      </c>
      <c r="J152">
        <v>38</v>
      </c>
      <c r="K152" t="s">
        <v>84</v>
      </c>
      <c r="L152" t="s">
        <v>85</v>
      </c>
      <c r="M152" t="s">
        <v>86</v>
      </c>
      <c r="N152">
        <v>3</v>
      </c>
      <c r="O152" s="1">
        <v>44202.412210648145</v>
      </c>
      <c r="P152" s="1">
        <v>44202.502268518518</v>
      </c>
      <c r="Q152">
        <v>6423</v>
      </c>
      <c r="R152">
        <v>1358</v>
      </c>
      <c r="S152" t="b">
        <v>0</v>
      </c>
      <c r="T152" t="s">
        <v>87</v>
      </c>
      <c r="U152" t="b">
        <v>0</v>
      </c>
      <c r="V152" t="s">
        <v>112</v>
      </c>
      <c r="W152" s="1">
        <v>44202.426678240743</v>
      </c>
      <c r="X152">
        <v>1131</v>
      </c>
      <c r="Y152">
        <v>37</v>
      </c>
      <c r="Z152">
        <v>0</v>
      </c>
      <c r="AA152">
        <v>37</v>
      </c>
      <c r="AB152">
        <v>0</v>
      </c>
      <c r="AC152">
        <v>34</v>
      </c>
      <c r="AD152">
        <v>1</v>
      </c>
      <c r="AE152">
        <v>0</v>
      </c>
      <c r="AF152">
        <v>0</v>
      </c>
      <c r="AG152">
        <v>0</v>
      </c>
      <c r="AH152" t="s">
        <v>267</v>
      </c>
      <c r="AI152" s="1">
        <v>44202.471666666665</v>
      </c>
      <c r="AJ152">
        <v>221</v>
      </c>
      <c r="AK152">
        <v>4</v>
      </c>
      <c r="AL152">
        <v>0</v>
      </c>
      <c r="AM152">
        <v>4</v>
      </c>
      <c r="AN152">
        <v>0</v>
      </c>
      <c r="AO152">
        <v>3</v>
      </c>
      <c r="AP152">
        <v>-3</v>
      </c>
      <c r="AQ152">
        <v>0</v>
      </c>
      <c r="AR152">
        <v>0</v>
      </c>
      <c r="AS152">
        <v>0</v>
      </c>
      <c r="AT152" t="s">
        <v>90</v>
      </c>
      <c r="AU152" s="1">
        <v>44202.502268518518</v>
      </c>
      <c r="AV152">
        <v>6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-3</v>
      </c>
      <c r="BC152">
        <v>0</v>
      </c>
      <c r="BD152">
        <v>0</v>
      </c>
      <c r="BE152">
        <v>0</v>
      </c>
    </row>
    <row r="153" spans="1:57" x14ac:dyDescent="0.45">
      <c r="A153" t="s">
        <v>505</v>
      </c>
      <c r="B153" t="s">
        <v>79</v>
      </c>
      <c r="C153" t="s">
        <v>500</v>
      </c>
      <c r="D153" t="s">
        <v>81</v>
      </c>
      <c r="E153" s="2" t="str">
        <f>HYPERLINK("capsilon://?command=openfolder&amp;siteaddress=FAM.docvelocity-na8.net&amp;folderid=FX4DB0F62E-18A1-B50F-BAE5-E19605DEE531","FX20127359")</f>
        <v>FX20127359</v>
      </c>
      <c r="F153" t="s">
        <v>19</v>
      </c>
      <c r="G153" t="s">
        <v>19</v>
      </c>
      <c r="H153" t="s">
        <v>82</v>
      </c>
      <c r="I153" t="s">
        <v>501</v>
      </c>
      <c r="J153">
        <v>38</v>
      </c>
      <c r="K153" t="s">
        <v>84</v>
      </c>
      <c r="L153" t="s">
        <v>85</v>
      </c>
      <c r="M153" t="s">
        <v>86</v>
      </c>
      <c r="N153">
        <v>3</v>
      </c>
      <c r="O153" s="1">
        <v>44202.413831018515</v>
      </c>
      <c r="P153" s="1">
        <v>44202.464837962965</v>
      </c>
      <c r="Q153">
        <v>3424</v>
      </c>
      <c r="R153">
        <v>983</v>
      </c>
      <c r="S153" t="b">
        <v>0</v>
      </c>
      <c r="T153" t="s">
        <v>87</v>
      </c>
      <c r="U153" t="b">
        <v>1</v>
      </c>
      <c r="V153" t="s">
        <v>88</v>
      </c>
      <c r="W153" s="1">
        <v>44202.423391203702</v>
      </c>
      <c r="X153">
        <v>728</v>
      </c>
      <c r="Y153">
        <v>37</v>
      </c>
      <c r="Z153">
        <v>0</v>
      </c>
      <c r="AA153">
        <v>37</v>
      </c>
      <c r="AB153">
        <v>0</v>
      </c>
      <c r="AC153">
        <v>33</v>
      </c>
      <c r="AD153">
        <v>1</v>
      </c>
      <c r="AE153">
        <v>0</v>
      </c>
      <c r="AF153">
        <v>0</v>
      </c>
      <c r="AG153">
        <v>0</v>
      </c>
      <c r="AH153" t="s">
        <v>267</v>
      </c>
      <c r="AI153" s="1">
        <v>44202.464317129627</v>
      </c>
      <c r="AJ153">
        <v>248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 t="s">
        <v>90</v>
      </c>
      <c r="AU153" s="1">
        <v>44202.464837962965</v>
      </c>
      <c r="AV153">
        <v>7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</row>
    <row r="154" spans="1:57" x14ac:dyDescent="0.45">
      <c r="A154" t="s">
        <v>506</v>
      </c>
      <c r="B154" t="s">
        <v>79</v>
      </c>
      <c r="C154" t="s">
        <v>507</v>
      </c>
      <c r="D154" t="s">
        <v>81</v>
      </c>
      <c r="E154" s="2" t="str">
        <f>HYPERLINK("capsilon://?command=openfolder&amp;siteaddress=FAM.docvelocity-na8.net&amp;folderid=FXA50EE70B-4E5A-6A61-424E-ECCB978D1024","FX20128297")</f>
        <v>FX20128297</v>
      </c>
      <c r="F154" t="s">
        <v>19</v>
      </c>
      <c r="G154" t="s">
        <v>19</v>
      </c>
      <c r="H154" t="s">
        <v>82</v>
      </c>
      <c r="I154" t="s">
        <v>508</v>
      </c>
      <c r="J154">
        <v>108</v>
      </c>
      <c r="K154" t="s">
        <v>84</v>
      </c>
      <c r="L154" t="s">
        <v>85</v>
      </c>
      <c r="M154" t="s">
        <v>86</v>
      </c>
      <c r="N154">
        <v>3</v>
      </c>
      <c r="O154" s="1">
        <v>44202.414340277777</v>
      </c>
      <c r="P154" s="1">
        <v>44202.502627314818</v>
      </c>
      <c r="Q154">
        <v>5844</v>
      </c>
      <c r="R154">
        <v>1784</v>
      </c>
      <c r="S154" t="b">
        <v>0</v>
      </c>
      <c r="T154" t="s">
        <v>87</v>
      </c>
      <c r="U154" t="b">
        <v>0</v>
      </c>
      <c r="V154" t="s">
        <v>419</v>
      </c>
      <c r="W154" s="1">
        <v>44202.432847222219</v>
      </c>
      <c r="X154">
        <v>1406</v>
      </c>
      <c r="Y154">
        <v>68</v>
      </c>
      <c r="Z154">
        <v>0</v>
      </c>
      <c r="AA154">
        <v>68</v>
      </c>
      <c r="AB154">
        <v>0</v>
      </c>
      <c r="AC154">
        <v>17</v>
      </c>
      <c r="AD154">
        <v>40</v>
      </c>
      <c r="AE154">
        <v>0</v>
      </c>
      <c r="AF154">
        <v>0</v>
      </c>
      <c r="AG154">
        <v>0</v>
      </c>
      <c r="AH154" t="s">
        <v>89</v>
      </c>
      <c r="AI154" s="1">
        <v>44202.475092592591</v>
      </c>
      <c r="AJ154">
        <v>348</v>
      </c>
      <c r="AK154">
        <v>2</v>
      </c>
      <c r="AL154">
        <v>0</v>
      </c>
      <c r="AM154">
        <v>2</v>
      </c>
      <c r="AN154">
        <v>0</v>
      </c>
      <c r="AO154">
        <v>1</v>
      </c>
      <c r="AP154">
        <v>38</v>
      </c>
      <c r="AQ154">
        <v>0</v>
      </c>
      <c r="AR154">
        <v>0</v>
      </c>
      <c r="AS154">
        <v>0</v>
      </c>
      <c r="AT154" t="s">
        <v>90</v>
      </c>
      <c r="AU154" s="1">
        <v>44202.502627314818</v>
      </c>
      <c r="AV154">
        <v>30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38</v>
      </c>
      <c r="BC154">
        <v>0</v>
      </c>
      <c r="BD154">
        <v>0</v>
      </c>
      <c r="BE154">
        <v>0</v>
      </c>
    </row>
    <row r="155" spans="1:57" x14ac:dyDescent="0.45">
      <c r="A155" t="s">
        <v>509</v>
      </c>
      <c r="B155" t="s">
        <v>79</v>
      </c>
      <c r="C155" t="s">
        <v>510</v>
      </c>
      <c r="D155" t="s">
        <v>81</v>
      </c>
      <c r="E155" s="2" t="str">
        <f>HYPERLINK("capsilon://?command=openfolder&amp;siteaddress=FAM.docvelocity-na8.net&amp;folderid=FX47B9C066-F37D-2DA2-31F6-3A0B9BCAA4BC","FX2012303")</f>
        <v>FX2012303</v>
      </c>
      <c r="F155" t="s">
        <v>19</v>
      </c>
      <c r="G155" t="s">
        <v>19</v>
      </c>
      <c r="H155" t="s">
        <v>82</v>
      </c>
      <c r="I155" t="s">
        <v>511</v>
      </c>
      <c r="J155">
        <v>118</v>
      </c>
      <c r="K155" t="s">
        <v>84</v>
      </c>
      <c r="L155" t="s">
        <v>85</v>
      </c>
      <c r="M155" t="s">
        <v>86</v>
      </c>
      <c r="N155">
        <v>3</v>
      </c>
      <c r="O155" s="1">
        <v>44202.414907407408</v>
      </c>
      <c r="P155" s="1">
        <v>44202.502696759257</v>
      </c>
      <c r="Q155">
        <v>6296</v>
      </c>
      <c r="R155">
        <v>1289</v>
      </c>
      <c r="S155" t="b">
        <v>0</v>
      </c>
      <c r="T155" t="s">
        <v>87</v>
      </c>
      <c r="U155" t="b">
        <v>0</v>
      </c>
      <c r="V155" t="s">
        <v>88</v>
      </c>
      <c r="W155" s="1">
        <v>44202.433298611111</v>
      </c>
      <c r="X155">
        <v>855</v>
      </c>
      <c r="Y155">
        <v>42</v>
      </c>
      <c r="Z155">
        <v>0</v>
      </c>
      <c r="AA155">
        <v>42</v>
      </c>
      <c r="AB155">
        <v>52</v>
      </c>
      <c r="AC155">
        <v>11</v>
      </c>
      <c r="AD155">
        <v>76</v>
      </c>
      <c r="AE155">
        <v>0</v>
      </c>
      <c r="AF155">
        <v>0</v>
      </c>
      <c r="AG155">
        <v>0</v>
      </c>
      <c r="AH155" t="s">
        <v>267</v>
      </c>
      <c r="AI155" s="1">
        <v>44202.476631944446</v>
      </c>
      <c r="AJ155">
        <v>428</v>
      </c>
      <c r="AK155">
        <v>0</v>
      </c>
      <c r="AL155">
        <v>0</v>
      </c>
      <c r="AM155">
        <v>0</v>
      </c>
      <c r="AN155">
        <v>52</v>
      </c>
      <c r="AO155">
        <v>0</v>
      </c>
      <c r="AP155">
        <v>76</v>
      </c>
      <c r="AQ155">
        <v>0</v>
      </c>
      <c r="AR155">
        <v>0</v>
      </c>
      <c r="AS155">
        <v>0</v>
      </c>
      <c r="AT155" t="s">
        <v>90</v>
      </c>
      <c r="AU155" s="1">
        <v>44202.502696759257</v>
      </c>
      <c r="AV155">
        <v>6</v>
      </c>
      <c r="AW155">
        <v>0</v>
      </c>
      <c r="AX155">
        <v>0</v>
      </c>
      <c r="AY155">
        <v>0</v>
      </c>
      <c r="AZ155">
        <v>52</v>
      </c>
      <c r="BA155">
        <v>0</v>
      </c>
      <c r="BB155">
        <v>76</v>
      </c>
      <c r="BC155">
        <v>0</v>
      </c>
      <c r="BD155">
        <v>0</v>
      </c>
      <c r="BE155">
        <v>0</v>
      </c>
    </row>
    <row r="156" spans="1:57" x14ac:dyDescent="0.45">
      <c r="A156" t="s">
        <v>512</v>
      </c>
      <c r="B156" t="s">
        <v>79</v>
      </c>
      <c r="C156" t="s">
        <v>507</v>
      </c>
      <c r="D156" t="s">
        <v>81</v>
      </c>
      <c r="E156" s="2" t="str">
        <f>HYPERLINK("capsilon://?command=openfolder&amp;siteaddress=FAM.docvelocity-na8.net&amp;folderid=FXA50EE70B-4E5A-6A61-424E-ECCB978D1024","FX20128297")</f>
        <v>FX20128297</v>
      </c>
      <c r="F156" t="s">
        <v>19</v>
      </c>
      <c r="G156" t="s">
        <v>19</v>
      </c>
      <c r="H156" t="s">
        <v>82</v>
      </c>
      <c r="I156" t="s">
        <v>513</v>
      </c>
      <c r="J156">
        <v>103</v>
      </c>
      <c r="K156" t="s">
        <v>84</v>
      </c>
      <c r="L156" t="s">
        <v>85</v>
      </c>
      <c r="M156" t="s">
        <v>86</v>
      </c>
      <c r="N156">
        <v>3</v>
      </c>
      <c r="O156" s="1">
        <v>44202.416655092595</v>
      </c>
      <c r="P156" s="1">
        <v>44202.502800925926</v>
      </c>
      <c r="Q156">
        <v>5959</v>
      </c>
      <c r="R156">
        <v>1484</v>
      </c>
      <c r="S156" t="b">
        <v>0</v>
      </c>
      <c r="T156" t="s">
        <v>87</v>
      </c>
      <c r="U156" t="b">
        <v>0</v>
      </c>
      <c r="V156" t="s">
        <v>98</v>
      </c>
      <c r="W156" s="1">
        <v>44202.437569444446</v>
      </c>
      <c r="X156">
        <v>1221</v>
      </c>
      <c r="Y156">
        <v>63</v>
      </c>
      <c r="Z156">
        <v>0</v>
      </c>
      <c r="AA156">
        <v>63</v>
      </c>
      <c r="AB156">
        <v>0</v>
      </c>
      <c r="AC156">
        <v>20</v>
      </c>
      <c r="AD156">
        <v>40</v>
      </c>
      <c r="AE156">
        <v>0</v>
      </c>
      <c r="AF156">
        <v>0</v>
      </c>
      <c r="AG156">
        <v>0</v>
      </c>
      <c r="AH156" t="s">
        <v>267</v>
      </c>
      <c r="AI156" s="1">
        <v>44202.479432870372</v>
      </c>
      <c r="AJ156">
        <v>241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40</v>
      </c>
      <c r="AQ156">
        <v>0</v>
      </c>
      <c r="AR156">
        <v>0</v>
      </c>
      <c r="AS156">
        <v>0</v>
      </c>
      <c r="AT156" t="s">
        <v>90</v>
      </c>
      <c r="AU156" s="1">
        <v>44202.502800925926</v>
      </c>
      <c r="AV156">
        <v>8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40</v>
      </c>
      <c r="BC156">
        <v>0</v>
      </c>
      <c r="BD156">
        <v>0</v>
      </c>
      <c r="BE156">
        <v>0</v>
      </c>
    </row>
    <row r="157" spans="1:57" hidden="1" x14ac:dyDescent="0.45">
      <c r="A157" t="s">
        <v>514</v>
      </c>
      <c r="B157" t="s">
        <v>79</v>
      </c>
      <c r="C157" t="s">
        <v>445</v>
      </c>
      <c r="D157" t="s">
        <v>81</v>
      </c>
      <c r="E157" s="2" t="str">
        <f>HYPERLINK("capsilon://?command=openfolder&amp;siteaddress=FAM.docvelocity-na8.net&amp;folderid=FXF403B8C9-DBD0-2B41-FB20-1964E3CB0752","FX201224297")</f>
        <v>FX201224297</v>
      </c>
      <c r="F157" t="s">
        <v>19</v>
      </c>
      <c r="G157" t="s">
        <v>19</v>
      </c>
      <c r="H157" t="s">
        <v>82</v>
      </c>
      <c r="I157" t="s">
        <v>515</v>
      </c>
      <c r="J157">
        <v>26</v>
      </c>
      <c r="K157" t="s">
        <v>84</v>
      </c>
      <c r="L157" t="s">
        <v>85</v>
      </c>
      <c r="M157" t="s">
        <v>86</v>
      </c>
      <c r="N157">
        <v>1</v>
      </c>
      <c r="O157" s="1">
        <v>44202.416770833333</v>
      </c>
      <c r="P157" s="1">
        <v>44202.435925925929</v>
      </c>
      <c r="Q157">
        <v>1389</v>
      </c>
      <c r="R157">
        <v>266</v>
      </c>
      <c r="S157" t="b">
        <v>0</v>
      </c>
      <c r="T157" t="s">
        <v>87</v>
      </c>
      <c r="U157" t="b">
        <v>0</v>
      </c>
      <c r="V157" t="s">
        <v>419</v>
      </c>
      <c r="W157" s="1">
        <v>44202.435925925929</v>
      </c>
      <c r="X157">
        <v>266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26</v>
      </c>
      <c r="AE157">
        <v>21</v>
      </c>
      <c r="AF157">
        <v>0</v>
      </c>
      <c r="AG157">
        <v>1</v>
      </c>
      <c r="AH157" t="s">
        <v>87</v>
      </c>
      <c r="AI157" t="s">
        <v>87</v>
      </c>
      <c r="AJ157" t="s">
        <v>87</v>
      </c>
      <c r="AK157" t="s">
        <v>87</v>
      </c>
      <c r="AL157" t="s">
        <v>87</v>
      </c>
      <c r="AM157" t="s">
        <v>87</v>
      </c>
      <c r="AN157" t="s">
        <v>87</v>
      </c>
      <c r="AO157" t="s">
        <v>87</v>
      </c>
      <c r="AP157" t="s">
        <v>87</v>
      </c>
      <c r="AQ157" t="s">
        <v>87</v>
      </c>
      <c r="AR157" t="s">
        <v>87</v>
      </c>
      <c r="AS157" t="s">
        <v>87</v>
      </c>
      <c r="AT157" t="s">
        <v>87</v>
      </c>
      <c r="AU157" t="s">
        <v>87</v>
      </c>
      <c r="AV157" t="s">
        <v>87</v>
      </c>
      <c r="AW157" t="s">
        <v>87</v>
      </c>
      <c r="AX157" t="s">
        <v>87</v>
      </c>
      <c r="AY157" t="s">
        <v>87</v>
      </c>
      <c r="AZ157" t="s">
        <v>87</v>
      </c>
      <c r="BA157" t="s">
        <v>87</v>
      </c>
      <c r="BB157" t="s">
        <v>87</v>
      </c>
      <c r="BC157" t="s">
        <v>87</v>
      </c>
      <c r="BD157" t="s">
        <v>87</v>
      </c>
      <c r="BE157" t="s">
        <v>87</v>
      </c>
    </row>
    <row r="158" spans="1:57" hidden="1" x14ac:dyDescent="0.45">
      <c r="A158" t="s">
        <v>516</v>
      </c>
      <c r="B158" t="s">
        <v>79</v>
      </c>
      <c r="C158" t="s">
        <v>439</v>
      </c>
      <c r="D158" t="s">
        <v>81</v>
      </c>
      <c r="E158" s="2" t="str">
        <f>HYPERLINK("capsilon://?command=openfolder&amp;siteaddress=FAM.docvelocity-na8.net&amp;folderid=FX5D0A6F78-9011-AFF2-CE3C-7512CB05F010","FX201220788")</f>
        <v>FX201220788</v>
      </c>
      <c r="F158" t="s">
        <v>19</v>
      </c>
      <c r="G158" t="s">
        <v>19</v>
      </c>
      <c r="H158" t="s">
        <v>82</v>
      </c>
      <c r="I158" t="s">
        <v>517</v>
      </c>
      <c r="J158">
        <v>66</v>
      </c>
      <c r="K158" t="s">
        <v>84</v>
      </c>
      <c r="L158" t="s">
        <v>85</v>
      </c>
      <c r="M158" t="s">
        <v>86</v>
      </c>
      <c r="N158">
        <v>1</v>
      </c>
      <c r="O158" s="1">
        <v>44202.422314814816</v>
      </c>
      <c r="P158" s="1">
        <v>44202.435300925928</v>
      </c>
      <c r="Q158">
        <v>950</v>
      </c>
      <c r="R158">
        <v>172</v>
      </c>
      <c r="S158" t="b">
        <v>0</v>
      </c>
      <c r="T158" t="s">
        <v>87</v>
      </c>
      <c r="U158" t="b">
        <v>0</v>
      </c>
      <c r="V158" t="s">
        <v>88</v>
      </c>
      <c r="W158" s="1">
        <v>44202.435300925928</v>
      </c>
      <c r="X158">
        <v>172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66</v>
      </c>
      <c r="AE158">
        <v>52</v>
      </c>
      <c r="AF158">
        <v>0</v>
      </c>
      <c r="AG158">
        <v>1</v>
      </c>
      <c r="AH158" t="s">
        <v>87</v>
      </c>
      <c r="AI158" t="s">
        <v>87</v>
      </c>
      <c r="AJ158" t="s">
        <v>87</v>
      </c>
      <c r="AK158" t="s">
        <v>87</v>
      </c>
      <c r="AL158" t="s">
        <v>87</v>
      </c>
      <c r="AM158" t="s">
        <v>87</v>
      </c>
      <c r="AN158" t="s">
        <v>87</v>
      </c>
      <c r="AO158" t="s">
        <v>87</v>
      </c>
      <c r="AP158" t="s">
        <v>87</v>
      </c>
      <c r="AQ158" t="s">
        <v>87</v>
      </c>
      <c r="AR158" t="s">
        <v>87</v>
      </c>
      <c r="AS158" t="s">
        <v>87</v>
      </c>
      <c r="AT158" t="s">
        <v>87</v>
      </c>
      <c r="AU158" t="s">
        <v>87</v>
      </c>
      <c r="AV158" t="s">
        <v>87</v>
      </c>
      <c r="AW158" t="s">
        <v>87</v>
      </c>
      <c r="AX158" t="s">
        <v>87</v>
      </c>
      <c r="AY158" t="s">
        <v>87</v>
      </c>
      <c r="AZ158" t="s">
        <v>87</v>
      </c>
      <c r="BA158" t="s">
        <v>87</v>
      </c>
      <c r="BB158" t="s">
        <v>87</v>
      </c>
      <c r="BC158" t="s">
        <v>87</v>
      </c>
      <c r="BD158" t="s">
        <v>87</v>
      </c>
      <c r="BE158" t="s">
        <v>87</v>
      </c>
    </row>
    <row r="159" spans="1:57" x14ac:dyDescent="0.45">
      <c r="A159" t="s">
        <v>518</v>
      </c>
      <c r="B159" t="s">
        <v>79</v>
      </c>
      <c r="C159" t="s">
        <v>496</v>
      </c>
      <c r="D159" t="s">
        <v>81</v>
      </c>
      <c r="E159" s="2" t="str">
        <f>HYPERLINK("capsilon://?command=openfolder&amp;siteaddress=FAM.docvelocity-na8.net&amp;folderid=FXA8AD27CF-5ADC-8B3F-D90E-0066BBB4FEAF","FX20127897")</f>
        <v>FX20127897</v>
      </c>
      <c r="F159" t="s">
        <v>19</v>
      </c>
      <c r="G159" t="s">
        <v>19</v>
      </c>
      <c r="H159" t="s">
        <v>82</v>
      </c>
      <c r="I159" t="s">
        <v>497</v>
      </c>
      <c r="J159">
        <v>38</v>
      </c>
      <c r="K159" t="s">
        <v>84</v>
      </c>
      <c r="L159" t="s">
        <v>85</v>
      </c>
      <c r="M159" t="s">
        <v>86</v>
      </c>
      <c r="N159">
        <v>3</v>
      </c>
      <c r="O159" s="1">
        <v>44202.423668981479</v>
      </c>
      <c r="P159" s="1">
        <v>44202.500590277778</v>
      </c>
      <c r="Q159">
        <v>5753</v>
      </c>
      <c r="R159">
        <v>893</v>
      </c>
      <c r="S159" t="b">
        <v>0</v>
      </c>
      <c r="T159" t="s">
        <v>87</v>
      </c>
      <c r="U159" t="b">
        <v>1</v>
      </c>
      <c r="V159" t="s">
        <v>112</v>
      </c>
      <c r="W159" s="1">
        <v>44202.43577546296</v>
      </c>
      <c r="X159">
        <v>785</v>
      </c>
      <c r="Y159">
        <v>37</v>
      </c>
      <c r="Z159">
        <v>0</v>
      </c>
      <c r="AA159">
        <v>37</v>
      </c>
      <c r="AB159">
        <v>0</v>
      </c>
      <c r="AC159">
        <v>30</v>
      </c>
      <c r="AD159">
        <v>1</v>
      </c>
      <c r="AE159">
        <v>0</v>
      </c>
      <c r="AF159">
        <v>0</v>
      </c>
      <c r="AG159">
        <v>0</v>
      </c>
      <c r="AH159" t="s">
        <v>267</v>
      </c>
      <c r="AI159" s="1">
        <v>44202.465520833335</v>
      </c>
      <c r="AJ159">
        <v>103</v>
      </c>
      <c r="AK159">
        <v>2</v>
      </c>
      <c r="AL159">
        <v>0</v>
      </c>
      <c r="AM159">
        <v>2</v>
      </c>
      <c r="AN159">
        <v>0</v>
      </c>
      <c r="AO159">
        <v>1</v>
      </c>
      <c r="AP159">
        <v>-1</v>
      </c>
      <c r="AQ159">
        <v>0</v>
      </c>
      <c r="AR159">
        <v>0</v>
      </c>
      <c r="AS159">
        <v>0</v>
      </c>
      <c r="AT159" t="s">
        <v>90</v>
      </c>
      <c r="AU159" s="1">
        <v>44202.500590277778</v>
      </c>
      <c r="AV159">
        <v>5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-1</v>
      </c>
      <c r="BC159">
        <v>0</v>
      </c>
      <c r="BD159">
        <v>0</v>
      </c>
      <c r="BE159">
        <v>0</v>
      </c>
    </row>
    <row r="160" spans="1:57" x14ac:dyDescent="0.45">
      <c r="A160" t="s">
        <v>519</v>
      </c>
      <c r="B160" t="s">
        <v>79</v>
      </c>
      <c r="C160" t="s">
        <v>470</v>
      </c>
      <c r="D160" t="s">
        <v>81</v>
      </c>
      <c r="E160" s="2" t="str">
        <f>HYPERLINK("capsilon://?command=openfolder&amp;siteaddress=FAM.docvelocity-na8.net&amp;folderid=FXAF060C6C-91DE-D077-C5D1-0FD89406D57A","FX20111850")</f>
        <v>FX20111850</v>
      </c>
      <c r="F160" t="s">
        <v>19</v>
      </c>
      <c r="G160" t="s">
        <v>19</v>
      </c>
      <c r="H160" t="s">
        <v>82</v>
      </c>
      <c r="I160" t="s">
        <v>520</v>
      </c>
      <c r="J160">
        <v>62</v>
      </c>
      <c r="K160" t="s">
        <v>84</v>
      </c>
      <c r="L160" t="s">
        <v>85</v>
      </c>
      <c r="M160" t="s">
        <v>86</v>
      </c>
      <c r="N160">
        <v>3</v>
      </c>
      <c r="O160" s="1">
        <v>44202.425821759258</v>
      </c>
      <c r="P160" s="1">
        <v>44202.503923611112</v>
      </c>
      <c r="Q160">
        <v>4583</v>
      </c>
      <c r="R160">
        <v>2165</v>
      </c>
      <c r="S160" t="b">
        <v>0</v>
      </c>
      <c r="T160" t="s">
        <v>87</v>
      </c>
      <c r="U160" t="b">
        <v>0</v>
      </c>
      <c r="V160" t="s">
        <v>88</v>
      </c>
      <c r="W160" s="1">
        <v>44202.453622685185</v>
      </c>
      <c r="X160">
        <v>1582</v>
      </c>
      <c r="Y160">
        <v>118</v>
      </c>
      <c r="Z160">
        <v>0</v>
      </c>
      <c r="AA160">
        <v>118</v>
      </c>
      <c r="AB160">
        <v>0</v>
      </c>
      <c r="AC160">
        <v>80</v>
      </c>
      <c r="AD160">
        <v>-56</v>
      </c>
      <c r="AE160">
        <v>0</v>
      </c>
      <c r="AF160">
        <v>0</v>
      </c>
      <c r="AG160">
        <v>0</v>
      </c>
      <c r="AH160" t="s">
        <v>128</v>
      </c>
      <c r="AI160" s="1">
        <v>44202.4846875</v>
      </c>
      <c r="AJ160">
        <v>487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-56</v>
      </c>
      <c r="AQ160">
        <v>0</v>
      </c>
      <c r="AR160">
        <v>0</v>
      </c>
      <c r="AS160">
        <v>0</v>
      </c>
      <c r="AT160" t="s">
        <v>90</v>
      </c>
      <c r="AU160" s="1">
        <v>44202.503923611112</v>
      </c>
      <c r="AV160">
        <v>96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-56</v>
      </c>
      <c r="BC160">
        <v>0</v>
      </c>
      <c r="BD160">
        <v>0</v>
      </c>
      <c r="BE160">
        <v>0</v>
      </c>
    </row>
    <row r="161" spans="1:57" x14ac:dyDescent="0.45">
      <c r="A161" t="s">
        <v>521</v>
      </c>
      <c r="B161" t="s">
        <v>79</v>
      </c>
      <c r="C161" t="s">
        <v>522</v>
      </c>
      <c r="D161" t="s">
        <v>81</v>
      </c>
      <c r="E161" s="2" t="str">
        <f>HYPERLINK("capsilon://?command=openfolder&amp;siteaddress=FAM.docvelocity-na8.net&amp;folderid=FX8F23BC3D-3A9A-DFB5-F2D2-C8185AF0A1E2","FX2101995")</f>
        <v>FX2101995</v>
      </c>
      <c r="F161" t="s">
        <v>19</v>
      </c>
      <c r="G161" t="s">
        <v>19</v>
      </c>
      <c r="H161" t="s">
        <v>82</v>
      </c>
      <c r="I161" t="s">
        <v>523</v>
      </c>
      <c r="J161">
        <v>38</v>
      </c>
      <c r="K161" t="s">
        <v>84</v>
      </c>
      <c r="L161" t="s">
        <v>85</v>
      </c>
      <c r="M161" t="s">
        <v>86</v>
      </c>
      <c r="N161">
        <v>3</v>
      </c>
      <c r="O161" s="1">
        <v>44202.428530092591</v>
      </c>
      <c r="P161" s="1">
        <v>44202.504004629627</v>
      </c>
      <c r="Q161">
        <v>5996</v>
      </c>
      <c r="R161">
        <v>525</v>
      </c>
      <c r="S161" t="b">
        <v>0</v>
      </c>
      <c r="T161" t="s">
        <v>87</v>
      </c>
      <c r="U161" t="b">
        <v>0</v>
      </c>
      <c r="V161" t="s">
        <v>112</v>
      </c>
      <c r="W161" s="1">
        <v>44202.440844907411</v>
      </c>
      <c r="X161">
        <v>437</v>
      </c>
      <c r="Y161">
        <v>37</v>
      </c>
      <c r="Z161">
        <v>0</v>
      </c>
      <c r="AA161">
        <v>37</v>
      </c>
      <c r="AB161">
        <v>0</v>
      </c>
      <c r="AC161">
        <v>10</v>
      </c>
      <c r="AD161">
        <v>1</v>
      </c>
      <c r="AE161">
        <v>0</v>
      </c>
      <c r="AF161">
        <v>0</v>
      </c>
      <c r="AG161">
        <v>0</v>
      </c>
      <c r="AH161" t="s">
        <v>267</v>
      </c>
      <c r="AI161" s="1">
        <v>44202.480381944442</v>
      </c>
      <c r="AJ161">
        <v>82</v>
      </c>
      <c r="AK161">
        <v>3</v>
      </c>
      <c r="AL161">
        <v>0</v>
      </c>
      <c r="AM161">
        <v>3</v>
      </c>
      <c r="AN161">
        <v>0</v>
      </c>
      <c r="AO161">
        <v>2</v>
      </c>
      <c r="AP161">
        <v>-2</v>
      </c>
      <c r="AQ161">
        <v>0</v>
      </c>
      <c r="AR161">
        <v>0</v>
      </c>
      <c r="AS161">
        <v>0</v>
      </c>
      <c r="AT161" t="s">
        <v>90</v>
      </c>
      <c r="AU161" s="1">
        <v>44202.504004629627</v>
      </c>
      <c r="AV161">
        <v>6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-2</v>
      </c>
      <c r="BC161">
        <v>0</v>
      </c>
      <c r="BD161">
        <v>0</v>
      </c>
      <c r="BE161">
        <v>0</v>
      </c>
    </row>
    <row r="162" spans="1:57" x14ac:dyDescent="0.45">
      <c r="A162" t="s">
        <v>524</v>
      </c>
      <c r="B162" t="s">
        <v>79</v>
      </c>
      <c r="C162" t="s">
        <v>525</v>
      </c>
      <c r="D162" t="s">
        <v>81</v>
      </c>
      <c r="E162" s="2" t="str">
        <f>HYPERLINK("capsilon://?command=openfolder&amp;siteaddress=FAM.docvelocity-na8.net&amp;folderid=FXF120977B-6CDF-6CA0-CB7C-8A802F7825F0","FX21011917")</f>
        <v>FX21011917</v>
      </c>
      <c r="F162" t="s">
        <v>19</v>
      </c>
      <c r="G162" t="s">
        <v>19</v>
      </c>
      <c r="H162" t="s">
        <v>82</v>
      </c>
      <c r="I162" t="s">
        <v>526</v>
      </c>
      <c r="J162">
        <v>38</v>
      </c>
      <c r="K162" t="s">
        <v>84</v>
      </c>
      <c r="L162" t="s">
        <v>85</v>
      </c>
      <c r="M162" t="s">
        <v>86</v>
      </c>
      <c r="N162">
        <v>3</v>
      </c>
      <c r="O162" s="1">
        <v>44202.430393518516</v>
      </c>
      <c r="P162" s="1">
        <v>44202.50408564815</v>
      </c>
      <c r="Q162">
        <v>6022</v>
      </c>
      <c r="R162">
        <v>345</v>
      </c>
      <c r="S162" t="b">
        <v>0</v>
      </c>
      <c r="T162" t="s">
        <v>87</v>
      </c>
      <c r="U162" t="b">
        <v>0</v>
      </c>
      <c r="V162" t="s">
        <v>419</v>
      </c>
      <c r="W162" s="1">
        <v>44202.439166666663</v>
      </c>
      <c r="X162">
        <v>280</v>
      </c>
      <c r="Y162">
        <v>37</v>
      </c>
      <c r="Z162">
        <v>0</v>
      </c>
      <c r="AA162">
        <v>37</v>
      </c>
      <c r="AB162">
        <v>0</v>
      </c>
      <c r="AC162">
        <v>14</v>
      </c>
      <c r="AD162">
        <v>1</v>
      </c>
      <c r="AE162">
        <v>0</v>
      </c>
      <c r="AF162">
        <v>0</v>
      </c>
      <c r="AG162">
        <v>0</v>
      </c>
      <c r="AH162" t="s">
        <v>267</v>
      </c>
      <c r="AI162" s="1">
        <v>44202.481076388889</v>
      </c>
      <c r="AJ162">
        <v>59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 t="s">
        <v>90</v>
      </c>
      <c r="AU162" s="1">
        <v>44202.50408564815</v>
      </c>
      <c r="AV162">
        <v>6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</row>
    <row r="163" spans="1:57" hidden="1" x14ac:dyDescent="0.45">
      <c r="A163" t="s">
        <v>527</v>
      </c>
      <c r="B163" t="s">
        <v>79</v>
      </c>
      <c r="C163" t="s">
        <v>528</v>
      </c>
      <c r="D163" t="s">
        <v>81</v>
      </c>
      <c r="E163" s="2" t="str">
        <f>HYPERLINK("capsilon://?command=openfolder&amp;siteaddress=FAM.docvelocity-na8.net&amp;folderid=FX3BE8FBE4-4712-474B-9A2B-7BE20AB7D001","FX20121125")</f>
        <v>FX20121125</v>
      </c>
      <c r="F163" t="s">
        <v>19</v>
      </c>
      <c r="G163" t="s">
        <v>19</v>
      </c>
      <c r="H163" t="s">
        <v>82</v>
      </c>
      <c r="I163" t="s">
        <v>529</v>
      </c>
      <c r="J163">
        <v>66</v>
      </c>
      <c r="K163" t="s">
        <v>84</v>
      </c>
      <c r="L163" t="s">
        <v>85</v>
      </c>
      <c r="M163" t="s">
        <v>86</v>
      </c>
      <c r="N163">
        <v>3</v>
      </c>
      <c r="O163" s="1">
        <v>44202.431701388887</v>
      </c>
      <c r="P163" s="1">
        <v>44202.504131944443</v>
      </c>
      <c r="Q163">
        <v>6100</v>
      </c>
      <c r="R163">
        <v>158</v>
      </c>
      <c r="S163" t="b">
        <v>0</v>
      </c>
      <c r="T163" t="s">
        <v>87</v>
      </c>
      <c r="U163" t="b">
        <v>0</v>
      </c>
      <c r="V163" t="s">
        <v>112</v>
      </c>
      <c r="W163" s="1">
        <v>44202.442407407405</v>
      </c>
      <c r="X163">
        <v>134</v>
      </c>
      <c r="Y163">
        <v>0</v>
      </c>
      <c r="Z163">
        <v>0</v>
      </c>
      <c r="AA163">
        <v>0</v>
      </c>
      <c r="AB163">
        <v>52</v>
      </c>
      <c r="AC163">
        <v>0</v>
      </c>
      <c r="AD163">
        <v>66</v>
      </c>
      <c r="AE163">
        <v>0</v>
      </c>
      <c r="AF163">
        <v>0</v>
      </c>
      <c r="AG163">
        <v>0</v>
      </c>
      <c r="AH163" t="s">
        <v>267</v>
      </c>
      <c r="AI163" s="1">
        <v>44202.48133101852</v>
      </c>
      <c r="AJ163">
        <v>21</v>
      </c>
      <c r="AK163">
        <v>0</v>
      </c>
      <c r="AL163">
        <v>0</v>
      </c>
      <c r="AM163">
        <v>0</v>
      </c>
      <c r="AN163">
        <v>52</v>
      </c>
      <c r="AO163">
        <v>0</v>
      </c>
      <c r="AP163">
        <v>66</v>
      </c>
      <c r="AQ163">
        <v>0</v>
      </c>
      <c r="AR163">
        <v>0</v>
      </c>
      <c r="AS163">
        <v>0</v>
      </c>
      <c r="AT163" t="s">
        <v>90</v>
      </c>
      <c r="AU163" s="1">
        <v>44202.504131944443</v>
      </c>
      <c r="AV163">
        <v>3</v>
      </c>
      <c r="AW163">
        <v>0</v>
      </c>
      <c r="AX163">
        <v>0</v>
      </c>
      <c r="AY163">
        <v>0</v>
      </c>
      <c r="AZ163">
        <v>52</v>
      </c>
      <c r="BA163">
        <v>0</v>
      </c>
      <c r="BB163">
        <v>66</v>
      </c>
      <c r="BC163">
        <v>0</v>
      </c>
      <c r="BD163">
        <v>0</v>
      </c>
      <c r="BE163">
        <v>0</v>
      </c>
    </row>
    <row r="164" spans="1:57" x14ac:dyDescent="0.45">
      <c r="A164" t="s">
        <v>530</v>
      </c>
      <c r="B164" t="s">
        <v>79</v>
      </c>
      <c r="C164" t="s">
        <v>531</v>
      </c>
      <c r="D164" t="s">
        <v>81</v>
      </c>
      <c r="E164" s="2" t="str">
        <f>HYPERLINK("capsilon://?command=openfolder&amp;siteaddress=FAM.docvelocity-na8.net&amp;folderid=FX5F1C95B0-B291-3533-C037-168659F34861","FX21011756")</f>
        <v>FX21011756</v>
      </c>
      <c r="F164" t="s">
        <v>19</v>
      </c>
      <c r="G164" t="s">
        <v>19</v>
      </c>
      <c r="H164" t="s">
        <v>82</v>
      </c>
      <c r="I164" t="s">
        <v>532</v>
      </c>
      <c r="J164">
        <v>152</v>
      </c>
      <c r="K164" t="s">
        <v>84</v>
      </c>
      <c r="L164" t="s">
        <v>85</v>
      </c>
      <c r="M164" t="s">
        <v>86</v>
      </c>
      <c r="N164">
        <v>3</v>
      </c>
      <c r="O164" s="1">
        <v>44202.433391203704</v>
      </c>
      <c r="P164" s="1">
        <v>44202.504849537036</v>
      </c>
      <c r="Q164">
        <v>2120</v>
      </c>
      <c r="R164">
        <v>4054</v>
      </c>
      <c r="S164" t="b">
        <v>0</v>
      </c>
      <c r="T164" t="s">
        <v>87</v>
      </c>
      <c r="U164" t="b">
        <v>0</v>
      </c>
      <c r="V164" t="s">
        <v>160</v>
      </c>
      <c r="W164" s="1">
        <v>44202.48064814815</v>
      </c>
      <c r="X164">
        <v>3321</v>
      </c>
      <c r="Y164">
        <v>151</v>
      </c>
      <c r="Z164">
        <v>0</v>
      </c>
      <c r="AA164">
        <v>151</v>
      </c>
      <c r="AB164">
        <v>0</v>
      </c>
      <c r="AC164">
        <v>94</v>
      </c>
      <c r="AD164">
        <v>1</v>
      </c>
      <c r="AE164">
        <v>0</v>
      </c>
      <c r="AF164">
        <v>0</v>
      </c>
      <c r="AG164">
        <v>0</v>
      </c>
      <c r="AH164" t="s">
        <v>267</v>
      </c>
      <c r="AI164" s="1">
        <v>44202.48909722222</v>
      </c>
      <c r="AJ164">
        <v>671</v>
      </c>
      <c r="AK164">
        <v>7</v>
      </c>
      <c r="AL164">
        <v>0</v>
      </c>
      <c r="AM164">
        <v>7</v>
      </c>
      <c r="AN164">
        <v>0</v>
      </c>
      <c r="AO164">
        <v>6</v>
      </c>
      <c r="AP164">
        <v>-6</v>
      </c>
      <c r="AQ164">
        <v>0</v>
      </c>
      <c r="AR164">
        <v>0</v>
      </c>
      <c r="AS164">
        <v>0</v>
      </c>
      <c r="AT164" t="s">
        <v>90</v>
      </c>
      <c r="AU164" s="1">
        <v>44202.504849537036</v>
      </c>
      <c r="AV164">
        <v>62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-6</v>
      </c>
      <c r="BC164">
        <v>0</v>
      </c>
      <c r="BD164">
        <v>0</v>
      </c>
      <c r="BE164">
        <v>0</v>
      </c>
    </row>
    <row r="165" spans="1:57" x14ac:dyDescent="0.45">
      <c r="A165" t="s">
        <v>533</v>
      </c>
      <c r="B165" t="s">
        <v>79</v>
      </c>
      <c r="C165" t="s">
        <v>534</v>
      </c>
      <c r="D165" t="s">
        <v>81</v>
      </c>
      <c r="E165" s="2" t="str">
        <f>HYPERLINK("capsilon://?command=openfolder&amp;siteaddress=FAM.docvelocity-na8.net&amp;folderid=FXF61E5E48-0C1E-E561-06E8-6DD2D957D448","FX201222989")</f>
        <v>FX201222989</v>
      </c>
      <c r="F165" t="s">
        <v>19</v>
      </c>
      <c r="G165" t="s">
        <v>19</v>
      </c>
      <c r="H165" t="s">
        <v>82</v>
      </c>
      <c r="I165" t="s">
        <v>535</v>
      </c>
      <c r="J165">
        <v>36</v>
      </c>
      <c r="K165" t="s">
        <v>84</v>
      </c>
      <c r="L165" t="s">
        <v>85</v>
      </c>
      <c r="M165" t="s">
        <v>86</v>
      </c>
      <c r="N165">
        <v>3</v>
      </c>
      <c r="O165" s="1">
        <v>44202.434629629628</v>
      </c>
      <c r="P165" s="1">
        <v>44202.50545138889</v>
      </c>
      <c r="Q165">
        <v>3833</v>
      </c>
      <c r="R165">
        <v>2286</v>
      </c>
      <c r="S165" t="b">
        <v>0</v>
      </c>
      <c r="T165" t="s">
        <v>87</v>
      </c>
      <c r="U165" t="b">
        <v>0</v>
      </c>
      <c r="V165" t="s">
        <v>98</v>
      </c>
      <c r="W165" s="1">
        <v>44202.465300925927</v>
      </c>
      <c r="X165">
        <v>1895</v>
      </c>
      <c r="Y165">
        <v>41</v>
      </c>
      <c r="Z165">
        <v>0</v>
      </c>
      <c r="AA165">
        <v>41</v>
      </c>
      <c r="AB165">
        <v>0</v>
      </c>
      <c r="AC165">
        <v>32</v>
      </c>
      <c r="AD165">
        <v>-5</v>
      </c>
      <c r="AE165">
        <v>0</v>
      </c>
      <c r="AF165">
        <v>0</v>
      </c>
      <c r="AG165">
        <v>0</v>
      </c>
      <c r="AH165" t="s">
        <v>128</v>
      </c>
      <c r="AI165" s="1">
        <v>44202.48773148148</v>
      </c>
      <c r="AJ165">
        <v>262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-5</v>
      </c>
      <c r="AQ165">
        <v>0</v>
      </c>
      <c r="AR165">
        <v>0</v>
      </c>
      <c r="AS165">
        <v>0</v>
      </c>
      <c r="AT165" t="s">
        <v>90</v>
      </c>
      <c r="AU165" s="1">
        <v>44202.50545138889</v>
      </c>
      <c r="AV165">
        <v>51</v>
      </c>
      <c r="AW165">
        <v>1</v>
      </c>
      <c r="AX165">
        <v>0</v>
      </c>
      <c r="AY165">
        <v>1</v>
      </c>
      <c r="AZ165">
        <v>0</v>
      </c>
      <c r="BA165">
        <v>1</v>
      </c>
      <c r="BB165">
        <v>-6</v>
      </c>
      <c r="BC165">
        <v>0</v>
      </c>
      <c r="BD165">
        <v>0</v>
      </c>
      <c r="BE165">
        <v>0</v>
      </c>
    </row>
    <row r="166" spans="1:57" x14ac:dyDescent="0.45">
      <c r="A166" t="s">
        <v>536</v>
      </c>
      <c r="B166" t="s">
        <v>79</v>
      </c>
      <c r="C166" t="s">
        <v>534</v>
      </c>
      <c r="D166" t="s">
        <v>81</v>
      </c>
      <c r="E166" s="2" t="str">
        <f>HYPERLINK("capsilon://?command=openfolder&amp;siteaddress=FAM.docvelocity-na8.net&amp;folderid=FXF61E5E48-0C1E-E561-06E8-6DD2D957D448","FX201222989")</f>
        <v>FX201222989</v>
      </c>
      <c r="F166" t="s">
        <v>19</v>
      </c>
      <c r="G166" t="s">
        <v>19</v>
      </c>
      <c r="H166" t="s">
        <v>82</v>
      </c>
      <c r="I166" t="s">
        <v>537</v>
      </c>
      <c r="J166">
        <v>36</v>
      </c>
      <c r="K166" t="s">
        <v>84</v>
      </c>
      <c r="L166" t="s">
        <v>85</v>
      </c>
      <c r="M166" t="s">
        <v>86</v>
      </c>
      <c r="N166">
        <v>3</v>
      </c>
      <c r="O166" s="1">
        <v>44202.435729166667</v>
      </c>
      <c r="P166" s="1">
        <v>44202.505601851852</v>
      </c>
      <c r="Q166">
        <v>4715</v>
      </c>
      <c r="R166">
        <v>1322</v>
      </c>
      <c r="S166" t="b">
        <v>0</v>
      </c>
      <c r="T166" t="s">
        <v>87</v>
      </c>
      <c r="U166" t="b">
        <v>0</v>
      </c>
      <c r="V166" t="s">
        <v>112</v>
      </c>
      <c r="W166" s="1">
        <v>44202.464282407411</v>
      </c>
      <c r="X166">
        <v>807</v>
      </c>
      <c r="Y166">
        <v>41</v>
      </c>
      <c r="Z166">
        <v>0</v>
      </c>
      <c r="AA166">
        <v>41</v>
      </c>
      <c r="AB166">
        <v>0</v>
      </c>
      <c r="AC166">
        <v>23</v>
      </c>
      <c r="AD166">
        <v>-5</v>
      </c>
      <c r="AE166">
        <v>0</v>
      </c>
      <c r="AF166">
        <v>0</v>
      </c>
      <c r="AG166">
        <v>0</v>
      </c>
      <c r="AH166" t="s">
        <v>128</v>
      </c>
      <c r="AI166" s="1">
        <v>44202.491678240738</v>
      </c>
      <c r="AJ166">
        <v>340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-5</v>
      </c>
      <c r="AQ166">
        <v>0</v>
      </c>
      <c r="AR166">
        <v>0</v>
      </c>
      <c r="AS166">
        <v>0</v>
      </c>
      <c r="AT166" t="s">
        <v>90</v>
      </c>
      <c r="AU166" s="1">
        <v>44202.505601851852</v>
      </c>
      <c r="AV166">
        <v>13</v>
      </c>
      <c r="AW166">
        <v>1</v>
      </c>
      <c r="AX166">
        <v>0</v>
      </c>
      <c r="AY166">
        <v>1</v>
      </c>
      <c r="AZ166">
        <v>0</v>
      </c>
      <c r="BA166">
        <v>1</v>
      </c>
      <c r="BB166">
        <v>-6</v>
      </c>
      <c r="BC166">
        <v>0</v>
      </c>
      <c r="BD166">
        <v>0</v>
      </c>
      <c r="BE166">
        <v>0</v>
      </c>
    </row>
    <row r="167" spans="1:57" x14ac:dyDescent="0.45">
      <c r="A167" t="s">
        <v>538</v>
      </c>
      <c r="B167" t="s">
        <v>79</v>
      </c>
      <c r="C167" t="s">
        <v>439</v>
      </c>
      <c r="D167" t="s">
        <v>81</v>
      </c>
      <c r="E167" s="2" t="str">
        <f>HYPERLINK("capsilon://?command=openfolder&amp;siteaddress=FAM.docvelocity-na8.net&amp;folderid=FX5D0A6F78-9011-AFF2-CE3C-7512CB05F010","FX201220788")</f>
        <v>FX201220788</v>
      </c>
      <c r="F167" t="s">
        <v>19</v>
      </c>
      <c r="G167" t="s">
        <v>19</v>
      </c>
      <c r="H167" t="s">
        <v>82</v>
      </c>
      <c r="I167" t="s">
        <v>517</v>
      </c>
      <c r="J167">
        <v>38</v>
      </c>
      <c r="K167" t="s">
        <v>84</v>
      </c>
      <c r="L167" t="s">
        <v>85</v>
      </c>
      <c r="M167" t="s">
        <v>86</v>
      </c>
      <c r="N167">
        <v>3</v>
      </c>
      <c r="O167" s="1">
        <v>44202.435949074075</v>
      </c>
      <c r="P167" s="1">
        <v>44202.500659722224</v>
      </c>
      <c r="Q167">
        <v>4915</v>
      </c>
      <c r="R167">
        <v>676</v>
      </c>
      <c r="S167" t="b">
        <v>0</v>
      </c>
      <c r="T167" t="s">
        <v>87</v>
      </c>
      <c r="U167" t="b">
        <v>1</v>
      </c>
      <c r="V167" t="s">
        <v>98</v>
      </c>
      <c r="W167" s="1">
        <v>44202.443368055552</v>
      </c>
      <c r="X167">
        <v>500</v>
      </c>
      <c r="Y167">
        <v>37</v>
      </c>
      <c r="Z167">
        <v>0</v>
      </c>
      <c r="AA167">
        <v>37</v>
      </c>
      <c r="AB167">
        <v>0</v>
      </c>
      <c r="AC167">
        <v>30</v>
      </c>
      <c r="AD167">
        <v>1</v>
      </c>
      <c r="AE167">
        <v>0</v>
      </c>
      <c r="AF167">
        <v>0</v>
      </c>
      <c r="AG167">
        <v>0</v>
      </c>
      <c r="AH167" t="s">
        <v>267</v>
      </c>
      <c r="AI167" s="1">
        <v>44202.467511574076</v>
      </c>
      <c r="AJ167">
        <v>171</v>
      </c>
      <c r="AK167">
        <v>2</v>
      </c>
      <c r="AL167">
        <v>0</v>
      </c>
      <c r="AM167">
        <v>2</v>
      </c>
      <c r="AN167">
        <v>0</v>
      </c>
      <c r="AO167">
        <v>1</v>
      </c>
      <c r="AP167">
        <v>-1</v>
      </c>
      <c r="AQ167">
        <v>0</v>
      </c>
      <c r="AR167">
        <v>0</v>
      </c>
      <c r="AS167">
        <v>0</v>
      </c>
      <c r="AT167" t="s">
        <v>90</v>
      </c>
      <c r="AU167" s="1">
        <v>44202.500659722224</v>
      </c>
      <c r="AV167">
        <v>5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-1</v>
      </c>
      <c r="BC167">
        <v>0</v>
      </c>
      <c r="BD167">
        <v>0</v>
      </c>
      <c r="BE167">
        <v>0</v>
      </c>
    </row>
    <row r="168" spans="1:57" hidden="1" x14ac:dyDescent="0.45">
      <c r="A168" t="s">
        <v>539</v>
      </c>
      <c r="B168" t="s">
        <v>79</v>
      </c>
      <c r="C168" t="s">
        <v>540</v>
      </c>
      <c r="D168" t="s">
        <v>81</v>
      </c>
      <c r="E168" s="2" t="str">
        <f>HYPERLINK("capsilon://?command=openfolder&amp;siteaddress=FAM.docvelocity-na8.net&amp;folderid=FX29539A4A-20C6-2970-CFDF-2F325CF9FCF4","FX2101676")</f>
        <v>FX2101676</v>
      </c>
      <c r="F168" t="s">
        <v>19</v>
      </c>
      <c r="G168" t="s">
        <v>19</v>
      </c>
      <c r="H168" t="s">
        <v>82</v>
      </c>
      <c r="I168" t="s">
        <v>541</v>
      </c>
      <c r="J168">
        <v>216</v>
      </c>
      <c r="K168" t="s">
        <v>84</v>
      </c>
      <c r="L168" t="s">
        <v>85</v>
      </c>
      <c r="M168" t="s">
        <v>86</v>
      </c>
      <c r="N168">
        <v>1</v>
      </c>
      <c r="O168" s="1">
        <v>44202.436064814814</v>
      </c>
      <c r="P168" s="1">
        <v>44202.491527777776</v>
      </c>
      <c r="Q168">
        <v>865</v>
      </c>
      <c r="R168">
        <v>3927</v>
      </c>
      <c r="S168" t="b">
        <v>0</v>
      </c>
      <c r="T168" t="s">
        <v>87</v>
      </c>
      <c r="U168" t="b">
        <v>0</v>
      </c>
      <c r="V168" t="s">
        <v>171</v>
      </c>
      <c r="W168" s="1">
        <v>44202.491527777776</v>
      </c>
      <c r="X168">
        <v>3927</v>
      </c>
      <c r="Y168">
        <v>166</v>
      </c>
      <c r="Z168">
        <v>0</v>
      </c>
      <c r="AA168">
        <v>166</v>
      </c>
      <c r="AB168">
        <v>148</v>
      </c>
      <c r="AC168">
        <v>81</v>
      </c>
      <c r="AD168">
        <v>50</v>
      </c>
      <c r="AE168">
        <v>88</v>
      </c>
      <c r="AF168">
        <v>0</v>
      </c>
      <c r="AG168">
        <v>12</v>
      </c>
      <c r="AH168" t="s">
        <v>87</v>
      </c>
      <c r="AI168" t="s">
        <v>87</v>
      </c>
      <c r="AJ168" t="s">
        <v>87</v>
      </c>
      <c r="AK168" t="s">
        <v>87</v>
      </c>
      <c r="AL168" t="s">
        <v>87</v>
      </c>
      <c r="AM168" t="s">
        <v>87</v>
      </c>
      <c r="AN168" t="s">
        <v>87</v>
      </c>
      <c r="AO168" t="s">
        <v>87</v>
      </c>
      <c r="AP168" t="s">
        <v>87</v>
      </c>
      <c r="AQ168" t="s">
        <v>87</v>
      </c>
      <c r="AR168" t="s">
        <v>87</v>
      </c>
      <c r="AS168" t="s">
        <v>87</v>
      </c>
      <c r="AT168" t="s">
        <v>87</v>
      </c>
      <c r="AU168" t="s">
        <v>87</v>
      </c>
      <c r="AV168" t="s">
        <v>87</v>
      </c>
      <c r="AW168" t="s">
        <v>87</v>
      </c>
      <c r="AX168" t="s">
        <v>87</v>
      </c>
      <c r="AY168" t="s">
        <v>87</v>
      </c>
      <c r="AZ168" t="s">
        <v>87</v>
      </c>
      <c r="BA168" t="s">
        <v>87</v>
      </c>
      <c r="BB168" t="s">
        <v>87</v>
      </c>
      <c r="BC168" t="s">
        <v>87</v>
      </c>
      <c r="BD168" t="s">
        <v>87</v>
      </c>
      <c r="BE168" t="s">
        <v>87</v>
      </c>
    </row>
    <row r="169" spans="1:57" x14ac:dyDescent="0.45">
      <c r="A169" t="s">
        <v>542</v>
      </c>
      <c r="B169" t="s">
        <v>79</v>
      </c>
      <c r="C169" t="s">
        <v>445</v>
      </c>
      <c r="D169" t="s">
        <v>81</v>
      </c>
      <c r="E169" s="2" t="str">
        <f>HYPERLINK("capsilon://?command=openfolder&amp;siteaddress=FAM.docvelocity-na8.net&amp;folderid=FXF403B8C9-DBD0-2B41-FB20-1964E3CB0752","FX201224297")</f>
        <v>FX201224297</v>
      </c>
      <c r="F169" t="s">
        <v>19</v>
      </c>
      <c r="G169" t="s">
        <v>19</v>
      </c>
      <c r="H169" t="s">
        <v>82</v>
      </c>
      <c r="I169" t="s">
        <v>515</v>
      </c>
      <c r="J169">
        <v>26</v>
      </c>
      <c r="K169" t="s">
        <v>84</v>
      </c>
      <c r="L169" t="s">
        <v>85</v>
      </c>
      <c r="M169" t="s">
        <v>86</v>
      </c>
      <c r="N169">
        <v>3</v>
      </c>
      <c r="O169" s="1">
        <v>44202.436469907407</v>
      </c>
      <c r="P169" s="1">
        <v>44202.500717592593</v>
      </c>
      <c r="Q169">
        <v>4598</v>
      </c>
      <c r="R169">
        <v>953</v>
      </c>
      <c r="S169" t="b">
        <v>0</v>
      </c>
      <c r="T169" t="s">
        <v>87</v>
      </c>
      <c r="U169" t="b">
        <v>1</v>
      </c>
      <c r="V169" t="s">
        <v>419</v>
      </c>
      <c r="W169" s="1">
        <v>44202.446296296293</v>
      </c>
      <c r="X169">
        <v>615</v>
      </c>
      <c r="Y169">
        <v>21</v>
      </c>
      <c r="Z169">
        <v>0</v>
      </c>
      <c r="AA169">
        <v>21</v>
      </c>
      <c r="AB169">
        <v>0</v>
      </c>
      <c r="AC169">
        <v>20</v>
      </c>
      <c r="AD169">
        <v>5</v>
      </c>
      <c r="AE169">
        <v>0</v>
      </c>
      <c r="AF169">
        <v>0</v>
      </c>
      <c r="AG169">
        <v>0</v>
      </c>
      <c r="AH169" t="s">
        <v>89</v>
      </c>
      <c r="AI169" s="1">
        <v>44202.471053240741</v>
      </c>
      <c r="AJ169">
        <v>334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5</v>
      </c>
      <c r="AQ169">
        <v>0</v>
      </c>
      <c r="AR169">
        <v>0</v>
      </c>
      <c r="AS169">
        <v>0</v>
      </c>
      <c r="AT169" t="s">
        <v>90</v>
      </c>
      <c r="AU169" s="1">
        <v>44202.500717592593</v>
      </c>
      <c r="AV169">
        <v>4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5</v>
      </c>
      <c r="BC169">
        <v>0</v>
      </c>
      <c r="BD169">
        <v>0</v>
      </c>
      <c r="BE169">
        <v>0</v>
      </c>
    </row>
    <row r="170" spans="1:57" x14ac:dyDescent="0.45">
      <c r="A170" t="s">
        <v>543</v>
      </c>
      <c r="B170" t="s">
        <v>79</v>
      </c>
      <c r="C170" t="s">
        <v>544</v>
      </c>
      <c r="D170" t="s">
        <v>81</v>
      </c>
      <c r="E170" s="2" t="str">
        <f>HYPERLINK("capsilon://?command=openfolder&amp;siteaddress=FAM.docvelocity-na8.net&amp;folderid=FX390E253E-1EBD-AE32-B419-C1B74BF78BE1","FX21011912")</f>
        <v>FX21011912</v>
      </c>
      <c r="F170" t="s">
        <v>19</v>
      </c>
      <c r="G170" t="s">
        <v>19</v>
      </c>
      <c r="H170" t="s">
        <v>82</v>
      </c>
      <c r="I170" t="s">
        <v>545</v>
      </c>
      <c r="J170">
        <v>87</v>
      </c>
      <c r="K170" t="s">
        <v>84</v>
      </c>
      <c r="L170" t="s">
        <v>85</v>
      </c>
      <c r="M170" t="s">
        <v>86</v>
      </c>
      <c r="N170">
        <v>3</v>
      </c>
      <c r="O170" s="1">
        <v>44202.438067129631</v>
      </c>
      <c r="P170" s="1">
        <v>44202.505983796298</v>
      </c>
      <c r="Q170">
        <v>3608</v>
      </c>
      <c r="R170">
        <v>2260</v>
      </c>
      <c r="S170" t="b">
        <v>0</v>
      </c>
      <c r="T170" t="s">
        <v>87</v>
      </c>
      <c r="U170" t="b">
        <v>0</v>
      </c>
      <c r="V170" t="s">
        <v>419</v>
      </c>
      <c r="W170" s="1">
        <v>44202.468530092592</v>
      </c>
      <c r="X170">
        <v>1920</v>
      </c>
      <c r="Y170">
        <v>99</v>
      </c>
      <c r="Z170">
        <v>0</v>
      </c>
      <c r="AA170">
        <v>99</v>
      </c>
      <c r="AB170">
        <v>0</v>
      </c>
      <c r="AC170">
        <v>79</v>
      </c>
      <c r="AD170">
        <v>-12</v>
      </c>
      <c r="AE170">
        <v>0</v>
      </c>
      <c r="AF170">
        <v>0</v>
      </c>
      <c r="AG170">
        <v>0</v>
      </c>
      <c r="AH170" t="s">
        <v>128</v>
      </c>
      <c r="AI170" s="1">
        <v>44202.495115740741</v>
      </c>
      <c r="AJ170">
        <v>296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-12</v>
      </c>
      <c r="AQ170">
        <v>0</v>
      </c>
      <c r="AR170">
        <v>0</v>
      </c>
      <c r="AS170">
        <v>0</v>
      </c>
      <c r="AT170" t="s">
        <v>90</v>
      </c>
      <c r="AU170" s="1">
        <v>44202.505983796298</v>
      </c>
      <c r="AV170">
        <v>32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-12</v>
      </c>
      <c r="BC170">
        <v>0</v>
      </c>
      <c r="BD170">
        <v>0</v>
      </c>
      <c r="BE170">
        <v>0</v>
      </c>
    </row>
    <row r="171" spans="1:57" x14ac:dyDescent="0.45">
      <c r="A171" t="s">
        <v>546</v>
      </c>
      <c r="B171" t="s">
        <v>79</v>
      </c>
      <c r="C171" t="s">
        <v>547</v>
      </c>
      <c r="D171" t="s">
        <v>81</v>
      </c>
      <c r="E171" s="2" t="str">
        <f>HYPERLINK("capsilon://?command=openfolder&amp;siteaddress=FAM.docvelocity-na8.net&amp;folderid=FX7CB5A0AA-C05F-AA3F-CC10-CD1033B589EB","FX21011060")</f>
        <v>FX21011060</v>
      </c>
      <c r="F171" t="s">
        <v>19</v>
      </c>
      <c r="G171" t="s">
        <v>19</v>
      </c>
      <c r="H171" t="s">
        <v>82</v>
      </c>
      <c r="I171" t="s">
        <v>548</v>
      </c>
      <c r="J171">
        <v>456</v>
      </c>
      <c r="K171" t="s">
        <v>84</v>
      </c>
      <c r="L171" t="s">
        <v>85</v>
      </c>
      <c r="M171" t="s">
        <v>86</v>
      </c>
      <c r="N171">
        <v>3</v>
      </c>
      <c r="O171" s="1">
        <v>44202.441493055558</v>
      </c>
      <c r="P171" s="1">
        <v>44202.554837962962</v>
      </c>
      <c r="Q171">
        <v>3330</v>
      </c>
      <c r="R171">
        <v>6463</v>
      </c>
      <c r="S171" t="b">
        <v>0</v>
      </c>
      <c r="T171" t="s">
        <v>87</v>
      </c>
      <c r="U171" t="b">
        <v>0</v>
      </c>
      <c r="V171" t="s">
        <v>88</v>
      </c>
      <c r="W171" s="1">
        <v>44202.508715277778</v>
      </c>
      <c r="X171">
        <v>4759</v>
      </c>
      <c r="Y171">
        <v>543</v>
      </c>
      <c r="Z171">
        <v>0</v>
      </c>
      <c r="AA171">
        <v>543</v>
      </c>
      <c r="AB171">
        <v>37</v>
      </c>
      <c r="AC171">
        <v>348</v>
      </c>
      <c r="AD171">
        <v>-87</v>
      </c>
      <c r="AE171">
        <v>0</v>
      </c>
      <c r="AF171">
        <v>0</v>
      </c>
      <c r="AG171">
        <v>0</v>
      </c>
      <c r="AH171" t="s">
        <v>128</v>
      </c>
      <c r="AI171" s="1">
        <v>44202.530104166668</v>
      </c>
      <c r="AJ171">
        <v>1347</v>
      </c>
      <c r="AK171">
        <v>0</v>
      </c>
      <c r="AL171">
        <v>0</v>
      </c>
      <c r="AM171">
        <v>0</v>
      </c>
      <c r="AN171">
        <v>37</v>
      </c>
      <c r="AO171">
        <v>0</v>
      </c>
      <c r="AP171">
        <v>-87</v>
      </c>
      <c r="AQ171">
        <v>0</v>
      </c>
      <c r="AR171">
        <v>0</v>
      </c>
      <c r="AS171">
        <v>0</v>
      </c>
      <c r="AT171" t="s">
        <v>549</v>
      </c>
      <c r="AU171" s="1">
        <v>44202.554837962962</v>
      </c>
      <c r="AV171">
        <v>255</v>
      </c>
      <c r="AW171">
        <v>0</v>
      </c>
      <c r="AX171">
        <v>0</v>
      </c>
      <c r="AY171">
        <v>0</v>
      </c>
      <c r="AZ171">
        <v>37</v>
      </c>
      <c r="BA171">
        <v>0</v>
      </c>
      <c r="BB171">
        <v>-87</v>
      </c>
      <c r="BC171">
        <v>0</v>
      </c>
      <c r="BD171">
        <v>0</v>
      </c>
      <c r="BE171">
        <v>0</v>
      </c>
    </row>
    <row r="172" spans="1:57" x14ac:dyDescent="0.45">
      <c r="A172" t="s">
        <v>550</v>
      </c>
      <c r="B172" t="s">
        <v>79</v>
      </c>
      <c r="C172" t="s">
        <v>551</v>
      </c>
      <c r="D172" t="s">
        <v>81</v>
      </c>
      <c r="E172" s="2" t="str">
        <f>HYPERLINK("capsilon://?command=openfolder&amp;siteaddress=FAM.docvelocity-na8.net&amp;folderid=FXA5CBDA21-3F13-E761-FC12-6389667A45A5","FX21011359")</f>
        <v>FX21011359</v>
      </c>
      <c r="F172" t="s">
        <v>19</v>
      </c>
      <c r="G172" t="s">
        <v>19</v>
      </c>
      <c r="H172" t="s">
        <v>82</v>
      </c>
      <c r="I172" t="s">
        <v>552</v>
      </c>
      <c r="J172">
        <v>393</v>
      </c>
      <c r="K172" t="s">
        <v>84</v>
      </c>
      <c r="L172" t="s">
        <v>85</v>
      </c>
      <c r="M172" t="s">
        <v>86</v>
      </c>
      <c r="N172">
        <v>3</v>
      </c>
      <c r="O172" s="1">
        <v>44202.443043981482</v>
      </c>
      <c r="P172" s="1">
        <v>44202.55841435185</v>
      </c>
      <c r="Q172">
        <v>3499</v>
      </c>
      <c r="R172">
        <v>6469</v>
      </c>
      <c r="S172" t="b">
        <v>0</v>
      </c>
      <c r="T172" t="s">
        <v>87</v>
      </c>
      <c r="U172" t="b">
        <v>0</v>
      </c>
      <c r="V172" t="s">
        <v>168</v>
      </c>
      <c r="W172" s="1">
        <v>44202.515173611115</v>
      </c>
      <c r="X172">
        <v>4862</v>
      </c>
      <c r="Y172">
        <v>390</v>
      </c>
      <c r="Z172">
        <v>0</v>
      </c>
      <c r="AA172">
        <v>390</v>
      </c>
      <c r="AB172">
        <v>37</v>
      </c>
      <c r="AC172">
        <v>137</v>
      </c>
      <c r="AD172">
        <v>3</v>
      </c>
      <c r="AE172">
        <v>0</v>
      </c>
      <c r="AF172">
        <v>0</v>
      </c>
      <c r="AG172">
        <v>0</v>
      </c>
      <c r="AH172" t="s">
        <v>267</v>
      </c>
      <c r="AI172" s="1">
        <v>44202.540995370371</v>
      </c>
      <c r="AJ172">
        <v>1226</v>
      </c>
      <c r="AK172">
        <v>7</v>
      </c>
      <c r="AL172">
        <v>0</v>
      </c>
      <c r="AM172">
        <v>7</v>
      </c>
      <c r="AN172">
        <v>37</v>
      </c>
      <c r="AO172">
        <v>6</v>
      </c>
      <c r="AP172">
        <v>-4</v>
      </c>
      <c r="AQ172">
        <v>0</v>
      </c>
      <c r="AR172">
        <v>0</v>
      </c>
      <c r="AS172">
        <v>0</v>
      </c>
      <c r="AT172" t="s">
        <v>549</v>
      </c>
      <c r="AU172" s="1">
        <v>44202.55841435185</v>
      </c>
      <c r="AV172">
        <v>308</v>
      </c>
      <c r="AW172">
        <v>0</v>
      </c>
      <c r="AX172">
        <v>0</v>
      </c>
      <c r="AY172">
        <v>0</v>
      </c>
      <c r="AZ172">
        <v>37</v>
      </c>
      <c r="BA172">
        <v>0</v>
      </c>
      <c r="BB172">
        <v>-4</v>
      </c>
      <c r="BC172">
        <v>0</v>
      </c>
      <c r="BD172">
        <v>0</v>
      </c>
      <c r="BE172">
        <v>0</v>
      </c>
    </row>
    <row r="173" spans="1:57" x14ac:dyDescent="0.45">
      <c r="A173" t="s">
        <v>553</v>
      </c>
      <c r="B173" t="s">
        <v>79</v>
      </c>
      <c r="C173" t="s">
        <v>554</v>
      </c>
      <c r="D173" t="s">
        <v>81</v>
      </c>
      <c r="E173" s="2" t="str">
        <f>HYPERLINK("capsilon://?command=openfolder&amp;siteaddress=FAM.docvelocity-na8.net&amp;folderid=FXD56CD732-A5FB-DC27-C7BE-D4367E3E4BC7","FX210149")</f>
        <v>FX210149</v>
      </c>
      <c r="F173" t="s">
        <v>19</v>
      </c>
      <c r="G173" t="s">
        <v>19</v>
      </c>
      <c r="H173" t="s">
        <v>82</v>
      </c>
      <c r="I173" t="s">
        <v>555</v>
      </c>
      <c r="J173">
        <v>201</v>
      </c>
      <c r="K173" t="s">
        <v>84</v>
      </c>
      <c r="L173" t="s">
        <v>85</v>
      </c>
      <c r="M173" t="s">
        <v>86</v>
      </c>
      <c r="N173">
        <v>3</v>
      </c>
      <c r="O173" s="1">
        <v>44202.445949074077</v>
      </c>
      <c r="P173" s="1">
        <v>44202.564918981479</v>
      </c>
      <c r="Q173">
        <v>7823</v>
      </c>
      <c r="R173">
        <v>2456</v>
      </c>
      <c r="S173" t="b">
        <v>0</v>
      </c>
      <c r="T173" t="s">
        <v>87</v>
      </c>
      <c r="U173" t="b">
        <v>0</v>
      </c>
      <c r="V173" t="s">
        <v>262</v>
      </c>
      <c r="W173" s="1">
        <v>44202.517557870371</v>
      </c>
      <c r="X173">
        <v>1461</v>
      </c>
      <c r="Y173">
        <v>113</v>
      </c>
      <c r="Z173">
        <v>0</v>
      </c>
      <c r="AA173">
        <v>113</v>
      </c>
      <c r="AB173">
        <v>74</v>
      </c>
      <c r="AC173">
        <v>38</v>
      </c>
      <c r="AD173">
        <v>88</v>
      </c>
      <c r="AE173">
        <v>0</v>
      </c>
      <c r="AF173">
        <v>0</v>
      </c>
      <c r="AG173">
        <v>0</v>
      </c>
      <c r="AH173" t="s">
        <v>128</v>
      </c>
      <c r="AI173" s="1">
        <v>44202.534826388888</v>
      </c>
      <c r="AJ173">
        <v>407</v>
      </c>
      <c r="AK173">
        <v>0</v>
      </c>
      <c r="AL173">
        <v>0</v>
      </c>
      <c r="AM173">
        <v>0</v>
      </c>
      <c r="AN173">
        <v>74</v>
      </c>
      <c r="AO173">
        <v>0</v>
      </c>
      <c r="AP173">
        <v>88</v>
      </c>
      <c r="AQ173">
        <v>0</v>
      </c>
      <c r="AR173">
        <v>0</v>
      </c>
      <c r="AS173">
        <v>0</v>
      </c>
      <c r="AT173" t="s">
        <v>549</v>
      </c>
      <c r="AU173" s="1">
        <v>44202.564918981479</v>
      </c>
      <c r="AV173">
        <v>561</v>
      </c>
      <c r="AW173">
        <v>0</v>
      </c>
      <c r="AX173">
        <v>0</v>
      </c>
      <c r="AY173">
        <v>0</v>
      </c>
      <c r="AZ173">
        <v>74</v>
      </c>
      <c r="BA173">
        <v>0</v>
      </c>
      <c r="BB173">
        <v>88</v>
      </c>
      <c r="BC173">
        <v>0</v>
      </c>
      <c r="BD173">
        <v>0</v>
      </c>
      <c r="BE173">
        <v>0</v>
      </c>
    </row>
    <row r="174" spans="1:57" hidden="1" x14ac:dyDescent="0.45">
      <c r="A174" t="s">
        <v>556</v>
      </c>
      <c r="B174" t="s">
        <v>79</v>
      </c>
      <c r="C174" t="s">
        <v>445</v>
      </c>
      <c r="D174" t="s">
        <v>81</v>
      </c>
      <c r="E174" s="2" t="str">
        <f>HYPERLINK("capsilon://?command=openfolder&amp;siteaddress=FAM.docvelocity-na8.net&amp;folderid=FXF403B8C9-DBD0-2B41-FB20-1964E3CB0752","FX201224297")</f>
        <v>FX201224297</v>
      </c>
      <c r="F174" t="s">
        <v>19</v>
      </c>
      <c r="G174" t="s">
        <v>19</v>
      </c>
      <c r="H174" t="s">
        <v>82</v>
      </c>
      <c r="I174" t="s">
        <v>557</v>
      </c>
      <c r="J174">
        <v>26</v>
      </c>
      <c r="K174" t="s">
        <v>84</v>
      </c>
      <c r="L174" t="s">
        <v>85</v>
      </c>
      <c r="M174" t="s">
        <v>86</v>
      </c>
      <c r="N174">
        <v>1</v>
      </c>
      <c r="O174" s="1">
        <v>44202.44736111111</v>
      </c>
      <c r="P174" s="1">
        <v>44202.467638888891</v>
      </c>
      <c r="Q174">
        <v>1463</v>
      </c>
      <c r="R174">
        <v>289</v>
      </c>
      <c r="S174" t="b">
        <v>0</v>
      </c>
      <c r="T174" t="s">
        <v>87</v>
      </c>
      <c r="U174" t="b">
        <v>0</v>
      </c>
      <c r="V174" t="s">
        <v>112</v>
      </c>
      <c r="W174" s="1">
        <v>44202.467638888891</v>
      </c>
      <c r="X174">
        <v>289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26</v>
      </c>
      <c r="AE174">
        <v>21</v>
      </c>
      <c r="AF174">
        <v>0</v>
      </c>
      <c r="AG174">
        <v>1</v>
      </c>
      <c r="AH174" t="s">
        <v>87</v>
      </c>
      <c r="AI174" t="s">
        <v>87</v>
      </c>
      <c r="AJ174" t="s">
        <v>87</v>
      </c>
      <c r="AK174" t="s">
        <v>87</v>
      </c>
      <c r="AL174" t="s">
        <v>87</v>
      </c>
      <c r="AM174" t="s">
        <v>87</v>
      </c>
      <c r="AN174" t="s">
        <v>87</v>
      </c>
      <c r="AO174" t="s">
        <v>87</v>
      </c>
      <c r="AP174" t="s">
        <v>87</v>
      </c>
      <c r="AQ174" t="s">
        <v>87</v>
      </c>
      <c r="AR174" t="s">
        <v>87</v>
      </c>
      <c r="AS174" t="s">
        <v>87</v>
      </c>
      <c r="AT174" t="s">
        <v>87</v>
      </c>
      <c r="AU174" t="s">
        <v>87</v>
      </c>
      <c r="AV174" t="s">
        <v>87</v>
      </c>
      <c r="AW174" t="s">
        <v>87</v>
      </c>
      <c r="AX174" t="s">
        <v>87</v>
      </c>
      <c r="AY174" t="s">
        <v>87</v>
      </c>
      <c r="AZ174" t="s">
        <v>87</v>
      </c>
      <c r="BA174" t="s">
        <v>87</v>
      </c>
      <c r="BB174" t="s">
        <v>87</v>
      </c>
      <c r="BC174" t="s">
        <v>87</v>
      </c>
      <c r="BD174" t="s">
        <v>87</v>
      </c>
      <c r="BE174" t="s">
        <v>87</v>
      </c>
    </row>
    <row r="175" spans="1:57" x14ac:dyDescent="0.45">
      <c r="A175" t="s">
        <v>558</v>
      </c>
      <c r="B175" t="s">
        <v>79</v>
      </c>
      <c r="C175" t="s">
        <v>510</v>
      </c>
      <c r="D175" t="s">
        <v>81</v>
      </c>
      <c r="E175" s="2" t="str">
        <f>HYPERLINK("capsilon://?command=openfolder&amp;siteaddress=FAM.docvelocity-na8.net&amp;folderid=FX47B9C066-F37D-2DA2-31F6-3A0B9BCAA4BC","FX2012303")</f>
        <v>FX2012303</v>
      </c>
      <c r="F175" t="s">
        <v>19</v>
      </c>
      <c r="G175" t="s">
        <v>19</v>
      </c>
      <c r="H175" t="s">
        <v>82</v>
      </c>
      <c r="I175" t="s">
        <v>559</v>
      </c>
      <c r="J175">
        <v>38</v>
      </c>
      <c r="K175" t="s">
        <v>84</v>
      </c>
      <c r="L175" t="s">
        <v>85</v>
      </c>
      <c r="M175" t="s">
        <v>86</v>
      </c>
      <c r="N175">
        <v>3</v>
      </c>
      <c r="O175" s="1">
        <v>44202.448101851849</v>
      </c>
      <c r="P175" s="1">
        <v>44202.506041666667</v>
      </c>
      <c r="Q175">
        <v>3446</v>
      </c>
      <c r="R175">
        <v>1560</v>
      </c>
      <c r="S175" t="b">
        <v>0</v>
      </c>
      <c r="T175" t="s">
        <v>87</v>
      </c>
      <c r="U175" t="b">
        <v>0</v>
      </c>
      <c r="V175" t="s">
        <v>179</v>
      </c>
      <c r="W175" s="1">
        <v>44202.480092592596</v>
      </c>
      <c r="X175">
        <v>1341</v>
      </c>
      <c r="Y175">
        <v>37</v>
      </c>
      <c r="Z175">
        <v>0</v>
      </c>
      <c r="AA175">
        <v>37</v>
      </c>
      <c r="AB175">
        <v>0</v>
      </c>
      <c r="AC175">
        <v>34</v>
      </c>
      <c r="AD175">
        <v>1</v>
      </c>
      <c r="AE175">
        <v>0</v>
      </c>
      <c r="AF175">
        <v>0</v>
      </c>
      <c r="AG175">
        <v>0</v>
      </c>
      <c r="AH175" t="s">
        <v>128</v>
      </c>
      <c r="AI175" s="1">
        <v>44202.497604166667</v>
      </c>
      <c r="AJ175">
        <v>214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 t="s">
        <v>90</v>
      </c>
      <c r="AU175" s="1">
        <v>44202.506041666667</v>
      </c>
      <c r="AV175">
        <v>5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</row>
    <row r="176" spans="1:57" x14ac:dyDescent="0.45">
      <c r="A176" t="s">
        <v>560</v>
      </c>
      <c r="B176" t="s">
        <v>79</v>
      </c>
      <c r="C176" t="s">
        <v>561</v>
      </c>
      <c r="D176" t="s">
        <v>81</v>
      </c>
      <c r="E176" s="2" t="str">
        <f>HYPERLINK("capsilon://?command=openfolder&amp;siteaddress=FAM.docvelocity-na8.net&amp;folderid=FXC8A2A736-2621-9DBB-B97D-756FA003FDA0","FX21011374")</f>
        <v>FX21011374</v>
      </c>
      <c r="F176" t="s">
        <v>19</v>
      </c>
      <c r="G176" t="s">
        <v>19</v>
      </c>
      <c r="H176" t="s">
        <v>82</v>
      </c>
      <c r="I176" t="s">
        <v>562</v>
      </c>
      <c r="J176">
        <v>76</v>
      </c>
      <c r="K176" t="s">
        <v>84</v>
      </c>
      <c r="L176" t="s">
        <v>85</v>
      </c>
      <c r="M176" t="s">
        <v>86</v>
      </c>
      <c r="N176">
        <v>3</v>
      </c>
      <c r="O176" s="1">
        <v>44202.451828703706</v>
      </c>
      <c r="P176" s="1">
        <v>44202.506111111114</v>
      </c>
      <c r="Q176">
        <v>3380</v>
      </c>
      <c r="R176">
        <v>1310</v>
      </c>
      <c r="S176" t="b">
        <v>0</v>
      </c>
      <c r="T176" t="s">
        <v>87</v>
      </c>
      <c r="U176" t="b">
        <v>0</v>
      </c>
      <c r="V176" t="s">
        <v>98</v>
      </c>
      <c r="W176" s="1">
        <v>44202.471307870372</v>
      </c>
      <c r="X176">
        <v>518</v>
      </c>
      <c r="Y176">
        <v>74</v>
      </c>
      <c r="Z176">
        <v>0</v>
      </c>
      <c r="AA176">
        <v>74</v>
      </c>
      <c r="AB176">
        <v>0</v>
      </c>
      <c r="AC176">
        <v>19</v>
      </c>
      <c r="AD176">
        <v>2</v>
      </c>
      <c r="AE176">
        <v>0</v>
      </c>
      <c r="AF176">
        <v>0</v>
      </c>
      <c r="AG176">
        <v>0</v>
      </c>
      <c r="AH176" t="s">
        <v>89</v>
      </c>
      <c r="AI176" s="1">
        <v>44202.504756944443</v>
      </c>
      <c r="AJ176">
        <v>787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2</v>
      </c>
      <c r="AQ176">
        <v>0</v>
      </c>
      <c r="AR176">
        <v>0</v>
      </c>
      <c r="AS176">
        <v>0</v>
      </c>
      <c r="AT176" t="s">
        <v>90</v>
      </c>
      <c r="AU176" s="1">
        <v>44202.506111111114</v>
      </c>
      <c r="AV176">
        <v>5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2</v>
      </c>
      <c r="BC176">
        <v>0</v>
      </c>
      <c r="BD176">
        <v>0</v>
      </c>
      <c r="BE176">
        <v>0</v>
      </c>
    </row>
    <row r="177" spans="1:57" x14ac:dyDescent="0.45">
      <c r="A177" t="s">
        <v>563</v>
      </c>
      <c r="B177" t="s">
        <v>79</v>
      </c>
      <c r="C177" t="s">
        <v>564</v>
      </c>
      <c r="D177" t="s">
        <v>81</v>
      </c>
      <c r="E177" s="2" t="str">
        <f>HYPERLINK("capsilon://?command=openfolder&amp;siteaddress=FAM.docvelocity-na8.net&amp;folderid=FXFD42786B-228E-616C-E66E-288418782958","FX2101666")</f>
        <v>FX2101666</v>
      </c>
      <c r="F177" t="s">
        <v>19</v>
      </c>
      <c r="G177" t="s">
        <v>19</v>
      </c>
      <c r="H177" t="s">
        <v>82</v>
      </c>
      <c r="I177" t="s">
        <v>565</v>
      </c>
      <c r="J177">
        <v>304</v>
      </c>
      <c r="K177" t="s">
        <v>84</v>
      </c>
      <c r="L177" t="s">
        <v>85</v>
      </c>
      <c r="M177" t="s">
        <v>86</v>
      </c>
      <c r="N177">
        <v>3</v>
      </c>
      <c r="O177" s="1">
        <v>44202.453958333332</v>
      </c>
      <c r="P177" s="1">
        <v>44202.567881944444</v>
      </c>
      <c r="Q177">
        <v>4605</v>
      </c>
      <c r="R177">
        <v>5238</v>
      </c>
      <c r="S177" t="b">
        <v>0</v>
      </c>
      <c r="T177" t="s">
        <v>87</v>
      </c>
      <c r="U177" t="b">
        <v>0</v>
      </c>
      <c r="V177" t="s">
        <v>112</v>
      </c>
      <c r="W177" s="1">
        <v>44202.513657407406</v>
      </c>
      <c r="X177">
        <v>3706</v>
      </c>
      <c r="Y177">
        <v>313</v>
      </c>
      <c r="Z177">
        <v>0</v>
      </c>
      <c r="AA177">
        <v>313</v>
      </c>
      <c r="AB177">
        <v>74</v>
      </c>
      <c r="AC177">
        <v>152</v>
      </c>
      <c r="AD177">
        <v>-9</v>
      </c>
      <c r="AE177">
        <v>0</v>
      </c>
      <c r="AF177">
        <v>0</v>
      </c>
      <c r="AG177">
        <v>0</v>
      </c>
      <c r="AH177" t="s">
        <v>267</v>
      </c>
      <c r="AI177" s="1">
        <v>44202.52679398148</v>
      </c>
      <c r="AJ177">
        <v>1019</v>
      </c>
      <c r="AK177">
        <v>0</v>
      </c>
      <c r="AL177">
        <v>0</v>
      </c>
      <c r="AM177">
        <v>0</v>
      </c>
      <c r="AN177">
        <v>74</v>
      </c>
      <c r="AO177">
        <v>0</v>
      </c>
      <c r="AP177">
        <v>-9</v>
      </c>
      <c r="AQ177">
        <v>0</v>
      </c>
      <c r="AR177">
        <v>0</v>
      </c>
      <c r="AS177">
        <v>0</v>
      </c>
      <c r="AT177" t="s">
        <v>549</v>
      </c>
      <c r="AU177" s="1">
        <v>44202.567881944444</v>
      </c>
      <c r="AV177">
        <v>255</v>
      </c>
      <c r="AW177">
        <v>4</v>
      </c>
      <c r="AX177">
        <v>0</v>
      </c>
      <c r="AY177">
        <v>4</v>
      </c>
      <c r="AZ177">
        <v>74</v>
      </c>
      <c r="BA177">
        <v>4</v>
      </c>
      <c r="BB177">
        <v>-13</v>
      </c>
      <c r="BC177">
        <v>0</v>
      </c>
      <c r="BD177">
        <v>0</v>
      </c>
      <c r="BE177">
        <v>0</v>
      </c>
    </row>
    <row r="178" spans="1:57" x14ac:dyDescent="0.45">
      <c r="A178" t="s">
        <v>566</v>
      </c>
      <c r="B178" t="s">
        <v>79</v>
      </c>
      <c r="C178" t="s">
        <v>567</v>
      </c>
      <c r="D178" t="s">
        <v>81</v>
      </c>
      <c r="E178" s="2" t="str">
        <f>HYPERLINK("capsilon://?command=openfolder&amp;siteaddress=FAM.docvelocity-na8.net&amp;folderid=FX62463E0E-C5C4-2ABE-5FD0-D5B6B7C90DCC","FX2101757")</f>
        <v>FX2101757</v>
      </c>
      <c r="F178" t="s">
        <v>19</v>
      </c>
      <c r="G178" t="s">
        <v>19</v>
      </c>
      <c r="H178" t="s">
        <v>82</v>
      </c>
      <c r="I178" t="s">
        <v>568</v>
      </c>
      <c r="J178">
        <v>413</v>
      </c>
      <c r="K178" t="s">
        <v>84</v>
      </c>
      <c r="L178" t="s">
        <v>85</v>
      </c>
      <c r="M178" t="s">
        <v>86</v>
      </c>
      <c r="N178">
        <v>3</v>
      </c>
      <c r="O178" s="1">
        <v>44202.461863425924</v>
      </c>
      <c r="P178" s="1">
        <v>44202.573923611111</v>
      </c>
      <c r="Q178">
        <v>4906</v>
      </c>
      <c r="R178">
        <v>4776</v>
      </c>
      <c r="S178" t="b">
        <v>0</v>
      </c>
      <c r="T178" t="s">
        <v>87</v>
      </c>
      <c r="U178" t="b">
        <v>0</v>
      </c>
      <c r="V178" t="s">
        <v>98</v>
      </c>
      <c r="W178" s="1">
        <v>44202.510914351849</v>
      </c>
      <c r="X178">
        <v>3421</v>
      </c>
      <c r="Y178">
        <v>252</v>
      </c>
      <c r="Z178">
        <v>0</v>
      </c>
      <c r="AA178">
        <v>252</v>
      </c>
      <c r="AB178">
        <v>0</v>
      </c>
      <c r="AC178">
        <v>110</v>
      </c>
      <c r="AD178">
        <v>161</v>
      </c>
      <c r="AE178">
        <v>0</v>
      </c>
      <c r="AF178">
        <v>0</v>
      </c>
      <c r="AG178">
        <v>0</v>
      </c>
      <c r="AH178" t="s">
        <v>128</v>
      </c>
      <c r="AI178" s="1">
        <v>44202.544374999998</v>
      </c>
      <c r="AJ178">
        <v>824</v>
      </c>
      <c r="AK178">
        <v>3</v>
      </c>
      <c r="AL178">
        <v>0</v>
      </c>
      <c r="AM178">
        <v>3</v>
      </c>
      <c r="AN178">
        <v>0</v>
      </c>
      <c r="AO178">
        <v>3</v>
      </c>
      <c r="AP178">
        <v>158</v>
      </c>
      <c r="AQ178">
        <v>0</v>
      </c>
      <c r="AR178">
        <v>0</v>
      </c>
      <c r="AS178">
        <v>0</v>
      </c>
      <c r="AT178" t="s">
        <v>549</v>
      </c>
      <c r="AU178" s="1">
        <v>44202.573923611111</v>
      </c>
      <c r="AV178">
        <v>521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158</v>
      </c>
      <c r="BC178">
        <v>0</v>
      </c>
      <c r="BD178">
        <v>0</v>
      </c>
      <c r="BE178">
        <v>0</v>
      </c>
    </row>
    <row r="179" spans="1:57" x14ac:dyDescent="0.45">
      <c r="A179" t="s">
        <v>569</v>
      </c>
      <c r="B179" t="s">
        <v>79</v>
      </c>
      <c r="C179" t="s">
        <v>570</v>
      </c>
      <c r="D179" t="s">
        <v>81</v>
      </c>
      <c r="E179" s="2" t="str">
        <f>HYPERLINK("capsilon://?command=openfolder&amp;siteaddress=FAM.docvelocity-na8.net&amp;folderid=FXD7F1ED2A-5D9C-0637-B81B-BC35AC3509A8","FX21011752")</f>
        <v>FX21011752</v>
      </c>
      <c r="F179" t="s">
        <v>19</v>
      </c>
      <c r="G179" t="s">
        <v>19</v>
      </c>
      <c r="H179" t="s">
        <v>82</v>
      </c>
      <c r="I179" t="s">
        <v>571</v>
      </c>
      <c r="J179">
        <v>140</v>
      </c>
      <c r="K179" t="s">
        <v>84</v>
      </c>
      <c r="L179" t="s">
        <v>85</v>
      </c>
      <c r="M179" t="s">
        <v>86</v>
      </c>
      <c r="N179">
        <v>3</v>
      </c>
      <c r="O179" s="1">
        <v>44202.462164351855</v>
      </c>
      <c r="P179" s="1">
        <v>44202.580439814818</v>
      </c>
      <c r="Q179">
        <v>5271</v>
      </c>
      <c r="R179">
        <v>4948</v>
      </c>
      <c r="S179" t="b">
        <v>0</v>
      </c>
      <c r="T179" t="s">
        <v>87</v>
      </c>
      <c r="U179" t="b">
        <v>0</v>
      </c>
      <c r="V179" t="s">
        <v>419</v>
      </c>
      <c r="W179" s="1">
        <v>44202.523159722223</v>
      </c>
      <c r="X179">
        <v>3987</v>
      </c>
      <c r="Y179">
        <v>155</v>
      </c>
      <c r="Z179">
        <v>0</v>
      </c>
      <c r="AA179">
        <v>155</v>
      </c>
      <c r="AB179">
        <v>0</v>
      </c>
      <c r="AC179">
        <v>118</v>
      </c>
      <c r="AD179">
        <v>-15</v>
      </c>
      <c r="AE179">
        <v>0</v>
      </c>
      <c r="AF179">
        <v>0</v>
      </c>
      <c r="AG179">
        <v>0</v>
      </c>
      <c r="AH179" t="s">
        <v>267</v>
      </c>
      <c r="AI179" s="1">
        <v>44202.545752314814</v>
      </c>
      <c r="AJ179">
        <v>410</v>
      </c>
      <c r="AK179">
        <v>2</v>
      </c>
      <c r="AL179">
        <v>0</v>
      </c>
      <c r="AM179">
        <v>2</v>
      </c>
      <c r="AN179">
        <v>0</v>
      </c>
      <c r="AO179">
        <v>1</v>
      </c>
      <c r="AP179">
        <v>-17</v>
      </c>
      <c r="AQ179">
        <v>0</v>
      </c>
      <c r="AR179">
        <v>0</v>
      </c>
      <c r="AS179">
        <v>0</v>
      </c>
      <c r="AT179" t="s">
        <v>549</v>
      </c>
      <c r="AU179" s="1">
        <v>44202.580439814818</v>
      </c>
      <c r="AV179">
        <v>551</v>
      </c>
      <c r="AW179">
        <v>1</v>
      </c>
      <c r="AX179">
        <v>0</v>
      </c>
      <c r="AY179">
        <v>1</v>
      </c>
      <c r="AZ179">
        <v>0</v>
      </c>
      <c r="BA179">
        <v>1</v>
      </c>
      <c r="BB179">
        <v>-18</v>
      </c>
      <c r="BC179">
        <v>0</v>
      </c>
      <c r="BD179">
        <v>0</v>
      </c>
      <c r="BE179">
        <v>0</v>
      </c>
    </row>
    <row r="180" spans="1:57" x14ac:dyDescent="0.45">
      <c r="A180" t="s">
        <v>572</v>
      </c>
      <c r="B180" t="s">
        <v>79</v>
      </c>
      <c r="C180" t="s">
        <v>573</v>
      </c>
      <c r="D180" t="s">
        <v>81</v>
      </c>
      <c r="E180" s="2" t="str">
        <f>HYPERLINK("capsilon://?command=openfolder&amp;siteaddress=FAM.docvelocity-na8.net&amp;folderid=FXC8685E30-DA9E-9717-E57D-1C6CE7412AF4","FX2101156")</f>
        <v>FX2101156</v>
      </c>
      <c r="F180" t="s">
        <v>19</v>
      </c>
      <c r="G180" t="s">
        <v>19</v>
      </c>
      <c r="H180" t="s">
        <v>82</v>
      </c>
      <c r="I180" t="s">
        <v>574</v>
      </c>
      <c r="J180">
        <v>150</v>
      </c>
      <c r="K180" t="s">
        <v>84</v>
      </c>
      <c r="L180" t="s">
        <v>85</v>
      </c>
      <c r="M180" t="s">
        <v>86</v>
      </c>
      <c r="N180">
        <v>3</v>
      </c>
      <c r="O180" s="1">
        <v>44202.464560185188</v>
      </c>
      <c r="P180" s="1">
        <v>44202.507013888891</v>
      </c>
      <c r="Q180">
        <v>1344</v>
      </c>
      <c r="R180">
        <v>2324</v>
      </c>
      <c r="S180" t="b">
        <v>0</v>
      </c>
      <c r="T180" t="s">
        <v>87</v>
      </c>
      <c r="U180" t="b">
        <v>0</v>
      </c>
      <c r="V180" t="s">
        <v>266</v>
      </c>
      <c r="W180" s="1">
        <v>44202.494768518518</v>
      </c>
      <c r="X180">
        <v>1533</v>
      </c>
      <c r="Y180">
        <v>160</v>
      </c>
      <c r="Z180">
        <v>0</v>
      </c>
      <c r="AA180">
        <v>160</v>
      </c>
      <c r="AB180">
        <v>0</v>
      </c>
      <c r="AC180">
        <v>97</v>
      </c>
      <c r="AD180">
        <v>-10</v>
      </c>
      <c r="AE180">
        <v>0</v>
      </c>
      <c r="AF180">
        <v>0</v>
      </c>
      <c r="AG180">
        <v>0</v>
      </c>
      <c r="AH180" t="s">
        <v>128</v>
      </c>
      <c r="AI180" s="1">
        <v>44202.506481481483</v>
      </c>
      <c r="AJ180">
        <v>766</v>
      </c>
      <c r="AK180">
        <v>1</v>
      </c>
      <c r="AL180">
        <v>0</v>
      </c>
      <c r="AM180">
        <v>1</v>
      </c>
      <c r="AN180">
        <v>0</v>
      </c>
      <c r="AO180">
        <v>1</v>
      </c>
      <c r="AP180">
        <v>-11</v>
      </c>
      <c r="AQ180">
        <v>0</v>
      </c>
      <c r="AR180">
        <v>0</v>
      </c>
      <c r="AS180">
        <v>0</v>
      </c>
      <c r="AT180" t="s">
        <v>90</v>
      </c>
      <c r="AU180" s="1">
        <v>44202.507013888891</v>
      </c>
      <c r="AV180">
        <v>25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-11</v>
      </c>
      <c r="BC180">
        <v>0</v>
      </c>
      <c r="BD180">
        <v>0</v>
      </c>
      <c r="BE180">
        <v>0</v>
      </c>
    </row>
    <row r="181" spans="1:57" x14ac:dyDescent="0.45">
      <c r="A181" t="s">
        <v>575</v>
      </c>
      <c r="B181" t="s">
        <v>79</v>
      </c>
      <c r="C181" t="s">
        <v>576</v>
      </c>
      <c r="D181" t="s">
        <v>81</v>
      </c>
      <c r="E181" s="2" t="str">
        <f>HYPERLINK("capsilon://?command=openfolder&amp;siteaddress=FAM.docvelocity-na8.net&amp;folderid=FXDC0CEFC5-67DF-85ED-52B0-FC31D16F403A","FX2101988")</f>
        <v>FX2101988</v>
      </c>
      <c r="F181" t="s">
        <v>19</v>
      </c>
      <c r="G181" t="s">
        <v>19</v>
      </c>
      <c r="H181" t="s">
        <v>82</v>
      </c>
      <c r="I181" t="s">
        <v>577</v>
      </c>
      <c r="J181">
        <v>38</v>
      </c>
      <c r="K181" t="s">
        <v>84</v>
      </c>
      <c r="L181" t="s">
        <v>85</v>
      </c>
      <c r="M181" t="s">
        <v>86</v>
      </c>
      <c r="N181">
        <v>3</v>
      </c>
      <c r="O181" s="1">
        <v>44202.464965277781</v>
      </c>
      <c r="P181" s="1">
        <v>44202.506712962961</v>
      </c>
      <c r="Q181">
        <v>3067</v>
      </c>
      <c r="R181">
        <v>540</v>
      </c>
      <c r="S181" t="b">
        <v>0</v>
      </c>
      <c r="T181" t="s">
        <v>87</v>
      </c>
      <c r="U181" t="b">
        <v>0</v>
      </c>
      <c r="V181" t="s">
        <v>142</v>
      </c>
      <c r="W181" s="1">
        <v>44202.481921296298</v>
      </c>
      <c r="X181">
        <v>421</v>
      </c>
      <c r="Y181">
        <v>37</v>
      </c>
      <c r="Z181">
        <v>0</v>
      </c>
      <c r="AA181">
        <v>37</v>
      </c>
      <c r="AB181">
        <v>0</v>
      </c>
      <c r="AC181">
        <v>5</v>
      </c>
      <c r="AD181">
        <v>1</v>
      </c>
      <c r="AE181">
        <v>0</v>
      </c>
      <c r="AF181">
        <v>0</v>
      </c>
      <c r="AG181">
        <v>0</v>
      </c>
      <c r="AH181" t="s">
        <v>267</v>
      </c>
      <c r="AI181" s="1">
        <v>44202.502453703702</v>
      </c>
      <c r="AJ181">
        <v>68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 t="s">
        <v>90</v>
      </c>
      <c r="AU181" s="1">
        <v>44202.506712962961</v>
      </c>
      <c r="AV181">
        <v>51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</row>
    <row r="182" spans="1:57" x14ac:dyDescent="0.45">
      <c r="A182" t="s">
        <v>578</v>
      </c>
      <c r="B182" t="s">
        <v>79</v>
      </c>
      <c r="C182" t="s">
        <v>445</v>
      </c>
      <c r="D182" t="s">
        <v>81</v>
      </c>
      <c r="E182" s="2" t="str">
        <f>HYPERLINK("capsilon://?command=openfolder&amp;siteaddress=FAM.docvelocity-na8.net&amp;folderid=FXF403B8C9-DBD0-2B41-FB20-1964E3CB0752","FX201224297")</f>
        <v>FX201224297</v>
      </c>
      <c r="F182" t="s">
        <v>19</v>
      </c>
      <c r="G182" t="s">
        <v>19</v>
      </c>
      <c r="H182" t="s">
        <v>82</v>
      </c>
      <c r="I182" t="s">
        <v>557</v>
      </c>
      <c r="J182">
        <v>26</v>
      </c>
      <c r="K182" t="s">
        <v>84</v>
      </c>
      <c r="L182" t="s">
        <v>85</v>
      </c>
      <c r="M182" t="s">
        <v>86</v>
      </c>
      <c r="N182">
        <v>3</v>
      </c>
      <c r="O182" s="1">
        <v>44202.468275462961</v>
      </c>
      <c r="P182" s="1">
        <v>44202.500787037039</v>
      </c>
      <c r="Q182">
        <v>1942</v>
      </c>
      <c r="R182">
        <v>867</v>
      </c>
      <c r="S182" t="b">
        <v>0</v>
      </c>
      <c r="T182" t="s">
        <v>87</v>
      </c>
      <c r="U182" t="b">
        <v>1</v>
      </c>
      <c r="V182" t="s">
        <v>419</v>
      </c>
      <c r="W182" s="1">
        <v>44202.477013888885</v>
      </c>
      <c r="X182">
        <v>732</v>
      </c>
      <c r="Y182">
        <v>21</v>
      </c>
      <c r="Z182">
        <v>0</v>
      </c>
      <c r="AA182">
        <v>21</v>
      </c>
      <c r="AB182">
        <v>0</v>
      </c>
      <c r="AC182">
        <v>20</v>
      </c>
      <c r="AD182">
        <v>5</v>
      </c>
      <c r="AE182">
        <v>0</v>
      </c>
      <c r="AF182">
        <v>0</v>
      </c>
      <c r="AG182">
        <v>0</v>
      </c>
      <c r="AH182" t="s">
        <v>128</v>
      </c>
      <c r="AI182" s="1">
        <v>44202.479039351849</v>
      </c>
      <c r="AJ182">
        <v>130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5</v>
      </c>
      <c r="AQ182">
        <v>0</v>
      </c>
      <c r="AR182">
        <v>0</v>
      </c>
      <c r="AS182">
        <v>0</v>
      </c>
      <c r="AT182" t="s">
        <v>90</v>
      </c>
      <c r="AU182" s="1">
        <v>44202.500787037039</v>
      </c>
      <c r="AV182">
        <v>5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5</v>
      </c>
      <c r="BC182">
        <v>0</v>
      </c>
      <c r="BD182">
        <v>0</v>
      </c>
      <c r="BE182">
        <v>0</v>
      </c>
    </row>
    <row r="183" spans="1:57" x14ac:dyDescent="0.45">
      <c r="A183" t="s">
        <v>579</v>
      </c>
      <c r="B183" t="s">
        <v>79</v>
      </c>
      <c r="C183" t="s">
        <v>580</v>
      </c>
      <c r="D183" t="s">
        <v>81</v>
      </c>
      <c r="E183" s="2" t="str">
        <f>HYPERLINK("capsilon://?command=openfolder&amp;siteaddress=FAM.docvelocity-na8.net&amp;folderid=FX69C67FA3-5CA8-9D3B-2997-6FEAC1D5E5BB","FX201228936")</f>
        <v>FX201228936</v>
      </c>
      <c r="F183" t="s">
        <v>19</v>
      </c>
      <c r="G183" t="s">
        <v>19</v>
      </c>
      <c r="H183" t="s">
        <v>82</v>
      </c>
      <c r="I183" t="s">
        <v>581</v>
      </c>
      <c r="J183">
        <v>90</v>
      </c>
      <c r="K183" t="s">
        <v>84</v>
      </c>
      <c r="L183" t="s">
        <v>85</v>
      </c>
      <c r="M183" t="s">
        <v>86</v>
      </c>
      <c r="N183">
        <v>3</v>
      </c>
      <c r="O183" s="1">
        <v>44202.471354166664</v>
      </c>
      <c r="P183" s="1">
        <v>44202.507569444446</v>
      </c>
      <c r="Q183">
        <v>2639</v>
      </c>
      <c r="R183">
        <v>490</v>
      </c>
      <c r="S183" t="b">
        <v>0</v>
      </c>
      <c r="T183" t="s">
        <v>87</v>
      </c>
      <c r="U183" t="b">
        <v>0</v>
      </c>
      <c r="V183" t="s">
        <v>242</v>
      </c>
      <c r="W183" s="1">
        <v>44202.481666666667</v>
      </c>
      <c r="X183">
        <v>343</v>
      </c>
      <c r="Y183">
        <v>42</v>
      </c>
      <c r="Z183">
        <v>0</v>
      </c>
      <c r="AA183">
        <v>42</v>
      </c>
      <c r="AB183">
        <v>37</v>
      </c>
      <c r="AC183">
        <v>15</v>
      </c>
      <c r="AD183">
        <v>48</v>
      </c>
      <c r="AE183">
        <v>0</v>
      </c>
      <c r="AF183">
        <v>0</v>
      </c>
      <c r="AG183">
        <v>0</v>
      </c>
      <c r="AH183" t="s">
        <v>267</v>
      </c>
      <c r="AI183" s="1">
        <v>44202.503622685188</v>
      </c>
      <c r="AJ183">
        <v>100</v>
      </c>
      <c r="AK183">
        <v>0</v>
      </c>
      <c r="AL183">
        <v>0</v>
      </c>
      <c r="AM183">
        <v>0</v>
      </c>
      <c r="AN183">
        <v>37</v>
      </c>
      <c r="AO183">
        <v>0</v>
      </c>
      <c r="AP183">
        <v>48</v>
      </c>
      <c r="AQ183">
        <v>0</v>
      </c>
      <c r="AR183">
        <v>0</v>
      </c>
      <c r="AS183">
        <v>0</v>
      </c>
      <c r="AT183" t="s">
        <v>90</v>
      </c>
      <c r="AU183" s="1">
        <v>44202.507569444446</v>
      </c>
      <c r="AV183">
        <v>47</v>
      </c>
      <c r="AW183">
        <v>0</v>
      </c>
      <c r="AX183">
        <v>0</v>
      </c>
      <c r="AY183">
        <v>0</v>
      </c>
      <c r="AZ183">
        <v>37</v>
      </c>
      <c r="BA183">
        <v>0</v>
      </c>
      <c r="BB183">
        <v>48</v>
      </c>
      <c r="BC183">
        <v>0</v>
      </c>
      <c r="BD183">
        <v>0</v>
      </c>
      <c r="BE183">
        <v>0</v>
      </c>
    </row>
    <row r="184" spans="1:57" x14ac:dyDescent="0.45">
      <c r="A184" t="s">
        <v>582</v>
      </c>
      <c r="B184" t="s">
        <v>79</v>
      </c>
      <c r="C184" t="s">
        <v>583</v>
      </c>
      <c r="D184" t="s">
        <v>81</v>
      </c>
      <c r="E184" s="2" t="str">
        <f>HYPERLINK("capsilon://?command=openfolder&amp;siteaddress=FAM.docvelocity-na8.net&amp;folderid=FX416EB6B9-06B9-0017-A86E-AC9FBACFEE9C","FX2101401")</f>
        <v>FX2101401</v>
      </c>
      <c r="F184" t="s">
        <v>19</v>
      </c>
      <c r="G184" t="s">
        <v>19</v>
      </c>
      <c r="H184" t="s">
        <v>82</v>
      </c>
      <c r="I184" t="s">
        <v>584</v>
      </c>
      <c r="J184">
        <v>121</v>
      </c>
      <c r="K184" t="s">
        <v>84</v>
      </c>
      <c r="L184" t="s">
        <v>85</v>
      </c>
      <c r="M184" t="s">
        <v>86</v>
      </c>
      <c r="N184">
        <v>3</v>
      </c>
      <c r="O184" s="1">
        <v>44202.473402777781</v>
      </c>
      <c r="P184" s="1">
        <v>44202.507997685185</v>
      </c>
      <c r="Q184">
        <v>714</v>
      </c>
      <c r="R184">
        <v>2275</v>
      </c>
      <c r="S184" t="b">
        <v>0</v>
      </c>
      <c r="T184" t="s">
        <v>87</v>
      </c>
      <c r="U184" t="b">
        <v>0</v>
      </c>
      <c r="V184" t="s">
        <v>343</v>
      </c>
      <c r="W184" s="1">
        <v>44202.501342592594</v>
      </c>
      <c r="X184">
        <v>2008</v>
      </c>
      <c r="Y184">
        <v>135</v>
      </c>
      <c r="Z184">
        <v>0</v>
      </c>
      <c r="AA184">
        <v>135</v>
      </c>
      <c r="AB184">
        <v>21</v>
      </c>
      <c r="AC184">
        <v>74</v>
      </c>
      <c r="AD184">
        <v>-14</v>
      </c>
      <c r="AE184">
        <v>0</v>
      </c>
      <c r="AF184">
        <v>0</v>
      </c>
      <c r="AG184">
        <v>0</v>
      </c>
      <c r="AH184" t="s">
        <v>267</v>
      </c>
      <c r="AI184" s="1">
        <v>44202.506307870368</v>
      </c>
      <c r="AJ184">
        <v>231</v>
      </c>
      <c r="AK184">
        <v>0</v>
      </c>
      <c r="AL184">
        <v>0</v>
      </c>
      <c r="AM184">
        <v>0</v>
      </c>
      <c r="AN184">
        <v>21</v>
      </c>
      <c r="AO184">
        <v>0</v>
      </c>
      <c r="AP184">
        <v>-14</v>
      </c>
      <c r="AQ184">
        <v>0</v>
      </c>
      <c r="AR184">
        <v>0</v>
      </c>
      <c r="AS184">
        <v>0</v>
      </c>
      <c r="AT184" t="s">
        <v>90</v>
      </c>
      <c r="AU184" s="1">
        <v>44202.507997685185</v>
      </c>
      <c r="AV184">
        <v>36</v>
      </c>
      <c r="AW184">
        <v>0</v>
      </c>
      <c r="AX184">
        <v>0</v>
      </c>
      <c r="AY184">
        <v>0</v>
      </c>
      <c r="AZ184">
        <v>21</v>
      </c>
      <c r="BA184">
        <v>0</v>
      </c>
      <c r="BB184">
        <v>-14</v>
      </c>
      <c r="BC184">
        <v>0</v>
      </c>
      <c r="BD184">
        <v>0</v>
      </c>
      <c r="BE184">
        <v>0</v>
      </c>
    </row>
    <row r="185" spans="1:57" x14ac:dyDescent="0.45">
      <c r="A185" t="s">
        <v>585</v>
      </c>
      <c r="B185" t="s">
        <v>79</v>
      </c>
      <c r="C185" t="s">
        <v>583</v>
      </c>
      <c r="D185" t="s">
        <v>81</v>
      </c>
      <c r="E185" s="2" t="str">
        <f>HYPERLINK("capsilon://?command=openfolder&amp;siteaddress=FAM.docvelocity-na8.net&amp;folderid=FX416EB6B9-06B9-0017-A86E-AC9FBACFEE9C","FX2101401")</f>
        <v>FX2101401</v>
      </c>
      <c r="F185" t="s">
        <v>19</v>
      </c>
      <c r="G185" t="s">
        <v>19</v>
      </c>
      <c r="H185" t="s">
        <v>82</v>
      </c>
      <c r="I185" t="s">
        <v>586</v>
      </c>
      <c r="J185">
        <v>38</v>
      </c>
      <c r="K185" t="s">
        <v>84</v>
      </c>
      <c r="L185" t="s">
        <v>85</v>
      </c>
      <c r="M185" t="s">
        <v>86</v>
      </c>
      <c r="N185">
        <v>3</v>
      </c>
      <c r="O185" s="1">
        <v>44202.474247685182</v>
      </c>
      <c r="P185" s="1">
        <v>44202.514247685183</v>
      </c>
      <c r="Q185">
        <v>2512</v>
      </c>
      <c r="R185">
        <v>944</v>
      </c>
      <c r="S185" t="b">
        <v>0</v>
      </c>
      <c r="T185" t="s">
        <v>87</v>
      </c>
      <c r="U185" t="b">
        <v>0</v>
      </c>
      <c r="V185" t="s">
        <v>259</v>
      </c>
      <c r="W185" s="1">
        <v>44202.484861111108</v>
      </c>
      <c r="X185">
        <v>497</v>
      </c>
      <c r="Y185">
        <v>37</v>
      </c>
      <c r="Z185">
        <v>0</v>
      </c>
      <c r="AA185">
        <v>37</v>
      </c>
      <c r="AB185">
        <v>0</v>
      </c>
      <c r="AC185">
        <v>23</v>
      </c>
      <c r="AD185">
        <v>1</v>
      </c>
      <c r="AE185">
        <v>0</v>
      </c>
      <c r="AF185">
        <v>0</v>
      </c>
      <c r="AG185">
        <v>0</v>
      </c>
      <c r="AH185" t="s">
        <v>89</v>
      </c>
      <c r="AI185" s="1">
        <v>44202.50986111111</v>
      </c>
      <c r="AJ185">
        <v>440</v>
      </c>
      <c r="AK185">
        <v>1</v>
      </c>
      <c r="AL185">
        <v>0</v>
      </c>
      <c r="AM185">
        <v>1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 t="s">
        <v>90</v>
      </c>
      <c r="AU185" s="1">
        <v>44202.514247685183</v>
      </c>
      <c r="AV185">
        <v>7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45">
      <c r="A186" t="s">
        <v>587</v>
      </c>
      <c r="B186" t="s">
        <v>79</v>
      </c>
      <c r="C186" t="s">
        <v>588</v>
      </c>
      <c r="D186" t="s">
        <v>81</v>
      </c>
      <c r="E186" s="2" t="str">
        <f>HYPERLINK("capsilon://?command=openfolder&amp;siteaddress=FAM.docvelocity-na8.net&amp;folderid=FX6A035BF3-9519-F708-2317-558AA83D6576","FX21011343")</f>
        <v>FX21011343</v>
      </c>
      <c r="F186" t="s">
        <v>19</v>
      </c>
      <c r="G186" t="s">
        <v>19</v>
      </c>
      <c r="H186" t="s">
        <v>82</v>
      </c>
      <c r="I186" t="s">
        <v>589</v>
      </c>
      <c r="J186">
        <v>614</v>
      </c>
      <c r="K186" t="s">
        <v>84</v>
      </c>
      <c r="L186" t="s">
        <v>85</v>
      </c>
      <c r="M186" t="s">
        <v>86</v>
      </c>
      <c r="N186">
        <v>3</v>
      </c>
      <c r="O186" s="1">
        <v>44202.482546296298</v>
      </c>
      <c r="P186" s="1">
        <v>44202.589108796295</v>
      </c>
      <c r="Q186">
        <v>4494</v>
      </c>
      <c r="R186">
        <v>4713</v>
      </c>
      <c r="S186" t="b">
        <v>0</v>
      </c>
      <c r="T186" t="s">
        <v>87</v>
      </c>
      <c r="U186" t="b">
        <v>0</v>
      </c>
      <c r="V186" t="s">
        <v>259</v>
      </c>
      <c r="W186" s="1">
        <v>44202.558206018519</v>
      </c>
      <c r="X186">
        <v>3342</v>
      </c>
      <c r="Y186">
        <v>532</v>
      </c>
      <c r="Z186">
        <v>0</v>
      </c>
      <c r="AA186">
        <v>532</v>
      </c>
      <c r="AB186">
        <v>37</v>
      </c>
      <c r="AC186">
        <v>198</v>
      </c>
      <c r="AD186">
        <v>82</v>
      </c>
      <c r="AE186">
        <v>0</v>
      </c>
      <c r="AF186">
        <v>0</v>
      </c>
      <c r="AG186">
        <v>0</v>
      </c>
      <c r="AH186" t="s">
        <v>267</v>
      </c>
      <c r="AI186" s="1">
        <v>44202.571168981478</v>
      </c>
      <c r="AJ186">
        <v>924</v>
      </c>
      <c r="AK186">
        <v>3</v>
      </c>
      <c r="AL186">
        <v>0</v>
      </c>
      <c r="AM186">
        <v>3</v>
      </c>
      <c r="AN186">
        <v>37</v>
      </c>
      <c r="AO186">
        <v>2</v>
      </c>
      <c r="AP186">
        <v>79</v>
      </c>
      <c r="AQ186">
        <v>0</v>
      </c>
      <c r="AR186">
        <v>0</v>
      </c>
      <c r="AS186">
        <v>0</v>
      </c>
      <c r="AT186" t="s">
        <v>549</v>
      </c>
      <c r="AU186" s="1">
        <v>44202.589108796295</v>
      </c>
      <c r="AV186">
        <v>392</v>
      </c>
      <c r="AW186">
        <v>1</v>
      </c>
      <c r="AX186">
        <v>0</v>
      </c>
      <c r="AY186">
        <v>1</v>
      </c>
      <c r="AZ186">
        <v>37</v>
      </c>
      <c r="BA186">
        <v>1</v>
      </c>
      <c r="BB186">
        <v>78</v>
      </c>
      <c r="BC186">
        <v>0</v>
      </c>
      <c r="BD186">
        <v>0</v>
      </c>
      <c r="BE186">
        <v>0</v>
      </c>
    </row>
    <row r="187" spans="1:57" x14ac:dyDescent="0.45">
      <c r="A187" t="s">
        <v>590</v>
      </c>
      <c r="B187" t="s">
        <v>79</v>
      </c>
      <c r="C187" t="s">
        <v>591</v>
      </c>
      <c r="D187" t="s">
        <v>81</v>
      </c>
      <c r="E187" s="2" t="str">
        <f>HYPERLINK("capsilon://?command=openfolder&amp;siteaddress=FAM.docvelocity-na8.net&amp;folderid=FX740EB973-79EC-7D56-2F37-9692FB294C83","FX21012414")</f>
        <v>FX21012414</v>
      </c>
      <c r="F187" t="s">
        <v>19</v>
      </c>
      <c r="G187" t="s">
        <v>19</v>
      </c>
      <c r="H187" t="s">
        <v>82</v>
      </c>
      <c r="I187" t="s">
        <v>592</v>
      </c>
      <c r="J187">
        <v>316</v>
      </c>
      <c r="K187" t="s">
        <v>84</v>
      </c>
      <c r="L187" t="s">
        <v>85</v>
      </c>
      <c r="M187" t="s">
        <v>86</v>
      </c>
      <c r="N187">
        <v>3</v>
      </c>
      <c r="O187" s="1">
        <v>44202.484189814815</v>
      </c>
      <c r="P187" s="1">
        <v>44202.514826388891</v>
      </c>
      <c r="Q187">
        <v>410</v>
      </c>
      <c r="R187">
        <v>2237</v>
      </c>
      <c r="S187" t="b">
        <v>0</v>
      </c>
      <c r="T187" t="s">
        <v>87</v>
      </c>
      <c r="U187" t="b">
        <v>0</v>
      </c>
      <c r="V187" t="s">
        <v>160</v>
      </c>
      <c r="W187" s="1">
        <v>44202.50203703704</v>
      </c>
      <c r="X187">
        <v>1541</v>
      </c>
      <c r="Y187">
        <v>278</v>
      </c>
      <c r="Z187">
        <v>0</v>
      </c>
      <c r="AA187">
        <v>278</v>
      </c>
      <c r="AB187">
        <v>0</v>
      </c>
      <c r="AC187">
        <v>42</v>
      </c>
      <c r="AD187">
        <v>38</v>
      </c>
      <c r="AE187">
        <v>0</v>
      </c>
      <c r="AF187">
        <v>0</v>
      </c>
      <c r="AG187">
        <v>0</v>
      </c>
      <c r="AH187" t="s">
        <v>267</v>
      </c>
      <c r="AI187" s="1">
        <v>44202.513831018521</v>
      </c>
      <c r="AJ187">
        <v>649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38</v>
      </c>
      <c r="AQ187">
        <v>0</v>
      </c>
      <c r="AR187">
        <v>0</v>
      </c>
      <c r="AS187">
        <v>0</v>
      </c>
      <c r="AT187" t="s">
        <v>90</v>
      </c>
      <c r="AU187" s="1">
        <v>44202.514826388891</v>
      </c>
      <c r="AV187">
        <v>47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38</v>
      </c>
      <c r="BC187">
        <v>0</v>
      </c>
      <c r="BD187">
        <v>0</v>
      </c>
      <c r="BE187">
        <v>0</v>
      </c>
    </row>
    <row r="188" spans="1:57" x14ac:dyDescent="0.45">
      <c r="A188" t="s">
        <v>593</v>
      </c>
      <c r="B188" t="s">
        <v>79</v>
      </c>
      <c r="C188" t="s">
        <v>594</v>
      </c>
      <c r="D188" t="s">
        <v>81</v>
      </c>
      <c r="E188" s="2" t="str">
        <f>HYPERLINK("capsilon://?command=openfolder&amp;siteaddress=FAM.docvelocity-na8.net&amp;folderid=FX42D4C570-1BAB-90C2-784D-260AE7AFF551","FX21011214")</f>
        <v>FX21011214</v>
      </c>
      <c r="F188" t="s">
        <v>19</v>
      </c>
      <c r="G188" t="s">
        <v>19</v>
      </c>
      <c r="H188" t="s">
        <v>82</v>
      </c>
      <c r="I188" t="s">
        <v>595</v>
      </c>
      <c r="J188">
        <v>395</v>
      </c>
      <c r="K188" t="s">
        <v>84</v>
      </c>
      <c r="L188" t="s">
        <v>85</v>
      </c>
      <c r="M188" t="s">
        <v>86</v>
      </c>
      <c r="N188">
        <v>3</v>
      </c>
      <c r="O188" s="1">
        <v>44202.484872685185</v>
      </c>
      <c r="P188" s="1">
        <v>44202.592476851853</v>
      </c>
      <c r="Q188">
        <v>5252</v>
      </c>
      <c r="R188">
        <v>4045</v>
      </c>
      <c r="S188" t="b">
        <v>0</v>
      </c>
      <c r="T188" t="s">
        <v>87</v>
      </c>
      <c r="U188" t="b">
        <v>0</v>
      </c>
      <c r="V188" t="s">
        <v>259</v>
      </c>
      <c r="W188" s="1">
        <v>44202.519456018519</v>
      </c>
      <c r="X188">
        <v>2950</v>
      </c>
      <c r="Y188">
        <v>259</v>
      </c>
      <c r="Z188">
        <v>0</v>
      </c>
      <c r="AA188">
        <v>259</v>
      </c>
      <c r="AB188">
        <v>0</v>
      </c>
      <c r="AC188">
        <v>87</v>
      </c>
      <c r="AD188">
        <v>136</v>
      </c>
      <c r="AE188">
        <v>0</v>
      </c>
      <c r="AF188">
        <v>0</v>
      </c>
      <c r="AG188">
        <v>0</v>
      </c>
      <c r="AH188" t="s">
        <v>128</v>
      </c>
      <c r="AI188" s="1">
        <v>44202.553703703707</v>
      </c>
      <c r="AJ188">
        <v>805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136</v>
      </c>
      <c r="AQ188">
        <v>0</v>
      </c>
      <c r="AR188">
        <v>0</v>
      </c>
      <c r="AS188">
        <v>0</v>
      </c>
      <c r="AT188" t="s">
        <v>549</v>
      </c>
      <c r="AU188" s="1">
        <v>44202.592476851853</v>
      </c>
      <c r="AV188">
        <v>290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136</v>
      </c>
      <c r="BC188">
        <v>0</v>
      </c>
      <c r="BD188">
        <v>0</v>
      </c>
      <c r="BE188">
        <v>0</v>
      </c>
    </row>
    <row r="189" spans="1:57" x14ac:dyDescent="0.45">
      <c r="A189" t="s">
        <v>596</v>
      </c>
      <c r="B189" t="s">
        <v>79</v>
      </c>
      <c r="C189" t="s">
        <v>597</v>
      </c>
      <c r="D189" t="s">
        <v>81</v>
      </c>
      <c r="E189" s="2" t="str">
        <f>HYPERLINK("capsilon://?command=openfolder&amp;siteaddress=FAM.docvelocity-na8.net&amp;folderid=FX1D4E6890-FDC4-85AA-9013-113BD66FE89B","FX21011700")</f>
        <v>FX21011700</v>
      </c>
      <c r="F189" t="s">
        <v>19</v>
      </c>
      <c r="G189" t="s">
        <v>19</v>
      </c>
      <c r="H189" t="s">
        <v>82</v>
      </c>
      <c r="I189" t="s">
        <v>598</v>
      </c>
      <c r="J189">
        <v>170</v>
      </c>
      <c r="K189" t="s">
        <v>84</v>
      </c>
      <c r="L189" t="s">
        <v>85</v>
      </c>
      <c r="M189" t="s">
        <v>86</v>
      </c>
      <c r="N189">
        <v>3</v>
      </c>
      <c r="O189" s="1">
        <v>44202.48646990741</v>
      </c>
      <c r="P189" s="1">
        <v>44202.515787037039</v>
      </c>
      <c r="Q189">
        <v>647</v>
      </c>
      <c r="R189">
        <v>1886</v>
      </c>
      <c r="S189" t="b">
        <v>0</v>
      </c>
      <c r="T189" t="s">
        <v>87</v>
      </c>
      <c r="U189" t="b">
        <v>0</v>
      </c>
      <c r="V189" t="s">
        <v>142</v>
      </c>
      <c r="W189" s="1">
        <v>44202.504016203704</v>
      </c>
      <c r="X189">
        <v>1266</v>
      </c>
      <c r="Y189">
        <v>191</v>
      </c>
      <c r="Z189">
        <v>0</v>
      </c>
      <c r="AA189">
        <v>191</v>
      </c>
      <c r="AB189">
        <v>0</v>
      </c>
      <c r="AC189">
        <v>101</v>
      </c>
      <c r="AD189">
        <v>-21</v>
      </c>
      <c r="AE189">
        <v>0</v>
      </c>
      <c r="AF189">
        <v>0</v>
      </c>
      <c r="AG189">
        <v>0</v>
      </c>
      <c r="AH189" t="s">
        <v>128</v>
      </c>
      <c r="AI189" s="1">
        <v>44202.512604166666</v>
      </c>
      <c r="AJ189">
        <v>528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-21</v>
      </c>
      <c r="AQ189">
        <v>0</v>
      </c>
      <c r="AR189">
        <v>0</v>
      </c>
      <c r="AS189">
        <v>0</v>
      </c>
      <c r="AT189" t="s">
        <v>90</v>
      </c>
      <c r="AU189" s="1">
        <v>44202.515787037039</v>
      </c>
      <c r="AV189">
        <v>83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-21</v>
      </c>
      <c r="BC189">
        <v>0</v>
      </c>
      <c r="BD189">
        <v>0</v>
      </c>
      <c r="BE189">
        <v>0</v>
      </c>
    </row>
    <row r="190" spans="1:57" x14ac:dyDescent="0.45">
      <c r="A190" t="s">
        <v>599</v>
      </c>
      <c r="B190" t="s">
        <v>79</v>
      </c>
      <c r="C190" t="s">
        <v>600</v>
      </c>
      <c r="D190" t="s">
        <v>81</v>
      </c>
      <c r="E190" s="2" t="str">
        <f>HYPERLINK("capsilon://?command=openfolder&amp;siteaddress=FAM.docvelocity-na8.net&amp;folderid=FX4EA48F6D-9852-5FFB-D1FC-D62A068A7890","FX21011460")</f>
        <v>FX21011460</v>
      </c>
      <c r="F190" t="s">
        <v>19</v>
      </c>
      <c r="G190" t="s">
        <v>19</v>
      </c>
      <c r="H190" t="s">
        <v>82</v>
      </c>
      <c r="I190" t="s">
        <v>601</v>
      </c>
      <c r="J190">
        <v>328</v>
      </c>
      <c r="K190" t="s">
        <v>84</v>
      </c>
      <c r="L190" t="s">
        <v>85</v>
      </c>
      <c r="M190" t="s">
        <v>86</v>
      </c>
      <c r="N190">
        <v>3</v>
      </c>
      <c r="O190" s="1">
        <v>44202.488761574074</v>
      </c>
      <c r="P190" s="1">
        <v>44202.594502314816</v>
      </c>
      <c r="Q190">
        <v>3575</v>
      </c>
      <c r="R190">
        <v>5561</v>
      </c>
      <c r="S190" t="b">
        <v>0</v>
      </c>
      <c r="T190" t="s">
        <v>87</v>
      </c>
      <c r="U190" t="b">
        <v>0</v>
      </c>
      <c r="V190" t="s">
        <v>171</v>
      </c>
      <c r="W190" s="1">
        <v>44202.545405092591</v>
      </c>
      <c r="X190">
        <v>4600</v>
      </c>
      <c r="Y190">
        <v>281</v>
      </c>
      <c r="Z190">
        <v>0</v>
      </c>
      <c r="AA190">
        <v>281</v>
      </c>
      <c r="AB190">
        <v>0</v>
      </c>
      <c r="AC190">
        <v>168</v>
      </c>
      <c r="AD190">
        <v>47</v>
      </c>
      <c r="AE190">
        <v>0</v>
      </c>
      <c r="AF190">
        <v>0</v>
      </c>
      <c r="AG190">
        <v>0</v>
      </c>
      <c r="AH190" t="s">
        <v>267</v>
      </c>
      <c r="AI190" s="1">
        <v>44202.55541666667</v>
      </c>
      <c r="AJ190">
        <v>834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47</v>
      </c>
      <c r="AQ190">
        <v>0</v>
      </c>
      <c r="AR190">
        <v>0</v>
      </c>
      <c r="AS190">
        <v>0</v>
      </c>
      <c r="AT190" t="s">
        <v>549</v>
      </c>
      <c r="AU190" s="1">
        <v>44202.594502314816</v>
      </c>
      <c r="AV190">
        <v>95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47</v>
      </c>
      <c r="BC190">
        <v>0</v>
      </c>
      <c r="BD190">
        <v>0</v>
      </c>
      <c r="BE190">
        <v>0</v>
      </c>
    </row>
    <row r="191" spans="1:57" x14ac:dyDescent="0.45">
      <c r="A191" t="s">
        <v>602</v>
      </c>
      <c r="B191" t="s">
        <v>79</v>
      </c>
      <c r="C191" t="s">
        <v>603</v>
      </c>
      <c r="D191" t="s">
        <v>81</v>
      </c>
      <c r="E191" s="2" t="str">
        <f>HYPERLINK("capsilon://?command=openfolder&amp;siteaddress=FAM.docvelocity-na8.net&amp;folderid=FX0F9866E8-C536-E221-9B4C-F2E1BCEE5A97","FX201222834")</f>
        <v>FX201222834</v>
      </c>
      <c r="F191" t="s">
        <v>19</v>
      </c>
      <c r="G191" t="s">
        <v>19</v>
      </c>
      <c r="H191" t="s">
        <v>82</v>
      </c>
      <c r="I191" t="s">
        <v>604</v>
      </c>
      <c r="J191">
        <v>374</v>
      </c>
      <c r="K191" t="s">
        <v>84</v>
      </c>
      <c r="L191" t="s">
        <v>85</v>
      </c>
      <c r="M191" t="s">
        <v>86</v>
      </c>
      <c r="N191">
        <v>3</v>
      </c>
      <c r="O191" s="1">
        <v>44202.491249999999</v>
      </c>
      <c r="P191" s="1">
        <v>44202.599224537036</v>
      </c>
      <c r="Q191">
        <v>6651</v>
      </c>
      <c r="R191">
        <v>2678</v>
      </c>
      <c r="S191" t="b">
        <v>0</v>
      </c>
      <c r="T191" t="s">
        <v>87</v>
      </c>
      <c r="U191" t="b">
        <v>0</v>
      </c>
      <c r="V191" t="s">
        <v>343</v>
      </c>
      <c r="W191" s="1">
        <v>44202.524745370371</v>
      </c>
      <c r="X191">
        <v>2021</v>
      </c>
      <c r="Y191">
        <v>276</v>
      </c>
      <c r="Z191">
        <v>0</v>
      </c>
      <c r="AA191">
        <v>276</v>
      </c>
      <c r="AB191">
        <v>0</v>
      </c>
      <c r="AC191">
        <v>65</v>
      </c>
      <c r="AD191">
        <v>98</v>
      </c>
      <c r="AE191">
        <v>0</v>
      </c>
      <c r="AF191">
        <v>0</v>
      </c>
      <c r="AG191">
        <v>0</v>
      </c>
      <c r="AH191" t="s">
        <v>267</v>
      </c>
      <c r="AI191" s="1">
        <v>44202.56046296296</v>
      </c>
      <c r="AJ191">
        <v>436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98</v>
      </c>
      <c r="AQ191">
        <v>0</v>
      </c>
      <c r="AR191">
        <v>0</v>
      </c>
      <c r="AS191">
        <v>0</v>
      </c>
      <c r="AT191" t="s">
        <v>549</v>
      </c>
      <c r="AU191" s="1">
        <v>44202.599224537036</v>
      </c>
      <c r="AV191">
        <v>221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98</v>
      </c>
      <c r="BC191">
        <v>0</v>
      </c>
      <c r="BD191">
        <v>0</v>
      </c>
      <c r="BE191">
        <v>0</v>
      </c>
    </row>
    <row r="192" spans="1:57" x14ac:dyDescent="0.45">
      <c r="A192" t="s">
        <v>605</v>
      </c>
      <c r="B192" t="s">
        <v>79</v>
      </c>
      <c r="C192" t="s">
        <v>606</v>
      </c>
      <c r="D192" t="s">
        <v>81</v>
      </c>
      <c r="E192" s="2" t="str">
        <f>HYPERLINK("capsilon://?command=openfolder&amp;siteaddress=FAM.docvelocity-na8.net&amp;folderid=FXB87B25EC-C984-B482-FB9D-4FF77BFD4D0C","FX2101311")</f>
        <v>FX2101311</v>
      </c>
      <c r="F192" t="s">
        <v>19</v>
      </c>
      <c r="G192" t="s">
        <v>19</v>
      </c>
      <c r="H192" t="s">
        <v>82</v>
      </c>
      <c r="I192" t="s">
        <v>607</v>
      </c>
      <c r="J192">
        <v>180</v>
      </c>
      <c r="K192" t="s">
        <v>84</v>
      </c>
      <c r="L192" t="s">
        <v>85</v>
      </c>
      <c r="M192" t="s">
        <v>86</v>
      </c>
      <c r="N192">
        <v>3</v>
      </c>
      <c r="O192" s="1">
        <v>44202.493171296293</v>
      </c>
      <c r="P192" s="1">
        <v>44202.607418981483</v>
      </c>
      <c r="Q192">
        <v>6962</v>
      </c>
      <c r="R192">
        <v>2909</v>
      </c>
      <c r="S192" t="b">
        <v>0</v>
      </c>
      <c r="T192" t="s">
        <v>87</v>
      </c>
      <c r="U192" t="b">
        <v>0</v>
      </c>
      <c r="V192" t="s">
        <v>160</v>
      </c>
      <c r="W192" s="1">
        <v>44202.524513888886</v>
      </c>
      <c r="X192">
        <v>1941</v>
      </c>
      <c r="Y192">
        <v>161</v>
      </c>
      <c r="Z192">
        <v>0</v>
      </c>
      <c r="AA192">
        <v>161</v>
      </c>
      <c r="AB192">
        <v>0</v>
      </c>
      <c r="AC192">
        <v>84</v>
      </c>
      <c r="AD192">
        <v>19</v>
      </c>
      <c r="AE192">
        <v>0</v>
      </c>
      <c r="AF192">
        <v>0</v>
      </c>
      <c r="AG192">
        <v>0</v>
      </c>
      <c r="AH192" t="s">
        <v>267</v>
      </c>
      <c r="AI192" s="1">
        <v>44202.574953703705</v>
      </c>
      <c r="AJ192">
        <v>260</v>
      </c>
      <c r="AK192">
        <v>2</v>
      </c>
      <c r="AL192">
        <v>0</v>
      </c>
      <c r="AM192">
        <v>2</v>
      </c>
      <c r="AN192">
        <v>0</v>
      </c>
      <c r="AO192">
        <v>1</v>
      </c>
      <c r="AP192">
        <v>17</v>
      </c>
      <c r="AQ192">
        <v>0</v>
      </c>
      <c r="AR192">
        <v>0</v>
      </c>
      <c r="AS192">
        <v>0</v>
      </c>
      <c r="AT192" t="s">
        <v>549</v>
      </c>
      <c r="AU192" s="1">
        <v>44202.607418981483</v>
      </c>
      <c r="AV192">
        <v>708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17</v>
      </c>
      <c r="BC192">
        <v>0</v>
      </c>
      <c r="BD192">
        <v>0</v>
      </c>
      <c r="BE192">
        <v>0</v>
      </c>
    </row>
    <row r="193" spans="1:57" x14ac:dyDescent="0.45">
      <c r="A193" t="s">
        <v>608</v>
      </c>
      <c r="B193" t="s">
        <v>79</v>
      </c>
      <c r="C193" t="s">
        <v>540</v>
      </c>
      <c r="D193" t="s">
        <v>81</v>
      </c>
      <c r="E193" s="2" t="str">
        <f>HYPERLINK("capsilon://?command=openfolder&amp;siteaddress=FAM.docvelocity-na8.net&amp;folderid=FX29539A4A-20C6-2970-CFDF-2F325CF9FCF4","FX2101676")</f>
        <v>FX2101676</v>
      </c>
      <c r="F193" t="s">
        <v>19</v>
      </c>
      <c r="G193" t="s">
        <v>19</v>
      </c>
      <c r="H193" t="s">
        <v>82</v>
      </c>
      <c r="I193" t="s">
        <v>541</v>
      </c>
      <c r="J193">
        <v>414</v>
      </c>
      <c r="K193" t="s">
        <v>84</v>
      </c>
      <c r="L193" t="s">
        <v>85</v>
      </c>
      <c r="M193" t="s">
        <v>86</v>
      </c>
      <c r="N193">
        <v>3</v>
      </c>
      <c r="O193" s="1">
        <v>44202.49359953704</v>
      </c>
      <c r="P193" s="1">
        <v>44202.584432870368</v>
      </c>
      <c r="Q193">
        <v>1361</v>
      </c>
      <c r="R193">
        <v>6487</v>
      </c>
      <c r="S193" t="b">
        <v>0</v>
      </c>
      <c r="T193" t="s">
        <v>87</v>
      </c>
      <c r="U193" t="b">
        <v>1</v>
      </c>
      <c r="V193" t="s">
        <v>242</v>
      </c>
      <c r="W193" s="1">
        <v>44202.545925925922</v>
      </c>
      <c r="X193">
        <v>4154</v>
      </c>
      <c r="Y193">
        <v>491</v>
      </c>
      <c r="Z193">
        <v>0</v>
      </c>
      <c r="AA193">
        <v>491</v>
      </c>
      <c r="AB193">
        <v>74</v>
      </c>
      <c r="AC193">
        <v>407</v>
      </c>
      <c r="AD193">
        <v>-77</v>
      </c>
      <c r="AE193">
        <v>0</v>
      </c>
      <c r="AF193">
        <v>0</v>
      </c>
      <c r="AG193">
        <v>0</v>
      </c>
      <c r="AH193" t="s">
        <v>128</v>
      </c>
      <c r="AI193" s="1">
        <v>44202.576736111114</v>
      </c>
      <c r="AJ193">
        <v>1989</v>
      </c>
      <c r="AK193">
        <v>0</v>
      </c>
      <c r="AL193">
        <v>0</v>
      </c>
      <c r="AM193">
        <v>0</v>
      </c>
      <c r="AN193">
        <v>37</v>
      </c>
      <c r="AO193">
        <v>0</v>
      </c>
      <c r="AP193">
        <v>-77</v>
      </c>
      <c r="AQ193">
        <v>0</v>
      </c>
      <c r="AR193">
        <v>0</v>
      </c>
      <c r="AS193">
        <v>0</v>
      </c>
      <c r="AT193" t="s">
        <v>549</v>
      </c>
      <c r="AU193" s="1">
        <v>44202.584432870368</v>
      </c>
      <c r="AV193">
        <v>344</v>
      </c>
      <c r="AW193">
        <v>0</v>
      </c>
      <c r="AX193">
        <v>0</v>
      </c>
      <c r="AY193">
        <v>0</v>
      </c>
      <c r="AZ193">
        <v>37</v>
      </c>
      <c r="BA193">
        <v>0</v>
      </c>
      <c r="BB193">
        <v>-77</v>
      </c>
      <c r="BC193">
        <v>0</v>
      </c>
      <c r="BD193">
        <v>0</v>
      </c>
      <c r="BE193">
        <v>0</v>
      </c>
    </row>
    <row r="194" spans="1:57" x14ac:dyDescent="0.45">
      <c r="A194" t="s">
        <v>609</v>
      </c>
      <c r="B194" t="s">
        <v>79</v>
      </c>
      <c r="C194" t="s">
        <v>610</v>
      </c>
      <c r="D194" t="s">
        <v>81</v>
      </c>
      <c r="E194" s="2" t="str">
        <f>HYPERLINK("capsilon://?command=openfolder&amp;siteaddress=FAM.docvelocity-na8.net&amp;folderid=FXD8A41B92-1F86-F6F0-143F-8355AF2BBB5D","FX21011841")</f>
        <v>FX21011841</v>
      </c>
      <c r="F194" t="s">
        <v>19</v>
      </c>
      <c r="G194" t="s">
        <v>19</v>
      </c>
      <c r="H194" t="s">
        <v>82</v>
      </c>
      <c r="I194" t="s">
        <v>611</v>
      </c>
      <c r="J194">
        <v>407</v>
      </c>
      <c r="K194" t="s">
        <v>84</v>
      </c>
      <c r="L194" t="s">
        <v>85</v>
      </c>
      <c r="M194" t="s">
        <v>86</v>
      </c>
      <c r="N194">
        <v>3</v>
      </c>
      <c r="O194" s="1">
        <v>44202.497696759259</v>
      </c>
      <c r="P194" s="1">
        <v>44202.61681712963</v>
      </c>
      <c r="Q194">
        <v>6146</v>
      </c>
      <c r="R194">
        <v>4146</v>
      </c>
      <c r="S194" t="b">
        <v>0</v>
      </c>
      <c r="T194" t="s">
        <v>87</v>
      </c>
      <c r="U194" t="b">
        <v>0</v>
      </c>
      <c r="V194" t="s">
        <v>142</v>
      </c>
      <c r="W194" s="1">
        <v>44202.536898148152</v>
      </c>
      <c r="X194">
        <v>2840</v>
      </c>
      <c r="Y194">
        <v>390</v>
      </c>
      <c r="Z194">
        <v>0</v>
      </c>
      <c r="AA194">
        <v>390</v>
      </c>
      <c r="AB194">
        <v>0</v>
      </c>
      <c r="AC194">
        <v>169</v>
      </c>
      <c r="AD194">
        <v>17</v>
      </c>
      <c r="AE194">
        <v>0</v>
      </c>
      <c r="AF194">
        <v>0</v>
      </c>
      <c r="AG194">
        <v>0</v>
      </c>
      <c r="AH194" t="s">
        <v>267</v>
      </c>
      <c r="AI194" s="1">
        <v>44202.580682870372</v>
      </c>
      <c r="AJ194">
        <v>494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17</v>
      </c>
      <c r="AQ194">
        <v>0</v>
      </c>
      <c r="AR194">
        <v>0</v>
      </c>
      <c r="AS194">
        <v>0</v>
      </c>
      <c r="AT194" t="s">
        <v>549</v>
      </c>
      <c r="AU194" s="1">
        <v>44202.61681712963</v>
      </c>
      <c r="AV194">
        <v>812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17</v>
      </c>
      <c r="BC194">
        <v>0</v>
      </c>
      <c r="BD194">
        <v>0</v>
      </c>
      <c r="BE194">
        <v>0</v>
      </c>
    </row>
    <row r="195" spans="1:57" hidden="1" x14ac:dyDescent="0.45">
      <c r="A195" t="s">
        <v>612</v>
      </c>
      <c r="B195" t="s">
        <v>79</v>
      </c>
      <c r="C195" t="s">
        <v>613</v>
      </c>
      <c r="D195" t="s">
        <v>81</v>
      </c>
      <c r="E195" s="2" t="str">
        <f>HYPERLINK("capsilon://?command=openfolder&amp;siteaddress=FAM.docvelocity-na8.net&amp;folderid=FX05951FD1-3373-D8EA-3C90-719D709967D2","FX201110099")</f>
        <v>FX201110099</v>
      </c>
      <c r="F195" t="s">
        <v>19</v>
      </c>
      <c r="G195" t="s">
        <v>19</v>
      </c>
      <c r="H195" t="s">
        <v>82</v>
      </c>
      <c r="I195" t="s">
        <v>614</v>
      </c>
      <c r="J195">
        <v>66</v>
      </c>
      <c r="K195" t="s">
        <v>84</v>
      </c>
      <c r="L195" t="s">
        <v>85</v>
      </c>
      <c r="M195" t="s">
        <v>86</v>
      </c>
      <c r="N195">
        <v>3</v>
      </c>
      <c r="O195" s="1">
        <v>44202.497696759259</v>
      </c>
      <c r="P195" s="1">
        <v>44202.616273148145</v>
      </c>
      <c r="Q195">
        <v>10064</v>
      </c>
      <c r="R195">
        <v>181</v>
      </c>
      <c r="S195" t="b">
        <v>0</v>
      </c>
      <c r="T195" t="s">
        <v>87</v>
      </c>
      <c r="U195" t="b">
        <v>0</v>
      </c>
      <c r="V195" t="s">
        <v>266</v>
      </c>
      <c r="W195" s="1">
        <v>44202.513761574075</v>
      </c>
      <c r="X195">
        <v>100</v>
      </c>
      <c r="Y195">
        <v>0</v>
      </c>
      <c r="Z195">
        <v>0</v>
      </c>
      <c r="AA195">
        <v>0</v>
      </c>
      <c r="AB195">
        <v>52</v>
      </c>
      <c r="AC195">
        <v>0</v>
      </c>
      <c r="AD195">
        <v>66</v>
      </c>
      <c r="AE195">
        <v>0</v>
      </c>
      <c r="AF195">
        <v>0</v>
      </c>
      <c r="AG195">
        <v>0</v>
      </c>
      <c r="AH195" t="s">
        <v>128</v>
      </c>
      <c r="AI195" s="1">
        <v>44202.577430555553</v>
      </c>
      <c r="AJ195">
        <v>59</v>
      </c>
      <c r="AK195">
        <v>0</v>
      </c>
      <c r="AL195">
        <v>0</v>
      </c>
      <c r="AM195">
        <v>0</v>
      </c>
      <c r="AN195">
        <v>52</v>
      </c>
      <c r="AO195">
        <v>0</v>
      </c>
      <c r="AP195">
        <v>66</v>
      </c>
      <c r="AQ195">
        <v>0</v>
      </c>
      <c r="AR195">
        <v>0</v>
      </c>
      <c r="AS195">
        <v>0</v>
      </c>
      <c r="AT195" t="s">
        <v>90</v>
      </c>
      <c r="AU195" s="1">
        <v>44202.616273148145</v>
      </c>
      <c r="AV195">
        <v>3</v>
      </c>
      <c r="AW195">
        <v>0</v>
      </c>
      <c r="AX195">
        <v>0</v>
      </c>
      <c r="AY195">
        <v>0</v>
      </c>
      <c r="AZ195">
        <v>52</v>
      </c>
      <c r="BA195">
        <v>0</v>
      </c>
      <c r="BB195">
        <v>66</v>
      </c>
      <c r="BC195">
        <v>0</v>
      </c>
      <c r="BD195">
        <v>0</v>
      </c>
      <c r="BE195">
        <v>0</v>
      </c>
    </row>
    <row r="196" spans="1:57" x14ac:dyDescent="0.45">
      <c r="A196" t="s">
        <v>615</v>
      </c>
      <c r="B196" t="s">
        <v>79</v>
      </c>
      <c r="C196" t="s">
        <v>616</v>
      </c>
      <c r="D196" t="s">
        <v>81</v>
      </c>
      <c r="E196" s="2" t="str">
        <f>HYPERLINK("capsilon://?command=openfolder&amp;siteaddress=FAM.docvelocity-na8.net&amp;folderid=FXE7E6F9F9-2719-86B6-E6A0-372256212E95","FX21011093")</f>
        <v>FX21011093</v>
      </c>
      <c r="F196" t="s">
        <v>19</v>
      </c>
      <c r="G196" t="s">
        <v>19</v>
      </c>
      <c r="H196" t="s">
        <v>82</v>
      </c>
      <c r="I196" t="s">
        <v>617</v>
      </c>
      <c r="J196">
        <v>188</v>
      </c>
      <c r="K196" t="s">
        <v>84</v>
      </c>
      <c r="L196" t="s">
        <v>85</v>
      </c>
      <c r="M196" t="s">
        <v>86</v>
      </c>
      <c r="N196">
        <v>3</v>
      </c>
      <c r="O196" s="1">
        <v>44202.50613425926</v>
      </c>
      <c r="P196" s="1">
        <v>44202.616863425923</v>
      </c>
      <c r="Q196">
        <v>7698</v>
      </c>
      <c r="R196">
        <v>1869</v>
      </c>
      <c r="S196" t="b">
        <v>0</v>
      </c>
      <c r="T196" t="s">
        <v>87</v>
      </c>
      <c r="U196" t="b">
        <v>0</v>
      </c>
      <c r="V196" t="s">
        <v>266</v>
      </c>
      <c r="W196" s="1">
        <v>44202.530891203707</v>
      </c>
      <c r="X196">
        <v>1366</v>
      </c>
      <c r="Y196">
        <v>146</v>
      </c>
      <c r="Z196">
        <v>0</v>
      </c>
      <c r="AA196">
        <v>146</v>
      </c>
      <c r="AB196">
        <v>0</v>
      </c>
      <c r="AC196">
        <v>48</v>
      </c>
      <c r="AD196">
        <v>42</v>
      </c>
      <c r="AE196">
        <v>0</v>
      </c>
      <c r="AF196">
        <v>0</v>
      </c>
      <c r="AG196">
        <v>0</v>
      </c>
      <c r="AH196" t="s">
        <v>128</v>
      </c>
      <c r="AI196" s="1">
        <v>44202.582430555558</v>
      </c>
      <c r="AJ196">
        <v>431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42</v>
      </c>
      <c r="AQ196">
        <v>0</v>
      </c>
      <c r="AR196">
        <v>0</v>
      </c>
      <c r="AS196">
        <v>0</v>
      </c>
      <c r="AT196" t="s">
        <v>90</v>
      </c>
      <c r="AU196" s="1">
        <v>44202.616863425923</v>
      </c>
      <c r="AV196">
        <v>51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42</v>
      </c>
      <c r="BC196">
        <v>0</v>
      </c>
      <c r="BD196">
        <v>0</v>
      </c>
      <c r="BE196">
        <v>0</v>
      </c>
    </row>
    <row r="197" spans="1:57" hidden="1" x14ac:dyDescent="0.45">
      <c r="A197" t="s">
        <v>618</v>
      </c>
      <c r="B197" t="s">
        <v>79</v>
      </c>
      <c r="C197" t="s">
        <v>619</v>
      </c>
      <c r="D197" t="s">
        <v>81</v>
      </c>
      <c r="E197" s="2" t="str">
        <f>HYPERLINK("capsilon://?command=openfolder&amp;siteaddress=FAM.docvelocity-na8.net&amp;folderid=FX7A556480-F0DF-9C53-ED89-8979B7E4FC65","FX21012182")</f>
        <v>FX21012182</v>
      </c>
      <c r="F197" t="s">
        <v>19</v>
      </c>
      <c r="G197" t="s">
        <v>19</v>
      </c>
      <c r="H197" t="s">
        <v>82</v>
      </c>
      <c r="I197" t="s">
        <v>620</v>
      </c>
      <c r="J197">
        <v>244</v>
      </c>
      <c r="K197" t="s">
        <v>84</v>
      </c>
      <c r="L197" t="s">
        <v>85</v>
      </c>
      <c r="M197" t="s">
        <v>86</v>
      </c>
      <c r="N197">
        <v>1</v>
      </c>
      <c r="O197" s="1">
        <v>44202.514780092592</v>
      </c>
      <c r="P197" s="1">
        <v>44202.543865740743</v>
      </c>
      <c r="Q197">
        <v>1437</v>
      </c>
      <c r="R197">
        <v>1076</v>
      </c>
      <c r="S197" t="b">
        <v>0</v>
      </c>
      <c r="T197" t="s">
        <v>87</v>
      </c>
      <c r="U197" t="b">
        <v>0</v>
      </c>
      <c r="V197" t="s">
        <v>262</v>
      </c>
      <c r="W197" s="1">
        <v>44202.543865740743</v>
      </c>
      <c r="X197">
        <v>866</v>
      </c>
      <c r="Y197">
        <v>103</v>
      </c>
      <c r="Z197">
        <v>0</v>
      </c>
      <c r="AA197">
        <v>103</v>
      </c>
      <c r="AB197">
        <v>0</v>
      </c>
      <c r="AC197">
        <v>3</v>
      </c>
      <c r="AD197">
        <v>141</v>
      </c>
      <c r="AE197">
        <v>118</v>
      </c>
      <c r="AF197">
        <v>2</v>
      </c>
      <c r="AG197">
        <v>4</v>
      </c>
      <c r="AH197" t="s">
        <v>87</v>
      </c>
      <c r="AI197" t="s">
        <v>87</v>
      </c>
      <c r="AJ197" t="s">
        <v>87</v>
      </c>
      <c r="AK197" t="s">
        <v>87</v>
      </c>
      <c r="AL197" t="s">
        <v>87</v>
      </c>
      <c r="AM197" t="s">
        <v>87</v>
      </c>
      <c r="AN197" t="s">
        <v>87</v>
      </c>
      <c r="AO197" t="s">
        <v>87</v>
      </c>
      <c r="AP197" t="s">
        <v>87</v>
      </c>
      <c r="AQ197" t="s">
        <v>87</v>
      </c>
      <c r="AR197" t="s">
        <v>87</v>
      </c>
      <c r="AS197" t="s">
        <v>87</v>
      </c>
      <c r="AT197" t="s">
        <v>87</v>
      </c>
      <c r="AU197" t="s">
        <v>87</v>
      </c>
      <c r="AV197" t="s">
        <v>87</v>
      </c>
      <c r="AW197" t="s">
        <v>87</v>
      </c>
      <c r="AX197" t="s">
        <v>87</v>
      </c>
      <c r="AY197" t="s">
        <v>87</v>
      </c>
      <c r="AZ197" t="s">
        <v>87</v>
      </c>
      <c r="BA197" t="s">
        <v>87</v>
      </c>
      <c r="BB197" t="s">
        <v>87</v>
      </c>
      <c r="BC197" t="s">
        <v>87</v>
      </c>
      <c r="BD197" t="s">
        <v>87</v>
      </c>
      <c r="BE197" t="s">
        <v>87</v>
      </c>
    </row>
    <row r="198" spans="1:57" x14ac:dyDescent="0.45">
      <c r="A198" t="s">
        <v>621</v>
      </c>
      <c r="B198" t="s">
        <v>79</v>
      </c>
      <c r="C198" t="s">
        <v>622</v>
      </c>
      <c r="D198" t="s">
        <v>81</v>
      </c>
      <c r="E198" s="2" t="str">
        <f>HYPERLINK("capsilon://?command=openfolder&amp;siteaddress=FAM.docvelocity-na8.net&amp;folderid=FX7FB6F0CA-2FB4-DC0A-ACFC-E326483C9D3A","FX201228699")</f>
        <v>FX201228699</v>
      </c>
      <c r="F198" t="s">
        <v>19</v>
      </c>
      <c r="G198" t="s">
        <v>19</v>
      </c>
      <c r="H198" t="s">
        <v>82</v>
      </c>
      <c r="I198" t="s">
        <v>623</v>
      </c>
      <c r="J198">
        <v>314</v>
      </c>
      <c r="K198" t="s">
        <v>84</v>
      </c>
      <c r="L198" t="s">
        <v>85</v>
      </c>
      <c r="M198" t="s">
        <v>86</v>
      </c>
      <c r="N198">
        <v>3</v>
      </c>
      <c r="O198" s="1">
        <v>44202.515023148146</v>
      </c>
      <c r="P198" s="1">
        <v>44202.620150462964</v>
      </c>
      <c r="Q198">
        <v>7022</v>
      </c>
      <c r="R198">
        <v>2061</v>
      </c>
      <c r="S198" t="b">
        <v>0</v>
      </c>
      <c r="T198" t="s">
        <v>87</v>
      </c>
      <c r="U198" t="b">
        <v>0</v>
      </c>
      <c r="V198" t="s">
        <v>343</v>
      </c>
      <c r="W198" s="1">
        <v>44202.541354166664</v>
      </c>
      <c r="X198">
        <v>1434</v>
      </c>
      <c r="Y198">
        <v>239</v>
      </c>
      <c r="Z198">
        <v>0</v>
      </c>
      <c r="AA198">
        <v>239</v>
      </c>
      <c r="AB198">
        <v>0</v>
      </c>
      <c r="AC198">
        <v>75</v>
      </c>
      <c r="AD198">
        <v>75</v>
      </c>
      <c r="AE198">
        <v>0</v>
      </c>
      <c r="AF198">
        <v>0</v>
      </c>
      <c r="AG198">
        <v>0</v>
      </c>
      <c r="AH198" t="s">
        <v>267</v>
      </c>
      <c r="AI198" s="1">
        <v>44202.586006944446</v>
      </c>
      <c r="AJ198">
        <v>345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75</v>
      </c>
      <c r="AQ198">
        <v>0</v>
      </c>
      <c r="AR198">
        <v>0</v>
      </c>
      <c r="AS198">
        <v>0</v>
      </c>
      <c r="AT198" t="s">
        <v>90</v>
      </c>
      <c r="AU198" s="1">
        <v>44202.620150462964</v>
      </c>
      <c r="AV198">
        <v>278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75</v>
      </c>
      <c r="BC198">
        <v>0</v>
      </c>
      <c r="BD198">
        <v>0</v>
      </c>
      <c r="BE198">
        <v>0</v>
      </c>
    </row>
    <row r="199" spans="1:57" x14ac:dyDescent="0.45">
      <c r="A199" t="s">
        <v>624</v>
      </c>
      <c r="B199" t="s">
        <v>79</v>
      </c>
      <c r="C199" t="s">
        <v>625</v>
      </c>
      <c r="D199" t="s">
        <v>81</v>
      </c>
      <c r="E199" s="2" t="str">
        <f>HYPERLINK("capsilon://?command=openfolder&amp;siteaddress=FAM.docvelocity-na8.net&amp;folderid=FX5C57F058-895C-485D-BDD6-4594D033D31B","FX201110601")</f>
        <v>FX201110601</v>
      </c>
      <c r="F199" t="s">
        <v>19</v>
      </c>
      <c r="G199" t="s">
        <v>19</v>
      </c>
      <c r="H199" t="s">
        <v>82</v>
      </c>
      <c r="I199" t="s">
        <v>626</v>
      </c>
      <c r="J199">
        <v>38</v>
      </c>
      <c r="K199" t="s">
        <v>84</v>
      </c>
      <c r="L199" t="s">
        <v>85</v>
      </c>
      <c r="M199" t="s">
        <v>86</v>
      </c>
      <c r="N199">
        <v>3</v>
      </c>
      <c r="O199" s="1">
        <v>44202.516863425924</v>
      </c>
      <c r="P199" s="1">
        <v>44202.616932870369</v>
      </c>
      <c r="Q199">
        <v>8019</v>
      </c>
      <c r="R199">
        <v>627</v>
      </c>
      <c r="S199" t="b">
        <v>0</v>
      </c>
      <c r="T199" t="s">
        <v>87</v>
      </c>
      <c r="U199" t="b">
        <v>0</v>
      </c>
      <c r="V199" t="s">
        <v>262</v>
      </c>
      <c r="W199" s="1">
        <v>44202.536249999997</v>
      </c>
      <c r="X199">
        <v>503</v>
      </c>
      <c r="Y199">
        <v>37</v>
      </c>
      <c r="Z199">
        <v>0</v>
      </c>
      <c r="AA199">
        <v>37</v>
      </c>
      <c r="AB199">
        <v>0</v>
      </c>
      <c r="AC199">
        <v>31</v>
      </c>
      <c r="AD199">
        <v>1</v>
      </c>
      <c r="AE199">
        <v>0</v>
      </c>
      <c r="AF199">
        <v>0</v>
      </c>
      <c r="AG199">
        <v>0</v>
      </c>
      <c r="AH199" t="s">
        <v>128</v>
      </c>
      <c r="AI199" s="1">
        <v>44202.583807870367</v>
      </c>
      <c r="AJ199">
        <v>118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 t="s">
        <v>90</v>
      </c>
      <c r="AU199" s="1">
        <v>44202.616932870369</v>
      </c>
      <c r="AV199">
        <v>6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</row>
    <row r="200" spans="1:57" x14ac:dyDescent="0.45">
      <c r="A200" t="s">
        <v>627</v>
      </c>
      <c r="B200" t="s">
        <v>79</v>
      </c>
      <c r="C200" t="s">
        <v>628</v>
      </c>
      <c r="D200" t="s">
        <v>81</v>
      </c>
      <c r="E200" s="2" t="str">
        <f>HYPERLINK("capsilon://?command=openfolder&amp;siteaddress=FAM.docvelocity-na8.net&amp;folderid=FXE638A40F-2EF6-75EF-FDCC-F39BB0E5E2C8","FX21011984")</f>
        <v>FX21011984</v>
      </c>
      <c r="F200" t="s">
        <v>19</v>
      </c>
      <c r="G200" t="s">
        <v>19</v>
      </c>
      <c r="H200" t="s">
        <v>82</v>
      </c>
      <c r="I200" t="s">
        <v>629</v>
      </c>
      <c r="J200">
        <v>159</v>
      </c>
      <c r="K200" t="s">
        <v>84</v>
      </c>
      <c r="L200" t="s">
        <v>85</v>
      </c>
      <c r="M200" t="s">
        <v>86</v>
      </c>
      <c r="N200">
        <v>3</v>
      </c>
      <c r="O200" s="1">
        <v>44202.520821759259</v>
      </c>
      <c r="P200" s="1">
        <v>44202.62127314815</v>
      </c>
      <c r="Q200">
        <v>7413</v>
      </c>
      <c r="R200">
        <v>1266</v>
      </c>
      <c r="S200" t="b">
        <v>0</v>
      </c>
      <c r="T200" t="s">
        <v>87</v>
      </c>
      <c r="U200" t="b">
        <v>0</v>
      </c>
      <c r="V200" t="s">
        <v>266</v>
      </c>
      <c r="W200" s="1">
        <v>44202.539479166669</v>
      </c>
      <c r="X200">
        <v>741</v>
      </c>
      <c r="Y200">
        <v>107</v>
      </c>
      <c r="Z200">
        <v>0</v>
      </c>
      <c r="AA200">
        <v>107</v>
      </c>
      <c r="AB200">
        <v>37</v>
      </c>
      <c r="AC200">
        <v>15</v>
      </c>
      <c r="AD200">
        <v>52</v>
      </c>
      <c r="AE200">
        <v>0</v>
      </c>
      <c r="AF200">
        <v>0</v>
      </c>
      <c r="AG200">
        <v>0</v>
      </c>
      <c r="AH200" t="s">
        <v>128</v>
      </c>
      <c r="AI200" s="1">
        <v>44202.588784722226</v>
      </c>
      <c r="AJ200">
        <v>429</v>
      </c>
      <c r="AK200">
        <v>0</v>
      </c>
      <c r="AL200">
        <v>0</v>
      </c>
      <c r="AM200">
        <v>0</v>
      </c>
      <c r="AN200">
        <v>37</v>
      </c>
      <c r="AO200">
        <v>0</v>
      </c>
      <c r="AP200">
        <v>52</v>
      </c>
      <c r="AQ200">
        <v>0</v>
      </c>
      <c r="AR200">
        <v>0</v>
      </c>
      <c r="AS200">
        <v>0</v>
      </c>
      <c r="AT200" t="s">
        <v>90</v>
      </c>
      <c r="AU200" s="1">
        <v>44202.62127314815</v>
      </c>
      <c r="AV200">
        <v>96</v>
      </c>
      <c r="AW200">
        <v>0</v>
      </c>
      <c r="AX200">
        <v>0</v>
      </c>
      <c r="AY200">
        <v>0</v>
      </c>
      <c r="AZ200">
        <v>37</v>
      </c>
      <c r="BA200">
        <v>0</v>
      </c>
      <c r="BB200">
        <v>52</v>
      </c>
      <c r="BC200">
        <v>0</v>
      </c>
      <c r="BD200">
        <v>0</v>
      </c>
      <c r="BE200">
        <v>0</v>
      </c>
    </row>
    <row r="201" spans="1:57" x14ac:dyDescent="0.45">
      <c r="A201" t="s">
        <v>630</v>
      </c>
      <c r="B201" t="s">
        <v>79</v>
      </c>
      <c r="C201" t="s">
        <v>631</v>
      </c>
      <c r="D201" t="s">
        <v>81</v>
      </c>
      <c r="E201" s="2" t="str">
        <f>HYPERLINK("capsilon://?command=openfolder&amp;siteaddress=FAM.docvelocity-na8.net&amp;folderid=FX0F8DE94B-1BE5-9FED-53CE-602FF1E51127","FX2101479")</f>
        <v>FX2101479</v>
      </c>
      <c r="F201" t="s">
        <v>19</v>
      </c>
      <c r="G201" t="s">
        <v>19</v>
      </c>
      <c r="H201" t="s">
        <v>82</v>
      </c>
      <c r="I201" t="s">
        <v>632</v>
      </c>
      <c r="J201">
        <v>226</v>
      </c>
      <c r="K201" t="s">
        <v>84</v>
      </c>
      <c r="L201" t="s">
        <v>85</v>
      </c>
      <c r="M201" t="s">
        <v>86</v>
      </c>
      <c r="N201">
        <v>3</v>
      </c>
      <c r="O201" s="1">
        <v>44202.522418981483</v>
      </c>
      <c r="P201" s="1">
        <v>44202.622442129628</v>
      </c>
      <c r="Q201">
        <v>3198</v>
      </c>
      <c r="R201">
        <v>5444</v>
      </c>
      <c r="S201" t="b">
        <v>0</v>
      </c>
      <c r="T201" t="s">
        <v>87</v>
      </c>
      <c r="U201" t="b">
        <v>0</v>
      </c>
      <c r="V201" t="s">
        <v>142</v>
      </c>
      <c r="W201" s="1">
        <v>44202.588182870371</v>
      </c>
      <c r="X201">
        <v>4621</v>
      </c>
      <c r="Y201">
        <v>243</v>
      </c>
      <c r="Z201">
        <v>0</v>
      </c>
      <c r="AA201">
        <v>243</v>
      </c>
      <c r="AB201">
        <v>37</v>
      </c>
      <c r="AC201">
        <v>116</v>
      </c>
      <c r="AD201">
        <v>-17</v>
      </c>
      <c r="AE201">
        <v>0</v>
      </c>
      <c r="AF201">
        <v>0</v>
      </c>
      <c r="AG201">
        <v>0</v>
      </c>
      <c r="AH201" t="s">
        <v>128</v>
      </c>
      <c r="AI201" s="1">
        <v>44202.59716435185</v>
      </c>
      <c r="AJ201">
        <v>723</v>
      </c>
      <c r="AK201">
        <v>1</v>
      </c>
      <c r="AL201">
        <v>0</v>
      </c>
      <c r="AM201">
        <v>1</v>
      </c>
      <c r="AN201">
        <v>37</v>
      </c>
      <c r="AO201">
        <v>1</v>
      </c>
      <c r="AP201">
        <v>-18</v>
      </c>
      <c r="AQ201">
        <v>0</v>
      </c>
      <c r="AR201">
        <v>0</v>
      </c>
      <c r="AS201">
        <v>0</v>
      </c>
      <c r="AT201" t="s">
        <v>90</v>
      </c>
      <c r="AU201" s="1">
        <v>44202.622442129628</v>
      </c>
      <c r="AV201">
        <v>100</v>
      </c>
      <c r="AW201">
        <v>0</v>
      </c>
      <c r="AX201">
        <v>0</v>
      </c>
      <c r="AY201">
        <v>0</v>
      </c>
      <c r="AZ201">
        <v>37</v>
      </c>
      <c r="BA201">
        <v>0</v>
      </c>
      <c r="BB201">
        <v>-18</v>
      </c>
      <c r="BC201">
        <v>0</v>
      </c>
      <c r="BD201">
        <v>0</v>
      </c>
      <c r="BE201">
        <v>0</v>
      </c>
    </row>
    <row r="202" spans="1:57" x14ac:dyDescent="0.45">
      <c r="A202" t="s">
        <v>633</v>
      </c>
      <c r="B202" t="s">
        <v>79</v>
      </c>
      <c r="C202" t="s">
        <v>634</v>
      </c>
      <c r="D202" t="s">
        <v>81</v>
      </c>
      <c r="E202" s="2" t="str">
        <f>HYPERLINK("capsilon://?command=openfolder&amp;siteaddress=FAM.docvelocity-na8.net&amp;folderid=FX49688E95-6606-8009-48D8-F186AA7A2DCA","FX2101500")</f>
        <v>FX2101500</v>
      </c>
      <c r="F202" t="s">
        <v>19</v>
      </c>
      <c r="G202" t="s">
        <v>19</v>
      </c>
      <c r="H202" t="s">
        <v>82</v>
      </c>
      <c r="I202" t="s">
        <v>635</v>
      </c>
      <c r="J202">
        <v>248</v>
      </c>
      <c r="K202" t="s">
        <v>84</v>
      </c>
      <c r="L202" t="s">
        <v>85</v>
      </c>
      <c r="M202" t="s">
        <v>86</v>
      </c>
      <c r="N202">
        <v>3</v>
      </c>
      <c r="O202" s="1">
        <v>44202.523136574076</v>
      </c>
      <c r="P202" s="1">
        <v>44202.625578703701</v>
      </c>
      <c r="Q202">
        <v>6454</v>
      </c>
      <c r="R202">
        <v>2397</v>
      </c>
      <c r="S202" t="b">
        <v>0</v>
      </c>
      <c r="T202" t="s">
        <v>87</v>
      </c>
      <c r="U202" t="b">
        <v>0</v>
      </c>
      <c r="V202" t="s">
        <v>266</v>
      </c>
      <c r="W202" s="1">
        <v>44202.556979166664</v>
      </c>
      <c r="X202">
        <v>1512</v>
      </c>
      <c r="Y202">
        <v>181</v>
      </c>
      <c r="Z202">
        <v>0</v>
      </c>
      <c r="AA202">
        <v>181</v>
      </c>
      <c r="AB202">
        <v>0</v>
      </c>
      <c r="AC202">
        <v>59</v>
      </c>
      <c r="AD202">
        <v>67</v>
      </c>
      <c r="AE202">
        <v>0</v>
      </c>
      <c r="AF202">
        <v>0</v>
      </c>
      <c r="AG202">
        <v>0</v>
      </c>
      <c r="AH202" t="s">
        <v>267</v>
      </c>
      <c r="AI202" s="1">
        <v>44202.600729166668</v>
      </c>
      <c r="AJ202">
        <v>615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67</v>
      </c>
      <c r="AQ202">
        <v>0</v>
      </c>
      <c r="AR202">
        <v>0</v>
      </c>
      <c r="AS202">
        <v>0</v>
      </c>
      <c r="AT202" t="s">
        <v>90</v>
      </c>
      <c r="AU202" s="1">
        <v>44202.625578703701</v>
      </c>
      <c r="AV202">
        <v>270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67</v>
      </c>
      <c r="BC202">
        <v>0</v>
      </c>
      <c r="BD202">
        <v>0</v>
      </c>
      <c r="BE202">
        <v>0</v>
      </c>
    </row>
    <row r="203" spans="1:57" x14ac:dyDescent="0.45">
      <c r="A203" t="s">
        <v>636</v>
      </c>
      <c r="B203" t="s">
        <v>79</v>
      </c>
      <c r="C203" t="s">
        <v>637</v>
      </c>
      <c r="D203" t="s">
        <v>81</v>
      </c>
      <c r="E203" s="2" t="str">
        <f>HYPERLINK("capsilon://?command=openfolder&amp;siteaddress=FAM.docvelocity-na8.net&amp;folderid=FX5F8FECF5-45EC-9467-38C9-D73234213B25","FX21012113")</f>
        <v>FX21012113</v>
      </c>
      <c r="F203" t="s">
        <v>19</v>
      </c>
      <c r="G203" t="s">
        <v>19</v>
      </c>
      <c r="H203" t="s">
        <v>82</v>
      </c>
      <c r="I203" t="s">
        <v>638</v>
      </c>
      <c r="J203">
        <v>170</v>
      </c>
      <c r="K203" t="s">
        <v>84</v>
      </c>
      <c r="L203" t="s">
        <v>85</v>
      </c>
      <c r="M203" t="s">
        <v>86</v>
      </c>
      <c r="N203">
        <v>3</v>
      </c>
      <c r="O203" s="1">
        <v>44202.525775462964</v>
      </c>
      <c r="P203" s="1">
        <v>44202.627604166664</v>
      </c>
      <c r="Q203">
        <v>6482</v>
      </c>
      <c r="R203">
        <v>2316</v>
      </c>
      <c r="S203" t="b">
        <v>0</v>
      </c>
      <c r="T203" t="s">
        <v>87</v>
      </c>
      <c r="U203" t="b">
        <v>0</v>
      </c>
      <c r="V203" t="s">
        <v>343</v>
      </c>
      <c r="W203" s="1">
        <v>44202.560474537036</v>
      </c>
      <c r="X203">
        <v>1652</v>
      </c>
      <c r="Y203">
        <v>200</v>
      </c>
      <c r="Z203">
        <v>0</v>
      </c>
      <c r="AA203">
        <v>200</v>
      </c>
      <c r="AB203">
        <v>37</v>
      </c>
      <c r="AC203">
        <v>104</v>
      </c>
      <c r="AD203">
        <v>-30</v>
      </c>
      <c r="AE203">
        <v>0</v>
      </c>
      <c r="AF203">
        <v>0</v>
      </c>
      <c r="AG203">
        <v>0</v>
      </c>
      <c r="AH203" t="s">
        <v>128</v>
      </c>
      <c r="AI203" s="1">
        <v>44202.603912037041</v>
      </c>
      <c r="AJ203">
        <v>582</v>
      </c>
      <c r="AK203">
        <v>2</v>
      </c>
      <c r="AL203">
        <v>0</v>
      </c>
      <c r="AM203">
        <v>2</v>
      </c>
      <c r="AN203">
        <v>37</v>
      </c>
      <c r="AO203">
        <v>2</v>
      </c>
      <c r="AP203">
        <v>-32</v>
      </c>
      <c r="AQ203">
        <v>0</v>
      </c>
      <c r="AR203">
        <v>0</v>
      </c>
      <c r="AS203">
        <v>0</v>
      </c>
      <c r="AT203" t="s">
        <v>90</v>
      </c>
      <c r="AU203" s="1">
        <v>44202.627604166664</v>
      </c>
      <c r="AV203">
        <v>82</v>
      </c>
      <c r="AW203">
        <v>0</v>
      </c>
      <c r="AX203">
        <v>0</v>
      </c>
      <c r="AY203">
        <v>0</v>
      </c>
      <c r="AZ203">
        <v>37</v>
      </c>
      <c r="BA203">
        <v>0</v>
      </c>
      <c r="BB203">
        <v>-32</v>
      </c>
      <c r="BC203">
        <v>0</v>
      </c>
      <c r="BD203">
        <v>0</v>
      </c>
      <c r="BE203">
        <v>0</v>
      </c>
    </row>
    <row r="204" spans="1:57" x14ac:dyDescent="0.45">
      <c r="A204" t="s">
        <v>639</v>
      </c>
      <c r="B204" t="s">
        <v>79</v>
      </c>
      <c r="C204" t="s">
        <v>640</v>
      </c>
      <c r="D204" t="s">
        <v>81</v>
      </c>
      <c r="E204" s="2" t="str">
        <f>HYPERLINK("capsilon://?command=openfolder&amp;siteaddress=FAM.docvelocity-na8.net&amp;folderid=FX62295A95-55C4-5C1B-5039-98A3B81505DD","FX201115306")</f>
        <v>FX201115306</v>
      </c>
      <c r="F204" t="s">
        <v>19</v>
      </c>
      <c r="G204" t="s">
        <v>19</v>
      </c>
      <c r="H204" t="s">
        <v>82</v>
      </c>
      <c r="I204" t="s">
        <v>641</v>
      </c>
      <c r="J204">
        <v>31</v>
      </c>
      <c r="K204" t="s">
        <v>84</v>
      </c>
      <c r="L204" t="s">
        <v>85</v>
      </c>
      <c r="M204" t="s">
        <v>86</v>
      </c>
      <c r="N204">
        <v>3</v>
      </c>
      <c r="O204" s="1">
        <v>44202.534131944441</v>
      </c>
      <c r="P204" s="1">
        <v>44202.630127314813</v>
      </c>
      <c r="Q204">
        <v>6581</v>
      </c>
      <c r="R204">
        <v>1713</v>
      </c>
      <c r="S204" t="b">
        <v>0</v>
      </c>
      <c r="T204" t="s">
        <v>87</v>
      </c>
      <c r="U204" t="b">
        <v>0</v>
      </c>
      <c r="V204" t="s">
        <v>262</v>
      </c>
      <c r="W204" s="1">
        <v>44202.560567129629</v>
      </c>
      <c r="X204">
        <v>1442</v>
      </c>
      <c r="Y204">
        <v>54</v>
      </c>
      <c r="Z204">
        <v>0</v>
      </c>
      <c r="AA204">
        <v>54</v>
      </c>
      <c r="AB204">
        <v>0</v>
      </c>
      <c r="AC204">
        <v>45</v>
      </c>
      <c r="AD204">
        <v>-23</v>
      </c>
      <c r="AE204">
        <v>0</v>
      </c>
      <c r="AF204">
        <v>0</v>
      </c>
      <c r="AG204">
        <v>0</v>
      </c>
      <c r="AH204" t="s">
        <v>267</v>
      </c>
      <c r="AI204" s="1">
        <v>44202.602013888885</v>
      </c>
      <c r="AJ204">
        <v>111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-23</v>
      </c>
      <c r="AQ204">
        <v>0</v>
      </c>
      <c r="AR204">
        <v>0</v>
      </c>
      <c r="AS204">
        <v>0</v>
      </c>
      <c r="AT204" t="s">
        <v>90</v>
      </c>
      <c r="AU204" s="1">
        <v>44202.630127314813</v>
      </c>
      <c r="AV204">
        <v>160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-23</v>
      </c>
      <c r="BC204">
        <v>0</v>
      </c>
      <c r="BD204">
        <v>0</v>
      </c>
      <c r="BE204">
        <v>0</v>
      </c>
    </row>
    <row r="205" spans="1:57" x14ac:dyDescent="0.45">
      <c r="A205" t="s">
        <v>642</v>
      </c>
      <c r="B205" t="s">
        <v>79</v>
      </c>
      <c r="C205" t="s">
        <v>643</v>
      </c>
      <c r="D205" t="s">
        <v>81</v>
      </c>
      <c r="E205" s="2" t="str">
        <f>HYPERLINK("capsilon://?command=openfolder&amp;siteaddress=FAM.docvelocity-na8.net&amp;folderid=FX776653E7-0EC3-82B2-FF5A-808DECAE41D1","FX201229209")</f>
        <v>FX201229209</v>
      </c>
      <c r="F205" t="s">
        <v>19</v>
      </c>
      <c r="G205" t="s">
        <v>19</v>
      </c>
      <c r="H205" t="s">
        <v>82</v>
      </c>
      <c r="I205" t="s">
        <v>644</v>
      </c>
      <c r="J205">
        <v>447</v>
      </c>
      <c r="K205" t="s">
        <v>84</v>
      </c>
      <c r="L205" t="s">
        <v>85</v>
      </c>
      <c r="M205" t="s">
        <v>86</v>
      </c>
      <c r="N205">
        <v>3</v>
      </c>
      <c r="O205" s="1">
        <v>44202.534571759257</v>
      </c>
      <c r="P205" s="1">
        <v>44202.630972222221</v>
      </c>
      <c r="Q205">
        <v>5452</v>
      </c>
      <c r="R205">
        <v>2877</v>
      </c>
      <c r="S205" t="b">
        <v>0</v>
      </c>
      <c r="T205" t="s">
        <v>87</v>
      </c>
      <c r="U205" t="b">
        <v>0</v>
      </c>
      <c r="V205" t="s">
        <v>160</v>
      </c>
      <c r="W205" s="1">
        <v>44202.578159722223</v>
      </c>
      <c r="X205">
        <v>2462</v>
      </c>
      <c r="Y205">
        <v>283</v>
      </c>
      <c r="Z205">
        <v>0</v>
      </c>
      <c r="AA205">
        <v>283</v>
      </c>
      <c r="AB205">
        <v>0</v>
      </c>
      <c r="AC205">
        <v>56</v>
      </c>
      <c r="AD205">
        <v>164</v>
      </c>
      <c r="AE205">
        <v>0</v>
      </c>
      <c r="AF205">
        <v>0</v>
      </c>
      <c r="AG205">
        <v>0</v>
      </c>
      <c r="AH205" t="s">
        <v>267</v>
      </c>
      <c r="AI205" s="1">
        <v>44202.605995370373</v>
      </c>
      <c r="AJ205">
        <v>343</v>
      </c>
      <c r="AK205">
        <v>2</v>
      </c>
      <c r="AL205">
        <v>0</v>
      </c>
      <c r="AM205">
        <v>2</v>
      </c>
      <c r="AN205">
        <v>0</v>
      </c>
      <c r="AO205">
        <v>1</v>
      </c>
      <c r="AP205">
        <v>162</v>
      </c>
      <c r="AQ205">
        <v>0</v>
      </c>
      <c r="AR205">
        <v>0</v>
      </c>
      <c r="AS205">
        <v>0</v>
      </c>
      <c r="AT205" t="s">
        <v>90</v>
      </c>
      <c r="AU205" s="1">
        <v>44202.630972222221</v>
      </c>
      <c r="AV205">
        <v>72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162</v>
      </c>
      <c r="BC205">
        <v>0</v>
      </c>
      <c r="BD205">
        <v>0</v>
      </c>
      <c r="BE205">
        <v>0</v>
      </c>
    </row>
    <row r="206" spans="1:57" x14ac:dyDescent="0.45">
      <c r="A206" t="s">
        <v>645</v>
      </c>
      <c r="B206" t="s">
        <v>79</v>
      </c>
      <c r="C206" t="s">
        <v>540</v>
      </c>
      <c r="D206" t="s">
        <v>81</v>
      </c>
      <c r="E206" s="2" t="str">
        <f>HYPERLINK("capsilon://?command=openfolder&amp;siteaddress=FAM.docvelocity-na8.net&amp;folderid=FX29539A4A-20C6-2970-CFDF-2F325CF9FCF4","FX2101676")</f>
        <v>FX2101676</v>
      </c>
      <c r="F206" t="s">
        <v>19</v>
      </c>
      <c r="G206" t="s">
        <v>19</v>
      </c>
      <c r="H206" t="s">
        <v>82</v>
      </c>
      <c r="I206" t="s">
        <v>646</v>
      </c>
      <c r="J206">
        <v>176</v>
      </c>
      <c r="K206" t="s">
        <v>84</v>
      </c>
      <c r="L206" t="s">
        <v>85</v>
      </c>
      <c r="M206" t="s">
        <v>81</v>
      </c>
      <c r="N206">
        <v>2</v>
      </c>
      <c r="O206" s="1">
        <v>44202.53833333333</v>
      </c>
      <c r="P206" s="1">
        <v>44202.613622685189</v>
      </c>
      <c r="Q206">
        <v>2956</v>
      </c>
      <c r="R206">
        <v>3549</v>
      </c>
      <c r="S206" t="b">
        <v>0</v>
      </c>
      <c r="T206" t="s">
        <v>266</v>
      </c>
      <c r="U206" t="b">
        <v>0</v>
      </c>
      <c r="V206" t="s">
        <v>168</v>
      </c>
      <c r="W206" s="1">
        <v>44202.581412037034</v>
      </c>
      <c r="X206">
        <v>2723</v>
      </c>
      <c r="Y206">
        <v>205</v>
      </c>
      <c r="Z206">
        <v>0</v>
      </c>
      <c r="AA206">
        <v>205</v>
      </c>
      <c r="AB206">
        <v>0</v>
      </c>
      <c r="AC206">
        <v>155</v>
      </c>
      <c r="AD206">
        <v>-29</v>
      </c>
      <c r="AE206">
        <v>0</v>
      </c>
      <c r="AF206">
        <v>0</v>
      </c>
      <c r="AG206">
        <v>0</v>
      </c>
      <c r="AH206" t="s">
        <v>266</v>
      </c>
      <c r="AI206" s="1">
        <v>44202.613622685189</v>
      </c>
      <c r="AJ206">
        <v>100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-29</v>
      </c>
      <c r="AQ206">
        <v>39</v>
      </c>
      <c r="AR206">
        <v>0</v>
      </c>
      <c r="AS206">
        <v>2</v>
      </c>
      <c r="AT206" t="s">
        <v>87</v>
      </c>
      <c r="AU206" t="s">
        <v>87</v>
      </c>
      <c r="AV206" t="s">
        <v>87</v>
      </c>
      <c r="AW206" t="s">
        <v>87</v>
      </c>
      <c r="AX206" t="s">
        <v>87</v>
      </c>
      <c r="AY206" t="s">
        <v>87</v>
      </c>
      <c r="AZ206" t="s">
        <v>87</v>
      </c>
      <c r="BA206" t="s">
        <v>87</v>
      </c>
      <c r="BB206" t="s">
        <v>87</v>
      </c>
      <c r="BC206" t="s">
        <v>87</v>
      </c>
      <c r="BD206" t="s">
        <v>87</v>
      </c>
      <c r="BE206" t="s">
        <v>87</v>
      </c>
    </row>
    <row r="207" spans="1:57" x14ac:dyDescent="0.45">
      <c r="A207" t="s">
        <v>647</v>
      </c>
      <c r="B207" t="s">
        <v>79</v>
      </c>
      <c r="C207" t="s">
        <v>640</v>
      </c>
      <c r="D207" t="s">
        <v>81</v>
      </c>
      <c r="E207" s="2" t="str">
        <f>HYPERLINK("capsilon://?command=openfolder&amp;siteaddress=FAM.docvelocity-na8.net&amp;folderid=FX62295A95-55C4-5C1B-5039-98A3B81505DD","FX201115306")</f>
        <v>FX201115306</v>
      </c>
      <c r="F207" t="s">
        <v>19</v>
      </c>
      <c r="G207" t="s">
        <v>19</v>
      </c>
      <c r="H207" t="s">
        <v>82</v>
      </c>
      <c r="I207" t="s">
        <v>648</v>
      </c>
      <c r="J207">
        <v>38</v>
      </c>
      <c r="K207" t="s">
        <v>84</v>
      </c>
      <c r="L207" t="s">
        <v>85</v>
      </c>
      <c r="M207" t="s">
        <v>86</v>
      </c>
      <c r="N207">
        <v>3</v>
      </c>
      <c r="O207" s="1">
        <v>44202.538622685184</v>
      </c>
      <c r="P207" s="1">
        <v>44202.631064814814</v>
      </c>
      <c r="Q207">
        <v>7508</v>
      </c>
      <c r="R207">
        <v>479</v>
      </c>
      <c r="S207" t="b">
        <v>0</v>
      </c>
      <c r="T207" t="s">
        <v>87</v>
      </c>
      <c r="U207" t="b">
        <v>0</v>
      </c>
      <c r="V207" t="s">
        <v>242</v>
      </c>
      <c r="W207" s="1">
        <v>44202.558993055558</v>
      </c>
      <c r="X207">
        <v>398</v>
      </c>
      <c r="Y207">
        <v>37</v>
      </c>
      <c r="Z207">
        <v>0</v>
      </c>
      <c r="AA207">
        <v>37</v>
      </c>
      <c r="AB207">
        <v>0</v>
      </c>
      <c r="AC207">
        <v>35</v>
      </c>
      <c r="AD207">
        <v>1</v>
      </c>
      <c r="AE207">
        <v>0</v>
      </c>
      <c r="AF207">
        <v>0</v>
      </c>
      <c r="AG207">
        <v>0</v>
      </c>
      <c r="AH207" t="s">
        <v>267</v>
      </c>
      <c r="AI207" s="1">
        <v>44202.606851851851</v>
      </c>
      <c r="AJ207">
        <v>73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 t="s">
        <v>90</v>
      </c>
      <c r="AU207" s="1">
        <v>44202.631064814814</v>
      </c>
      <c r="AV207">
        <v>8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</row>
    <row r="208" spans="1:57" hidden="1" x14ac:dyDescent="0.45">
      <c r="A208" t="s">
        <v>649</v>
      </c>
      <c r="B208" t="s">
        <v>79</v>
      </c>
      <c r="C208" t="s">
        <v>540</v>
      </c>
      <c r="D208" t="s">
        <v>81</v>
      </c>
      <c r="E208" s="2" t="str">
        <f>HYPERLINK("capsilon://?command=openfolder&amp;siteaddress=FAM.docvelocity-na8.net&amp;folderid=FX29539A4A-20C6-2970-CFDF-2F325CF9FCF4","FX2101676")</f>
        <v>FX2101676</v>
      </c>
      <c r="F208" t="s">
        <v>19</v>
      </c>
      <c r="G208" t="s">
        <v>19</v>
      </c>
      <c r="H208" t="s">
        <v>82</v>
      </c>
      <c r="I208" t="s">
        <v>650</v>
      </c>
      <c r="J208">
        <v>176</v>
      </c>
      <c r="K208" t="s">
        <v>84</v>
      </c>
      <c r="L208" t="s">
        <v>85</v>
      </c>
      <c r="M208" t="s">
        <v>86</v>
      </c>
      <c r="N208">
        <v>1</v>
      </c>
      <c r="O208" s="1">
        <v>44202.543749999997</v>
      </c>
      <c r="P208" s="1">
        <v>44202.559293981481</v>
      </c>
      <c r="Q208">
        <v>1144</v>
      </c>
      <c r="R208">
        <v>199</v>
      </c>
      <c r="S208" t="b">
        <v>0</v>
      </c>
      <c r="T208" t="s">
        <v>87</v>
      </c>
      <c r="U208" t="b">
        <v>0</v>
      </c>
      <c r="V208" t="s">
        <v>266</v>
      </c>
      <c r="W208" s="1">
        <v>44202.559293981481</v>
      </c>
      <c r="X208">
        <v>199</v>
      </c>
      <c r="Y208">
        <v>126</v>
      </c>
      <c r="Z208">
        <v>0</v>
      </c>
      <c r="AA208">
        <v>126</v>
      </c>
      <c r="AB208">
        <v>0</v>
      </c>
      <c r="AC208">
        <v>0</v>
      </c>
      <c r="AD208">
        <v>50</v>
      </c>
      <c r="AE208">
        <v>30</v>
      </c>
      <c r="AF208">
        <v>0</v>
      </c>
      <c r="AG208">
        <v>2</v>
      </c>
      <c r="AH208" t="s">
        <v>87</v>
      </c>
      <c r="AI208" t="s">
        <v>87</v>
      </c>
      <c r="AJ208" t="s">
        <v>87</v>
      </c>
      <c r="AK208" t="s">
        <v>87</v>
      </c>
      <c r="AL208" t="s">
        <v>87</v>
      </c>
      <c r="AM208" t="s">
        <v>87</v>
      </c>
      <c r="AN208" t="s">
        <v>87</v>
      </c>
      <c r="AO208" t="s">
        <v>87</v>
      </c>
      <c r="AP208" t="s">
        <v>87</v>
      </c>
      <c r="AQ208" t="s">
        <v>87</v>
      </c>
      <c r="AR208" t="s">
        <v>87</v>
      </c>
      <c r="AS208" t="s">
        <v>87</v>
      </c>
      <c r="AT208" t="s">
        <v>87</v>
      </c>
      <c r="AU208" t="s">
        <v>87</v>
      </c>
      <c r="AV208" t="s">
        <v>87</v>
      </c>
      <c r="AW208" t="s">
        <v>87</v>
      </c>
      <c r="AX208" t="s">
        <v>87</v>
      </c>
      <c r="AY208" t="s">
        <v>87</v>
      </c>
      <c r="AZ208" t="s">
        <v>87</v>
      </c>
      <c r="BA208" t="s">
        <v>87</v>
      </c>
      <c r="BB208" t="s">
        <v>87</v>
      </c>
      <c r="BC208" t="s">
        <v>87</v>
      </c>
      <c r="BD208" t="s">
        <v>87</v>
      </c>
      <c r="BE208" t="s">
        <v>87</v>
      </c>
    </row>
    <row r="209" spans="1:57" x14ac:dyDescent="0.45">
      <c r="A209" t="s">
        <v>651</v>
      </c>
      <c r="B209" t="s">
        <v>79</v>
      </c>
      <c r="C209" t="s">
        <v>619</v>
      </c>
      <c r="D209" t="s">
        <v>81</v>
      </c>
      <c r="E209" s="2" t="str">
        <f>HYPERLINK("capsilon://?command=openfolder&amp;siteaddress=FAM.docvelocity-na8.net&amp;folderid=FX7A556480-F0DF-9C53-ED89-8979B7E4FC65","FX21012182")</f>
        <v>FX21012182</v>
      </c>
      <c r="F209" t="s">
        <v>19</v>
      </c>
      <c r="G209" t="s">
        <v>19</v>
      </c>
      <c r="H209" t="s">
        <v>82</v>
      </c>
      <c r="I209" t="s">
        <v>620</v>
      </c>
      <c r="J209">
        <v>91</v>
      </c>
      <c r="K209" t="s">
        <v>84</v>
      </c>
      <c r="L209" t="s">
        <v>85</v>
      </c>
      <c r="M209" t="s">
        <v>86</v>
      </c>
      <c r="N209">
        <v>3</v>
      </c>
      <c r="O209" s="1">
        <v>44202.545115740744</v>
      </c>
      <c r="P209" s="1">
        <v>44202.596666666665</v>
      </c>
      <c r="Q209">
        <v>518</v>
      </c>
      <c r="R209">
        <v>3936</v>
      </c>
      <c r="S209" t="b">
        <v>0</v>
      </c>
      <c r="T209" t="s">
        <v>87</v>
      </c>
      <c r="U209" t="b">
        <v>1</v>
      </c>
      <c r="V209" t="s">
        <v>179</v>
      </c>
      <c r="W209" s="1">
        <v>44202.590069444443</v>
      </c>
      <c r="X209">
        <v>3497</v>
      </c>
      <c r="Y209">
        <v>148</v>
      </c>
      <c r="Z209">
        <v>0</v>
      </c>
      <c r="AA209">
        <v>148</v>
      </c>
      <c r="AB209">
        <v>0</v>
      </c>
      <c r="AC209">
        <v>117</v>
      </c>
      <c r="AD209">
        <v>-57</v>
      </c>
      <c r="AE209">
        <v>0</v>
      </c>
      <c r="AF209">
        <v>0</v>
      </c>
      <c r="AG209">
        <v>0</v>
      </c>
      <c r="AH209" t="s">
        <v>267</v>
      </c>
      <c r="AI209" s="1">
        <v>44202.593599537038</v>
      </c>
      <c r="AJ209">
        <v>229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-57</v>
      </c>
      <c r="AQ209">
        <v>0</v>
      </c>
      <c r="AR209">
        <v>0</v>
      </c>
      <c r="AS209">
        <v>0</v>
      </c>
      <c r="AT209" t="s">
        <v>549</v>
      </c>
      <c r="AU209" s="1">
        <v>44202.596666666665</v>
      </c>
      <c r="AV209">
        <v>186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-57</v>
      </c>
      <c r="BC209">
        <v>0</v>
      </c>
      <c r="BD209">
        <v>0</v>
      </c>
      <c r="BE209">
        <v>0</v>
      </c>
    </row>
    <row r="210" spans="1:57" hidden="1" x14ac:dyDescent="0.45">
      <c r="A210" t="s">
        <v>652</v>
      </c>
      <c r="B210" t="s">
        <v>79</v>
      </c>
      <c r="C210" t="s">
        <v>653</v>
      </c>
      <c r="D210" t="s">
        <v>81</v>
      </c>
      <c r="E210" s="2" t="str">
        <f>HYPERLINK("capsilon://?command=openfolder&amp;siteaddress=FAM.docvelocity-na8.net&amp;folderid=FXFADFAA7C-CD13-4162-A6AF-42942FFB6B2D","FX2101148")</f>
        <v>FX2101148</v>
      </c>
      <c r="F210" t="s">
        <v>19</v>
      </c>
      <c r="G210" t="s">
        <v>19</v>
      </c>
      <c r="H210" t="s">
        <v>82</v>
      </c>
      <c r="I210" t="s">
        <v>654</v>
      </c>
      <c r="J210">
        <v>200</v>
      </c>
      <c r="K210" t="s">
        <v>84</v>
      </c>
      <c r="L210" t="s">
        <v>85</v>
      </c>
      <c r="M210" t="s">
        <v>86</v>
      </c>
      <c r="N210">
        <v>1</v>
      </c>
      <c r="O210" s="1">
        <v>44202.546342592592</v>
      </c>
      <c r="P210" s="1">
        <v>44202.568344907406</v>
      </c>
      <c r="Q210">
        <v>1026</v>
      </c>
      <c r="R210">
        <v>875</v>
      </c>
      <c r="S210" t="b">
        <v>0</v>
      </c>
      <c r="T210" t="s">
        <v>87</v>
      </c>
      <c r="U210" t="b">
        <v>0</v>
      </c>
      <c r="V210" t="s">
        <v>259</v>
      </c>
      <c r="W210" s="1">
        <v>44202.568344907406</v>
      </c>
      <c r="X210">
        <v>875</v>
      </c>
      <c r="Y210">
        <v>160</v>
      </c>
      <c r="Z210">
        <v>0</v>
      </c>
      <c r="AA210">
        <v>160</v>
      </c>
      <c r="AB210">
        <v>0</v>
      </c>
      <c r="AC210">
        <v>0</v>
      </c>
      <c r="AD210">
        <v>40</v>
      </c>
      <c r="AE210">
        <v>21</v>
      </c>
      <c r="AF210">
        <v>0</v>
      </c>
      <c r="AG210">
        <v>2</v>
      </c>
      <c r="AH210" t="s">
        <v>87</v>
      </c>
      <c r="AI210" t="s">
        <v>87</v>
      </c>
      <c r="AJ210" t="s">
        <v>87</v>
      </c>
      <c r="AK210" t="s">
        <v>87</v>
      </c>
      <c r="AL210" t="s">
        <v>87</v>
      </c>
      <c r="AM210" t="s">
        <v>87</v>
      </c>
      <c r="AN210" t="s">
        <v>87</v>
      </c>
      <c r="AO210" t="s">
        <v>87</v>
      </c>
      <c r="AP210" t="s">
        <v>87</v>
      </c>
      <c r="AQ210" t="s">
        <v>87</v>
      </c>
      <c r="AR210" t="s">
        <v>87</v>
      </c>
      <c r="AS210" t="s">
        <v>87</v>
      </c>
      <c r="AT210" t="s">
        <v>87</v>
      </c>
      <c r="AU210" t="s">
        <v>87</v>
      </c>
      <c r="AV210" t="s">
        <v>87</v>
      </c>
      <c r="AW210" t="s">
        <v>87</v>
      </c>
      <c r="AX210" t="s">
        <v>87</v>
      </c>
      <c r="AY210" t="s">
        <v>87</v>
      </c>
      <c r="AZ210" t="s">
        <v>87</v>
      </c>
      <c r="BA210" t="s">
        <v>87</v>
      </c>
      <c r="BB210" t="s">
        <v>87</v>
      </c>
      <c r="BC210" t="s">
        <v>87</v>
      </c>
      <c r="BD210" t="s">
        <v>87</v>
      </c>
      <c r="BE210" t="s">
        <v>87</v>
      </c>
    </row>
    <row r="211" spans="1:57" hidden="1" x14ac:dyDescent="0.45">
      <c r="A211" t="s">
        <v>655</v>
      </c>
      <c r="B211" t="s">
        <v>79</v>
      </c>
      <c r="C211" t="s">
        <v>656</v>
      </c>
      <c r="D211" t="s">
        <v>81</v>
      </c>
      <c r="E211" s="2" t="str">
        <f>HYPERLINK("capsilon://?command=openfolder&amp;siteaddress=FAM.docvelocity-na8.net&amp;folderid=FX56248E6A-011F-BB32-4646-F5C5E1B7C09D","FX20122029")</f>
        <v>FX20122029</v>
      </c>
      <c r="F211" t="s">
        <v>19</v>
      </c>
      <c r="G211" t="s">
        <v>19</v>
      </c>
      <c r="H211" t="s">
        <v>82</v>
      </c>
      <c r="I211" t="s">
        <v>657</v>
      </c>
      <c r="J211">
        <v>26</v>
      </c>
      <c r="K211" t="s">
        <v>84</v>
      </c>
      <c r="L211" t="s">
        <v>85</v>
      </c>
      <c r="M211" t="s">
        <v>86</v>
      </c>
      <c r="N211">
        <v>1</v>
      </c>
      <c r="O211" s="1">
        <v>44202.546574074076</v>
      </c>
      <c r="P211" s="1">
        <v>44202.560833333337</v>
      </c>
      <c r="Q211">
        <v>1074</v>
      </c>
      <c r="R211">
        <v>158</v>
      </c>
      <c r="S211" t="b">
        <v>0</v>
      </c>
      <c r="T211" t="s">
        <v>87</v>
      </c>
      <c r="U211" t="b">
        <v>0</v>
      </c>
      <c r="V211" t="s">
        <v>242</v>
      </c>
      <c r="W211" s="1">
        <v>44202.560833333337</v>
      </c>
      <c r="X211">
        <v>158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26</v>
      </c>
      <c r="AE211">
        <v>21</v>
      </c>
      <c r="AF211">
        <v>0</v>
      </c>
      <c r="AG211">
        <v>2</v>
      </c>
      <c r="AH211" t="s">
        <v>87</v>
      </c>
      <c r="AI211" t="s">
        <v>87</v>
      </c>
      <c r="AJ211" t="s">
        <v>87</v>
      </c>
      <c r="AK211" t="s">
        <v>87</v>
      </c>
      <c r="AL211" t="s">
        <v>87</v>
      </c>
      <c r="AM211" t="s">
        <v>87</v>
      </c>
      <c r="AN211" t="s">
        <v>87</v>
      </c>
      <c r="AO211" t="s">
        <v>87</v>
      </c>
      <c r="AP211" t="s">
        <v>87</v>
      </c>
      <c r="AQ211" t="s">
        <v>87</v>
      </c>
      <c r="AR211" t="s">
        <v>87</v>
      </c>
      <c r="AS211" t="s">
        <v>87</v>
      </c>
      <c r="AT211" t="s">
        <v>87</v>
      </c>
      <c r="AU211" t="s">
        <v>87</v>
      </c>
      <c r="AV211" t="s">
        <v>87</v>
      </c>
      <c r="AW211" t="s">
        <v>87</v>
      </c>
      <c r="AX211" t="s">
        <v>87</v>
      </c>
      <c r="AY211" t="s">
        <v>87</v>
      </c>
      <c r="AZ211" t="s">
        <v>87</v>
      </c>
      <c r="BA211" t="s">
        <v>87</v>
      </c>
      <c r="BB211" t="s">
        <v>87</v>
      </c>
      <c r="BC211" t="s">
        <v>87</v>
      </c>
      <c r="BD211" t="s">
        <v>87</v>
      </c>
      <c r="BE211" t="s">
        <v>87</v>
      </c>
    </row>
    <row r="212" spans="1:57" x14ac:dyDescent="0.45">
      <c r="A212" t="s">
        <v>658</v>
      </c>
      <c r="B212" t="s">
        <v>79</v>
      </c>
      <c r="C212" t="s">
        <v>659</v>
      </c>
      <c r="D212" t="s">
        <v>81</v>
      </c>
      <c r="E212" s="2" t="str">
        <f>HYPERLINK("capsilon://?command=openfolder&amp;siteaddress=FAM.docvelocity-na8.net&amp;folderid=FXB293FE52-99C1-0A86-8FDF-896510BF9BB6","FX21012092")</f>
        <v>FX21012092</v>
      </c>
      <c r="F212" t="s">
        <v>19</v>
      </c>
      <c r="G212" t="s">
        <v>19</v>
      </c>
      <c r="H212" t="s">
        <v>82</v>
      </c>
      <c r="I212" t="s">
        <v>660</v>
      </c>
      <c r="J212">
        <v>96</v>
      </c>
      <c r="K212" t="s">
        <v>84</v>
      </c>
      <c r="L212" t="s">
        <v>85</v>
      </c>
      <c r="M212" t="s">
        <v>86</v>
      </c>
      <c r="N212">
        <v>3</v>
      </c>
      <c r="O212" s="1">
        <v>44202.549166666664</v>
      </c>
      <c r="P212" s="1">
        <v>44202.639988425923</v>
      </c>
      <c r="Q212">
        <v>6559</v>
      </c>
      <c r="R212">
        <v>1288</v>
      </c>
      <c r="S212" t="b">
        <v>0</v>
      </c>
      <c r="T212" t="s">
        <v>87</v>
      </c>
      <c r="U212" t="b">
        <v>0</v>
      </c>
      <c r="V212" t="s">
        <v>266</v>
      </c>
      <c r="W212" s="1">
        <v>44202.564201388886</v>
      </c>
      <c r="X212">
        <v>423</v>
      </c>
      <c r="Y212">
        <v>54</v>
      </c>
      <c r="Z212">
        <v>0</v>
      </c>
      <c r="AA212">
        <v>54</v>
      </c>
      <c r="AB212">
        <v>37</v>
      </c>
      <c r="AC212">
        <v>6</v>
      </c>
      <c r="AD212">
        <v>42</v>
      </c>
      <c r="AE212">
        <v>0</v>
      </c>
      <c r="AF212">
        <v>0</v>
      </c>
      <c r="AG212">
        <v>0</v>
      </c>
      <c r="AH212" t="s">
        <v>267</v>
      </c>
      <c r="AI212" s="1">
        <v>44202.60796296296</v>
      </c>
      <c r="AJ212">
        <v>95</v>
      </c>
      <c r="AK212">
        <v>2</v>
      </c>
      <c r="AL212">
        <v>0</v>
      </c>
      <c r="AM212">
        <v>2</v>
      </c>
      <c r="AN212">
        <v>37</v>
      </c>
      <c r="AO212">
        <v>1</v>
      </c>
      <c r="AP212">
        <v>40</v>
      </c>
      <c r="AQ212">
        <v>0</v>
      </c>
      <c r="AR212">
        <v>0</v>
      </c>
      <c r="AS212">
        <v>0</v>
      </c>
      <c r="AT212" t="s">
        <v>90</v>
      </c>
      <c r="AU212" s="1">
        <v>44202.639988425923</v>
      </c>
      <c r="AV212">
        <v>770</v>
      </c>
      <c r="AW212">
        <v>0</v>
      </c>
      <c r="AX212">
        <v>0</v>
      </c>
      <c r="AY212">
        <v>0</v>
      </c>
      <c r="AZ212">
        <v>37</v>
      </c>
      <c r="BA212">
        <v>0</v>
      </c>
      <c r="BB212">
        <v>40</v>
      </c>
      <c r="BC212">
        <v>0</v>
      </c>
      <c r="BD212">
        <v>0</v>
      </c>
      <c r="BE212">
        <v>0</v>
      </c>
    </row>
    <row r="213" spans="1:57" x14ac:dyDescent="0.45">
      <c r="A213" t="s">
        <v>661</v>
      </c>
      <c r="B213" t="s">
        <v>79</v>
      </c>
      <c r="C213" t="s">
        <v>597</v>
      </c>
      <c r="D213" t="s">
        <v>81</v>
      </c>
      <c r="E213" s="2" t="str">
        <f>HYPERLINK("capsilon://?command=openfolder&amp;siteaddress=FAM.docvelocity-na8.net&amp;folderid=FX1D4E6890-FDC4-85AA-9013-113BD66FE89B","FX21011700")</f>
        <v>FX21011700</v>
      </c>
      <c r="F213" t="s">
        <v>19</v>
      </c>
      <c r="G213" t="s">
        <v>19</v>
      </c>
      <c r="H213" t="s">
        <v>82</v>
      </c>
      <c r="I213" t="s">
        <v>662</v>
      </c>
      <c r="J213">
        <v>40</v>
      </c>
      <c r="K213" t="s">
        <v>84</v>
      </c>
      <c r="L213" t="s">
        <v>85</v>
      </c>
      <c r="M213" t="s">
        <v>86</v>
      </c>
      <c r="N213">
        <v>3</v>
      </c>
      <c r="O213" s="1">
        <v>44202.552789351852</v>
      </c>
      <c r="P213" s="1">
        <v>44202.642361111109</v>
      </c>
      <c r="Q213">
        <v>6888</v>
      </c>
      <c r="R213">
        <v>851</v>
      </c>
      <c r="S213" t="b">
        <v>0</v>
      </c>
      <c r="T213" t="s">
        <v>87</v>
      </c>
      <c r="U213" t="b">
        <v>0</v>
      </c>
      <c r="V213" t="s">
        <v>262</v>
      </c>
      <c r="W213" s="1">
        <v>44202.566886574074</v>
      </c>
      <c r="X213">
        <v>545</v>
      </c>
      <c r="Y213">
        <v>56</v>
      </c>
      <c r="Z213">
        <v>0</v>
      </c>
      <c r="AA213">
        <v>56</v>
      </c>
      <c r="AB213">
        <v>0</v>
      </c>
      <c r="AC213">
        <v>30</v>
      </c>
      <c r="AD213">
        <v>-16</v>
      </c>
      <c r="AE213">
        <v>0</v>
      </c>
      <c r="AF213">
        <v>0</v>
      </c>
      <c r="AG213">
        <v>0</v>
      </c>
      <c r="AH213" t="s">
        <v>267</v>
      </c>
      <c r="AI213" s="1">
        <v>44202.610347222224</v>
      </c>
      <c r="AJ213">
        <v>102</v>
      </c>
      <c r="AK213">
        <v>2</v>
      </c>
      <c r="AL213">
        <v>0</v>
      </c>
      <c r="AM213">
        <v>2</v>
      </c>
      <c r="AN213">
        <v>0</v>
      </c>
      <c r="AO213">
        <v>0</v>
      </c>
      <c r="AP213">
        <v>-18</v>
      </c>
      <c r="AQ213">
        <v>0</v>
      </c>
      <c r="AR213">
        <v>0</v>
      </c>
      <c r="AS213">
        <v>0</v>
      </c>
      <c r="AT213" t="s">
        <v>90</v>
      </c>
      <c r="AU213" s="1">
        <v>44202.642361111109</v>
      </c>
      <c r="AV213">
        <v>204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-18</v>
      </c>
      <c r="BC213">
        <v>0</v>
      </c>
      <c r="BD213">
        <v>0</v>
      </c>
      <c r="BE213">
        <v>0</v>
      </c>
    </row>
    <row r="214" spans="1:57" hidden="1" x14ac:dyDescent="0.45">
      <c r="A214" t="s">
        <v>663</v>
      </c>
      <c r="B214" t="s">
        <v>79</v>
      </c>
      <c r="C214" t="s">
        <v>664</v>
      </c>
      <c r="D214" t="s">
        <v>81</v>
      </c>
      <c r="E214" s="2" t="str">
        <f>HYPERLINK("capsilon://?command=openfolder&amp;siteaddress=FAM.docvelocity-na8.net&amp;folderid=FX4939BCD1-56B6-E3F2-C139-B9240E65ECAB","FX20124482")</f>
        <v>FX20124482</v>
      </c>
      <c r="F214" t="s">
        <v>19</v>
      </c>
      <c r="G214" t="s">
        <v>19</v>
      </c>
      <c r="H214" t="s">
        <v>82</v>
      </c>
      <c r="I214" t="s">
        <v>665</v>
      </c>
      <c r="J214">
        <v>66</v>
      </c>
      <c r="K214" t="s">
        <v>84</v>
      </c>
      <c r="L214" t="s">
        <v>85</v>
      </c>
      <c r="M214" t="s">
        <v>86</v>
      </c>
      <c r="N214">
        <v>1</v>
      </c>
      <c r="O214" s="1">
        <v>44202.555891203701</v>
      </c>
      <c r="P214" s="1">
        <v>44202.565335648149</v>
      </c>
      <c r="Q214">
        <v>710</v>
      </c>
      <c r="R214">
        <v>106</v>
      </c>
      <c r="S214" t="b">
        <v>0</v>
      </c>
      <c r="T214" t="s">
        <v>87</v>
      </c>
      <c r="U214" t="b">
        <v>0</v>
      </c>
      <c r="V214" t="s">
        <v>266</v>
      </c>
      <c r="W214" s="1">
        <v>44202.565335648149</v>
      </c>
      <c r="X214">
        <v>97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66</v>
      </c>
      <c r="AE214">
        <v>52</v>
      </c>
      <c r="AF214">
        <v>0</v>
      </c>
      <c r="AG214">
        <v>1</v>
      </c>
      <c r="AH214" t="s">
        <v>87</v>
      </c>
      <c r="AI214" t="s">
        <v>87</v>
      </c>
      <c r="AJ214" t="s">
        <v>87</v>
      </c>
      <c r="AK214" t="s">
        <v>87</v>
      </c>
      <c r="AL214" t="s">
        <v>87</v>
      </c>
      <c r="AM214" t="s">
        <v>87</v>
      </c>
      <c r="AN214" t="s">
        <v>87</v>
      </c>
      <c r="AO214" t="s">
        <v>87</v>
      </c>
      <c r="AP214" t="s">
        <v>87</v>
      </c>
      <c r="AQ214" t="s">
        <v>87</v>
      </c>
      <c r="AR214" t="s">
        <v>87</v>
      </c>
      <c r="AS214" t="s">
        <v>87</v>
      </c>
      <c r="AT214" t="s">
        <v>87</v>
      </c>
      <c r="AU214" t="s">
        <v>87</v>
      </c>
      <c r="AV214" t="s">
        <v>87</v>
      </c>
      <c r="AW214" t="s">
        <v>87</v>
      </c>
      <c r="AX214" t="s">
        <v>87</v>
      </c>
      <c r="AY214" t="s">
        <v>87</v>
      </c>
      <c r="AZ214" t="s">
        <v>87</v>
      </c>
      <c r="BA214" t="s">
        <v>87</v>
      </c>
      <c r="BB214" t="s">
        <v>87</v>
      </c>
      <c r="BC214" t="s">
        <v>87</v>
      </c>
      <c r="BD214" t="s">
        <v>87</v>
      </c>
      <c r="BE214" t="s">
        <v>87</v>
      </c>
    </row>
    <row r="215" spans="1:57" hidden="1" x14ac:dyDescent="0.45">
      <c r="A215" t="s">
        <v>666</v>
      </c>
      <c r="B215" t="s">
        <v>79</v>
      </c>
      <c r="C215" t="s">
        <v>667</v>
      </c>
      <c r="D215" t="s">
        <v>81</v>
      </c>
      <c r="E215" s="2" t="str">
        <f>HYPERLINK("capsilon://?command=openfolder&amp;siteaddress=FAM.docvelocity-na8.net&amp;folderid=FXA8292CA0-0F44-DB8D-BEBA-5E0BDC00264C","FX201115586")</f>
        <v>FX201115586</v>
      </c>
      <c r="F215" t="s">
        <v>19</v>
      </c>
      <c r="G215" t="s">
        <v>19</v>
      </c>
      <c r="H215" t="s">
        <v>82</v>
      </c>
      <c r="I215" t="s">
        <v>668</v>
      </c>
      <c r="J215">
        <v>66</v>
      </c>
      <c r="K215" t="s">
        <v>84</v>
      </c>
      <c r="L215" t="s">
        <v>85</v>
      </c>
      <c r="M215" t="s">
        <v>86</v>
      </c>
      <c r="N215">
        <v>3</v>
      </c>
      <c r="O215" s="1">
        <v>44202.556006944447</v>
      </c>
      <c r="P215" s="1">
        <v>44202.642476851855</v>
      </c>
      <c r="Q215">
        <v>7347</v>
      </c>
      <c r="R215">
        <v>124</v>
      </c>
      <c r="S215" t="b">
        <v>0</v>
      </c>
      <c r="T215" t="s">
        <v>87</v>
      </c>
      <c r="U215" t="b">
        <v>0</v>
      </c>
      <c r="V215" t="s">
        <v>266</v>
      </c>
      <c r="W215" s="1">
        <v>44202.566481481481</v>
      </c>
      <c r="X215">
        <v>99</v>
      </c>
      <c r="Y215">
        <v>0</v>
      </c>
      <c r="Z215">
        <v>0</v>
      </c>
      <c r="AA215">
        <v>0</v>
      </c>
      <c r="AB215">
        <v>52</v>
      </c>
      <c r="AC215">
        <v>0</v>
      </c>
      <c r="AD215">
        <v>66</v>
      </c>
      <c r="AE215">
        <v>0</v>
      </c>
      <c r="AF215">
        <v>0</v>
      </c>
      <c r="AG215">
        <v>0</v>
      </c>
      <c r="AH215" t="s">
        <v>267</v>
      </c>
      <c r="AI215" s="1">
        <v>44202.610613425924</v>
      </c>
      <c r="AJ215">
        <v>22</v>
      </c>
      <c r="AK215">
        <v>0</v>
      </c>
      <c r="AL215">
        <v>0</v>
      </c>
      <c r="AM215">
        <v>0</v>
      </c>
      <c r="AN215">
        <v>52</v>
      </c>
      <c r="AO215">
        <v>0</v>
      </c>
      <c r="AP215">
        <v>66</v>
      </c>
      <c r="AQ215">
        <v>0</v>
      </c>
      <c r="AR215">
        <v>0</v>
      </c>
      <c r="AS215">
        <v>0</v>
      </c>
      <c r="AT215" t="s">
        <v>90</v>
      </c>
      <c r="AU215" s="1">
        <v>44202.642476851855</v>
      </c>
      <c r="AV215">
        <v>3</v>
      </c>
      <c r="AW215">
        <v>0</v>
      </c>
      <c r="AX215">
        <v>0</v>
      </c>
      <c r="AY215">
        <v>0</v>
      </c>
      <c r="AZ215">
        <v>52</v>
      </c>
      <c r="BA215">
        <v>0</v>
      </c>
      <c r="BB215">
        <v>66</v>
      </c>
      <c r="BC215">
        <v>0</v>
      </c>
      <c r="BD215">
        <v>0</v>
      </c>
      <c r="BE215">
        <v>0</v>
      </c>
    </row>
    <row r="216" spans="1:57" x14ac:dyDescent="0.45">
      <c r="A216" t="s">
        <v>669</v>
      </c>
      <c r="B216" t="s">
        <v>79</v>
      </c>
      <c r="C216" t="s">
        <v>540</v>
      </c>
      <c r="D216" t="s">
        <v>81</v>
      </c>
      <c r="E216" s="2" t="str">
        <f>HYPERLINK("capsilon://?command=openfolder&amp;siteaddress=FAM.docvelocity-na8.net&amp;folderid=FX29539A4A-20C6-2970-CFDF-2F325CF9FCF4","FX2101676")</f>
        <v>FX2101676</v>
      </c>
      <c r="F216" t="s">
        <v>19</v>
      </c>
      <c r="G216" t="s">
        <v>19</v>
      </c>
      <c r="H216" t="s">
        <v>82</v>
      </c>
      <c r="I216" t="s">
        <v>650</v>
      </c>
      <c r="J216">
        <v>65</v>
      </c>
      <c r="K216" t="s">
        <v>84</v>
      </c>
      <c r="L216" t="s">
        <v>85</v>
      </c>
      <c r="M216" t="s">
        <v>86</v>
      </c>
      <c r="N216">
        <v>3</v>
      </c>
      <c r="O216" s="1">
        <v>44202.560243055559</v>
      </c>
      <c r="P216" s="1">
        <v>44202.593391203707</v>
      </c>
      <c r="Q216">
        <v>262</v>
      </c>
      <c r="R216">
        <v>2602</v>
      </c>
      <c r="S216" t="b">
        <v>0</v>
      </c>
      <c r="T216" t="s">
        <v>87</v>
      </c>
      <c r="U216" t="b">
        <v>1</v>
      </c>
      <c r="V216" t="s">
        <v>343</v>
      </c>
      <c r="W216" s="1">
        <v>44202.584768518522</v>
      </c>
      <c r="X216">
        <v>2098</v>
      </c>
      <c r="Y216">
        <v>216</v>
      </c>
      <c r="Z216">
        <v>0</v>
      </c>
      <c r="AA216">
        <v>216</v>
      </c>
      <c r="AB216">
        <v>0</v>
      </c>
      <c r="AC216">
        <v>204</v>
      </c>
      <c r="AD216">
        <v>-151</v>
      </c>
      <c r="AE216">
        <v>0</v>
      </c>
      <c r="AF216">
        <v>0</v>
      </c>
      <c r="AG216">
        <v>0</v>
      </c>
      <c r="AH216" t="s">
        <v>267</v>
      </c>
      <c r="AI216" s="1">
        <v>44202.590937499997</v>
      </c>
      <c r="AJ216">
        <v>425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-151</v>
      </c>
      <c r="AQ216">
        <v>0</v>
      </c>
      <c r="AR216">
        <v>0</v>
      </c>
      <c r="AS216">
        <v>0</v>
      </c>
      <c r="AT216" t="s">
        <v>549</v>
      </c>
      <c r="AU216" s="1">
        <v>44202.593391203707</v>
      </c>
      <c r="AV216">
        <v>79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-151</v>
      </c>
      <c r="BC216">
        <v>0</v>
      </c>
      <c r="BD216">
        <v>0</v>
      </c>
      <c r="BE216">
        <v>0</v>
      </c>
    </row>
    <row r="217" spans="1:57" x14ac:dyDescent="0.45">
      <c r="A217" t="s">
        <v>670</v>
      </c>
      <c r="B217" t="s">
        <v>79</v>
      </c>
      <c r="C217" t="s">
        <v>656</v>
      </c>
      <c r="D217" t="s">
        <v>81</v>
      </c>
      <c r="E217" s="2" t="str">
        <f>HYPERLINK("capsilon://?command=openfolder&amp;siteaddress=FAM.docvelocity-na8.net&amp;folderid=FX56248E6A-011F-BB32-4646-F5C5E1B7C09D","FX20122029")</f>
        <v>FX20122029</v>
      </c>
      <c r="F217" t="s">
        <v>19</v>
      </c>
      <c r="G217" t="s">
        <v>19</v>
      </c>
      <c r="H217" t="s">
        <v>82</v>
      </c>
      <c r="I217" t="s">
        <v>657</v>
      </c>
      <c r="J217">
        <v>52</v>
      </c>
      <c r="K217" t="s">
        <v>84</v>
      </c>
      <c r="L217" t="s">
        <v>85</v>
      </c>
      <c r="M217" t="s">
        <v>86</v>
      </c>
      <c r="N217">
        <v>3</v>
      </c>
      <c r="O217" s="1">
        <v>44202.561168981483</v>
      </c>
      <c r="P217" s="1">
        <v>44202.584560185183</v>
      </c>
      <c r="Q217">
        <v>345</v>
      </c>
      <c r="R217">
        <v>1676</v>
      </c>
      <c r="S217" t="b">
        <v>0</v>
      </c>
      <c r="T217" t="s">
        <v>87</v>
      </c>
      <c r="U217" t="b">
        <v>1</v>
      </c>
      <c r="V217" t="s">
        <v>242</v>
      </c>
      <c r="W217" s="1">
        <v>44202.579201388886</v>
      </c>
      <c r="X217">
        <v>1552</v>
      </c>
      <c r="Y217">
        <v>42</v>
      </c>
      <c r="Z217">
        <v>0</v>
      </c>
      <c r="AA217">
        <v>42</v>
      </c>
      <c r="AB217">
        <v>0</v>
      </c>
      <c r="AC217">
        <v>10</v>
      </c>
      <c r="AD217">
        <v>10</v>
      </c>
      <c r="AE217">
        <v>0</v>
      </c>
      <c r="AF217">
        <v>0</v>
      </c>
      <c r="AG217">
        <v>0</v>
      </c>
      <c r="AH217" t="s">
        <v>267</v>
      </c>
      <c r="AI217" s="1">
        <v>44202.582013888888</v>
      </c>
      <c r="AJ217">
        <v>114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</v>
      </c>
      <c r="AT217" t="s">
        <v>549</v>
      </c>
      <c r="AU217" s="1">
        <v>44202.584560185183</v>
      </c>
      <c r="AV217">
        <v>10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10</v>
      </c>
      <c r="BC217">
        <v>0</v>
      </c>
      <c r="BD217">
        <v>0</v>
      </c>
      <c r="BE217">
        <v>0</v>
      </c>
    </row>
    <row r="218" spans="1:57" x14ac:dyDescent="0.45">
      <c r="A218" t="s">
        <v>671</v>
      </c>
      <c r="B218" t="s">
        <v>79</v>
      </c>
      <c r="C218" t="s">
        <v>672</v>
      </c>
      <c r="D218" t="s">
        <v>81</v>
      </c>
      <c r="E218" s="2" t="str">
        <f>HYPERLINK("capsilon://?command=openfolder&amp;siteaddress=FAM.docvelocity-na8.net&amp;folderid=FXA5BBB99B-9D51-26C6-9B26-24EFBDF6F7DA","FX201229156")</f>
        <v>FX201229156</v>
      </c>
      <c r="F218" t="s">
        <v>19</v>
      </c>
      <c r="G218" t="s">
        <v>19</v>
      </c>
      <c r="H218" t="s">
        <v>82</v>
      </c>
      <c r="I218" t="s">
        <v>673</v>
      </c>
      <c r="J218">
        <v>518</v>
      </c>
      <c r="K218" t="s">
        <v>84</v>
      </c>
      <c r="L218" t="s">
        <v>85</v>
      </c>
      <c r="M218" t="s">
        <v>86</v>
      </c>
      <c r="N218">
        <v>3</v>
      </c>
      <c r="O218" s="1">
        <v>44202.562025462961</v>
      </c>
      <c r="P218" s="1">
        <v>44202.64398148148</v>
      </c>
      <c r="Q218">
        <v>3157</v>
      </c>
      <c r="R218">
        <v>3924</v>
      </c>
      <c r="S218" t="b">
        <v>0</v>
      </c>
      <c r="T218" t="s">
        <v>87</v>
      </c>
      <c r="U218" t="b">
        <v>0</v>
      </c>
      <c r="V218" t="s">
        <v>262</v>
      </c>
      <c r="W218" s="1">
        <v>44202.603541666664</v>
      </c>
      <c r="X218">
        <v>3166</v>
      </c>
      <c r="Y218">
        <v>429</v>
      </c>
      <c r="Z218">
        <v>0</v>
      </c>
      <c r="AA218">
        <v>429</v>
      </c>
      <c r="AB218">
        <v>74</v>
      </c>
      <c r="AC218">
        <v>149</v>
      </c>
      <c r="AD218">
        <v>89</v>
      </c>
      <c r="AE218">
        <v>0</v>
      </c>
      <c r="AF218">
        <v>0</v>
      </c>
      <c r="AG218">
        <v>0</v>
      </c>
      <c r="AH218" t="s">
        <v>267</v>
      </c>
      <c r="AI218" s="1">
        <v>44202.617905092593</v>
      </c>
      <c r="AJ218">
        <v>629</v>
      </c>
      <c r="AK218">
        <v>0</v>
      </c>
      <c r="AL218">
        <v>0</v>
      </c>
      <c r="AM218">
        <v>0</v>
      </c>
      <c r="AN218">
        <v>74</v>
      </c>
      <c r="AO218">
        <v>1</v>
      </c>
      <c r="AP218">
        <v>89</v>
      </c>
      <c r="AQ218">
        <v>0</v>
      </c>
      <c r="AR218">
        <v>0</v>
      </c>
      <c r="AS218">
        <v>0</v>
      </c>
      <c r="AT218" t="s">
        <v>90</v>
      </c>
      <c r="AU218" s="1">
        <v>44202.64398148148</v>
      </c>
      <c r="AV218">
        <v>129</v>
      </c>
      <c r="AW218">
        <v>0</v>
      </c>
      <c r="AX218">
        <v>0</v>
      </c>
      <c r="AY218">
        <v>0</v>
      </c>
      <c r="AZ218">
        <v>74</v>
      </c>
      <c r="BA218">
        <v>0</v>
      </c>
      <c r="BB218">
        <v>89</v>
      </c>
      <c r="BC218">
        <v>0</v>
      </c>
      <c r="BD218">
        <v>0</v>
      </c>
      <c r="BE218">
        <v>0</v>
      </c>
    </row>
    <row r="219" spans="1:57" x14ac:dyDescent="0.45">
      <c r="A219" t="s">
        <v>674</v>
      </c>
      <c r="B219" t="s">
        <v>79</v>
      </c>
      <c r="C219" t="s">
        <v>675</v>
      </c>
      <c r="D219" t="s">
        <v>81</v>
      </c>
      <c r="E219" s="2" t="str">
        <f>HYPERLINK("capsilon://?command=openfolder&amp;siteaddress=FAM.docvelocity-na8.net&amp;folderid=FX80A9825C-DA2A-EDA0-DDF5-BF29879E7EA5","FX201226742")</f>
        <v>FX201226742</v>
      </c>
      <c r="F219" t="s">
        <v>19</v>
      </c>
      <c r="G219" t="s">
        <v>19</v>
      </c>
      <c r="H219" t="s">
        <v>82</v>
      </c>
      <c r="I219" t="s">
        <v>676</v>
      </c>
      <c r="J219">
        <v>31</v>
      </c>
      <c r="K219" t="s">
        <v>84</v>
      </c>
      <c r="L219" t="s">
        <v>85</v>
      </c>
      <c r="M219" t="s">
        <v>86</v>
      </c>
      <c r="N219">
        <v>3</v>
      </c>
      <c r="O219" s="1">
        <v>44202.562974537039</v>
      </c>
      <c r="P219" s="1">
        <v>44202.64739583333</v>
      </c>
      <c r="Q219">
        <v>6184</v>
      </c>
      <c r="R219">
        <v>1110</v>
      </c>
      <c r="S219" t="b">
        <v>0</v>
      </c>
      <c r="T219" t="s">
        <v>87</v>
      </c>
      <c r="U219" t="b">
        <v>0</v>
      </c>
      <c r="V219" t="s">
        <v>259</v>
      </c>
      <c r="W219" s="1">
        <v>44202.574733796297</v>
      </c>
      <c r="X219">
        <v>551</v>
      </c>
      <c r="Y219">
        <v>58</v>
      </c>
      <c r="Z219">
        <v>0</v>
      </c>
      <c r="AA219">
        <v>58</v>
      </c>
      <c r="AB219">
        <v>0</v>
      </c>
      <c r="AC219">
        <v>30</v>
      </c>
      <c r="AD219">
        <v>-27</v>
      </c>
      <c r="AE219">
        <v>0</v>
      </c>
      <c r="AF219">
        <v>0</v>
      </c>
      <c r="AG219">
        <v>0</v>
      </c>
      <c r="AH219" t="s">
        <v>128</v>
      </c>
      <c r="AI219" s="1">
        <v>44202.615567129629</v>
      </c>
      <c r="AJ219">
        <v>265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-27</v>
      </c>
      <c r="AQ219">
        <v>0</v>
      </c>
      <c r="AR219">
        <v>0</v>
      </c>
      <c r="AS219">
        <v>0</v>
      </c>
      <c r="AT219" t="s">
        <v>90</v>
      </c>
      <c r="AU219" s="1">
        <v>44202.64739583333</v>
      </c>
      <c r="AV219">
        <v>294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-27</v>
      </c>
      <c r="BC219">
        <v>0</v>
      </c>
      <c r="BD219">
        <v>0</v>
      </c>
      <c r="BE219">
        <v>0</v>
      </c>
    </row>
    <row r="220" spans="1:57" x14ac:dyDescent="0.45">
      <c r="A220" t="s">
        <v>677</v>
      </c>
      <c r="B220" t="s">
        <v>79</v>
      </c>
      <c r="C220" t="s">
        <v>664</v>
      </c>
      <c r="D220" t="s">
        <v>81</v>
      </c>
      <c r="E220" s="2" t="str">
        <f>HYPERLINK("capsilon://?command=openfolder&amp;siteaddress=FAM.docvelocity-na8.net&amp;folderid=FX4939BCD1-56B6-E3F2-C139-B9240E65ECAB","FX20124482")</f>
        <v>FX20124482</v>
      </c>
      <c r="F220" t="s">
        <v>19</v>
      </c>
      <c r="G220" t="s">
        <v>19</v>
      </c>
      <c r="H220" t="s">
        <v>82</v>
      </c>
      <c r="I220" t="s">
        <v>665</v>
      </c>
      <c r="J220">
        <v>38</v>
      </c>
      <c r="K220" t="s">
        <v>84</v>
      </c>
      <c r="L220" t="s">
        <v>85</v>
      </c>
      <c r="M220" t="s">
        <v>86</v>
      </c>
      <c r="N220">
        <v>3</v>
      </c>
      <c r="O220" s="1">
        <v>44202.565694444442</v>
      </c>
      <c r="P220" s="1">
        <v>44202.574050925927</v>
      </c>
      <c r="Q220">
        <v>253</v>
      </c>
      <c r="R220">
        <v>469</v>
      </c>
      <c r="S220" t="b">
        <v>0</v>
      </c>
      <c r="T220" t="s">
        <v>87</v>
      </c>
      <c r="U220" t="b">
        <v>1</v>
      </c>
      <c r="V220" t="s">
        <v>266</v>
      </c>
      <c r="W220" s="1">
        <v>44202.571053240739</v>
      </c>
      <c r="X220">
        <v>394</v>
      </c>
      <c r="Y220">
        <v>37</v>
      </c>
      <c r="Z220">
        <v>0</v>
      </c>
      <c r="AA220">
        <v>37</v>
      </c>
      <c r="AB220">
        <v>0</v>
      </c>
      <c r="AC220">
        <v>10</v>
      </c>
      <c r="AD220">
        <v>1</v>
      </c>
      <c r="AE220">
        <v>0</v>
      </c>
      <c r="AF220">
        <v>0</v>
      </c>
      <c r="AG220">
        <v>0</v>
      </c>
      <c r="AH220" t="s">
        <v>267</v>
      </c>
      <c r="AI220" s="1">
        <v>44202.571932870371</v>
      </c>
      <c r="AJ220">
        <v>65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 t="s">
        <v>549</v>
      </c>
      <c r="AU220" s="1">
        <v>44202.574050925927</v>
      </c>
      <c r="AV220">
        <v>10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</row>
    <row r="221" spans="1:57" x14ac:dyDescent="0.45">
      <c r="A221" t="s">
        <v>678</v>
      </c>
      <c r="B221" t="s">
        <v>79</v>
      </c>
      <c r="C221" t="s">
        <v>653</v>
      </c>
      <c r="D221" t="s">
        <v>81</v>
      </c>
      <c r="E221" s="2" t="str">
        <f>HYPERLINK("capsilon://?command=openfolder&amp;siteaddress=FAM.docvelocity-na8.net&amp;folderid=FXFADFAA7C-CD13-4162-A6AF-42942FFB6B2D","FX2101148")</f>
        <v>FX2101148</v>
      </c>
      <c r="F221" t="s">
        <v>19</v>
      </c>
      <c r="G221" t="s">
        <v>19</v>
      </c>
      <c r="H221" t="s">
        <v>82</v>
      </c>
      <c r="I221" t="s">
        <v>654</v>
      </c>
      <c r="J221">
        <v>52</v>
      </c>
      <c r="K221" t="s">
        <v>84</v>
      </c>
      <c r="L221" t="s">
        <v>85</v>
      </c>
      <c r="M221" t="s">
        <v>86</v>
      </c>
      <c r="N221">
        <v>3</v>
      </c>
      <c r="O221" s="1">
        <v>44202.568738425929</v>
      </c>
      <c r="P221" s="1">
        <v>44202.626643518517</v>
      </c>
      <c r="Q221">
        <v>1424</v>
      </c>
      <c r="R221">
        <v>3579</v>
      </c>
      <c r="S221" t="b">
        <v>0</v>
      </c>
      <c r="T221" t="s">
        <v>87</v>
      </c>
      <c r="U221" t="b">
        <v>1</v>
      </c>
      <c r="V221" t="s">
        <v>259</v>
      </c>
      <c r="W221" s="1">
        <v>44202.612627314818</v>
      </c>
      <c r="X221">
        <v>2706</v>
      </c>
      <c r="Y221">
        <v>110</v>
      </c>
      <c r="Z221">
        <v>0</v>
      </c>
      <c r="AA221">
        <v>110</v>
      </c>
      <c r="AB221">
        <v>0</v>
      </c>
      <c r="AC221">
        <v>87</v>
      </c>
      <c r="AD221">
        <v>-58</v>
      </c>
      <c r="AE221">
        <v>0</v>
      </c>
      <c r="AF221">
        <v>0</v>
      </c>
      <c r="AG221">
        <v>0</v>
      </c>
      <c r="AH221" t="s">
        <v>128</v>
      </c>
      <c r="AI221" s="1">
        <v>44202.62462962963</v>
      </c>
      <c r="AJ221">
        <v>782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-58</v>
      </c>
      <c r="AQ221">
        <v>0</v>
      </c>
      <c r="AR221">
        <v>0</v>
      </c>
      <c r="AS221">
        <v>0</v>
      </c>
      <c r="AT221" t="s">
        <v>90</v>
      </c>
      <c r="AU221" s="1">
        <v>44202.626643518517</v>
      </c>
      <c r="AV221">
        <v>91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-58</v>
      </c>
      <c r="BC221">
        <v>0</v>
      </c>
      <c r="BD221">
        <v>0</v>
      </c>
      <c r="BE221">
        <v>0</v>
      </c>
    </row>
    <row r="222" spans="1:57" hidden="1" x14ac:dyDescent="0.45">
      <c r="A222" t="s">
        <v>679</v>
      </c>
      <c r="B222" t="s">
        <v>79</v>
      </c>
      <c r="C222" t="s">
        <v>680</v>
      </c>
      <c r="D222" t="s">
        <v>81</v>
      </c>
      <c r="E222" s="2" t="str">
        <f>HYPERLINK("capsilon://?command=openfolder&amp;siteaddress=FAM.docvelocity-na8.net&amp;folderid=FX7A9ADC13-8450-EE0D-B7B2-8CCC230C24E9","FX20122320")</f>
        <v>FX20122320</v>
      </c>
      <c r="F222" t="s">
        <v>19</v>
      </c>
      <c r="G222" t="s">
        <v>19</v>
      </c>
      <c r="H222" t="s">
        <v>82</v>
      </c>
      <c r="I222" t="s">
        <v>681</v>
      </c>
      <c r="J222">
        <v>288</v>
      </c>
      <c r="K222" t="s">
        <v>84</v>
      </c>
      <c r="L222" t="s">
        <v>85</v>
      </c>
      <c r="M222" t="s">
        <v>86</v>
      </c>
      <c r="N222">
        <v>1</v>
      </c>
      <c r="O222" s="1">
        <v>44202.575335648151</v>
      </c>
      <c r="P222" s="1">
        <v>44202.609027777777</v>
      </c>
      <c r="Q222">
        <v>2263</v>
      </c>
      <c r="R222">
        <v>648</v>
      </c>
      <c r="S222" t="b">
        <v>0</v>
      </c>
      <c r="T222" t="s">
        <v>87</v>
      </c>
      <c r="U222" t="b">
        <v>0</v>
      </c>
      <c r="V222" t="s">
        <v>171</v>
      </c>
      <c r="W222" s="1">
        <v>44202.609027777777</v>
      </c>
      <c r="X222">
        <v>554</v>
      </c>
      <c r="Y222">
        <v>177</v>
      </c>
      <c r="Z222">
        <v>0</v>
      </c>
      <c r="AA222">
        <v>177</v>
      </c>
      <c r="AB222">
        <v>0</v>
      </c>
      <c r="AC222">
        <v>14</v>
      </c>
      <c r="AD222">
        <v>111</v>
      </c>
      <c r="AE222">
        <v>72</v>
      </c>
      <c r="AF222">
        <v>0</v>
      </c>
      <c r="AG222">
        <v>2</v>
      </c>
      <c r="AH222" t="s">
        <v>87</v>
      </c>
      <c r="AI222" t="s">
        <v>87</v>
      </c>
      <c r="AJ222" t="s">
        <v>87</v>
      </c>
      <c r="AK222" t="s">
        <v>87</v>
      </c>
      <c r="AL222" t="s">
        <v>87</v>
      </c>
      <c r="AM222" t="s">
        <v>87</v>
      </c>
      <c r="AN222" t="s">
        <v>87</v>
      </c>
      <c r="AO222" t="s">
        <v>87</v>
      </c>
      <c r="AP222" t="s">
        <v>87</v>
      </c>
      <c r="AQ222" t="s">
        <v>87</v>
      </c>
      <c r="AR222" t="s">
        <v>87</v>
      </c>
      <c r="AS222" t="s">
        <v>87</v>
      </c>
      <c r="AT222" t="s">
        <v>87</v>
      </c>
      <c r="AU222" t="s">
        <v>87</v>
      </c>
      <c r="AV222" t="s">
        <v>87</v>
      </c>
      <c r="AW222" t="s">
        <v>87</v>
      </c>
      <c r="AX222" t="s">
        <v>87</v>
      </c>
      <c r="AY222" t="s">
        <v>87</v>
      </c>
      <c r="AZ222" t="s">
        <v>87</v>
      </c>
      <c r="BA222" t="s">
        <v>87</v>
      </c>
      <c r="BB222" t="s">
        <v>87</v>
      </c>
      <c r="BC222" t="s">
        <v>87</v>
      </c>
      <c r="BD222" t="s">
        <v>87</v>
      </c>
      <c r="BE222" t="s">
        <v>87</v>
      </c>
    </row>
    <row r="223" spans="1:57" x14ac:dyDescent="0.45">
      <c r="A223" t="s">
        <v>682</v>
      </c>
      <c r="B223" t="s">
        <v>79</v>
      </c>
      <c r="C223" t="s">
        <v>683</v>
      </c>
      <c r="D223" t="s">
        <v>81</v>
      </c>
      <c r="E223" s="2" t="str">
        <f>HYPERLINK("capsilon://?command=openfolder&amp;siteaddress=FAM.docvelocity-na8.net&amp;folderid=FXCAFA8422-DDD6-35DF-BB21-39C950712F8A","FX21012062")</f>
        <v>FX21012062</v>
      </c>
      <c r="F223" t="s">
        <v>19</v>
      </c>
      <c r="G223" t="s">
        <v>19</v>
      </c>
      <c r="H223" t="s">
        <v>82</v>
      </c>
      <c r="I223" t="s">
        <v>684</v>
      </c>
      <c r="J223">
        <v>322</v>
      </c>
      <c r="K223" t="s">
        <v>84</v>
      </c>
      <c r="L223" t="s">
        <v>85</v>
      </c>
      <c r="M223" t="s">
        <v>86</v>
      </c>
      <c r="N223">
        <v>3</v>
      </c>
      <c r="O223" s="1">
        <v>44202.576643518521</v>
      </c>
      <c r="P223" s="1">
        <v>44202.650358796294</v>
      </c>
      <c r="Q223">
        <v>2398</v>
      </c>
      <c r="R223">
        <v>3971</v>
      </c>
      <c r="S223" t="b">
        <v>0</v>
      </c>
      <c r="T223" t="s">
        <v>87</v>
      </c>
      <c r="U223" t="b">
        <v>0</v>
      </c>
      <c r="V223" t="s">
        <v>160</v>
      </c>
      <c r="W223" s="1">
        <v>44202.616238425922</v>
      </c>
      <c r="X223">
        <v>3289</v>
      </c>
      <c r="Y223">
        <v>282</v>
      </c>
      <c r="Z223">
        <v>0</v>
      </c>
      <c r="AA223">
        <v>282</v>
      </c>
      <c r="AB223">
        <v>21</v>
      </c>
      <c r="AC223">
        <v>137</v>
      </c>
      <c r="AD223">
        <v>40</v>
      </c>
      <c r="AE223">
        <v>0</v>
      </c>
      <c r="AF223">
        <v>0</v>
      </c>
      <c r="AG223">
        <v>0</v>
      </c>
      <c r="AH223" t="s">
        <v>267</v>
      </c>
      <c r="AI223" s="1">
        <v>44202.622847222221</v>
      </c>
      <c r="AJ223">
        <v>426</v>
      </c>
      <c r="AK223">
        <v>0</v>
      </c>
      <c r="AL223">
        <v>0</v>
      </c>
      <c r="AM223">
        <v>0</v>
      </c>
      <c r="AN223">
        <v>21</v>
      </c>
      <c r="AO223">
        <v>0</v>
      </c>
      <c r="AP223">
        <v>40</v>
      </c>
      <c r="AQ223">
        <v>0</v>
      </c>
      <c r="AR223">
        <v>0</v>
      </c>
      <c r="AS223">
        <v>0</v>
      </c>
      <c r="AT223" t="s">
        <v>90</v>
      </c>
      <c r="AU223" s="1">
        <v>44202.650358796294</v>
      </c>
      <c r="AV223">
        <v>256</v>
      </c>
      <c r="AW223">
        <v>0</v>
      </c>
      <c r="AX223">
        <v>0</v>
      </c>
      <c r="AY223">
        <v>0</v>
      </c>
      <c r="AZ223">
        <v>21</v>
      </c>
      <c r="BA223">
        <v>0</v>
      </c>
      <c r="BB223">
        <v>40</v>
      </c>
      <c r="BC223">
        <v>0</v>
      </c>
      <c r="BD223">
        <v>0</v>
      </c>
      <c r="BE223">
        <v>0</v>
      </c>
    </row>
    <row r="224" spans="1:57" x14ac:dyDescent="0.45">
      <c r="A224" t="s">
        <v>685</v>
      </c>
      <c r="B224" t="s">
        <v>79</v>
      </c>
      <c r="C224" t="s">
        <v>643</v>
      </c>
      <c r="D224" t="s">
        <v>81</v>
      </c>
      <c r="E224" s="2" t="str">
        <f>HYPERLINK("capsilon://?command=openfolder&amp;siteaddress=FAM.docvelocity-na8.net&amp;folderid=FX776653E7-0EC3-82B2-FF5A-808DECAE41D1","FX201229209")</f>
        <v>FX201229209</v>
      </c>
      <c r="F224" t="s">
        <v>19</v>
      </c>
      <c r="G224" t="s">
        <v>19</v>
      </c>
      <c r="H224" t="s">
        <v>82</v>
      </c>
      <c r="I224" t="s">
        <v>686</v>
      </c>
      <c r="J224">
        <v>120</v>
      </c>
      <c r="K224" t="s">
        <v>84</v>
      </c>
      <c r="L224" t="s">
        <v>85</v>
      </c>
      <c r="M224" t="s">
        <v>86</v>
      </c>
      <c r="N224">
        <v>3</v>
      </c>
      <c r="O224" s="1">
        <v>44202.577025462961</v>
      </c>
      <c r="P224" s="1">
        <v>44202.651226851849</v>
      </c>
      <c r="Q224">
        <v>5809</v>
      </c>
      <c r="R224">
        <v>602</v>
      </c>
      <c r="S224" t="b">
        <v>0</v>
      </c>
      <c r="T224" t="s">
        <v>87</v>
      </c>
      <c r="U224" t="b">
        <v>0</v>
      </c>
      <c r="V224" t="s">
        <v>242</v>
      </c>
      <c r="W224" s="1">
        <v>44202.583032407405</v>
      </c>
      <c r="X224">
        <v>331</v>
      </c>
      <c r="Y224">
        <v>68</v>
      </c>
      <c r="Z224">
        <v>0</v>
      </c>
      <c r="AA224">
        <v>68</v>
      </c>
      <c r="AB224">
        <v>0</v>
      </c>
      <c r="AC224">
        <v>17</v>
      </c>
      <c r="AD224">
        <v>52</v>
      </c>
      <c r="AE224">
        <v>0</v>
      </c>
      <c r="AF224">
        <v>0</v>
      </c>
      <c r="AG224">
        <v>0</v>
      </c>
      <c r="AH224" t="s">
        <v>128</v>
      </c>
      <c r="AI224" s="1">
        <v>44202.62699074074</v>
      </c>
      <c r="AJ224">
        <v>203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52</v>
      </c>
      <c r="AQ224">
        <v>0</v>
      </c>
      <c r="AR224">
        <v>0</v>
      </c>
      <c r="AS224">
        <v>0</v>
      </c>
      <c r="AT224" t="s">
        <v>90</v>
      </c>
      <c r="AU224" s="1">
        <v>44202.651226851849</v>
      </c>
      <c r="AV224">
        <v>68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52</v>
      </c>
      <c r="BC224">
        <v>0</v>
      </c>
      <c r="BD224">
        <v>0</v>
      </c>
      <c r="BE224">
        <v>0</v>
      </c>
    </row>
    <row r="225" spans="1:57" x14ac:dyDescent="0.45">
      <c r="A225" t="s">
        <v>687</v>
      </c>
      <c r="B225" t="s">
        <v>79</v>
      </c>
      <c r="C225" t="s">
        <v>547</v>
      </c>
      <c r="D225" t="s">
        <v>81</v>
      </c>
      <c r="E225" s="2" t="str">
        <f>HYPERLINK("capsilon://?command=openfolder&amp;siteaddress=FAM.docvelocity-na8.net&amp;folderid=FX7CB5A0AA-C05F-AA3F-CC10-CD1033B589EB","FX21011060")</f>
        <v>FX21011060</v>
      </c>
      <c r="F225" t="s">
        <v>19</v>
      </c>
      <c r="G225" t="s">
        <v>19</v>
      </c>
      <c r="H225" t="s">
        <v>82</v>
      </c>
      <c r="I225" t="s">
        <v>688</v>
      </c>
      <c r="J225">
        <v>66</v>
      </c>
      <c r="K225" t="s">
        <v>84</v>
      </c>
      <c r="L225" t="s">
        <v>85</v>
      </c>
      <c r="M225" t="s">
        <v>86</v>
      </c>
      <c r="N225">
        <v>3</v>
      </c>
      <c r="O225" s="1">
        <v>44202.586458333331</v>
      </c>
      <c r="P225" s="1">
        <v>44202.653136574074</v>
      </c>
      <c r="Q225">
        <v>4476</v>
      </c>
      <c r="R225">
        <v>1285</v>
      </c>
      <c r="S225" t="b">
        <v>0</v>
      </c>
      <c r="T225" t="s">
        <v>87</v>
      </c>
      <c r="U225" t="b">
        <v>0</v>
      </c>
      <c r="V225" t="s">
        <v>142</v>
      </c>
      <c r="W225" s="1">
        <v>44202.598194444443</v>
      </c>
      <c r="X225">
        <v>769</v>
      </c>
      <c r="Y225">
        <v>52</v>
      </c>
      <c r="Z225">
        <v>0</v>
      </c>
      <c r="AA225">
        <v>52</v>
      </c>
      <c r="AB225">
        <v>0</v>
      </c>
      <c r="AC225">
        <v>34</v>
      </c>
      <c r="AD225">
        <v>14</v>
      </c>
      <c r="AE225">
        <v>0</v>
      </c>
      <c r="AF225">
        <v>0</v>
      </c>
      <c r="AG225">
        <v>0</v>
      </c>
      <c r="AH225" t="s">
        <v>267</v>
      </c>
      <c r="AI225" s="1">
        <v>44202.62840277778</v>
      </c>
      <c r="AJ225">
        <v>124</v>
      </c>
      <c r="AK225">
        <v>2</v>
      </c>
      <c r="AL225">
        <v>0</v>
      </c>
      <c r="AM225">
        <v>2</v>
      </c>
      <c r="AN225">
        <v>0</v>
      </c>
      <c r="AO225">
        <v>1</v>
      </c>
      <c r="AP225">
        <v>12</v>
      </c>
      <c r="AQ225">
        <v>0</v>
      </c>
      <c r="AR225">
        <v>0</v>
      </c>
      <c r="AS225">
        <v>0</v>
      </c>
      <c r="AT225" t="s">
        <v>90</v>
      </c>
      <c r="AU225" s="1">
        <v>44202.653136574074</v>
      </c>
      <c r="AV225">
        <v>164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12</v>
      </c>
      <c r="BC225">
        <v>0</v>
      </c>
      <c r="BD225">
        <v>0</v>
      </c>
      <c r="BE225">
        <v>0</v>
      </c>
    </row>
    <row r="226" spans="1:57" x14ac:dyDescent="0.45">
      <c r="A226" t="s">
        <v>689</v>
      </c>
      <c r="B226" t="s">
        <v>79</v>
      </c>
      <c r="C226" t="s">
        <v>690</v>
      </c>
      <c r="D226" t="s">
        <v>81</v>
      </c>
      <c r="E226" s="2" t="str">
        <f>HYPERLINK("capsilon://?command=openfolder&amp;siteaddress=FAM.docvelocity-na8.net&amp;folderid=FX4251DFEF-6A7A-1F32-6E0F-4C8AE9C5F515","FX201227021")</f>
        <v>FX201227021</v>
      </c>
      <c r="F226" t="s">
        <v>19</v>
      </c>
      <c r="G226" t="s">
        <v>19</v>
      </c>
      <c r="H226" t="s">
        <v>82</v>
      </c>
      <c r="I226" t="s">
        <v>691</v>
      </c>
      <c r="J226">
        <v>266</v>
      </c>
      <c r="K226" t="s">
        <v>84</v>
      </c>
      <c r="L226" t="s">
        <v>85</v>
      </c>
      <c r="M226" t="s">
        <v>86</v>
      </c>
      <c r="N226">
        <v>3</v>
      </c>
      <c r="O226" s="1">
        <v>44202.593657407408</v>
      </c>
      <c r="P226" s="1">
        <v>44202.654594907406</v>
      </c>
      <c r="Q226">
        <v>1673</v>
      </c>
      <c r="R226">
        <v>3592</v>
      </c>
      <c r="S226" t="b">
        <v>0</v>
      </c>
      <c r="T226" t="s">
        <v>87</v>
      </c>
      <c r="U226" t="b">
        <v>0</v>
      </c>
      <c r="V226" t="s">
        <v>179</v>
      </c>
      <c r="W226" s="1">
        <v>44202.6249537037</v>
      </c>
      <c r="X226">
        <v>2703</v>
      </c>
      <c r="Y226">
        <v>252</v>
      </c>
      <c r="Z226">
        <v>0</v>
      </c>
      <c r="AA226">
        <v>252</v>
      </c>
      <c r="AB226">
        <v>0</v>
      </c>
      <c r="AC226">
        <v>111</v>
      </c>
      <c r="AD226">
        <v>14</v>
      </c>
      <c r="AE226">
        <v>0</v>
      </c>
      <c r="AF226">
        <v>0</v>
      </c>
      <c r="AG226">
        <v>0</v>
      </c>
      <c r="AH226" t="s">
        <v>128</v>
      </c>
      <c r="AI226" s="1">
        <v>44202.636388888888</v>
      </c>
      <c r="AJ226">
        <v>811</v>
      </c>
      <c r="AK226">
        <v>2</v>
      </c>
      <c r="AL226">
        <v>0</v>
      </c>
      <c r="AM226">
        <v>2</v>
      </c>
      <c r="AN226">
        <v>0</v>
      </c>
      <c r="AO226">
        <v>2</v>
      </c>
      <c r="AP226">
        <v>12</v>
      </c>
      <c r="AQ226">
        <v>0</v>
      </c>
      <c r="AR226">
        <v>0</v>
      </c>
      <c r="AS226">
        <v>0</v>
      </c>
      <c r="AT226" t="s">
        <v>90</v>
      </c>
      <c r="AU226" s="1">
        <v>44202.654594907406</v>
      </c>
      <c r="AV226">
        <v>78</v>
      </c>
      <c r="AW226">
        <v>1</v>
      </c>
      <c r="AX226">
        <v>0</v>
      </c>
      <c r="AY226">
        <v>1</v>
      </c>
      <c r="AZ226">
        <v>0</v>
      </c>
      <c r="BA226">
        <v>1</v>
      </c>
      <c r="BB226">
        <v>11</v>
      </c>
      <c r="BC226">
        <v>0</v>
      </c>
      <c r="BD226">
        <v>0</v>
      </c>
      <c r="BE226">
        <v>0</v>
      </c>
    </row>
    <row r="227" spans="1:57" hidden="1" x14ac:dyDescent="0.45">
      <c r="A227" t="s">
        <v>692</v>
      </c>
      <c r="B227" t="s">
        <v>79</v>
      </c>
      <c r="C227" t="s">
        <v>693</v>
      </c>
      <c r="D227" t="s">
        <v>81</v>
      </c>
      <c r="E227" s="2" t="str">
        <f>HYPERLINK("capsilon://?command=openfolder&amp;siteaddress=FAM.docvelocity-na8.net&amp;folderid=FX105BEBDA-E3C6-C836-6B65-285D6ACE4919","FX20128066")</f>
        <v>FX20128066</v>
      </c>
      <c r="F227" t="s">
        <v>19</v>
      </c>
      <c r="G227" t="s">
        <v>19</v>
      </c>
      <c r="H227" t="s">
        <v>82</v>
      </c>
      <c r="I227" t="s">
        <v>694</v>
      </c>
      <c r="J227">
        <v>66</v>
      </c>
      <c r="K227" t="s">
        <v>84</v>
      </c>
      <c r="L227" t="s">
        <v>85</v>
      </c>
      <c r="M227" t="s">
        <v>86</v>
      </c>
      <c r="N227">
        <v>1</v>
      </c>
      <c r="O227" s="1">
        <v>44202.602349537039</v>
      </c>
      <c r="P227" s="1">
        <v>44202.604097222225</v>
      </c>
      <c r="Q227">
        <v>85</v>
      </c>
      <c r="R227">
        <v>66</v>
      </c>
      <c r="S227" t="b">
        <v>0</v>
      </c>
      <c r="T227" t="s">
        <v>87</v>
      </c>
      <c r="U227" t="b">
        <v>0</v>
      </c>
      <c r="V227" t="s">
        <v>142</v>
      </c>
      <c r="W227" s="1">
        <v>44202.604097222225</v>
      </c>
      <c r="X227">
        <v>66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66</v>
      </c>
      <c r="AE227">
        <v>52</v>
      </c>
      <c r="AF227">
        <v>0</v>
      </c>
      <c r="AG227">
        <v>1</v>
      </c>
      <c r="AH227" t="s">
        <v>87</v>
      </c>
      <c r="AI227" t="s">
        <v>87</v>
      </c>
      <c r="AJ227" t="s">
        <v>87</v>
      </c>
      <c r="AK227" t="s">
        <v>87</v>
      </c>
      <c r="AL227" t="s">
        <v>87</v>
      </c>
      <c r="AM227" t="s">
        <v>87</v>
      </c>
      <c r="AN227" t="s">
        <v>87</v>
      </c>
      <c r="AO227" t="s">
        <v>87</v>
      </c>
      <c r="AP227" t="s">
        <v>87</v>
      </c>
      <c r="AQ227" t="s">
        <v>87</v>
      </c>
      <c r="AR227" t="s">
        <v>87</v>
      </c>
      <c r="AS227" t="s">
        <v>87</v>
      </c>
      <c r="AT227" t="s">
        <v>87</v>
      </c>
      <c r="AU227" t="s">
        <v>87</v>
      </c>
      <c r="AV227" t="s">
        <v>87</v>
      </c>
      <c r="AW227" t="s">
        <v>87</v>
      </c>
      <c r="AX227" t="s">
        <v>87</v>
      </c>
      <c r="AY227" t="s">
        <v>87</v>
      </c>
      <c r="AZ227" t="s">
        <v>87</v>
      </c>
      <c r="BA227" t="s">
        <v>87</v>
      </c>
      <c r="BB227" t="s">
        <v>87</v>
      </c>
      <c r="BC227" t="s">
        <v>87</v>
      </c>
      <c r="BD227" t="s">
        <v>87</v>
      </c>
      <c r="BE227" t="s">
        <v>87</v>
      </c>
    </row>
    <row r="228" spans="1:57" x14ac:dyDescent="0.45">
      <c r="A228" t="s">
        <v>695</v>
      </c>
      <c r="B228" t="s">
        <v>79</v>
      </c>
      <c r="C228" t="s">
        <v>693</v>
      </c>
      <c r="D228" t="s">
        <v>81</v>
      </c>
      <c r="E228" s="2" t="str">
        <f>HYPERLINK("capsilon://?command=openfolder&amp;siteaddress=FAM.docvelocity-na8.net&amp;folderid=FX105BEBDA-E3C6-C836-6B65-285D6ACE4919","FX20128066")</f>
        <v>FX20128066</v>
      </c>
      <c r="F228" t="s">
        <v>19</v>
      </c>
      <c r="G228" t="s">
        <v>19</v>
      </c>
      <c r="H228" t="s">
        <v>82</v>
      </c>
      <c r="I228" t="s">
        <v>694</v>
      </c>
      <c r="J228">
        <v>38</v>
      </c>
      <c r="K228" t="s">
        <v>84</v>
      </c>
      <c r="L228" t="s">
        <v>85</v>
      </c>
      <c r="M228" t="s">
        <v>86</v>
      </c>
      <c r="N228">
        <v>3</v>
      </c>
      <c r="O228" s="1">
        <v>44202.604456018518</v>
      </c>
      <c r="P228" s="1">
        <v>44202.616226851853</v>
      </c>
      <c r="Q228">
        <v>707</v>
      </c>
      <c r="R228">
        <v>310</v>
      </c>
      <c r="S228" t="b">
        <v>0</v>
      </c>
      <c r="T228" t="s">
        <v>87</v>
      </c>
      <c r="U228" t="b">
        <v>1</v>
      </c>
      <c r="V228" t="s">
        <v>142</v>
      </c>
      <c r="W228" s="1">
        <v>44202.606446759259</v>
      </c>
      <c r="X228">
        <v>171</v>
      </c>
      <c r="Y228">
        <v>37</v>
      </c>
      <c r="Z228">
        <v>0</v>
      </c>
      <c r="AA228">
        <v>37</v>
      </c>
      <c r="AB228">
        <v>0</v>
      </c>
      <c r="AC228">
        <v>14</v>
      </c>
      <c r="AD228">
        <v>1</v>
      </c>
      <c r="AE228">
        <v>0</v>
      </c>
      <c r="AF228">
        <v>0</v>
      </c>
      <c r="AG228">
        <v>0</v>
      </c>
      <c r="AH228" t="s">
        <v>267</v>
      </c>
      <c r="AI228" s="1">
        <v>44202.609131944446</v>
      </c>
      <c r="AJ228">
        <v>100</v>
      </c>
      <c r="AK228">
        <v>2</v>
      </c>
      <c r="AL228">
        <v>0</v>
      </c>
      <c r="AM228">
        <v>2</v>
      </c>
      <c r="AN228">
        <v>0</v>
      </c>
      <c r="AO228">
        <v>1</v>
      </c>
      <c r="AP228">
        <v>-1</v>
      </c>
      <c r="AQ228">
        <v>0</v>
      </c>
      <c r="AR228">
        <v>0</v>
      </c>
      <c r="AS228">
        <v>0</v>
      </c>
      <c r="AT228" t="s">
        <v>90</v>
      </c>
      <c r="AU228" s="1">
        <v>44202.616226851853</v>
      </c>
      <c r="AV228">
        <v>8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-1</v>
      </c>
      <c r="BC228">
        <v>0</v>
      </c>
      <c r="BD228">
        <v>0</v>
      </c>
      <c r="BE228">
        <v>0</v>
      </c>
    </row>
    <row r="229" spans="1:57" hidden="1" x14ac:dyDescent="0.45">
      <c r="A229" t="s">
        <v>696</v>
      </c>
      <c r="B229" t="s">
        <v>79</v>
      </c>
      <c r="C229" t="s">
        <v>697</v>
      </c>
      <c r="D229" t="s">
        <v>81</v>
      </c>
      <c r="E229" s="2" t="str">
        <f>HYPERLINK("capsilon://?command=openfolder&amp;siteaddress=FAM.docvelocity-na8.net&amp;folderid=FXF93B3EBC-A865-19C6-1675-08432132100C","FX201220654")</f>
        <v>FX201220654</v>
      </c>
      <c r="F229" t="s">
        <v>19</v>
      </c>
      <c r="G229" t="s">
        <v>19</v>
      </c>
      <c r="H229" t="s">
        <v>82</v>
      </c>
      <c r="I229" t="s">
        <v>698</v>
      </c>
      <c r="J229">
        <v>66</v>
      </c>
      <c r="K229" t="s">
        <v>84</v>
      </c>
      <c r="L229" t="s">
        <v>85</v>
      </c>
      <c r="M229" t="s">
        <v>86</v>
      </c>
      <c r="N229">
        <v>3</v>
      </c>
      <c r="O229" s="1">
        <v>44202.60800925926</v>
      </c>
      <c r="P229" s="1">
        <v>44202.654641203706</v>
      </c>
      <c r="Q229">
        <v>3895</v>
      </c>
      <c r="R229">
        <v>134</v>
      </c>
      <c r="S229" t="b">
        <v>0</v>
      </c>
      <c r="T229" t="s">
        <v>87</v>
      </c>
      <c r="U229" t="b">
        <v>0</v>
      </c>
      <c r="V229" t="s">
        <v>142</v>
      </c>
      <c r="W229" s="1">
        <v>44202.609282407408</v>
      </c>
      <c r="X229">
        <v>109</v>
      </c>
      <c r="Y229">
        <v>0</v>
      </c>
      <c r="Z229">
        <v>0</v>
      </c>
      <c r="AA229">
        <v>0</v>
      </c>
      <c r="AB229">
        <v>52</v>
      </c>
      <c r="AC229">
        <v>0</v>
      </c>
      <c r="AD229">
        <v>66</v>
      </c>
      <c r="AE229">
        <v>0</v>
      </c>
      <c r="AF229">
        <v>0</v>
      </c>
      <c r="AG229">
        <v>0</v>
      </c>
      <c r="AH229" t="s">
        <v>267</v>
      </c>
      <c r="AI229" s="1">
        <v>44202.628657407404</v>
      </c>
      <c r="AJ229">
        <v>21</v>
      </c>
      <c r="AK229">
        <v>0</v>
      </c>
      <c r="AL229">
        <v>0</v>
      </c>
      <c r="AM229">
        <v>0</v>
      </c>
      <c r="AN229">
        <v>52</v>
      </c>
      <c r="AO229">
        <v>0</v>
      </c>
      <c r="AP229">
        <v>66</v>
      </c>
      <c r="AQ229">
        <v>0</v>
      </c>
      <c r="AR229">
        <v>0</v>
      </c>
      <c r="AS229">
        <v>0</v>
      </c>
      <c r="AT229" t="s">
        <v>90</v>
      </c>
      <c r="AU229" s="1">
        <v>44202.654641203706</v>
      </c>
      <c r="AV229">
        <v>4</v>
      </c>
      <c r="AW229">
        <v>0</v>
      </c>
      <c r="AX229">
        <v>0</v>
      </c>
      <c r="AY229">
        <v>0</v>
      </c>
      <c r="AZ229">
        <v>52</v>
      </c>
      <c r="BA229">
        <v>0</v>
      </c>
      <c r="BB229">
        <v>66</v>
      </c>
      <c r="BC229">
        <v>0</v>
      </c>
      <c r="BD229">
        <v>0</v>
      </c>
      <c r="BE229">
        <v>0</v>
      </c>
    </row>
    <row r="230" spans="1:57" x14ac:dyDescent="0.45">
      <c r="A230" t="s">
        <v>699</v>
      </c>
      <c r="B230" t="s">
        <v>79</v>
      </c>
      <c r="C230" t="s">
        <v>680</v>
      </c>
      <c r="D230" t="s">
        <v>81</v>
      </c>
      <c r="E230" s="2" t="str">
        <f>HYPERLINK("capsilon://?command=openfolder&amp;siteaddress=FAM.docvelocity-na8.net&amp;folderid=FX7A9ADC13-8450-EE0D-B7B2-8CCC230C24E9","FX20122320")</f>
        <v>FX20122320</v>
      </c>
      <c r="F230" t="s">
        <v>19</v>
      </c>
      <c r="G230" t="s">
        <v>19</v>
      </c>
      <c r="H230" t="s">
        <v>82</v>
      </c>
      <c r="I230" t="s">
        <v>681</v>
      </c>
      <c r="J230">
        <v>52</v>
      </c>
      <c r="K230" t="s">
        <v>84</v>
      </c>
      <c r="L230" t="s">
        <v>85</v>
      </c>
      <c r="M230" t="s">
        <v>86</v>
      </c>
      <c r="N230">
        <v>3</v>
      </c>
      <c r="O230" s="1">
        <v>44202.609409722223</v>
      </c>
      <c r="P230" s="1">
        <v>44202.628263888888</v>
      </c>
      <c r="Q230">
        <v>437</v>
      </c>
      <c r="R230">
        <v>1192</v>
      </c>
      <c r="S230" t="b">
        <v>0</v>
      </c>
      <c r="T230" t="s">
        <v>87</v>
      </c>
      <c r="U230" t="b">
        <v>1</v>
      </c>
      <c r="V230" t="s">
        <v>142</v>
      </c>
      <c r="W230" s="1">
        <v>44202.618506944447</v>
      </c>
      <c r="X230">
        <v>781</v>
      </c>
      <c r="Y230">
        <v>218</v>
      </c>
      <c r="Z230">
        <v>0</v>
      </c>
      <c r="AA230">
        <v>218</v>
      </c>
      <c r="AB230">
        <v>0</v>
      </c>
      <c r="AC230">
        <v>21</v>
      </c>
      <c r="AD230">
        <v>-166</v>
      </c>
      <c r="AE230">
        <v>0</v>
      </c>
      <c r="AF230">
        <v>0</v>
      </c>
      <c r="AG230">
        <v>0</v>
      </c>
      <c r="AH230" t="s">
        <v>267</v>
      </c>
      <c r="AI230" s="1">
        <v>44202.626967592594</v>
      </c>
      <c r="AJ230">
        <v>355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-166</v>
      </c>
      <c r="AQ230">
        <v>0</v>
      </c>
      <c r="AR230">
        <v>0</v>
      </c>
      <c r="AS230">
        <v>0</v>
      </c>
      <c r="AT230" t="s">
        <v>90</v>
      </c>
      <c r="AU230" s="1">
        <v>44202.628263888888</v>
      </c>
      <c r="AV230">
        <v>56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-166</v>
      </c>
      <c r="BC230">
        <v>0</v>
      </c>
      <c r="BD230">
        <v>0</v>
      </c>
      <c r="BE230">
        <v>0</v>
      </c>
    </row>
    <row r="231" spans="1:57" x14ac:dyDescent="0.45">
      <c r="A231" t="s">
        <v>700</v>
      </c>
      <c r="B231" t="s">
        <v>79</v>
      </c>
      <c r="C231" t="s">
        <v>540</v>
      </c>
      <c r="D231" t="s">
        <v>81</v>
      </c>
      <c r="E231" s="2" t="str">
        <f>HYPERLINK("capsilon://?command=openfolder&amp;siteaddress=FAM.docvelocity-na8.net&amp;folderid=FX29539A4A-20C6-2970-CFDF-2F325CF9FCF4","FX2101676")</f>
        <v>FX2101676</v>
      </c>
      <c r="F231" t="s">
        <v>19</v>
      </c>
      <c r="G231" t="s">
        <v>19</v>
      </c>
      <c r="H231" t="s">
        <v>82</v>
      </c>
      <c r="I231" t="s">
        <v>646</v>
      </c>
      <c r="J231">
        <v>65</v>
      </c>
      <c r="K231" t="s">
        <v>84</v>
      </c>
      <c r="L231" t="s">
        <v>85</v>
      </c>
      <c r="M231" t="s">
        <v>86</v>
      </c>
      <c r="N231">
        <v>3</v>
      </c>
      <c r="O231" s="1">
        <v>44202.614652777775</v>
      </c>
      <c r="P231" s="1">
        <v>44202.653680555559</v>
      </c>
      <c r="Q231">
        <v>560</v>
      </c>
      <c r="R231">
        <v>2812</v>
      </c>
      <c r="S231" t="b">
        <v>0</v>
      </c>
      <c r="T231" t="s">
        <v>87</v>
      </c>
      <c r="U231" t="b">
        <v>1</v>
      </c>
      <c r="V231" t="s">
        <v>168</v>
      </c>
      <c r="W231" s="1">
        <v>44202.642210648148</v>
      </c>
      <c r="X231">
        <v>2380</v>
      </c>
      <c r="Y231">
        <v>78</v>
      </c>
      <c r="Z231">
        <v>0</v>
      </c>
      <c r="AA231">
        <v>78</v>
      </c>
      <c r="AB231">
        <v>0</v>
      </c>
      <c r="AC231">
        <v>62</v>
      </c>
      <c r="AD231">
        <v>-13</v>
      </c>
      <c r="AE231">
        <v>0</v>
      </c>
      <c r="AF231">
        <v>0</v>
      </c>
      <c r="AG231">
        <v>0</v>
      </c>
      <c r="AH231" t="s">
        <v>267</v>
      </c>
      <c r="AI231" s="1">
        <v>44202.651400462964</v>
      </c>
      <c r="AJ231">
        <v>386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-13</v>
      </c>
      <c r="AQ231">
        <v>0</v>
      </c>
      <c r="AR231">
        <v>0</v>
      </c>
      <c r="AS231">
        <v>0</v>
      </c>
      <c r="AT231" t="s">
        <v>90</v>
      </c>
      <c r="AU231" s="1">
        <v>44202.653680555559</v>
      </c>
      <c r="AV231">
        <v>46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-13</v>
      </c>
      <c r="BC231">
        <v>0</v>
      </c>
      <c r="BD231">
        <v>0</v>
      </c>
      <c r="BE231">
        <v>0</v>
      </c>
    </row>
    <row r="232" spans="1:57" x14ac:dyDescent="0.45">
      <c r="A232" t="s">
        <v>701</v>
      </c>
      <c r="B232" t="s">
        <v>79</v>
      </c>
      <c r="C232" t="s">
        <v>702</v>
      </c>
      <c r="D232" t="s">
        <v>81</v>
      </c>
      <c r="E232" s="2" t="str">
        <f>HYPERLINK("capsilon://?command=openfolder&amp;siteaddress=FAM.docvelocity-na8.net&amp;folderid=FX18A485AD-66AC-0D6A-0E4B-C71461DCC148","FX21011061")</f>
        <v>FX21011061</v>
      </c>
      <c r="F232" t="s">
        <v>19</v>
      </c>
      <c r="G232" t="s">
        <v>19</v>
      </c>
      <c r="H232" t="s">
        <v>82</v>
      </c>
      <c r="I232" t="s">
        <v>703</v>
      </c>
      <c r="J232">
        <v>66</v>
      </c>
      <c r="K232" t="s">
        <v>84</v>
      </c>
      <c r="L232" t="s">
        <v>85</v>
      </c>
      <c r="M232" t="s">
        <v>86</v>
      </c>
      <c r="N232">
        <v>3</v>
      </c>
      <c r="O232" s="1">
        <v>44202.617164351854</v>
      </c>
      <c r="P232" s="1">
        <v>44202.658032407409</v>
      </c>
      <c r="Q232">
        <v>2558</v>
      </c>
      <c r="R232">
        <v>973</v>
      </c>
      <c r="S232" t="b">
        <v>0</v>
      </c>
      <c r="T232" t="s">
        <v>87</v>
      </c>
      <c r="U232" t="b">
        <v>0</v>
      </c>
      <c r="V232" t="s">
        <v>259</v>
      </c>
      <c r="W232" s="1">
        <v>44202.624768518515</v>
      </c>
      <c r="X232">
        <v>608</v>
      </c>
      <c r="Y232">
        <v>53</v>
      </c>
      <c r="Z232">
        <v>0</v>
      </c>
      <c r="AA232">
        <v>53</v>
      </c>
      <c r="AB232">
        <v>0</v>
      </c>
      <c r="AC232">
        <v>31</v>
      </c>
      <c r="AD232">
        <v>13</v>
      </c>
      <c r="AE232">
        <v>0</v>
      </c>
      <c r="AF232">
        <v>0</v>
      </c>
      <c r="AG232">
        <v>0</v>
      </c>
      <c r="AH232" t="s">
        <v>267</v>
      </c>
      <c r="AI232" s="1">
        <v>44202.629513888889</v>
      </c>
      <c r="AJ232">
        <v>73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13</v>
      </c>
      <c r="AQ232">
        <v>0</v>
      </c>
      <c r="AR232">
        <v>0</v>
      </c>
      <c r="AS232">
        <v>0</v>
      </c>
      <c r="AT232" t="s">
        <v>90</v>
      </c>
      <c r="AU232" s="1">
        <v>44202.658032407409</v>
      </c>
      <c r="AV232">
        <v>292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13</v>
      </c>
      <c r="BC232">
        <v>0</v>
      </c>
      <c r="BD232">
        <v>0</v>
      </c>
      <c r="BE232">
        <v>0</v>
      </c>
    </row>
    <row r="233" spans="1:57" x14ac:dyDescent="0.45">
      <c r="A233" t="s">
        <v>704</v>
      </c>
      <c r="B233" t="s">
        <v>79</v>
      </c>
      <c r="C233" t="s">
        <v>705</v>
      </c>
      <c r="D233" t="s">
        <v>81</v>
      </c>
      <c r="E233" s="2" t="str">
        <f>HYPERLINK("capsilon://?command=openfolder&amp;siteaddress=FAM.docvelocity-na8.net&amp;folderid=FX64969662-02AC-8565-8425-E41E251B3F86","FX201221237")</f>
        <v>FX201221237</v>
      </c>
      <c r="F233" t="s">
        <v>19</v>
      </c>
      <c r="G233" t="s">
        <v>19</v>
      </c>
      <c r="H233" t="s">
        <v>82</v>
      </c>
      <c r="I233" t="s">
        <v>706</v>
      </c>
      <c r="J233">
        <v>66</v>
      </c>
      <c r="K233" t="s">
        <v>84</v>
      </c>
      <c r="L233" t="s">
        <v>85</v>
      </c>
      <c r="M233" t="s">
        <v>86</v>
      </c>
      <c r="N233">
        <v>3</v>
      </c>
      <c r="O233" s="1">
        <v>44200.29855324074</v>
      </c>
      <c r="P233" s="1">
        <v>44200.354247685187</v>
      </c>
      <c r="Q233">
        <v>3673</v>
      </c>
      <c r="R233">
        <v>1139</v>
      </c>
      <c r="S233" t="b">
        <v>0</v>
      </c>
      <c r="T233" t="s">
        <v>87</v>
      </c>
      <c r="U233" t="b">
        <v>0</v>
      </c>
      <c r="V233" t="s">
        <v>88</v>
      </c>
      <c r="W233" s="1">
        <v>44200.305578703701</v>
      </c>
      <c r="X233">
        <v>583</v>
      </c>
      <c r="Y233">
        <v>52</v>
      </c>
      <c r="Z233">
        <v>0</v>
      </c>
      <c r="AA233">
        <v>52</v>
      </c>
      <c r="AB233">
        <v>0</v>
      </c>
      <c r="AC233">
        <v>38</v>
      </c>
      <c r="AD233">
        <v>14</v>
      </c>
      <c r="AE233">
        <v>0</v>
      </c>
      <c r="AF233">
        <v>0</v>
      </c>
      <c r="AG233">
        <v>0</v>
      </c>
      <c r="AH233" t="s">
        <v>89</v>
      </c>
      <c r="AI233" s="1">
        <v>44200.311527777776</v>
      </c>
      <c r="AJ233">
        <v>481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14</v>
      </c>
      <c r="AQ233">
        <v>0</v>
      </c>
      <c r="AR233">
        <v>0</v>
      </c>
      <c r="AS233">
        <v>0</v>
      </c>
      <c r="AT233" t="s">
        <v>90</v>
      </c>
      <c r="AU233" s="1">
        <v>44200.354247685187</v>
      </c>
      <c r="AV233">
        <v>75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14</v>
      </c>
      <c r="BC233">
        <v>0</v>
      </c>
      <c r="BD233">
        <v>0</v>
      </c>
      <c r="BE233">
        <v>0</v>
      </c>
    </row>
    <row r="234" spans="1:57" x14ac:dyDescent="0.45">
      <c r="A234" t="s">
        <v>707</v>
      </c>
      <c r="B234" t="s">
        <v>79</v>
      </c>
      <c r="C234" t="s">
        <v>708</v>
      </c>
      <c r="D234" t="s">
        <v>81</v>
      </c>
      <c r="E234" s="2" t="str">
        <f>HYPERLINK("capsilon://?command=openfolder&amp;siteaddress=FAM.docvelocity-na8.net&amp;folderid=FX95C5E21E-EC4B-060F-C3C4-71089E55CEFF","FX20125696")</f>
        <v>FX20125696</v>
      </c>
      <c r="F234" t="s">
        <v>19</v>
      </c>
      <c r="G234" t="s">
        <v>19</v>
      </c>
      <c r="H234" t="s">
        <v>82</v>
      </c>
      <c r="I234" t="s">
        <v>709</v>
      </c>
      <c r="J234">
        <v>66</v>
      </c>
      <c r="K234" t="s">
        <v>84</v>
      </c>
      <c r="L234" t="s">
        <v>85</v>
      </c>
      <c r="M234" t="s">
        <v>86</v>
      </c>
      <c r="N234">
        <v>3</v>
      </c>
      <c r="O234" s="1">
        <v>44200.300682870373</v>
      </c>
      <c r="P234" s="1">
        <v>44200.354780092595</v>
      </c>
      <c r="Q234">
        <v>3207</v>
      </c>
      <c r="R234">
        <v>1467</v>
      </c>
      <c r="S234" t="b">
        <v>0</v>
      </c>
      <c r="T234" t="s">
        <v>87</v>
      </c>
      <c r="U234" t="b">
        <v>0</v>
      </c>
      <c r="V234" t="s">
        <v>88</v>
      </c>
      <c r="W234" s="1">
        <v>44200.316331018519</v>
      </c>
      <c r="X234">
        <v>928</v>
      </c>
      <c r="Y234">
        <v>52</v>
      </c>
      <c r="Z234">
        <v>0</v>
      </c>
      <c r="AA234">
        <v>52</v>
      </c>
      <c r="AB234">
        <v>0</v>
      </c>
      <c r="AC234">
        <v>36</v>
      </c>
      <c r="AD234">
        <v>14</v>
      </c>
      <c r="AE234">
        <v>0</v>
      </c>
      <c r="AF234">
        <v>0</v>
      </c>
      <c r="AG234">
        <v>0</v>
      </c>
      <c r="AH234" t="s">
        <v>89</v>
      </c>
      <c r="AI234" s="1">
        <v>44200.323240740741</v>
      </c>
      <c r="AJ234">
        <v>494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14</v>
      </c>
      <c r="AQ234">
        <v>0</v>
      </c>
      <c r="AR234">
        <v>0</v>
      </c>
      <c r="AS234">
        <v>0</v>
      </c>
      <c r="AT234" t="s">
        <v>90</v>
      </c>
      <c r="AU234" s="1">
        <v>44200.354780092595</v>
      </c>
      <c r="AV234">
        <v>45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14</v>
      </c>
      <c r="BC234">
        <v>0</v>
      </c>
      <c r="BD234">
        <v>0</v>
      </c>
      <c r="BE234">
        <v>0</v>
      </c>
    </row>
    <row r="235" spans="1:57" x14ac:dyDescent="0.45">
      <c r="A235" t="s">
        <v>710</v>
      </c>
      <c r="B235" t="s">
        <v>79</v>
      </c>
      <c r="C235" t="s">
        <v>711</v>
      </c>
      <c r="D235" t="s">
        <v>81</v>
      </c>
      <c r="E235" s="2" t="str">
        <f>HYPERLINK("capsilon://?command=openfolder&amp;siteaddress=FAM.docvelocity-na8.net&amp;folderid=FXE0D62290-4292-EF1D-6B30-2E469E3BBA8D","FX20126582")</f>
        <v>FX20126582</v>
      </c>
      <c r="F235" t="s">
        <v>19</v>
      </c>
      <c r="G235" t="s">
        <v>19</v>
      </c>
      <c r="H235" t="s">
        <v>82</v>
      </c>
      <c r="I235" t="s">
        <v>712</v>
      </c>
      <c r="J235">
        <v>66</v>
      </c>
      <c r="K235" t="s">
        <v>84</v>
      </c>
      <c r="L235" t="s">
        <v>85</v>
      </c>
      <c r="M235" t="s">
        <v>86</v>
      </c>
      <c r="N235">
        <v>3</v>
      </c>
      <c r="O235" s="1">
        <v>44200.310844907406</v>
      </c>
      <c r="P235" s="1">
        <v>44200.355081018519</v>
      </c>
      <c r="Q235">
        <v>2193</v>
      </c>
      <c r="R235">
        <v>1629</v>
      </c>
      <c r="S235" t="b">
        <v>0</v>
      </c>
      <c r="T235" t="s">
        <v>87</v>
      </c>
      <c r="U235" t="b">
        <v>0</v>
      </c>
      <c r="V235" t="s">
        <v>98</v>
      </c>
      <c r="W235" s="1">
        <v>44200.320798611108</v>
      </c>
      <c r="X235">
        <v>856</v>
      </c>
      <c r="Y235">
        <v>52</v>
      </c>
      <c r="Z235">
        <v>0</v>
      </c>
      <c r="AA235">
        <v>52</v>
      </c>
      <c r="AB235">
        <v>0</v>
      </c>
      <c r="AC235">
        <v>25</v>
      </c>
      <c r="AD235">
        <v>14</v>
      </c>
      <c r="AE235">
        <v>0</v>
      </c>
      <c r="AF235">
        <v>0</v>
      </c>
      <c r="AG235">
        <v>0</v>
      </c>
      <c r="AH235" t="s">
        <v>94</v>
      </c>
      <c r="AI235" s="1">
        <v>44200.329467592594</v>
      </c>
      <c r="AJ235">
        <v>689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14</v>
      </c>
      <c r="AQ235">
        <v>0</v>
      </c>
      <c r="AR235">
        <v>0</v>
      </c>
      <c r="AS235">
        <v>0</v>
      </c>
      <c r="AT235" t="s">
        <v>90</v>
      </c>
      <c r="AU235" s="1">
        <v>44200.355081018519</v>
      </c>
      <c r="AV235">
        <v>26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14</v>
      </c>
      <c r="BC235">
        <v>0</v>
      </c>
      <c r="BD235">
        <v>0</v>
      </c>
      <c r="BE235">
        <v>0</v>
      </c>
    </row>
    <row r="236" spans="1:57" x14ac:dyDescent="0.45">
      <c r="A236" t="s">
        <v>713</v>
      </c>
      <c r="B236" t="s">
        <v>79</v>
      </c>
      <c r="C236" t="s">
        <v>714</v>
      </c>
      <c r="D236" t="s">
        <v>81</v>
      </c>
      <c r="E236" s="2" t="str">
        <f>HYPERLINK("capsilon://?command=openfolder&amp;siteaddress=FAM.docvelocity-na8.net&amp;folderid=FX9DD83F41-93B3-B80D-879E-295696720A18","FX201221401")</f>
        <v>FX201221401</v>
      </c>
      <c r="F236" t="s">
        <v>19</v>
      </c>
      <c r="G236" t="s">
        <v>19</v>
      </c>
      <c r="H236" t="s">
        <v>82</v>
      </c>
      <c r="I236" t="s">
        <v>715</v>
      </c>
      <c r="J236">
        <v>66</v>
      </c>
      <c r="K236" t="s">
        <v>84</v>
      </c>
      <c r="L236" t="s">
        <v>85</v>
      </c>
      <c r="M236" t="s">
        <v>86</v>
      </c>
      <c r="N236">
        <v>3</v>
      </c>
      <c r="O236" s="1">
        <v>44200.322812500002</v>
      </c>
      <c r="P236" s="1">
        <v>44200.35564814815</v>
      </c>
      <c r="Q236">
        <v>994</v>
      </c>
      <c r="R236">
        <v>1843</v>
      </c>
      <c r="S236" t="b">
        <v>0</v>
      </c>
      <c r="T236" t="s">
        <v>87</v>
      </c>
      <c r="U236" t="b">
        <v>0</v>
      </c>
      <c r="V236" t="s">
        <v>98</v>
      </c>
      <c r="W236" s="1">
        <v>44200.338738425926</v>
      </c>
      <c r="X236">
        <v>1312</v>
      </c>
      <c r="Y236">
        <v>52</v>
      </c>
      <c r="Z236">
        <v>0</v>
      </c>
      <c r="AA236">
        <v>52</v>
      </c>
      <c r="AB236">
        <v>0</v>
      </c>
      <c r="AC236">
        <v>37</v>
      </c>
      <c r="AD236">
        <v>14</v>
      </c>
      <c r="AE236">
        <v>0</v>
      </c>
      <c r="AF236">
        <v>0</v>
      </c>
      <c r="AG236">
        <v>0</v>
      </c>
      <c r="AH236" t="s">
        <v>89</v>
      </c>
      <c r="AI236" s="1">
        <v>44200.34516203704</v>
      </c>
      <c r="AJ236">
        <v>483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14</v>
      </c>
      <c r="AQ236">
        <v>0</v>
      </c>
      <c r="AR236">
        <v>0</v>
      </c>
      <c r="AS236">
        <v>0</v>
      </c>
      <c r="AT236" t="s">
        <v>90</v>
      </c>
      <c r="AU236" s="1">
        <v>44200.35564814815</v>
      </c>
      <c r="AV236">
        <v>48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14</v>
      </c>
      <c r="BC236">
        <v>0</v>
      </c>
      <c r="BD236">
        <v>0</v>
      </c>
      <c r="BE236">
        <v>0</v>
      </c>
    </row>
    <row r="237" spans="1:57" hidden="1" x14ac:dyDescent="0.45">
      <c r="A237" t="s">
        <v>716</v>
      </c>
      <c r="B237" t="s">
        <v>79</v>
      </c>
      <c r="C237" t="s">
        <v>717</v>
      </c>
      <c r="D237" t="s">
        <v>81</v>
      </c>
      <c r="E237" s="2" t="str">
        <f>HYPERLINK("capsilon://?command=openfolder&amp;siteaddress=FAM.docvelocity-na8.net&amp;folderid=FX32E1B3EC-F6FF-50E9-8A4F-7ECCA3572469","FX201221295")</f>
        <v>FX201221295</v>
      </c>
      <c r="F237" t="s">
        <v>19</v>
      </c>
      <c r="G237" t="s">
        <v>19</v>
      </c>
      <c r="H237" t="s">
        <v>82</v>
      </c>
      <c r="I237" t="s">
        <v>718</v>
      </c>
      <c r="J237">
        <v>66</v>
      </c>
      <c r="K237" t="s">
        <v>84</v>
      </c>
      <c r="L237" t="s">
        <v>85</v>
      </c>
      <c r="M237" t="s">
        <v>86</v>
      </c>
      <c r="N237">
        <v>1</v>
      </c>
      <c r="O237" s="1">
        <v>44202.629675925928</v>
      </c>
      <c r="P237" s="1">
        <v>44202.631504629629</v>
      </c>
      <c r="Q237">
        <v>64</v>
      </c>
      <c r="R237">
        <v>94</v>
      </c>
      <c r="S237" t="b">
        <v>0</v>
      </c>
      <c r="T237" t="s">
        <v>87</v>
      </c>
      <c r="U237" t="b">
        <v>0</v>
      </c>
      <c r="V237" t="s">
        <v>266</v>
      </c>
      <c r="W237" s="1">
        <v>44202.631504629629</v>
      </c>
      <c r="X237">
        <v>94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66</v>
      </c>
      <c r="AE237">
        <v>52</v>
      </c>
      <c r="AF237">
        <v>0</v>
      </c>
      <c r="AG237">
        <v>1</v>
      </c>
      <c r="AH237" t="s">
        <v>87</v>
      </c>
      <c r="AI237" t="s">
        <v>87</v>
      </c>
      <c r="AJ237" t="s">
        <v>87</v>
      </c>
      <c r="AK237" t="s">
        <v>87</v>
      </c>
      <c r="AL237" t="s">
        <v>87</v>
      </c>
      <c r="AM237" t="s">
        <v>87</v>
      </c>
      <c r="AN237" t="s">
        <v>87</v>
      </c>
      <c r="AO237" t="s">
        <v>87</v>
      </c>
      <c r="AP237" t="s">
        <v>87</v>
      </c>
      <c r="AQ237" t="s">
        <v>87</v>
      </c>
      <c r="AR237" t="s">
        <v>87</v>
      </c>
      <c r="AS237" t="s">
        <v>87</v>
      </c>
      <c r="AT237" t="s">
        <v>87</v>
      </c>
      <c r="AU237" t="s">
        <v>87</v>
      </c>
      <c r="AV237" t="s">
        <v>87</v>
      </c>
      <c r="AW237" t="s">
        <v>87</v>
      </c>
      <c r="AX237" t="s">
        <v>87</v>
      </c>
      <c r="AY237" t="s">
        <v>87</v>
      </c>
      <c r="AZ237" t="s">
        <v>87</v>
      </c>
      <c r="BA237" t="s">
        <v>87</v>
      </c>
      <c r="BB237" t="s">
        <v>87</v>
      </c>
      <c r="BC237" t="s">
        <v>87</v>
      </c>
      <c r="BD237" t="s">
        <v>87</v>
      </c>
      <c r="BE237" t="s">
        <v>87</v>
      </c>
    </row>
    <row r="238" spans="1:57" x14ac:dyDescent="0.45">
      <c r="A238" t="s">
        <v>719</v>
      </c>
      <c r="B238" t="s">
        <v>79</v>
      </c>
      <c r="C238" t="s">
        <v>717</v>
      </c>
      <c r="D238" t="s">
        <v>81</v>
      </c>
      <c r="E238" s="2" t="str">
        <f>HYPERLINK("capsilon://?command=openfolder&amp;siteaddress=FAM.docvelocity-na8.net&amp;folderid=FX32E1B3EC-F6FF-50E9-8A4F-7ECCA3572469","FX201221295")</f>
        <v>FX201221295</v>
      </c>
      <c r="F238" t="s">
        <v>19</v>
      </c>
      <c r="G238" t="s">
        <v>19</v>
      </c>
      <c r="H238" t="s">
        <v>82</v>
      </c>
      <c r="I238" t="s">
        <v>718</v>
      </c>
      <c r="J238">
        <v>38</v>
      </c>
      <c r="K238" t="s">
        <v>84</v>
      </c>
      <c r="L238" t="s">
        <v>85</v>
      </c>
      <c r="M238" t="s">
        <v>86</v>
      </c>
      <c r="N238">
        <v>3</v>
      </c>
      <c r="O238" s="1">
        <v>44202.632025462961</v>
      </c>
      <c r="P238" s="1">
        <v>44202.642442129632</v>
      </c>
      <c r="Q238">
        <v>312</v>
      </c>
      <c r="R238">
        <v>588</v>
      </c>
      <c r="S238" t="b">
        <v>0</v>
      </c>
      <c r="T238" t="s">
        <v>87</v>
      </c>
      <c r="U238" t="b">
        <v>1</v>
      </c>
      <c r="V238" t="s">
        <v>259</v>
      </c>
      <c r="W238" s="1">
        <v>44202.637245370373</v>
      </c>
      <c r="X238">
        <v>450</v>
      </c>
      <c r="Y238">
        <v>37</v>
      </c>
      <c r="Z238">
        <v>0</v>
      </c>
      <c r="AA238">
        <v>37</v>
      </c>
      <c r="AB238">
        <v>0</v>
      </c>
      <c r="AC238">
        <v>19</v>
      </c>
      <c r="AD238">
        <v>1</v>
      </c>
      <c r="AE238">
        <v>0</v>
      </c>
      <c r="AF238">
        <v>0</v>
      </c>
      <c r="AG238">
        <v>0</v>
      </c>
      <c r="AH238" t="s">
        <v>128</v>
      </c>
      <c r="AI238" s="1">
        <v>44202.641805555555</v>
      </c>
      <c r="AJ238">
        <v>132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 t="s">
        <v>90</v>
      </c>
      <c r="AU238" s="1">
        <v>44202.642442129632</v>
      </c>
      <c r="AV238">
        <v>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</row>
    <row r="239" spans="1:57" hidden="1" x14ac:dyDescent="0.45">
      <c r="A239" t="s">
        <v>720</v>
      </c>
      <c r="B239" t="s">
        <v>79</v>
      </c>
      <c r="C239" t="s">
        <v>721</v>
      </c>
      <c r="D239" t="s">
        <v>81</v>
      </c>
      <c r="E239" s="2" t="str">
        <f>HYPERLINK("capsilon://?command=openfolder&amp;siteaddress=FAM.docvelocity-na8.net&amp;folderid=FX7BF04A2E-0FFA-3648-2B8D-3432717D2FF5","FX201210988")</f>
        <v>FX201210988</v>
      </c>
      <c r="F239" t="s">
        <v>19</v>
      </c>
      <c r="G239" t="s">
        <v>19</v>
      </c>
      <c r="H239" t="s">
        <v>82</v>
      </c>
      <c r="I239" t="s">
        <v>722</v>
      </c>
      <c r="J239">
        <v>66</v>
      </c>
      <c r="K239" t="s">
        <v>84</v>
      </c>
      <c r="L239" t="s">
        <v>85</v>
      </c>
      <c r="M239" t="s">
        <v>86</v>
      </c>
      <c r="N239">
        <v>1</v>
      </c>
      <c r="O239" s="1">
        <v>44202.633101851854</v>
      </c>
      <c r="P239" s="1">
        <v>44202.634583333333</v>
      </c>
      <c r="Q239">
        <v>66</v>
      </c>
      <c r="R239">
        <v>62</v>
      </c>
      <c r="S239" t="b">
        <v>0</v>
      </c>
      <c r="T239" t="s">
        <v>87</v>
      </c>
      <c r="U239" t="b">
        <v>0</v>
      </c>
      <c r="V239" t="s">
        <v>262</v>
      </c>
      <c r="W239" s="1">
        <v>44202.634583333333</v>
      </c>
      <c r="X239">
        <v>62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66</v>
      </c>
      <c r="AE239">
        <v>52</v>
      </c>
      <c r="AF239">
        <v>0</v>
      </c>
      <c r="AG239">
        <v>1</v>
      </c>
      <c r="AH239" t="s">
        <v>87</v>
      </c>
      <c r="AI239" t="s">
        <v>87</v>
      </c>
      <c r="AJ239" t="s">
        <v>87</v>
      </c>
      <c r="AK239" t="s">
        <v>87</v>
      </c>
      <c r="AL239" t="s">
        <v>87</v>
      </c>
      <c r="AM239" t="s">
        <v>87</v>
      </c>
      <c r="AN239" t="s">
        <v>87</v>
      </c>
      <c r="AO239" t="s">
        <v>87</v>
      </c>
      <c r="AP239" t="s">
        <v>87</v>
      </c>
      <c r="AQ239" t="s">
        <v>87</v>
      </c>
      <c r="AR239" t="s">
        <v>87</v>
      </c>
      <c r="AS239" t="s">
        <v>87</v>
      </c>
      <c r="AT239" t="s">
        <v>87</v>
      </c>
      <c r="AU239" t="s">
        <v>87</v>
      </c>
      <c r="AV239" t="s">
        <v>87</v>
      </c>
      <c r="AW239" t="s">
        <v>87</v>
      </c>
      <c r="AX239" t="s">
        <v>87</v>
      </c>
      <c r="AY239" t="s">
        <v>87</v>
      </c>
      <c r="AZ239" t="s">
        <v>87</v>
      </c>
      <c r="BA239" t="s">
        <v>87</v>
      </c>
      <c r="BB239" t="s">
        <v>87</v>
      </c>
      <c r="BC239" t="s">
        <v>87</v>
      </c>
      <c r="BD239" t="s">
        <v>87</v>
      </c>
      <c r="BE239" t="s">
        <v>87</v>
      </c>
    </row>
    <row r="240" spans="1:57" x14ac:dyDescent="0.45">
      <c r="A240" t="s">
        <v>723</v>
      </c>
      <c r="B240" t="s">
        <v>79</v>
      </c>
      <c r="C240" t="s">
        <v>721</v>
      </c>
      <c r="D240" t="s">
        <v>81</v>
      </c>
      <c r="E240" s="2" t="str">
        <f>HYPERLINK("capsilon://?command=openfolder&amp;siteaddress=FAM.docvelocity-na8.net&amp;folderid=FX7BF04A2E-0FFA-3648-2B8D-3432717D2FF5","FX201210988")</f>
        <v>FX201210988</v>
      </c>
      <c r="F240" t="s">
        <v>19</v>
      </c>
      <c r="G240" t="s">
        <v>19</v>
      </c>
      <c r="H240" t="s">
        <v>82</v>
      </c>
      <c r="I240" t="s">
        <v>722</v>
      </c>
      <c r="J240">
        <v>38</v>
      </c>
      <c r="K240" t="s">
        <v>84</v>
      </c>
      <c r="L240" t="s">
        <v>85</v>
      </c>
      <c r="M240" t="s">
        <v>86</v>
      </c>
      <c r="N240">
        <v>3</v>
      </c>
      <c r="O240" s="1">
        <v>44202.63486111111</v>
      </c>
      <c r="P240" s="1">
        <v>44202.65042824074</v>
      </c>
      <c r="Q240">
        <v>517</v>
      </c>
      <c r="R240">
        <v>828</v>
      </c>
      <c r="S240" t="b">
        <v>0</v>
      </c>
      <c r="T240" t="s">
        <v>87</v>
      </c>
      <c r="U240" t="b">
        <v>1</v>
      </c>
      <c r="V240" t="s">
        <v>262</v>
      </c>
      <c r="W240" s="1">
        <v>44202.642152777778</v>
      </c>
      <c r="X240">
        <v>625</v>
      </c>
      <c r="Y240">
        <v>37</v>
      </c>
      <c r="Z240">
        <v>0</v>
      </c>
      <c r="AA240">
        <v>37</v>
      </c>
      <c r="AB240">
        <v>0</v>
      </c>
      <c r="AC240">
        <v>34</v>
      </c>
      <c r="AD240">
        <v>1</v>
      </c>
      <c r="AE240">
        <v>0</v>
      </c>
      <c r="AF240">
        <v>0</v>
      </c>
      <c r="AG240">
        <v>0</v>
      </c>
      <c r="AH240" t="s">
        <v>128</v>
      </c>
      <c r="AI240" s="1">
        <v>44202.649259259262</v>
      </c>
      <c r="AJ240">
        <v>198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 t="s">
        <v>90</v>
      </c>
      <c r="AU240" s="1">
        <v>44202.65042824074</v>
      </c>
      <c r="AV240">
        <v>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</row>
    <row r="241" spans="1:57" hidden="1" x14ac:dyDescent="0.45">
      <c r="A241" t="s">
        <v>724</v>
      </c>
      <c r="B241" t="s">
        <v>79</v>
      </c>
      <c r="C241" t="s">
        <v>725</v>
      </c>
      <c r="D241" t="s">
        <v>81</v>
      </c>
      <c r="E241" s="2" t="str">
        <f>HYPERLINK("capsilon://?command=openfolder&amp;siteaddress=FAM.docvelocity-na8.net&amp;folderid=FXBC27C59B-749F-6CC0-83BA-A4CE148D6ABE","FX20123310")</f>
        <v>FX20123310</v>
      </c>
      <c r="F241" t="s">
        <v>19</v>
      </c>
      <c r="G241" t="s">
        <v>19</v>
      </c>
      <c r="H241" t="s">
        <v>82</v>
      </c>
      <c r="I241" t="s">
        <v>726</v>
      </c>
      <c r="J241">
        <v>66</v>
      </c>
      <c r="K241" t="s">
        <v>84</v>
      </c>
      <c r="L241" t="s">
        <v>85</v>
      </c>
      <c r="M241" t="s">
        <v>86</v>
      </c>
      <c r="N241">
        <v>3</v>
      </c>
      <c r="O241" s="1">
        <v>44200.329687500001</v>
      </c>
      <c r="P241" s="1">
        <v>44200.355694444443</v>
      </c>
      <c r="Q241">
        <v>2013</v>
      </c>
      <c r="R241">
        <v>234</v>
      </c>
      <c r="S241" t="b">
        <v>0</v>
      </c>
      <c r="T241" t="s">
        <v>87</v>
      </c>
      <c r="U241" t="b">
        <v>0</v>
      </c>
      <c r="V241" t="s">
        <v>88</v>
      </c>
      <c r="W241" s="1">
        <v>44200.332673611112</v>
      </c>
      <c r="X241">
        <v>161</v>
      </c>
      <c r="Y241">
        <v>0</v>
      </c>
      <c r="Z241">
        <v>0</v>
      </c>
      <c r="AA241">
        <v>0</v>
      </c>
      <c r="AB241">
        <v>52</v>
      </c>
      <c r="AC241">
        <v>0</v>
      </c>
      <c r="AD241">
        <v>66</v>
      </c>
      <c r="AE241">
        <v>0</v>
      </c>
      <c r="AF241">
        <v>0</v>
      </c>
      <c r="AG241">
        <v>0</v>
      </c>
      <c r="AH241" t="s">
        <v>89</v>
      </c>
      <c r="AI241" s="1">
        <v>44200.334502314814</v>
      </c>
      <c r="AJ241">
        <v>69</v>
      </c>
      <c r="AK241">
        <v>0</v>
      </c>
      <c r="AL241">
        <v>0</v>
      </c>
      <c r="AM241">
        <v>0</v>
      </c>
      <c r="AN241">
        <v>52</v>
      </c>
      <c r="AO241">
        <v>0</v>
      </c>
      <c r="AP241">
        <v>66</v>
      </c>
      <c r="AQ241">
        <v>0</v>
      </c>
      <c r="AR241">
        <v>0</v>
      </c>
      <c r="AS241">
        <v>0</v>
      </c>
      <c r="AT241" t="s">
        <v>90</v>
      </c>
      <c r="AU241" s="1">
        <v>44200.355694444443</v>
      </c>
      <c r="AV241">
        <v>4</v>
      </c>
      <c r="AW241">
        <v>0</v>
      </c>
      <c r="AX241">
        <v>0</v>
      </c>
      <c r="AY241">
        <v>0</v>
      </c>
      <c r="AZ241">
        <v>52</v>
      </c>
      <c r="BA241">
        <v>0</v>
      </c>
      <c r="BB241">
        <v>66</v>
      </c>
      <c r="BC241">
        <v>0</v>
      </c>
      <c r="BD241">
        <v>0</v>
      </c>
      <c r="BE241">
        <v>0</v>
      </c>
    </row>
    <row r="242" spans="1:57" x14ac:dyDescent="0.45">
      <c r="A242" t="s">
        <v>727</v>
      </c>
      <c r="B242" t="s">
        <v>79</v>
      </c>
      <c r="C242" t="s">
        <v>728</v>
      </c>
      <c r="D242" t="s">
        <v>81</v>
      </c>
      <c r="E242" s="2" t="str">
        <f>HYPERLINK("capsilon://?command=openfolder&amp;siteaddress=FAM.docvelocity-na8.net&amp;folderid=FX9F73CD60-3BDA-1A98-B55E-DDDD87DAE2D4","FX201213252")</f>
        <v>FX201213252</v>
      </c>
      <c r="F242" t="s">
        <v>19</v>
      </c>
      <c r="G242" t="s">
        <v>19</v>
      </c>
      <c r="H242" t="s">
        <v>82</v>
      </c>
      <c r="I242" t="s">
        <v>729</v>
      </c>
      <c r="J242">
        <v>56</v>
      </c>
      <c r="K242" t="s">
        <v>84</v>
      </c>
      <c r="L242" t="s">
        <v>85</v>
      </c>
      <c r="M242" t="s">
        <v>86</v>
      </c>
      <c r="N242">
        <v>3</v>
      </c>
      <c r="O242" s="1">
        <v>44202.63758101852</v>
      </c>
      <c r="P242" s="1">
        <v>44202.65896990741</v>
      </c>
      <c r="Q242">
        <v>1159</v>
      </c>
      <c r="R242">
        <v>689</v>
      </c>
      <c r="S242" t="b">
        <v>0</v>
      </c>
      <c r="T242" t="s">
        <v>87</v>
      </c>
      <c r="U242" t="b">
        <v>0</v>
      </c>
      <c r="V242" t="s">
        <v>171</v>
      </c>
      <c r="W242" s="1">
        <v>44202.643391203703</v>
      </c>
      <c r="X242">
        <v>407</v>
      </c>
      <c r="Y242">
        <v>52</v>
      </c>
      <c r="Z242">
        <v>0</v>
      </c>
      <c r="AA242">
        <v>52</v>
      </c>
      <c r="AB242">
        <v>0</v>
      </c>
      <c r="AC242">
        <v>6</v>
      </c>
      <c r="AD242">
        <v>4</v>
      </c>
      <c r="AE242">
        <v>0</v>
      </c>
      <c r="AF242">
        <v>0</v>
      </c>
      <c r="AG242">
        <v>0</v>
      </c>
      <c r="AH242" t="s">
        <v>128</v>
      </c>
      <c r="AI242" s="1">
        <v>44202.651608796295</v>
      </c>
      <c r="AJ242">
        <v>202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</v>
      </c>
      <c r="AQ242">
        <v>0</v>
      </c>
      <c r="AR242">
        <v>0</v>
      </c>
      <c r="AS242">
        <v>0</v>
      </c>
      <c r="AT242" t="s">
        <v>90</v>
      </c>
      <c r="AU242" s="1">
        <v>44202.65896990741</v>
      </c>
      <c r="AV242">
        <v>80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4</v>
      </c>
      <c r="BC242">
        <v>0</v>
      </c>
      <c r="BD242">
        <v>0</v>
      </c>
      <c r="BE242">
        <v>0</v>
      </c>
    </row>
    <row r="243" spans="1:57" x14ac:dyDescent="0.45">
      <c r="A243" t="s">
        <v>730</v>
      </c>
      <c r="B243" t="s">
        <v>79</v>
      </c>
      <c r="C243" t="s">
        <v>731</v>
      </c>
      <c r="D243" t="s">
        <v>81</v>
      </c>
      <c r="E243" s="2" t="str">
        <f>HYPERLINK("capsilon://?command=openfolder&amp;siteaddress=FAM.docvelocity-na8.net&amp;folderid=FX0B0F09D1-460A-747F-C254-262BCA1D2CC4","FX201229345")</f>
        <v>FX201229345</v>
      </c>
      <c r="F243" t="s">
        <v>19</v>
      </c>
      <c r="G243" t="s">
        <v>19</v>
      </c>
      <c r="H243" t="s">
        <v>82</v>
      </c>
      <c r="I243" t="s">
        <v>732</v>
      </c>
      <c r="J243">
        <v>380</v>
      </c>
      <c r="K243" t="s">
        <v>84</v>
      </c>
      <c r="L243" t="s">
        <v>85</v>
      </c>
      <c r="M243" t="s">
        <v>86</v>
      </c>
      <c r="N243">
        <v>3</v>
      </c>
      <c r="O243" s="1">
        <v>44200.33390046296</v>
      </c>
      <c r="P243" s="1">
        <v>44200.41511574074</v>
      </c>
      <c r="Q243">
        <v>857</v>
      </c>
      <c r="R243">
        <v>6160</v>
      </c>
      <c r="S243" t="b">
        <v>0</v>
      </c>
      <c r="T243" t="s">
        <v>87</v>
      </c>
      <c r="U243" t="b">
        <v>0</v>
      </c>
      <c r="V243" t="s">
        <v>419</v>
      </c>
      <c r="W243" s="1">
        <v>44200.374976851854</v>
      </c>
      <c r="X243">
        <v>3511</v>
      </c>
      <c r="Y243">
        <v>342</v>
      </c>
      <c r="Z243">
        <v>0</v>
      </c>
      <c r="AA243">
        <v>342</v>
      </c>
      <c r="AB243">
        <v>0</v>
      </c>
      <c r="AC243">
        <v>191</v>
      </c>
      <c r="AD243">
        <v>38</v>
      </c>
      <c r="AE243">
        <v>0</v>
      </c>
      <c r="AF243">
        <v>0</v>
      </c>
      <c r="AG243">
        <v>0</v>
      </c>
      <c r="AH243" t="s">
        <v>89</v>
      </c>
      <c r="AI243" s="1">
        <v>44200.40898148148</v>
      </c>
      <c r="AJ243">
        <v>2577</v>
      </c>
      <c r="AK243">
        <v>2</v>
      </c>
      <c r="AL243">
        <v>0</v>
      </c>
      <c r="AM243">
        <v>2</v>
      </c>
      <c r="AN243">
        <v>0</v>
      </c>
      <c r="AO243">
        <v>1</v>
      </c>
      <c r="AP243">
        <v>36</v>
      </c>
      <c r="AQ243">
        <v>0</v>
      </c>
      <c r="AR243">
        <v>0</v>
      </c>
      <c r="AS243">
        <v>0</v>
      </c>
      <c r="AT243" t="s">
        <v>90</v>
      </c>
      <c r="AU243" s="1">
        <v>44200.41511574074</v>
      </c>
      <c r="AV243">
        <v>61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36</v>
      </c>
      <c r="BC243">
        <v>0</v>
      </c>
      <c r="BD243">
        <v>0</v>
      </c>
      <c r="BE243">
        <v>0</v>
      </c>
    </row>
    <row r="244" spans="1:57" x14ac:dyDescent="0.45">
      <c r="A244" t="s">
        <v>733</v>
      </c>
      <c r="B244" t="s">
        <v>79</v>
      </c>
      <c r="C244" t="s">
        <v>734</v>
      </c>
      <c r="D244" t="s">
        <v>81</v>
      </c>
      <c r="E244" s="2" t="str">
        <f>HYPERLINK("capsilon://?command=openfolder&amp;siteaddress=FAM.docvelocity-na8.net&amp;folderid=FX0BE0AF46-9104-9684-334C-2CA6E6143C0D","FX201222575")</f>
        <v>FX201222575</v>
      </c>
      <c r="F244" t="s">
        <v>19</v>
      </c>
      <c r="G244" t="s">
        <v>19</v>
      </c>
      <c r="H244" t="s">
        <v>82</v>
      </c>
      <c r="I244" t="s">
        <v>735</v>
      </c>
      <c r="J244">
        <v>434</v>
      </c>
      <c r="K244" t="s">
        <v>84</v>
      </c>
      <c r="L244" t="s">
        <v>85</v>
      </c>
      <c r="M244" t="s">
        <v>86</v>
      </c>
      <c r="N244">
        <v>3</v>
      </c>
      <c r="O244" s="1">
        <v>44200.33662037037</v>
      </c>
      <c r="P244" s="1">
        <v>44200.438599537039</v>
      </c>
      <c r="Q244">
        <v>3213</v>
      </c>
      <c r="R244">
        <v>5598</v>
      </c>
      <c r="S244" t="b">
        <v>0</v>
      </c>
      <c r="T244" t="s">
        <v>87</v>
      </c>
      <c r="U244" t="b">
        <v>0</v>
      </c>
      <c r="V244" t="s">
        <v>736</v>
      </c>
      <c r="W244" s="1">
        <v>44200.37296296296</v>
      </c>
      <c r="X244">
        <v>3125</v>
      </c>
      <c r="Y244">
        <v>210</v>
      </c>
      <c r="Z244">
        <v>0</v>
      </c>
      <c r="AA244">
        <v>210</v>
      </c>
      <c r="AB244">
        <v>0</v>
      </c>
      <c r="AC244">
        <v>88</v>
      </c>
      <c r="AD244">
        <v>224</v>
      </c>
      <c r="AE244">
        <v>0</v>
      </c>
      <c r="AF244">
        <v>0</v>
      </c>
      <c r="AG244">
        <v>0</v>
      </c>
      <c r="AH244" t="s">
        <v>94</v>
      </c>
      <c r="AI244" s="1">
        <v>44200.436238425929</v>
      </c>
      <c r="AJ244">
        <v>2189</v>
      </c>
      <c r="AK244">
        <v>2</v>
      </c>
      <c r="AL244">
        <v>0</v>
      </c>
      <c r="AM244">
        <v>2</v>
      </c>
      <c r="AN244">
        <v>0</v>
      </c>
      <c r="AO244">
        <v>1</v>
      </c>
      <c r="AP244">
        <v>222</v>
      </c>
      <c r="AQ244">
        <v>0</v>
      </c>
      <c r="AR244">
        <v>0</v>
      </c>
      <c r="AS244">
        <v>0</v>
      </c>
      <c r="AT244" t="s">
        <v>90</v>
      </c>
      <c r="AU244" s="1">
        <v>44200.438599537039</v>
      </c>
      <c r="AV244">
        <v>50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222</v>
      </c>
      <c r="BC244">
        <v>0</v>
      </c>
      <c r="BD244">
        <v>0</v>
      </c>
      <c r="BE244">
        <v>0</v>
      </c>
    </row>
    <row r="245" spans="1:57" hidden="1" x14ac:dyDescent="0.45">
      <c r="A245" t="s">
        <v>737</v>
      </c>
      <c r="B245" t="s">
        <v>79</v>
      </c>
      <c r="C245" t="s">
        <v>738</v>
      </c>
      <c r="D245" t="s">
        <v>81</v>
      </c>
      <c r="E245" s="2" t="str">
        <f>HYPERLINK("capsilon://?command=openfolder&amp;siteaddress=FAM.docvelocity-na8.net&amp;folderid=FX644709DB-0473-9783-2D2F-ADF6DC459E62","FX201228719")</f>
        <v>FX201228719</v>
      </c>
      <c r="F245" t="s">
        <v>19</v>
      </c>
      <c r="G245" t="s">
        <v>19</v>
      </c>
      <c r="H245" t="s">
        <v>82</v>
      </c>
      <c r="I245" t="s">
        <v>739</v>
      </c>
      <c r="J245">
        <v>220</v>
      </c>
      <c r="K245" t="s">
        <v>84</v>
      </c>
      <c r="L245" t="s">
        <v>85</v>
      </c>
      <c r="M245" t="s">
        <v>86</v>
      </c>
      <c r="N245">
        <v>1</v>
      </c>
      <c r="O245" s="1">
        <v>44200.345625000002</v>
      </c>
      <c r="P245" s="1">
        <v>44200.365057870367</v>
      </c>
      <c r="Q245">
        <v>6</v>
      </c>
      <c r="R245">
        <v>1673</v>
      </c>
      <c r="S245" t="b">
        <v>0</v>
      </c>
      <c r="T245" t="s">
        <v>87</v>
      </c>
      <c r="U245" t="b">
        <v>0</v>
      </c>
      <c r="V245" t="s">
        <v>88</v>
      </c>
      <c r="W245" s="1">
        <v>44200.365057870367</v>
      </c>
      <c r="X245">
        <v>1673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220</v>
      </c>
      <c r="AE245">
        <v>201</v>
      </c>
      <c r="AF245">
        <v>0</v>
      </c>
      <c r="AG245">
        <v>5</v>
      </c>
      <c r="AH245" t="s">
        <v>87</v>
      </c>
      <c r="AI245" t="s">
        <v>87</v>
      </c>
      <c r="AJ245" t="s">
        <v>87</v>
      </c>
      <c r="AK245" t="s">
        <v>87</v>
      </c>
      <c r="AL245" t="s">
        <v>87</v>
      </c>
      <c r="AM245" t="s">
        <v>87</v>
      </c>
      <c r="AN245" t="s">
        <v>87</v>
      </c>
      <c r="AO245" t="s">
        <v>87</v>
      </c>
      <c r="AP245" t="s">
        <v>87</v>
      </c>
      <c r="AQ245" t="s">
        <v>87</v>
      </c>
      <c r="AR245" t="s">
        <v>87</v>
      </c>
      <c r="AS245" t="s">
        <v>87</v>
      </c>
      <c r="AT245" t="s">
        <v>87</v>
      </c>
      <c r="AU245" t="s">
        <v>87</v>
      </c>
      <c r="AV245" t="s">
        <v>87</v>
      </c>
      <c r="AW245" t="s">
        <v>87</v>
      </c>
      <c r="AX245" t="s">
        <v>87</v>
      </c>
      <c r="AY245" t="s">
        <v>87</v>
      </c>
      <c r="AZ245" t="s">
        <v>87</v>
      </c>
      <c r="BA245" t="s">
        <v>87</v>
      </c>
      <c r="BB245" t="s">
        <v>87</v>
      </c>
      <c r="BC245" t="s">
        <v>87</v>
      </c>
      <c r="BD245" t="s">
        <v>87</v>
      </c>
      <c r="BE245" t="s">
        <v>87</v>
      </c>
    </row>
    <row r="246" spans="1:57" x14ac:dyDescent="0.45">
      <c r="A246" t="s">
        <v>740</v>
      </c>
      <c r="B246" t="s">
        <v>79</v>
      </c>
      <c r="C246" t="s">
        <v>741</v>
      </c>
      <c r="D246" t="s">
        <v>81</v>
      </c>
      <c r="E246" s="2" t="str">
        <f>HYPERLINK("capsilon://?command=openfolder&amp;siteaddress=FAM.docvelocity-na8.net&amp;folderid=FX6EAA945D-5EDE-063C-92A5-50C42F79E4AC","FX201228608")</f>
        <v>FX201228608</v>
      </c>
      <c r="F246" t="s">
        <v>19</v>
      </c>
      <c r="G246" t="s">
        <v>19</v>
      </c>
      <c r="H246" t="s">
        <v>82</v>
      </c>
      <c r="I246" t="s">
        <v>742</v>
      </c>
      <c r="J246">
        <v>186</v>
      </c>
      <c r="K246" t="s">
        <v>84</v>
      </c>
      <c r="L246" t="s">
        <v>85</v>
      </c>
      <c r="M246" t="s">
        <v>86</v>
      </c>
      <c r="N246">
        <v>3</v>
      </c>
      <c r="O246" s="1">
        <v>44200.353194444448</v>
      </c>
      <c r="P246" s="1">
        <v>44200.465243055558</v>
      </c>
      <c r="Q246">
        <v>6472</v>
      </c>
      <c r="R246">
        <v>3209</v>
      </c>
      <c r="S246" t="b">
        <v>0</v>
      </c>
      <c r="T246" t="s">
        <v>87</v>
      </c>
      <c r="U246" t="b">
        <v>0</v>
      </c>
      <c r="V246" t="s">
        <v>98</v>
      </c>
      <c r="W246" s="1">
        <v>44200.375011574077</v>
      </c>
      <c r="X246">
        <v>1880</v>
      </c>
      <c r="Y246">
        <v>167</v>
      </c>
      <c r="Z246">
        <v>0</v>
      </c>
      <c r="AA246">
        <v>167</v>
      </c>
      <c r="AB246">
        <v>0</v>
      </c>
      <c r="AC246">
        <v>94</v>
      </c>
      <c r="AD246">
        <v>19</v>
      </c>
      <c r="AE246">
        <v>0</v>
      </c>
      <c r="AF246">
        <v>0</v>
      </c>
      <c r="AG246">
        <v>0</v>
      </c>
      <c r="AH246" t="s">
        <v>94</v>
      </c>
      <c r="AI246" s="1">
        <v>44200.457442129627</v>
      </c>
      <c r="AJ246">
        <v>1176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19</v>
      </c>
      <c r="AQ246">
        <v>0</v>
      </c>
      <c r="AR246">
        <v>0</v>
      </c>
      <c r="AS246">
        <v>0</v>
      </c>
      <c r="AT246" t="s">
        <v>90</v>
      </c>
      <c r="AU246" s="1">
        <v>44200.465243055558</v>
      </c>
      <c r="AV246">
        <v>127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19</v>
      </c>
      <c r="BC246">
        <v>0</v>
      </c>
      <c r="BD246">
        <v>0</v>
      </c>
      <c r="BE246">
        <v>0</v>
      </c>
    </row>
    <row r="247" spans="1:57" x14ac:dyDescent="0.45">
      <c r="A247" t="s">
        <v>743</v>
      </c>
      <c r="B247" t="s">
        <v>79</v>
      </c>
      <c r="C247" t="s">
        <v>744</v>
      </c>
      <c r="D247" t="s">
        <v>81</v>
      </c>
      <c r="E247" s="2" t="str">
        <f>HYPERLINK("capsilon://?command=openfolder&amp;siteaddress=FAM.docvelocity-na8.net&amp;folderid=FXF67839EE-65BE-C26C-A065-7A9023FF44E6","FX201015247")</f>
        <v>FX201015247</v>
      </c>
      <c r="F247" t="s">
        <v>19</v>
      </c>
      <c r="G247" t="s">
        <v>19</v>
      </c>
      <c r="H247" t="s">
        <v>82</v>
      </c>
      <c r="I247" t="s">
        <v>745</v>
      </c>
      <c r="J247">
        <v>31</v>
      </c>
      <c r="K247" t="s">
        <v>84</v>
      </c>
      <c r="L247" t="s">
        <v>85</v>
      </c>
      <c r="M247" t="s">
        <v>86</v>
      </c>
      <c r="N247">
        <v>3</v>
      </c>
      <c r="O247" s="1">
        <v>44200.358460648145</v>
      </c>
      <c r="P247" s="1">
        <v>44200.463761574072</v>
      </c>
      <c r="Q247">
        <v>7190</v>
      </c>
      <c r="R247">
        <v>1908</v>
      </c>
      <c r="S247" t="b">
        <v>0</v>
      </c>
      <c r="T247" t="s">
        <v>87</v>
      </c>
      <c r="U247" t="b">
        <v>0</v>
      </c>
      <c r="V247" t="s">
        <v>88</v>
      </c>
      <c r="W247" s="1">
        <v>44200.377118055556</v>
      </c>
      <c r="X247">
        <v>1041</v>
      </c>
      <c r="Y247">
        <v>89</v>
      </c>
      <c r="Z247">
        <v>0</v>
      </c>
      <c r="AA247">
        <v>89</v>
      </c>
      <c r="AB247">
        <v>0</v>
      </c>
      <c r="AC247">
        <v>75</v>
      </c>
      <c r="AD247">
        <v>-58</v>
      </c>
      <c r="AE247">
        <v>0</v>
      </c>
      <c r="AF247">
        <v>0</v>
      </c>
      <c r="AG247">
        <v>0</v>
      </c>
      <c r="AH247" t="s">
        <v>267</v>
      </c>
      <c r="AI247" s="1">
        <v>44200.448020833333</v>
      </c>
      <c r="AJ247">
        <v>200</v>
      </c>
      <c r="AK247">
        <v>4</v>
      </c>
      <c r="AL247">
        <v>0</v>
      </c>
      <c r="AM247">
        <v>4</v>
      </c>
      <c r="AN247">
        <v>0</v>
      </c>
      <c r="AO247">
        <v>3</v>
      </c>
      <c r="AP247">
        <v>-62</v>
      </c>
      <c r="AQ247">
        <v>0</v>
      </c>
      <c r="AR247">
        <v>0</v>
      </c>
      <c r="AS247">
        <v>0</v>
      </c>
      <c r="AT247" t="s">
        <v>90</v>
      </c>
      <c r="AU247" s="1">
        <v>44200.463761574072</v>
      </c>
      <c r="AV247">
        <v>667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-62</v>
      </c>
      <c r="BC247">
        <v>0</v>
      </c>
      <c r="BD247">
        <v>0</v>
      </c>
      <c r="BE247">
        <v>0</v>
      </c>
    </row>
    <row r="248" spans="1:57" x14ac:dyDescent="0.45">
      <c r="A248" t="s">
        <v>746</v>
      </c>
      <c r="B248" t="s">
        <v>79</v>
      </c>
      <c r="C248" t="s">
        <v>744</v>
      </c>
      <c r="D248" t="s">
        <v>81</v>
      </c>
      <c r="E248" s="2" t="str">
        <f>HYPERLINK("capsilon://?command=openfolder&amp;siteaddress=FAM.docvelocity-na8.net&amp;folderid=FXF67839EE-65BE-C26C-A065-7A9023FF44E6","FX201015247")</f>
        <v>FX201015247</v>
      </c>
      <c r="F248" t="s">
        <v>19</v>
      </c>
      <c r="G248" t="s">
        <v>19</v>
      </c>
      <c r="H248" t="s">
        <v>82</v>
      </c>
      <c r="I248" t="s">
        <v>747</v>
      </c>
      <c r="J248">
        <v>31</v>
      </c>
      <c r="K248" t="s">
        <v>84</v>
      </c>
      <c r="L248" t="s">
        <v>85</v>
      </c>
      <c r="M248" t="s">
        <v>86</v>
      </c>
      <c r="N248">
        <v>3</v>
      </c>
      <c r="O248" s="1">
        <v>44200.3593287037</v>
      </c>
      <c r="P248" s="1">
        <v>44200.465590277781</v>
      </c>
      <c r="Q248">
        <v>7080</v>
      </c>
      <c r="R248">
        <v>2101</v>
      </c>
      <c r="S248" t="b">
        <v>0</v>
      </c>
      <c r="T248" t="s">
        <v>87</v>
      </c>
      <c r="U248" t="b">
        <v>0</v>
      </c>
      <c r="V248" t="s">
        <v>419</v>
      </c>
      <c r="W248" s="1">
        <v>44200.395856481482</v>
      </c>
      <c r="X248">
        <v>1804</v>
      </c>
      <c r="Y248">
        <v>71</v>
      </c>
      <c r="Z248">
        <v>0</v>
      </c>
      <c r="AA248">
        <v>71</v>
      </c>
      <c r="AB248">
        <v>0</v>
      </c>
      <c r="AC248">
        <v>63</v>
      </c>
      <c r="AD248">
        <v>-40</v>
      </c>
      <c r="AE248">
        <v>0</v>
      </c>
      <c r="AF248">
        <v>0</v>
      </c>
      <c r="AG248">
        <v>0</v>
      </c>
      <c r="AH248" t="s">
        <v>267</v>
      </c>
      <c r="AI248" s="1">
        <v>44200.449444444443</v>
      </c>
      <c r="AJ248">
        <v>122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-40</v>
      </c>
      <c r="AQ248">
        <v>0</v>
      </c>
      <c r="AR248">
        <v>0</v>
      </c>
      <c r="AS248">
        <v>0</v>
      </c>
      <c r="AT248" t="s">
        <v>90</v>
      </c>
      <c r="AU248" s="1">
        <v>44200.465590277781</v>
      </c>
      <c r="AV248">
        <v>29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-40</v>
      </c>
      <c r="BC248">
        <v>0</v>
      </c>
      <c r="BD248">
        <v>0</v>
      </c>
      <c r="BE248">
        <v>0</v>
      </c>
    </row>
    <row r="249" spans="1:57" x14ac:dyDescent="0.45">
      <c r="A249" t="s">
        <v>748</v>
      </c>
      <c r="B249" t="s">
        <v>79</v>
      </c>
      <c r="C249" t="s">
        <v>744</v>
      </c>
      <c r="D249" t="s">
        <v>81</v>
      </c>
      <c r="E249" s="2" t="str">
        <f>HYPERLINK("capsilon://?command=openfolder&amp;siteaddress=FAM.docvelocity-na8.net&amp;folderid=FXF67839EE-65BE-C26C-A065-7A9023FF44E6","FX201015247")</f>
        <v>FX201015247</v>
      </c>
      <c r="F249" t="s">
        <v>19</v>
      </c>
      <c r="G249" t="s">
        <v>19</v>
      </c>
      <c r="H249" t="s">
        <v>82</v>
      </c>
      <c r="I249" t="s">
        <v>749</v>
      </c>
      <c r="J249">
        <v>31</v>
      </c>
      <c r="K249" t="s">
        <v>84</v>
      </c>
      <c r="L249" t="s">
        <v>85</v>
      </c>
      <c r="M249" t="s">
        <v>86</v>
      </c>
      <c r="N249">
        <v>3</v>
      </c>
      <c r="O249" s="1">
        <v>44200.359768518516</v>
      </c>
      <c r="P249" s="1">
        <v>44200.465648148151</v>
      </c>
      <c r="Q249">
        <v>6253</v>
      </c>
      <c r="R249">
        <v>2895</v>
      </c>
      <c r="S249" t="b">
        <v>0</v>
      </c>
      <c r="T249" t="s">
        <v>87</v>
      </c>
      <c r="U249" t="b">
        <v>0</v>
      </c>
      <c r="V249" t="s">
        <v>98</v>
      </c>
      <c r="W249" s="1">
        <v>44200.400439814817</v>
      </c>
      <c r="X249">
        <v>2196</v>
      </c>
      <c r="Y249">
        <v>73</v>
      </c>
      <c r="Z249">
        <v>0</v>
      </c>
      <c r="AA249">
        <v>73</v>
      </c>
      <c r="AB249">
        <v>0</v>
      </c>
      <c r="AC249">
        <v>66</v>
      </c>
      <c r="AD249">
        <v>-42</v>
      </c>
      <c r="AE249">
        <v>0</v>
      </c>
      <c r="AF249">
        <v>0</v>
      </c>
      <c r="AG249">
        <v>0</v>
      </c>
      <c r="AH249" t="s">
        <v>89</v>
      </c>
      <c r="AI249" s="1">
        <v>44200.45648148148</v>
      </c>
      <c r="AJ249">
        <v>694</v>
      </c>
      <c r="AK249">
        <v>6</v>
      </c>
      <c r="AL249">
        <v>0</v>
      </c>
      <c r="AM249">
        <v>6</v>
      </c>
      <c r="AN249">
        <v>0</v>
      </c>
      <c r="AO249">
        <v>5</v>
      </c>
      <c r="AP249">
        <v>-48</v>
      </c>
      <c r="AQ249">
        <v>0</v>
      </c>
      <c r="AR249">
        <v>0</v>
      </c>
      <c r="AS249">
        <v>0</v>
      </c>
      <c r="AT249" t="s">
        <v>90</v>
      </c>
      <c r="AU249" s="1">
        <v>44200.465648148151</v>
      </c>
      <c r="AV249">
        <v>5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-48</v>
      </c>
      <c r="BC249">
        <v>0</v>
      </c>
      <c r="BD249">
        <v>0</v>
      </c>
      <c r="BE249">
        <v>0</v>
      </c>
    </row>
    <row r="250" spans="1:57" hidden="1" x14ac:dyDescent="0.45">
      <c r="A250" t="s">
        <v>750</v>
      </c>
      <c r="B250" t="s">
        <v>79</v>
      </c>
      <c r="C250" t="s">
        <v>751</v>
      </c>
      <c r="D250" t="s">
        <v>81</v>
      </c>
      <c r="E250" s="2" t="str">
        <f>HYPERLINK("capsilon://?command=openfolder&amp;siteaddress=FAM.docvelocity-na8.net&amp;folderid=FX67925ED0-5E2E-F249-BC74-799A44DC6AC9","FX20112703")</f>
        <v>FX20112703</v>
      </c>
      <c r="F250" t="s">
        <v>19</v>
      </c>
      <c r="G250" t="s">
        <v>19</v>
      </c>
      <c r="H250" t="s">
        <v>82</v>
      </c>
      <c r="I250" t="s">
        <v>752</v>
      </c>
      <c r="J250">
        <v>66</v>
      </c>
      <c r="K250" t="s">
        <v>84</v>
      </c>
      <c r="L250" t="s">
        <v>85</v>
      </c>
      <c r="M250" t="s">
        <v>86</v>
      </c>
      <c r="N250">
        <v>3</v>
      </c>
      <c r="O250" s="1">
        <v>44200.361666666664</v>
      </c>
      <c r="P250" s="1">
        <v>44200.465694444443</v>
      </c>
      <c r="Q250">
        <v>8750</v>
      </c>
      <c r="R250">
        <v>238</v>
      </c>
      <c r="S250" t="b">
        <v>0</v>
      </c>
      <c r="T250" t="s">
        <v>87</v>
      </c>
      <c r="U250" t="b">
        <v>0</v>
      </c>
      <c r="V250" t="s">
        <v>88</v>
      </c>
      <c r="W250" s="1">
        <v>44200.379560185182</v>
      </c>
      <c r="X250">
        <v>210</v>
      </c>
      <c r="Y250">
        <v>0</v>
      </c>
      <c r="Z250">
        <v>0</v>
      </c>
      <c r="AA250">
        <v>0</v>
      </c>
      <c r="AB250">
        <v>52</v>
      </c>
      <c r="AC250">
        <v>0</v>
      </c>
      <c r="AD250">
        <v>66</v>
      </c>
      <c r="AE250">
        <v>0</v>
      </c>
      <c r="AF250">
        <v>0</v>
      </c>
      <c r="AG250">
        <v>0</v>
      </c>
      <c r="AH250" t="s">
        <v>267</v>
      </c>
      <c r="AI250" s="1">
        <v>44200.449733796297</v>
      </c>
      <c r="AJ250">
        <v>25</v>
      </c>
      <c r="AK250">
        <v>0</v>
      </c>
      <c r="AL250">
        <v>0</v>
      </c>
      <c r="AM250">
        <v>0</v>
      </c>
      <c r="AN250">
        <v>52</v>
      </c>
      <c r="AO250">
        <v>0</v>
      </c>
      <c r="AP250">
        <v>66</v>
      </c>
      <c r="AQ250">
        <v>0</v>
      </c>
      <c r="AR250">
        <v>0</v>
      </c>
      <c r="AS250">
        <v>0</v>
      </c>
      <c r="AT250" t="s">
        <v>90</v>
      </c>
      <c r="AU250" s="1">
        <v>44200.465694444443</v>
      </c>
      <c r="AV250">
        <v>3</v>
      </c>
      <c r="AW250">
        <v>0</v>
      </c>
      <c r="AX250">
        <v>0</v>
      </c>
      <c r="AY250">
        <v>0</v>
      </c>
      <c r="AZ250">
        <v>52</v>
      </c>
      <c r="BA250">
        <v>0</v>
      </c>
      <c r="BB250">
        <v>66</v>
      </c>
      <c r="BC250">
        <v>0</v>
      </c>
      <c r="BD250">
        <v>0</v>
      </c>
      <c r="BE250">
        <v>0</v>
      </c>
    </row>
    <row r="251" spans="1:57" x14ac:dyDescent="0.45">
      <c r="A251" t="s">
        <v>753</v>
      </c>
      <c r="B251" t="s">
        <v>79</v>
      </c>
      <c r="C251" t="s">
        <v>738</v>
      </c>
      <c r="D251" t="s">
        <v>81</v>
      </c>
      <c r="E251" s="2" t="str">
        <f>HYPERLINK("capsilon://?command=openfolder&amp;siteaddress=FAM.docvelocity-na8.net&amp;folderid=FX644709DB-0473-9783-2D2F-ADF6DC459E62","FX201228719")</f>
        <v>FX201228719</v>
      </c>
      <c r="F251" t="s">
        <v>19</v>
      </c>
      <c r="G251" t="s">
        <v>19</v>
      </c>
      <c r="H251" t="s">
        <v>82</v>
      </c>
      <c r="I251" t="s">
        <v>739</v>
      </c>
      <c r="J251">
        <v>232</v>
      </c>
      <c r="K251" t="s">
        <v>84</v>
      </c>
      <c r="L251" t="s">
        <v>85</v>
      </c>
      <c r="M251" t="s">
        <v>86</v>
      </c>
      <c r="N251">
        <v>3</v>
      </c>
      <c r="O251" s="1">
        <v>44200.366365740738</v>
      </c>
      <c r="P251" s="1">
        <v>44200.451724537037</v>
      </c>
      <c r="Q251">
        <v>2233</v>
      </c>
      <c r="R251">
        <v>5142</v>
      </c>
      <c r="S251" t="b">
        <v>0</v>
      </c>
      <c r="T251" t="s">
        <v>87</v>
      </c>
      <c r="U251" t="b">
        <v>1</v>
      </c>
      <c r="V251" t="s">
        <v>736</v>
      </c>
      <c r="W251" s="1">
        <v>44200.41982638889</v>
      </c>
      <c r="X251">
        <v>4048</v>
      </c>
      <c r="Y251">
        <v>222</v>
      </c>
      <c r="Z251">
        <v>0</v>
      </c>
      <c r="AA251">
        <v>222</v>
      </c>
      <c r="AB251">
        <v>0</v>
      </c>
      <c r="AC251">
        <v>122</v>
      </c>
      <c r="AD251">
        <v>10</v>
      </c>
      <c r="AE251">
        <v>0</v>
      </c>
      <c r="AF251">
        <v>0</v>
      </c>
      <c r="AG251">
        <v>0</v>
      </c>
      <c r="AH251" t="s">
        <v>267</v>
      </c>
      <c r="AI251" s="1">
        <v>44200.445694444446</v>
      </c>
      <c r="AJ251">
        <v>887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</v>
      </c>
      <c r="AS251">
        <v>0</v>
      </c>
      <c r="AT251" t="s">
        <v>90</v>
      </c>
      <c r="AU251" s="1">
        <v>44200.451724537037</v>
      </c>
      <c r="AV251">
        <v>207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10</v>
      </c>
      <c r="BC251">
        <v>0</v>
      </c>
      <c r="BD251">
        <v>0</v>
      </c>
      <c r="BE251">
        <v>0</v>
      </c>
    </row>
    <row r="252" spans="1:57" x14ac:dyDescent="0.45">
      <c r="A252" t="s">
        <v>754</v>
      </c>
      <c r="B252" t="s">
        <v>79</v>
      </c>
      <c r="C252" t="s">
        <v>755</v>
      </c>
      <c r="D252" t="s">
        <v>81</v>
      </c>
      <c r="E252" s="2" t="str">
        <f>HYPERLINK("capsilon://?command=openfolder&amp;siteaddress=FAM.docvelocity-na8.net&amp;folderid=FXE8B7B000-8033-2BBD-D8E7-CC59088FA289","FX21011390")</f>
        <v>FX21011390</v>
      </c>
      <c r="F252" t="s">
        <v>19</v>
      </c>
      <c r="G252" t="s">
        <v>19</v>
      </c>
      <c r="H252" t="s">
        <v>82</v>
      </c>
      <c r="I252" t="s">
        <v>756</v>
      </c>
      <c r="J252">
        <v>38</v>
      </c>
      <c r="K252" t="s">
        <v>84</v>
      </c>
      <c r="L252" t="s">
        <v>85</v>
      </c>
      <c r="M252" t="s">
        <v>86</v>
      </c>
      <c r="N252">
        <v>3</v>
      </c>
      <c r="O252" s="1">
        <v>44202.657592592594</v>
      </c>
      <c r="P252" s="1">
        <v>44202.692002314812</v>
      </c>
      <c r="Q252">
        <v>2334</v>
      </c>
      <c r="R252">
        <v>639</v>
      </c>
      <c r="S252" t="b">
        <v>0</v>
      </c>
      <c r="T252" t="s">
        <v>87</v>
      </c>
      <c r="U252" t="b">
        <v>0</v>
      </c>
      <c r="V252" t="s">
        <v>168</v>
      </c>
      <c r="W252" s="1">
        <v>44202.6640162037</v>
      </c>
      <c r="X252">
        <v>554</v>
      </c>
      <c r="Y252">
        <v>37</v>
      </c>
      <c r="Z252">
        <v>0</v>
      </c>
      <c r="AA252">
        <v>37</v>
      </c>
      <c r="AB252">
        <v>0</v>
      </c>
      <c r="AC252">
        <v>9</v>
      </c>
      <c r="AD252">
        <v>1</v>
      </c>
      <c r="AE252">
        <v>0</v>
      </c>
      <c r="AF252">
        <v>0</v>
      </c>
      <c r="AG252">
        <v>0</v>
      </c>
      <c r="AH252" t="s">
        <v>267</v>
      </c>
      <c r="AI252" s="1">
        <v>44202.667129629626</v>
      </c>
      <c r="AJ252">
        <v>75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 t="s">
        <v>90</v>
      </c>
      <c r="AU252" s="1">
        <v>44202.692002314812</v>
      </c>
      <c r="AV252">
        <v>10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</row>
    <row r="253" spans="1:57" x14ac:dyDescent="0.45">
      <c r="A253" t="s">
        <v>757</v>
      </c>
      <c r="B253" t="s">
        <v>79</v>
      </c>
      <c r="C253" t="s">
        <v>758</v>
      </c>
      <c r="D253" t="s">
        <v>81</v>
      </c>
      <c r="E253" s="2" t="str">
        <f>HYPERLINK("capsilon://?command=openfolder&amp;siteaddress=FAM.docvelocity-na8.net&amp;folderid=FX35433881-2D8C-62F4-050E-89D09958B575","FX201115620")</f>
        <v>FX201115620</v>
      </c>
      <c r="F253" t="s">
        <v>19</v>
      </c>
      <c r="G253" t="s">
        <v>19</v>
      </c>
      <c r="H253" t="s">
        <v>82</v>
      </c>
      <c r="I253" t="s">
        <v>759</v>
      </c>
      <c r="J253">
        <v>40</v>
      </c>
      <c r="K253" t="s">
        <v>84</v>
      </c>
      <c r="L253" t="s">
        <v>85</v>
      </c>
      <c r="M253" t="s">
        <v>86</v>
      </c>
      <c r="N253">
        <v>3</v>
      </c>
      <c r="O253" s="1">
        <v>44200.376956018517</v>
      </c>
      <c r="P253" s="1">
        <v>44200.468124999999</v>
      </c>
      <c r="Q253">
        <v>6246</v>
      </c>
      <c r="R253">
        <v>1631</v>
      </c>
      <c r="S253" t="b">
        <v>0</v>
      </c>
      <c r="T253" t="s">
        <v>87</v>
      </c>
      <c r="U253" t="b">
        <v>0</v>
      </c>
      <c r="V253" t="s">
        <v>88</v>
      </c>
      <c r="W253" s="1">
        <v>44200.394409722219</v>
      </c>
      <c r="X253">
        <v>1282</v>
      </c>
      <c r="Y253">
        <v>51</v>
      </c>
      <c r="Z253">
        <v>0</v>
      </c>
      <c r="AA253">
        <v>51</v>
      </c>
      <c r="AB253">
        <v>0</v>
      </c>
      <c r="AC253">
        <v>28</v>
      </c>
      <c r="AD253">
        <v>-11</v>
      </c>
      <c r="AE253">
        <v>0</v>
      </c>
      <c r="AF253">
        <v>0</v>
      </c>
      <c r="AG253">
        <v>0</v>
      </c>
      <c r="AH253" t="s">
        <v>267</v>
      </c>
      <c r="AI253" s="1">
        <v>44200.451365740744</v>
      </c>
      <c r="AJ253">
        <v>140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-11</v>
      </c>
      <c r="AQ253">
        <v>0</v>
      </c>
      <c r="AR253">
        <v>0</v>
      </c>
      <c r="AS253">
        <v>0</v>
      </c>
      <c r="AT253" t="s">
        <v>90</v>
      </c>
      <c r="AU253" s="1">
        <v>44200.468124999999</v>
      </c>
      <c r="AV253">
        <v>209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-11</v>
      </c>
      <c r="BC253">
        <v>0</v>
      </c>
      <c r="BD253">
        <v>0</v>
      </c>
      <c r="BE253">
        <v>0</v>
      </c>
    </row>
    <row r="254" spans="1:57" hidden="1" x14ac:dyDescent="0.45">
      <c r="A254" t="s">
        <v>760</v>
      </c>
      <c r="B254" t="s">
        <v>79</v>
      </c>
      <c r="C254" t="s">
        <v>761</v>
      </c>
      <c r="D254" t="s">
        <v>81</v>
      </c>
      <c r="E254" s="2" t="str">
        <f>HYPERLINK("capsilon://?command=openfolder&amp;siteaddress=FAM.docvelocity-na8.net&amp;folderid=FXB9ECBCF2-4152-CB25-7FE0-7CDF5A4897D6","FX20113002")</f>
        <v>FX20113002</v>
      </c>
      <c r="F254" t="s">
        <v>19</v>
      </c>
      <c r="G254" t="s">
        <v>19</v>
      </c>
      <c r="H254" t="s">
        <v>82</v>
      </c>
      <c r="I254" t="s">
        <v>762</v>
      </c>
      <c r="J254">
        <v>66</v>
      </c>
      <c r="K254" t="s">
        <v>84</v>
      </c>
      <c r="L254" t="s">
        <v>85</v>
      </c>
      <c r="M254" t="s">
        <v>86</v>
      </c>
      <c r="N254">
        <v>3</v>
      </c>
      <c r="O254" s="1">
        <v>44200.378344907411</v>
      </c>
      <c r="P254" s="1">
        <v>44200.468159722222</v>
      </c>
      <c r="Q254">
        <v>7519</v>
      </c>
      <c r="R254">
        <v>241</v>
      </c>
      <c r="S254" t="b">
        <v>0</v>
      </c>
      <c r="T254" t="s">
        <v>87</v>
      </c>
      <c r="U254" t="b">
        <v>0</v>
      </c>
      <c r="V254" t="s">
        <v>419</v>
      </c>
      <c r="W254" s="1">
        <v>44200.397650462961</v>
      </c>
      <c r="X254">
        <v>154</v>
      </c>
      <c r="Y254">
        <v>0</v>
      </c>
      <c r="Z254">
        <v>0</v>
      </c>
      <c r="AA254">
        <v>0</v>
      </c>
      <c r="AB254">
        <v>52</v>
      </c>
      <c r="AC254">
        <v>0</v>
      </c>
      <c r="AD254">
        <v>66</v>
      </c>
      <c r="AE254">
        <v>0</v>
      </c>
      <c r="AF254">
        <v>0</v>
      </c>
      <c r="AG254">
        <v>0</v>
      </c>
      <c r="AH254" t="s">
        <v>267</v>
      </c>
      <c r="AI254" s="1">
        <v>44200.452233796299</v>
      </c>
      <c r="AJ254">
        <v>74</v>
      </c>
      <c r="AK254">
        <v>0</v>
      </c>
      <c r="AL254">
        <v>0</v>
      </c>
      <c r="AM254">
        <v>0</v>
      </c>
      <c r="AN254">
        <v>52</v>
      </c>
      <c r="AO254">
        <v>0</v>
      </c>
      <c r="AP254">
        <v>66</v>
      </c>
      <c r="AQ254">
        <v>0</v>
      </c>
      <c r="AR254">
        <v>0</v>
      </c>
      <c r="AS254">
        <v>0</v>
      </c>
      <c r="AT254" t="s">
        <v>90</v>
      </c>
      <c r="AU254" s="1">
        <v>44200.468159722222</v>
      </c>
      <c r="AV254">
        <v>2</v>
      </c>
      <c r="AW254">
        <v>0</v>
      </c>
      <c r="AX254">
        <v>0</v>
      </c>
      <c r="AY254">
        <v>0</v>
      </c>
      <c r="AZ254">
        <v>52</v>
      </c>
      <c r="BA254">
        <v>0</v>
      </c>
      <c r="BB254">
        <v>66</v>
      </c>
      <c r="BC254">
        <v>0</v>
      </c>
      <c r="BD254">
        <v>0</v>
      </c>
      <c r="BE254">
        <v>0</v>
      </c>
    </row>
    <row r="255" spans="1:57" hidden="1" x14ac:dyDescent="0.45">
      <c r="A255" t="s">
        <v>763</v>
      </c>
      <c r="B255" t="s">
        <v>79</v>
      </c>
      <c r="C255" t="s">
        <v>761</v>
      </c>
      <c r="D255" t="s">
        <v>81</v>
      </c>
      <c r="E255" s="2" t="str">
        <f>HYPERLINK("capsilon://?command=openfolder&amp;siteaddress=FAM.docvelocity-na8.net&amp;folderid=FXB9ECBCF2-4152-CB25-7FE0-7CDF5A4897D6","FX20113002")</f>
        <v>FX20113002</v>
      </c>
      <c r="F255" t="s">
        <v>19</v>
      </c>
      <c r="G255" t="s">
        <v>19</v>
      </c>
      <c r="H255" t="s">
        <v>82</v>
      </c>
      <c r="I255" t="s">
        <v>764</v>
      </c>
      <c r="J255">
        <v>66</v>
      </c>
      <c r="K255" t="s">
        <v>84</v>
      </c>
      <c r="L255" t="s">
        <v>85</v>
      </c>
      <c r="M255" t="s">
        <v>86</v>
      </c>
      <c r="N255">
        <v>3</v>
      </c>
      <c r="O255" s="1">
        <v>44200.379155092596</v>
      </c>
      <c r="P255" s="1">
        <v>44200.47</v>
      </c>
      <c r="Q255">
        <v>7462</v>
      </c>
      <c r="R255">
        <v>387</v>
      </c>
      <c r="S255" t="b">
        <v>0</v>
      </c>
      <c r="T255" t="s">
        <v>87</v>
      </c>
      <c r="U255" t="b">
        <v>0</v>
      </c>
      <c r="V255" t="s">
        <v>419</v>
      </c>
      <c r="W255" s="1">
        <v>44200.399976851855</v>
      </c>
      <c r="X255">
        <v>200</v>
      </c>
      <c r="Y255">
        <v>0</v>
      </c>
      <c r="Z255">
        <v>0</v>
      </c>
      <c r="AA255">
        <v>0</v>
      </c>
      <c r="AB255">
        <v>52</v>
      </c>
      <c r="AC255">
        <v>0</v>
      </c>
      <c r="AD255">
        <v>66</v>
      </c>
      <c r="AE255">
        <v>0</v>
      </c>
      <c r="AF255">
        <v>0</v>
      </c>
      <c r="AG255">
        <v>0</v>
      </c>
      <c r="AH255" t="s">
        <v>267</v>
      </c>
      <c r="AI255" s="1">
        <v>44200.452581018515</v>
      </c>
      <c r="AJ255">
        <v>29</v>
      </c>
      <c r="AK255">
        <v>0</v>
      </c>
      <c r="AL255">
        <v>0</v>
      </c>
      <c r="AM255">
        <v>0</v>
      </c>
      <c r="AN255">
        <v>52</v>
      </c>
      <c r="AO255">
        <v>0</v>
      </c>
      <c r="AP255">
        <v>66</v>
      </c>
      <c r="AQ255">
        <v>0</v>
      </c>
      <c r="AR255">
        <v>0</v>
      </c>
      <c r="AS255">
        <v>0</v>
      </c>
      <c r="AT255" t="s">
        <v>90</v>
      </c>
      <c r="AU255" s="1">
        <v>44200.47</v>
      </c>
      <c r="AV255">
        <v>158</v>
      </c>
      <c r="AW255">
        <v>0</v>
      </c>
      <c r="AX255">
        <v>0</v>
      </c>
      <c r="AY255">
        <v>0</v>
      </c>
      <c r="AZ255">
        <v>52</v>
      </c>
      <c r="BA255">
        <v>0</v>
      </c>
      <c r="BB255">
        <v>66</v>
      </c>
      <c r="BC255">
        <v>0</v>
      </c>
      <c r="BD255">
        <v>0</v>
      </c>
      <c r="BE255">
        <v>0</v>
      </c>
    </row>
    <row r="256" spans="1:57" x14ac:dyDescent="0.45">
      <c r="A256" t="s">
        <v>765</v>
      </c>
      <c r="B256" t="s">
        <v>79</v>
      </c>
      <c r="C256" t="s">
        <v>766</v>
      </c>
      <c r="D256" t="s">
        <v>81</v>
      </c>
      <c r="E256" s="2" t="str">
        <f>HYPERLINK("capsilon://?command=openfolder&amp;siteaddress=FAM.docvelocity-na8.net&amp;folderid=FX703DB583-9CA0-C36C-3CBB-17E2E14DBBEB","FX21012376")</f>
        <v>FX21012376</v>
      </c>
      <c r="F256" t="s">
        <v>19</v>
      </c>
      <c r="G256" t="s">
        <v>19</v>
      </c>
      <c r="H256" t="s">
        <v>82</v>
      </c>
      <c r="I256" t="s">
        <v>767</v>
      </c>
      <c r="J256">
        <v>38</v>
      </c>
      <c r="K256" t="s">
        <v>84</v>
      </c>
      <c r="L256" t="s">
        <v>85</v>
      </c>
      <c r="M256" t="s">
        <v>86</v>
      </c>
      <c r="N256">
        <v>3</v>
      </c>
      <c r="O256" s="1">
        <v>44202.673888888887</v>
      </c>
      <c r="P256" s="1">
        <v>44202.704606481479</v>
      </c>
      <c r="Q256">
        <v>1060</v>
      </c>
      <c r="R256">
        <v>1594</v>
      </c>
      <c r="S256" t="b">
        <v>0</v>
      </c>
      <c r="T256" t="s">
        <v>87</v>
      </c>
      <c r="U256" t="b">
        <v>0</v>
      </c>
      <c r="V256" t="s">
        <v>160</v>
      </c>
      <c r="W256" s="1">
        <v>44202.689884259256</v>
      </c>
      <c r="X256">
        <v>1381</v>
      </c>
      <c r="Y256">
        <v>71</v>
      </c>
      <c r="Z256">
        <v>0</v>
      </c>
      <c r="AA256">
        <v>71</v>
      </c>
      <c r="AB256">
        <v>0</v>
      </c>
      <c r="AC256">
        <v>33</v>
      </c>
      <c r="AD256">
        <v>-33</v>
      </c>
      <c r="AE256">
        <v>0</v>
      </c>
      <c r="AF256">
        <v>0</v>
      </c>
      <c r="AG256">
        <v>0</v>
      </c>
      <c r="AH256" t="s">
        <v>128</v>
      </c>
      <c r="AI256" s="1">
        <v>44202.701527777775</v>
      </c>
      <c r="AJ256">
        <v>173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-33</v>
      </c>
      <c r="AQ256">
        <v>0</v>
      </c>
      <c r="AR256">
        <v>0</v>
      </c>
      <c r="AS256">
        <v>0</v>
      </c>
      <c r="AT256" t="s">
        <v>549</v>
      </c>
      <c r="AU256" s="1">
        <v>44202.704606481479</v>
      </c>
      <c r="AV256">
        <v>40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-33</v>
      </c>
      <c r="BC256">
        <v>0</v>
      </c>
      <c r="BD256">
        <v>0</v>
      </c>
      <c r="BE256">
        <v>0</v>
      </c>
    </row>
    <row r="257" spans="1:57" x14ac:dyDescent="0.45">
      <c r="A257" t="s">
        <v>768</v>
      </c>
      <c r="B257" t="s">
        <v>79</v>
      </c>
      <c r="C257" t="s">
        <v>769</v>
      </c>
      <c r="D257" t="s">
        <v>81</v>
      </c>
      <c r="E257" s="2" t="str">
        <f>HYPERLINK("capsilon://?command=openfolder&amp;siteaddress=FAM.docvelocity-na8.net&amp;folderid=FX24030E5D-74AD-7DE7-EDE0-26A8D34F5D2F","FX201225730")</f>
        <v>FX201225730</v>
      </c>
      <c r="F257" t="s">
        <v>19</v>
      </c>
      <c r="G257" t="s">
        <v>19</v>
      </c>
      <c r="H257" t="s">
        <v>82</v>
      </c>
      <c r="I257" t="s">
        <v>770</v>
      </c>
      <c r="J257">
        <v>66</v>
      </c>
      <c r="K257" t="s">
        <v>84</v>
      </c>
      <c r="L257" t="s">
        <v>85</v>
      </c>
      <c r="M257" t="s">
        <v>86</v>
      </c>
      <c r="N257">
        <v>3</v>
      </c>
      <c r="O257" s="1">
        <v>44200.379953703705</v>
      </c>
      <c r="P257" s="1">
        <v>44200.471678240741</v>
      </c>
      <c r="Q257">
        <v>7165</v>
      </c>
      <c r="R257">
        <v>760</v>
      </c>
      <c r="S257" t="b">
        <v>0</v>
      </c>
      <c r="T257" t="s">
        <v>87</v>
      </c>
      <c r="U257" t="b">
        <v>0</v>
      </c>
      <c r="V257" t="s">
        <v>419</v>
      </c>
      <c r="W257" s="1">
        <v>44200.405636574076</v>
      </c>
      <c r="X257">
        <v>488</v>
      </c>
      <c r="Y257">
        <v>52</v>
      </c>
      <c r="Z257">
        <v>0</v>
      </c>
      <c r="AA257">
        <v>52</v>
      </c>
      <c r="AB257">
        <v>0</v>
      </c>
      <c r="AC257">
        <v>34</v>
      </c>
      <c r="AD257">
        <v>14</v>
      </c>
      <c r="AE257">
        <v>0</v>
      </c>
      <c r="AF257">
        <v>0</v>
      </c>
      <c r="AG257">
        <v>0</v>
      </c>
      <c r="AH257" t="s">
        <v>267</v>
      </c>
      <c r="AI257" s="1">
        <v>44200.454050925924</v>
      </c>
      <c r="AJ257">
        <v>127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14</v>
      </c>
      <c r="AQ257">
        <v>0</v>
      </c>
      <c r="AR257">
        <v>0</v>
      </c>
      <c r="AS257">
        <v>0</v>
      </c>
      <c r="AT257" t="s">
        <v>90</v>
      </c>
      <c r="AU257" s="1">
        <v>44200.471678240741</v>
      </c>
      <c r="AV257">
        <v>145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14</v>
      </c>
      <c r="BC257">
        <v>0</v>
      </c>
      <c r="BD257">
        <v>0</v>
      </c>
      <c r="BE257">
        <v>0</v>
      </c>
    </row>
    <row r="258" spans="1:57" x14ac:dyDescent="0.45">
      <c r="A258" t="s">
        <v>771</v>
      </c>
      <c r="B258" t="s">
        <v>79</v>
      </c>
      <c r="C258" t="s">
        <v>751</v>
      </c>
      <c r="D258" t="s">
        <v>81</v>
      </c>
      <c r="E258" s="2" t="str">
        <f>HYPERLINK("capsilon://?command=openfolder&amp;siteaddress=FAM.docvelocity-na8.net&amp;folderid=FX67925ED0-5E2E-F249-BC74-799A44DC6AC9","FX20112703")</f>
        <v>FX20112703</v>
      </c>
      <c r="F258" t="s">
        <v>19</v>
      </c>
      <c r="G258" t="s">
        <v>19</v>
      </c>
      <c r="H258" t="s">
        <v>82</v>
      </c>
      <c r="I258" t="s">
        <v>772</v>
      </c>
      <c r="J258">
        <v>66</v>
      </c>
      <c r="K258" t="s">
        <v>84</v>
      </c>
      <c r="L258" t="s">
        <v>85</v>
      </c>
      <c r="M258" t="s">
        <v>86</v>
      </c>
      <c r="N258">
        <v>3</v>
      </c>
      <c r="O258" s="1">
        <v>44200.380381944444</v>
      </c>
      <c r="P258" s="1">
        <v>44200.471724537034</v>
      </c>
      <c r="Q258">
        <v>6777</v>
      </c>
      <c r="R258">
        <v>1115</v>
      </c>
      <c r="S258" t="b">
        <v>0</v>
      </c>
      <c r="T258" t="s">
        <v>87</v>
      </c>
      <c r="U258" t="b">
        <v>0</v>
      </c>
      <c r="V258" t="s">
        <v>98</v>
      </c>
      <c r="W258" s="1">
        <v>44200.41300925926</v>
      </c>
      <c r="X258">
        <v>1085</v>
      </c>
      <c r="Y258">
        <v>6</v>
      </c>
      <c r="Z258">
        <v>0</v>
      </c>
      <c r="AA258">
        <v>6</v>
      </c>
      <c r="AB258">
        <v>52</v>
      </c>
      <c r="AC258">
        <v>10</v>
      </c>
      <c r="AD258">
        <v>60</v>
      </c>
      <c r="AE258">
        <v>0</v>
      </c>
      <c r="AF258">
        <v>0</v>
      </c>
      <c r="AG258">
        <v>0</v>
      </c>
      <c r="AH258" t="s">
        <v>267</v>
      </c>
      <c r="AI258" s="1">
        <v>44200.454375000001</v>
      </c>
      <c r="AJ258">
        <v>27</v>
      </c>
      <c r="AK258">
        <v>0</v>
      </c>
      <c r="AL258">
        <v>0</v>
      </c>
      <c r="AM258">
        <v>0</v>
      </c>
      <c r="AN258">
        <v>52</v>
      </c>
      <c r="AO258">
        <v>0</v>
      </c>
      <c r="AP258">
        <v>60</v>
      </c>
      <c r="AQ258">
        <v>0</v>
      </c>
      <c r="AR258">
        <v>0</v>
      </c>
      <c r="AS258">
        <v>0</v>
      </c>
      <c r="AT258" t="s">
        <v>90</v>
      </c>
      <c r="AU258" s="1">
        <v>44200.471724537034</v>
      </c>
      <c r="AV258">
        <v>3</v>
      </c>
      <c r="AW258">
        <v>0</v>
      </c>
      <c r="AX258">
        <v>0</v>
      </c>
      <c r="AY258">
        <v>0</v>
      </c>
      <c r="AZ258">
        <v>52</v>
      </c>
      <c r="BA258">
        <v>0</v>
      </c>
      <c r="BB258">
        <v>60</v>
      </c>
      <c r="BC258">
        <v>0</v>
      </c>
      <c r="BD258">
        <v>0</v>
      </c>
      <c r="BE258">
        <v>0</v>
      </c>
    </row>
    <row r="259" spans="1:57" hidden="1" x14ac:dyDescent="0.45">
      <c r="A259" t="s">
        <v>773</v>
      </c>
      <c r="B259" t="s">
        <v>79</v>
      </c>
      <c r="C259" t="s">
        <v>774</v>
      </c>
      <c r="D259" t="s">
        <v>81</v>
      </c>
      <c r="E259" s="2" t="str">
        <f>HYPERLINK("capsilon://?command=openfolder&amp;siteaddress=FAM.docvelocity-na8.net&amp;folderid=FXC3379E2A-38FC-1195-47A4-E8A6B35A5945","FX201114785")</f>
        <v>FX201114785</v>
      </c>
      <c r="F259" t="s">
        <v>19</v>
      </c>
      <c r="G259" t="s">
        <v>19</v>
      </c>
      <c r="H259" t="s">
        <v>82</v>
      </c>
      <c r="I259" t="s">
        <v>775</v>
      </c>
      <c r="J259">
        <v>66</v>
      </c>
      <c r="K259" t="s">
        <v>84</v>
      </c>
      <c r="L259" t="s">
        <v>85</v>
      </c>
      <c r="M259" t="s">
        <v>86</v>
      </c>
      <c r="N259">
        <v>1</v>
      </c>
      <c r="O259" s="1">
        <v>44202.675983796296</v>
      </c>
      <c r="P259" s="1">
        <v>44202.681354166663</v>
      </c>
      <c r="Q259">
        <v>186</v>
      </c>
      <c r="R259">
        <v>278</v>
      </c>
      <c r="S259" t="b">
        <v>0</v>
      </c>
      <c r="T259" t="s">
        <v>87</v>
      </c>
      <c r="U259" t="b">
        <v>0</v>
      </c>
      <c r="V259" t="s">
        <v>262</v>
      </c>
      <c r="W259" s="1">
        <v>44202.681354166663</v>
      </c>
      <c r="X259">
        <v>265</v>
      </c>
      <c r="Y259">
        <v>52</v>
      </c>
      <c r="Z259">
        <v>0</v>
      </c>
      <c r="AA259">
        <v>52</v>
      </c>
      <c r="AB259">
        <v>0</v>
      </c>
      <c r="AC259">
        <v>0</v>
      </c>
      <c r="AD259">
        <v>14</v>
      </c>
      <c r="AE259">
        <v>52</v>
      </c>
      <c r="AF259">
        <v>0</v>
      </c>
      <c r="AG259">
        <v>1</v>
      </c>
      <c r="AH259" t="s">
        <v>87</v>
      </c>
      <c r="AI259" t="s">
        <v>87</v>
      </c>
      <c r="AJ259" t="s">
        <v>87</v>
      </c>
      <c r="AK259" t="s">
        <v>87</v>
      </c>
      <c r="AL259" t="s">
        <v>87</v>
      </c>
      <c r="AM259" t="s">
        <v>87</v>
      </c>
      <c r="AN259" t="s">
        <v>87</v>
      </c>
      <c r="AO259" t="s">
        <v>87</v>
      </c>
      <c r="AP259" t="s">
        <v>87</v>
      </c>
      <c r="AQ259" t="s">
        <v>87</v>
      </c>
      <c r="AR259" t="s">
        <v>87</v>
      </c>
      <c r="AS259" t="s">
        <v>87</v>
      </c>
      <c r="AT259" t="s">
        <v>87</v>
      </c>
      <c r="AU259" t="s">
        <v>87</v>
      </c>
      <c r="AV259" t="s">
        <v>87</v>
      </c>
      <c r="AW259" t="s">
        <v>87</v>
      </c>
      <c r="AX259" t="s">
        <v>87</v>
      </c>
      <c r="AY259" t="s">
        <v>87</v>
      </c>
      <c r="AZ259" t="s">
        <v>87</v>
      </c>
      <c r="BA259" t="s">
        <v>87</v>
      </c>
      <c r="BB259" t="s">
        <v>87</v>
      </c>
      <c r="BC259" t="s">
        <v>87</v>
      </c>
      <c r="BD259" t="s">
        <v>87</v>
      </c>
      <c r="BE259" t="s">
        <v>87</v>
      </c>
    </row>
    <row r="260" spans="1:57" x14ac:dyDescent="0.45">
      <c r="A260" t="s">
        <v>776</v>
      </c>
      <c r="B260" t="s">
        <v>79</v>
      </c>
      <c r="C260" t="s">
        <v>470</v>
      </c>
      <c r="D260" t="s">
        <v>81</v>
      </c>
      <c r="E260" s="2" t="str">
        <f>HYPERLINK("capsilon://?command=openfolder&amp;siteaddress=FAM.docvelocity-na8.net&amp;folderid=FXAF060C6C-91DE-D077-C5D1-0FD89406D57A","FX20111850")</f>
        <v>FX20111850</v>
      </c>
      <c r="F260" t="s">
        <v>19</v>
      </c>
      <c r="G260" t="s">
        <v>19</v>
      </c>
      <c r="H260" t="s">
        <v>82</v>
      </c>
      <c r="I260" t="s">
        <v>777</v>
      </c>
      <c r="J260">
        <v>89</v>
      </c>
      <c r="K260" t="s">
        <v>84</v>
      </c>
      <c r="L260" t="s">
        <v>85</v>
      </c>
      <c r="M260" t="s">
        <v>86</v>
      </c>
      <c r="N260">
        <v>3</v>
      </c>
      <c r="O260" s="1">
        <v>44202.677094907405</v>
      </c>
      <c r="P260" s="1">
        <v>44202.705891203703</v>
      </c>
      <c r="Q260">
        <v>491</v>
      </c>
      <c r="R260">
        <v>1997</v>
      </c>
      <c r="S260" t="b">
        <v>0</v>
      </c>
      <c r="T260" t="s">
        <v>87</v>
      </c>
      <c r="U260" t="b">
        <v>0</v>
      </c>
      <c r="V260" t="s">
        <v>168</v>
      </c>
      <c r="W260" s="1">
        <v>44202.69736111111</v>
      </c>
      <c r="X260">
        <v>1627</v>
      </c>
      <c r="Y260">
        <v>72</v>
      </c>
      <c r="Z260">
        <v>0</v>
      </c>
      <c r="AA260">
        <v>72</v>
      </c>
      <c r="AB260">
        <v>0</v>
      </c>
      <c r="AC260">
        <v>40</v>
      </c>
      <c r="AD260">
        <v>17</v>
      </c>
      <c r="AE260">
        <v>0</v>
      </c>
      <c r="AF260">
        <v>0</v>
      </c>
      <c r="AG260">
        <v>0</v>
      </c>
      <c r="AH260" t="s">
        <v>128</v>
      </c>
      <c r="AI260" s="1">
        <v>44202.70453703704</v>
      </c>
      <c r="AJ260">
        <v>259</v>
      </c>
      <c r="AK260">
        <v>1</v>
      </c>
      <c r="AL260">
        <v>0</v>
      </c>
      <c r="AM260">
        <v>1</v>
      </c>
      <c r="AN260">
        <v>0</v>
      </c>
      <c r="AO260">
        <v>1</v>
      </c>
      <c r="AP260">
        <v>16</v>
      </c>
      <c r="AQ260">
        <v>0</v>
      </c>
      <c r="AR260">
        <v>0</v>
      </c>
      <c r="AS260">
        <v>0</v>
      </c>
      <c r="AT260" t="s">
        <v>549</v>
      </c>
      <c r="AU260" s="1">
        <v>44202.705891203703</v>
      </c>
      <c r="AV260">
        <v>111</v>
      </c>
      <c r="AW260">
        <v>2</v>
      </c>
      <c r="AX260">
        <v>0</v>
      </c>
      <c r="AY260">
        <v>2</v>
      </c>
      <c r="AZ260">
        <v>0</v>
      </c>
      <c r="BA260">
        <v>2</v>
      </c>
      <c r="BB260">
        <v>14</v>
      </c>
      <c r="BC260">
        <v>0</v>
      </c>
      <c r="BD260">
        <v>0</v>
      </c>
      <c r="BE260">
        <v>0</v>
      </c>
    </row>
    <row r="261" spans="1:57" hidden="1" x14ac:dyDescent="0.45">
      <c r="A261" t="s">
        <v>778</v>
      </c>
      <c r="B261" t="s">
        <v>79</v>
      </c>
      <c r="C261" t="s">
        <v>779</v>
      </c>
      <c r="D261" t="s">
        <v>81</v>
      </c>
      <c r="E261" s="2" t="str">
        <f>HYPERLINK("capsilon://?command=openfolder&amp;siteaddress=FAM.docvelocity-na8.net&amp;folderid=FX300B4B3C-25F5-3A04-B632-AD09401C6BD5","FX20112277")</f>
        <v>FX20112277</v>
      </c>
      <c r="F261" t="s">
        <v>19</v>
      </c>
      <c r="G261" t="s">
        <v>19</v>
      </c>
      <c r="H261" t="s">
        <v>82</v>
      </c>
      <c r="I261" t="s">
        <v>780</v>
      </c>
      <c r="J261">
        <v>66</v>
      </c>
      <c r="K261" t="s">
        <v>84</v>
      </c>
      <c r="L261" t="s">
        <v>85</v>
      </c>
      <c r="M261" t="s">
        <v>86</v>
      </c>
      <c r="N261">
        <v>3</v>
      </c>
      <c r="O261" s="1">
        <v>44200.383622685185</v>
      </c>
      <c r="P261" s="1">
        <v>44200.471770833334</v>
      </c>
      <c r="Q261">
        <v>7501</v>
      </c>
      <c r="R261">
        <v>115</v>
      </c>
      <c r="S261" t="b">
        <v>0</v>
      </c>
      <c r="T261" t="s">
        <v>87</v>
      </c>
      <c r="U261" t="b">
        <v>0</v>
      </c>
      <c r="V261" t="s">
        <v>419</v>
      </c>
      <c r="W261" s="1">
        <v>44200.406585648147</v>
      </c>
      <c r="X261">
        <v>81</v>
      </c>
      <c r="Y261">
        <v>0</v>
      </c>
      <c r="Z261">
        <v>0</v>
      </c>
      <c r="AA261">
        <v>0</v>
      </c>
      <c r="AB261">
        <v>52</v>
      </c>
      <c r="AC261">
        <v>0</v>
      </c>
      <c r="AD261">
        <v>66</v>
      </c>
      <c r="AE261">
        <v>0</v>
      </c>
      <c r="AF261">
        <v>0</v>
      </c>
      <c r="AG261">
        <v>0</v>
      </c>
      <c r="AH261" t="s">
        <v>267</v>
      </c>
      <c r="AI261" s="1">
        <v>44200.454745370371</v>
      </c>
      <c r="AJ261">
        <v>31</v>
      </c>
      <c r="AK261">
        <v>0</v>
      </c>
      <c r="AL261">
        <v>0</v>
      </c>
      <c r="AM261">
        <v>0</v>
      </c>
      <c r="AN261">
        <v>52</v>
      </c>
      <c r="AO261">
        <v>0</v>
      </c>
      <c r="AP261">
        <v>66</v>
      </c>
      <c r="AQ261">
        <v>0</v>
      </c>
      <c r="AR261">
        <v>0</v>
      </c>
      <c r="AS261">
        <v>0</v>
      </c>
      <c r="AT261" t="s">
        <v>90</v>
      </c>
      <c r="AU261" s="1">
        <v>44200.471770833334</v>
      </c>
      <c r="AV261">
        <v>3</v>
      </c>
      <c r="AW261">
        <v>0</v>
      </c>
      <c r="AX261">
        <v>0</v>
      </c>
      <c r="AY261">
        <v>0</v>
      </c>
      <c r="AZ261">
        <v>52</v>
      </c>
      <c r="BA261">
        <v>0</v>
      </c>
      <c r="BB261">
        <v>66</v>
      </c>
      <c r="BC261">
        <v>0</v>
      </c>
      <c r="BD261">
        <v>0</v>
      </c>
      <c r="BE261">
        <v>0</v>
      </c>
    </row>
    <row r="262" spans="1:57" hidden="1" x14ac:dyDescent="0.45">
      <c r="A262" t="s">
        <v>781</v>
      </c>
      <c r="B262" t="s">
        <v>79</v>
      </c>
      <c r="C262" t="s">
        <v>782</v>
      </c>
      <c r="D262" t="s">
        <v>81</v>
      </c>
      <c r="E262" s="2" t="str">
        <f>HYPERLINK("capsilon://?command=openfolder&amp;siteaddress=FAM.docvelocity-na8.net&amp;folderid=FXCD581F3E-B18D-DAD4-B396-5E717D7A50B5","FX201222536")</f>
        <v>FX201222536</v>
      </c>
      <c r="F262" t="s">
        <v>19</v>
      </c>
      <c r="G262" t="s">
        <v>19</v>
      </c>
      <c r="H262" t="s">
        <v>82</v>
      </c>
      <c r="I262" t="s">
        <v>783</v>
      </c>
      <c r="J262">
        <v>66</v>
      </c>
      <c r="K262" t="s">
        <v>84</v>
      </c>
      <c r="L262" t="s">
        <v>85</v>
      </c>
      <c r="M262" t="s">
        <v>86</v>
      </c>
      <c r="N262">
        <v>1</v>
      </c>
      <c r="O262" s="1">
        <v>44202.679513888892</v>
      </c>
      <c r="P262" s="1">
        <v>44202.681759259256</v>
      </c>
      <c r="Q262">
        <v>124</v>
      </c>
      <c r="R262">
        <v>70</v>
      </c>
      <c r="S262" t="b">
        <v>0</v>
      </c>
      <c r="T262" t="s">
        <v>87</v>
      </c>
      <c r="U262" t="b">
        <v>0</v>
      </c>
      <c r="V262" t="s">
        <v>266</v>
      </c>
      <c r="W262" s="1">
        <v>44202.681759259256</v>
      </c>
      <c r="X262">
        <v>70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66</v>
      </c>
      <c r="AE262">
        <v>52</v>
      </c>
      <c r="AF262">
        <v>0</v>
      </c>
      <c r="AG262">
        <v>1</v>
      </c>
      <c r="AH262" t="s">
        <v>87</v>
      </c>
      <c r="AI262" t="s">
        <v>87</v>
      </c>
      <c r="AJ262" t="s">
        <v>87</v>
      </c>
      <c r="AK262" t="s">
        <v>87</v>
      </c>
      <c r="AL262" t="s">
        <v>87</v>
      </c>
      <c r="AM262" t="s">
        <v>87</v>
      </c>
      <c r="AN262" t="s">
        <v>87</v>
      </c>
      <c r="AO262" t="s">
        <v>87</v>
      </c>
      <c r="AP262" t="s">
        <v>87</v>
      </c>
      <c r="AQ262" t="s">
        <v>87</v>
      </c>
      <c r="AR262" t="s">
        <v>87</v>
      </c>
      <c r="AS262" t="s">
        <v>87</v>
      </c>
      <c r="AT262" t="s">
        <v>87</v>
      </c>
      <c r="AU262" t="s">
        <v>87</v>
      </c>
      <c r="AV262" t="s">
        <v>87</v>
      </c>
      <c r="AW262" t="s">
        <v>87</v>
      </c>
      <c r="AX262" t="s">
        <v>87</v>
      </c>
      <c r="AY262" t="s">
        <v>87</v>
      </c>
      <c r="AZ262" t="s">
        <v>87</v>
      </c>
      <c r="BA262" t="s">
        <v>87</v>
      </c>
      <c r="BB262" t="s">
        <v>87</v>
      </c>
      <c r="BC262" t="s">
        <v>87</v>
      </c>
      <c r="BD262" t="s">
        <v>87</v>
      </c>
      <c r="BE262" t="s">
        <v>87</v>
      </c>
    </row>
    <row r="263" spans="1:57" hidden="1" x14ac:dyDescent="0.45">
      <c r="A263" t="s">
        <v>784</v>
      </c>
      <c r="B263" t="s">
        <v>79</v>
      </c>
      <c r="C263" t="s">
        <v>779</v>
      </c>
      <c r="D263" t="s">
        <v>81</v>
      </c>
      <c r="E263" s="2" t="str">
        <f>HYPERLINK("capsilon://?command=openfolder&amp;siteaddress=FAM.docvelocity-na8.net&amp;folderid=FX300B4B3C-25F5-3A04-B632-AD09401C6BD5","FX20112277")</f>
        <v>FX20112277</v>
      </c>
      <c r="F263" t="s">
        <v>19</v>
      </c>
      <c r="G263" t="s">
        <v>19</v>
      </c>
      <c r="H263" t="s">
        <v>82</v>
      </c>
      <c r="I263" t="s">
        <v>785</v>
      </c>
      <c r="J263">
        <v>66</v>
      </c>
      <c r="K263" t="s">
        <v>84</v>
      </c>
      <c r="L263" t="s">
        <v>85</v>
      </c>
      <c r="M263" t="s">
        <v>86</v>
      </c>
      <c r="N263">
        <v>3</v>
      </c>
      <c r="O263" s="1">
        <v>44200.38385416667</v>
      </c>
      <c r="P263" s="1">
        <v>44200.471805555557</v>
      </c>
      <c r="Q263">
        <v>7503</v>
      </c>
      <c r="R263">
        <v>96</v>
      </c>
      <c r="S263" t="b">
        <v>0</v>
      </c>
      <c r="T263" t="s">
        <v>87</v>
      </c>
      <c r="U263" t="b">
        <v>0</v>
      </c>
      <c r="V263" t="s">
        <v>419</v>
      </c>
      <c r="W263" s="1">
        <v>44200.407407407409</v>
      </c>
      <c r="X263">
        <v>70</v>
      </c>
      <c r="Y263">
        <v>0</v>
      </c>
      <c r="Z263">
        <v>0</v>
      </c>
      <c r="AA263">
        <v>0</v>
      </c>
      <c r="AB263">
        <v>52</v>
      </c>
      <c r="AC263">
        <v>0</v>
      </c>
      <c r="AD263">
        <v>66</v>
      </c>
      <c r="AE263">
        <v>0</v>
      </c>
      <c r="AF263">
        <v>0</v>
      </c>
      <c r="AG263">
        <v>0</v>
      </c>
      <c r="AH263" t="s">
        <v>267</v>
      </c>
      <c r="AI263" s="1">
        <v>44200.455034722225</v>
      </c>
      <c r="AJ263">
        <v>24</v>
      </c>
      <c r="AK263">
        <v>0</v>
      </c>
      <c r="AL263">
        <v>0</v>
      </c>
      <c r="AM263">
        <v>0</v>
      </c>
      <c r="AN263">
        <v>52</v>
      </c>
      <c r="AO263">
        <v>0</v>
      </c>
      <c r="AP263">
        <v>66</v>
      </c>
      <c r="AQ263">
        <v>0</v>
      </c>
      <c r="AR263">
        <v>0</v>
      </c>
      <c r="AS263">
        <v>0</v>
      </c>
      <c r="AT263" t="s">
        <v>90</v>
      </c>
      <c r="AU263" s="1">
        <v>44200.471805555557</v>
      </c>
      <c r="AV263">
        <v>2</v>
      </c>
      <c r="AW263">
        <v>0</v>
      </c>
      <c r="AX263">
        <v>0</v>
      </c>
      <c r="AY263">
        <v>0</v>
      </c>
      <c r="AZ263">
        <v>52</v>
      </c>
      <c r="BA263">
        <v>0</v>
      </c>
      <c r="BB263">
        <v>66</v>
      </c>
      <c r="BC263">
        <v>0</v>
      </c>
      <c r="BD263">
        <v>0</v>
      </c>
      <c r="BE263">
        <v>0</v>
      </c>
    </row>
    <row r="264" spans="1:57" x14ac:dyDescent="0.45">
      <c r="A264" t="s">
        <v>786</v>
      </c>
      <c r="B264" t="s">
        <v>79</v>
      </c>
      <c r="C264" t="s">
        <v>774</v>
      </c>
      <c r="D264" t="s">
        <v>81</v>
      </c>
      <c r="E264" s="2" t="str">
        <f>HYPERLINK("capsilon://?command=openfolder&amp;siteaddress=FAM.docvelocity-na8.net&amp;folderid=FXC3379E2A-38FC-1195-47A4-E8A6B35A5945","FX201114785")</f>
        <v>FX201114785</v>
      </c>
      <c r="F264" t="s">
        <v>19</v>
      </c>
      <c r="G264" t="s">
        <v>19</v>
      </c>
      <c r="H264" t="s">
        <v>82</v>
      </c>
      <c r="I264" t="s">
        <v>775</v>
      </c>
      <c r="J264">
        <v>38</v>
      </c>
      <c r="K264" t="s">
        <v>84</v>
      </c>
      <c r="L264" t="s">
        <v>85</v>
      </c>
      <c r="M264" t="s">
        <v>86</v>
      </c>
      <c r="N264">
        <v>3</v>
      </c>
      <c r="O264" s="1">
        <v>44202.681631944448</v>
      </c>
      <c r="P264" s="1">
        <v>44202.703969907408</v>
      </c>
      <c r="Q264">
        <v>639</v>
      </c>
      <c r="R264">
        <v>1291</v>
      </c>
      <c r="S264" t="b">
        <v>0</v>
      </c>
      <c r="T264" t="s">
        <v>87</v>
      </c>
      <c r="U264" t="b">
        <v>1</v>
      </c>
      <c r="V264" t="s">
        <v>343</v>
      </c>
      <c r="W264" s="1">
        <v>44202.695162037038</v>
      </c>
      <c r="X264">
        <v>1113</v>
      </c>
      <c r="Y264">
        <v>37</v>
      </c>
      <c r="Z264">
        <v>0</v>
      </c>
      <c r="AA264">
        <v>37</v>
      </c>
      <c r="AB264">
        <v>0</v>
      </c>
      <c r="AC264">
        <v>24</v>
      </c>
      <c r="AD264">
        <v>1</v>
      </c>
      <c r="AE264">
        <v>0</v>
      </c>
      <c r="AF264">
        <v>0</v>
      </c>
      <c r="AG264">
        <v>0</v>
      </c>
      <c r="AH264" t="s">
        <v>128</v>
      </c>
      <c r="AI264" s="1">
        <v>44202.696504629632</v>
      </c>
      <c r="AJ264">
        <v>113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 t="s">
        <v>549</v>
      </c>
      <c r="AU264" s="1">
        <v>44202.703969907408</v>
      </c>
      <c r="AV264">
        <v>43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</row>
    <row r="265" spans="1:57" x14ac:dyDescent="0.45">
      <c r="A265" t="s">
        <v>787</v>
      </c>
      <c r="B265" t="s">
        <v>79</v>
      </c>
      <c r="C265" t="s">
        <v>782</v>
      </c>
      <c r="D265" t="s">
        <v>81</v>
      </c>
      <c r="E265" s="2" t="str">
        <f>HYPERLINK("capsilon://?command=openfolder&amp;siteaddress=FAM.docvelocity-na8.net&amp;folderid=FXCD581F3E-B18D-DAD4-B396-5E717D7A50B5","FX201222536")</f>
        <v>FX201222536</v>
      </c>
      <c r="F265" t="s">
        <v>19</v>
      </c>
      <c r="G265" t="s">
        <v>19</v>
      </c>
      <c r="H265" t="s">
        <v>82</v>
      </c>
      <c r="I265" t="s">
        <v>783</v>
      </c>
      <c r="J265">
        <v>38</v>
      </c>
      <c r="K265" t="s">
        <v>84</v>
      </c>
      <c r="L265" t="s">
        <v>85</v>
      </c>
      <c r="M265" t="s">
        <v>86</v>
      </c>
      <c r="N265">
        <v>3</v>
      </c>
      <c r="O265" s="1">
        <v>44202.682037037041</v>
      </c>
      <c r="P265" s="1">
        <v>44202.704131944447</v>
      </c>
      <c r="Q265">
        <v>1022</v>
      </c>
      <c r="R265">
        <v>887</v>
      </c>
      <c r="S265" t="b">
        <v>0</v>
      </c>
      <c r="T265" t="s">
        <v>87</v>
      </c>
      <c r="U265" t="b">
        <v>1</v>
      </c>
      <c r="V265" t="s">
        <v>262</v>
      </c>
      <c r="W265" s="1">
        <v>44202.693969907406</v>
      </c>
      <c r="X265">
        <v>624</v>
      </c>
      <c r="Y265">
        <v>37</v>
      </c>
      <c r="Z265">
        <v>0</v>
      </c>
      <c r="AA265">
        <v>37</v>
      </c>
      <c r="AB265">
        <v>0</v>
      </c>
      <c r="AC265">
        <v>35</v>
      </c>
      <c r="AD265">
        <v>1</v>
      </c>
      <c r="AE265">
        <v>0</v>
      </c>
      <c r="AF265">
        <v>0</v>
      </c>
      <c r="AG265">
        <v>0</v>
      </c>
      <c r="AH265" t="s">
        <v>128</v>
      </c>
      <c r="AI265" s="1">
        <v>44202.69940972222</v>
      </c>
      <c r="AJ265">
        <v>250</v>
      </c>
      <c r="AK265">
        <v>2</v>
      </c>
      <c r="AL265">
        <v>0</v>
      </c>
      <c r="AM265">
        <v>2</v>
      </c>
      <c r="AN265">
        <v>0</v>
      </c>
      <c r="AO265">
        <v>2</v>
      </c>
      <c r="AP265">
        <v>-1</v>
      </c>
      <c r="AQ265">
        <v>0</v>
      </c>
      <c r="AR265">
        <v>0</v>
      </c>
      <c r="AS265">
        <v>0</v>
      </c>
      <c r="AT265" t="s">
        <v>549</v>
      </c>
      <c r="AU265" s="1">
        <v>44202.704131944447</v>
      </c>
      <c r="AV265">
        <v>13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-1</v>
      </c>
      <c r="BC265">
        <v>0</v>
      </c>
      <c r="BD265">
        <v>0</v>
      </c>
      <c r="BE265">
        <v>0</v>
      </c>
    </row>
    <row r="266" spans="1:57" hidden="1" x14ac:dyDescent="0.45">
      <c r="A266" t="s">
        <v>788</v>
      </c>
      <c r="B266" t="s">
        <v>79</v>
      </c>
      <c r="C266" t="s">
        <v>594</v>
      </c>
      <c r="D266" t="s">
        <v>81</v>
      </c>
      <c r="E266" s="2" t="str">
        <f>HYPERLINK("capsilon://?command=openfolder&amp;siteaddress=FAM.docvelocity-na8.net&amp;folderid=FX42D4C570-1BAB-90C2-784D-260AE7AFF551","FX21011214")</f>
        <v>FX21011214</v>
      </c>
      <c r="F266" t="s">
        <v>19</v>
      </c>
      <c r="G266" t="s">
        <v>19</v>
      </c>
      <c r="H266" t="s">
        <v>82</v>
      </c>
      <c r="I266" t="s">
        <v>789</v>
      </c>
      <c r="J266">
        <v>38</v>
      </c>
      <c r="K266" t="s">
        <v>84</v>
      </c>
      <c r="L266" t="s">
        <v>85</v>
      </c>
      <c r="M266" t="s">
        <v>86</v>
      </c>
      <c r="N266">
        <v>1</v>
      </c>
      <c r="O266" s="1">
        <v>44202.682500000003</v>
      </c>
      <c r="P266" s="1">
        <v>44202.691805555558</v>
      </c>
      <c r="Q266">
        <v>516</v>
      </c>
      <c r="R266">
        <v>288</v>
      </c>
      <c r="S266" t="b">
        <v>0</v>
      </c>
      <c r="T266" t="s">
        <v>87</v>
      </c>
      <c r="U266" t="b">
        <v>0</v>
      </c>
      <c r="V266" t="s">
        <v>179</v>
      </c>
      <c r="W266" s="1">
        <v>44202.691805555558</v>
      </c>
      <c r="X266">
        <v>288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38</v>
      </c>
      <c r="AE266">
        <v>37</v>
      </c>
      <c r="AF266">
        <v>0</v>
      </c>
      <c r="AG266">
        <v>2</v>
      </c>
      <c r="AH266" t="s">
        <v>87</v>
      </c>
      <c r="AI266" t="s">
        <v>87</v>
      </c>
      <c r="AJ266" t="s">
        <v>87</v>
      </c>
      <c r="AK266" t="s">
        <v>87</v>
      </c>
      <c r="AL266" t="s">
        <v>87</v>
      </c>
      <c r="AM266" t="s">
        <v>87</v>
      </c>
      <c r="AN266" t="s">
        <v>87</v>
      </c>
      <c r="AO266" t="s">
        <v>87</v>
      </c>
      <c r="AP266" t="s">
        <v>87</v>
      </c>
      <c r="AQ266" t="s">
        <v>87</v>
      </c>
      <c r="AR266" t="s">
        <v>87</v>
      </c>
      <c r="AS266" t="s">
        <v>87</v>
      </c>
      <c r="AT266" t="s">
        <v>87</v>
      </c>
      <c r="AU266" t="s">
        <v>87</v>
      </c>
      <c r="AV266" t="s">
        <v>87</v>
      </c>
      <c r="AW266" t="s">
        <v>87</v>
      </c>
      <c r="AX266" t="s">
        <v>87</v>
      </c>
      <c r="AY266" t="s">
        <v>87</v>
      </c>
      <c r="AZ266" t="s">
        <v>87</v>
      </c>
      <c r="BA266" t="s">
        <v>87</v>
      </c>
      <c r="BB266" t="s">
        <v>87</v>
      </c>
      <c r="BC266" t="s">
        <v>87</v>
      </c>
      <c r="BD266" t="s">
        <v>87</v>
      </c>
      <c r="BE266" t="s">
        <v>87</v>
      </c>
    </row>
    <row r="267" spans="1:57" x14ac:dyDescent="0.45">
      <c r="A267" t="s">
        <v>790</v>
      </c>
      <c r="B267" t="s">
        <v>79</v>
      </c>
      <c r="C267" t="s">
        <v>791</v>
      </c>
      <c r="D267" t="s">
        <v>81</v>
      </c>
      <c r="E267" s="2" t="str">
        <f>HYPERLINK("capsilon://?command=openfolder&amp;siteaddress=FAM.docvelocity-na8.net&amp;folderid=FX75A1A265-50F8-6106-D1E4-E980FE47A6C8","FX201225452")</f>
        <v>FX201225452</v>
      </c>
      <c r="F267" t="s">
        <v>19</v>
      </c>
      <c r="G267" t="s">
        <v>19</v>
      </c>
      <c r="H267" t="s">
        <v>82</v>
      </c>
      <c r="I267" t="s">
        <v>792</v>
      </c>
      <c r="J267">
        <v>66</v>
      </c>
      <c r="K267" t="s">
        <v>84</v>
      </c>
      <c r="L267" t="s">
        <v>85</v>
      </c>
      <c r="M267" t="s">
        <v>86</v>
      </c>
      <c r="N267">
        <v>3</v>
      </c>
      <c r="O267" s="1">
        <v>44200.385601851849</v>
      </c>
      <c r="P267" s="1">
        <v>44200.475706018522</v>
      </c>
      <c r="Q267">
        <v>6820</v>
      </c>
      <c r="R267">
        <v>965</v>
      </c>
      <c r="S267" t="b">
        <v>0</v>
      </c>
      <c r="T267" t="s">
        <v>87</v>
      </c>
      <c r="U267" t="b">
        <v>0</v>
      </c>
      <c r="V267" t="s">
        <v>419</v>
      </c>
      <c r="W267" s="1">
        <v>44200.413645833331</v>
      </c>
      <c r="X267">
        <v>538</v>
      </c>
      <c r="Y267">
        <v>52</v>
      </c>
      <c r="Z267">
        <v>0</v>
      </c>
      <c r="AA267">
        <v>52</v>
      </c>
      <c r="AB267">
        <v>0</v>
      </c>
      <c r="AC267">
        <v>25</v>
      </c>
      <c r="AD267">
        <v>14</v>
      </c>
      <c r="AE267">
        <v>0</v>
      </c>
      <c r="AF267">
        <v>0</v>
      </c>
      <c r="AG267">
        <v>0</v>
      </c>
      <c r="AH267" t="s">
        <v>267</v>
      </c>
      <c r="AI267" s="1">
        <v>44200.456099537034</v>
      </c>
      <c r="AJ267">
        <v>91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14</v>
      </c>
      <c r="AQ267">
        <v>0</v>
      </c>
      <c r="AR267">
        <v>0</v>
      </c>
      <c r="AS267">
        <v>0</v>
      </c>
      <c r="AT267" t="s">
        <v>90</v>
      </c>
      <c r="AU267" s="1">
        <v>44200.475706018522</v>
      </c>
      <c r="AV267">
        <v>336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14</v>
      </c>
      <c r="BC267">
        <v>0</v>
      </c>
      <c r="BD267">
        <v>0</v>
      </c>
      <c r="BE267">
        <v>0</v>
      </c>
    </row>
    <row r="268" spans="1:57" x14ac:dyDescent="0.45">
      <c r="A268" t="s">
        <v>793</v>
      </c>
      <c r="B268" t="s">
        <v>79</v>
      </c>
      <c r="C268" t="s">
        <v>794</v>
      </c>
      <c r="D268" t="s">
        <v>81</v>
      </c>
      <c r="E268" s="2" t="str">
        <f>HYPERLINK("capsilon://?command=openfolder&amp;siteaddress=FAM.docvelocity-na8.net&amp;folderid=FX12D7B20B-06E0-B51D-1308-B6C5D4518D1D","FX201228966")</f>
        <v>FX201228966</v>
      </c>
      <c r="F268" t="s">
        <v>19</v>
      </c>
      <c r="G268" t="s">
        <v>19</v>
      </c>
      <c r="H268" t="s">
        <v>82</v>
      </c>
      <c r="I268" t="s">
        <v>795</v>
      </c>
      <c r="J268">
        <v>90</v>
      </c>
      <c r="K268" t="s">
        <v>84</v>
      </c>
      <c r="L268" t="s">
        <v>85</v>
      </c>
      <c r="M268" t="s">
        <v>86</v>
      </c>
      <c r="N268">
        <v>3</v>
      </c>
      <c r="O268" s="1">
        <v>44202.68472222222</v>
      </c>
      <c r="P268" s="1">
        <v>44203.342222222222</v>
      </c>
      <c r="Q268">
        <v>54703</v>
      </c>
      <c r="R268">
        <v>2105</v>
      </c>
      <c r="S268" t="b">
        <v>0</v>
      </c>
      <c r="T268" t="s">
        <v>87</v>
      </c>
      <c r="U268" t="b">
        <v>0</v>
      </c>
      <c r="V268" t="s">
        <v>160</v>
      </c>
      <c r="W268" s="1">
        <v>44202.70952546296</v>
      </c>
      <c r="X268">
        <v>1696</v>
      </c>
      <c r="Y268">
        <v>79</v>
      </c>
      <c r="Z268">
        <v>0</v>
      </c>
      <c r="AA268">
        <v>79</v>
      </c>
      <c r="AB268">
        <v>0</v>
      </c>
      <c r="AC268">
        <v>51</v>
      </c>
      <c r="AD268">
        <v>11</v>
      </c>
      <c r="AE268">
        <v>0</v>
      </c>
      <c r="AF268">
        <v>0</v>
      </c>
      <c r="AG268">
        <v>0</v>
      </c>
      <c r="AH268" t="s">
        <v>128</v>
      </c>
      <c r="AI268" s="1">
        <v>44202.717164351852</v>
      </c>
      <c r="AJ268">
        <v>402</v>
      </c>
      <c r="AK268">
        <v>2</v>
      </c>
      <c r="AL268">
        <v>0</v>
      </c>
      <c r="AM268">
        <v>2</v>
      </c>
      <c r="AN268">
        <v>0</v>
      </c>
      <c r="AO268">
        <v>2</v>
      </c>
      <c r="AP268">
        <v>9</v>
      </c>
      <c r="AQ268">
        <v>0</v>
      </c>
      <c r="AR268">
        <v>0</v>
      </c>
      <c r="AS268">
        <v>0</v>
      </c>
      <c r="AT268" t="s">
        <v>90</v>
      </c>
      <c r="AU268" s="1">
        <v>44203.342222222222</v>
      </c>
      <c r="AV268">
        <v>7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9</v>
      </c>
      <c r="BC268">
        <v>0</v>
      </c>
      <c r="BD268">
        <v>0</v>
      </c>
      <c r="BE268">
        <v>0</v>
      </c>
    </row>
    <row r="269" spans="1:57" x14ac:dyDescent="0.45">
      <c r="A269" t="s">
        <v>796</v>
      </c>
      <c r="B269" t="s">
        <v>79</v>
      </c>
      <c r="C269" t="s">
        <v>797</v>
      </c>
      <c r="D269" t="s">
        <v>81</v>
      </c>
      <c r="E269" s="2" t="str">
        <f>HYPERLINK("capsilon://?command=openfolder&amp;siteaddress=FAM.docvelocity-na8.net&amp;folderid=FX4BD75D45-EC13-21D6-DB91-55539376BF9A","FX21012299")</f>
        <v>FX21012299</v>
      </c>
      <c r="F269" t="s">
        <v>19</v>
      </c>
      <c r="G269" t="s">
        <v>19</v>
      </c>
      <c r="H269" t="s">
        <v>82</v>
      </c>
      <c r="I269" t="s">
        <v>798</v>
      </c>
      <c r="J269">
        <v>243</v>
      </c>
      <c r="K269" t="s">
        <v>84</v>
      </c>
      <c r="L269" t="s">
        <v>85</v>
      </c>
      <c r="M269" t="s">
        <v>86</v>
      </c>
      <c r="N269">
        <v>3</v>
      </c>
      <c r="O269" s="1">
        <v>44202.685150462959</v>
      </c>
      <c r="P269" s="1">
        <v>44203.345590277779</v>
      </c>
      <c r="Q269">
        <v>53260</v>
      </c>
      <c r="R269">
        <v>3802</v>
      </c>
      <c r="S269" t="b">
        <v>0</v>
      </c>
      <c r="T269" t="s">
        <v>87</v>
      </c>
      <c r="U269" t="b">
        <v>0</v>
      </c>
      <c r="V269" t="s">
        <v>179</v>
      </c>
      <c r="W269" s="1">
        <v>44202.715636574074</v>
      </c>
      <c r="X269">
        <v>2023</v>
      </c>
      <c r="Y269">
        <v>187</v>
      </c>
      <c r="Z269">
        <v>0</v>
      </c>
      <c r="AA269">
        <v>187</v>
      </c>
      <c r="AB269">
        <v>0</v>
      </c>
      <c r="AC269">
        <v>93</v>
      </c>
      <c r="AD269">
        <v>56</v>
      </c>
      <c r="AE269">
        <v>0</v>
      </c>
      <c r="AF269">
        <v>0</v>
      </c>
      <c r="AG269">
        <v>0</v>
      </c>
      <c r="AH269" t="s">
        <v>128</v>
      </c>
      <c r="AI269" s="1">
        <v>44202.7340625</v>
      </c>
      <c r="AJ269">
        <v>1458</v>
      </c>
      <c r="AK269">
        <v>2</v>
      </c>
      <c r="AL269">
        <v>0</v>
      </c>
      <c r="AM269">
        <v>2</v>
      </c>
      <c r="AN269">
        <v>0</v>
      </c>
      <c r="AO269">
        <v>2</v>
      </c>
      <c r="AP269">
        <v>54</v>
      </c>
      <c r="AQ269">
        <v>0</v>
      </c>
      <c r="AR269">
        <v>0</v>
      </c>
      <c r="AS269">
        <v>0</v>
      </c>
      <c r="AT269" t="s">
        <v>90</v>
      </c>
      <c r="AU269" s="1">
        <v>44203.345590277779</v>
      </c>
      <c r="AV269">
        <v>290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54</v>
      </c>
      <c r="BC269">
        <v>0</v>
      </c>
      <c r="BD269">
        <v>0</v>
      </c>
      <c r="BE269">
        <v>0</v>
      </c>
    </row>
    <row r="270" spans="1:57" x14ac:dyDescent="0.45">
      <c r="A270" t="s">
        <v>799</v>
      </c>
      <c r="B270" t="s">
        <v>79</v>
      </c>
      <c r="C270" t="s">
        <v>212</v>
      </c>
      <c r="D270" t="s">
        <v>81</v>
      </c>
      <c r="E270" s="2" t="str">
        <f>HYPERLINK("capsilon://?command=openfolder&amp;siteaddress=FAM.docvelocity-na8.net&amp;folderid=FXAE91522F-3405-6263-3BD8-99AD05BFDCD4","FX201114102")</f>
        <v>FX201114102</v>
      </c>
      <c r="F270" t="s">
        <v>19</v>
      </c>
      <c r="G270" t="s">
        <v>19</v>
      </c>
      <c r="H270" t="s">
        <v>82</v>
      </c>
      <c r="I270" t="s">
        <v>800</v>
      </c>
      <c r="J270">
        <v>139</v>
      </c>
      <c r="K270" t="s">
        <v>84</v>
      </c>
      <c r="L270" t="s">
        <v>85</v>
      </c>
      <c r="M270" t="s">
        <v>86</v>
      </c>
      <c r="N270">
        <v>3</v>
      </c>
      <c r="O270" s="1">
        <v>44202.689467592594</v>
      </c>
      <c r="P270" s="1">
        <v>44203.369803240741</v>
      </c>
      <c r="Q270">
        <v>55415</v>
      </c>
      <c r="R270">
        <v>3366</v>
      </c>
      <c r="S270" t="b">
        <v>0</v>
      </c>
      <c r="T270" t="s">
        <v>87</v>
      </c>
      <c r="U270" t="b">
        <v>0</v>
      </c>
      <c r="V270" t="s">
        <v>343</v>
      </c>
      <c r="W270" s="1">
        <v>44202.705312500002</v>
      </c>
      <c r="X270">
        <v>876</v>
      </c>
      <c r="Y270">
        <v>116</v>
      </c>
      <c r="Z270">
        <v>0</v>
      </c>
      <c r="AA270">
        <v>116</v>
      </c>
      <c r="AB270">
        <v>0</v>
      </c>
      <c r="AC270">
        <v>15</v>
      </c>
      <c r="AD270">
        <v>23</v>
      </c>
      <c r="AE270">
        <v>0</v>
      </c>
      <c r="AF270">
        <v>0</v>
      </c>
      <c r="AG270">
        <v>0</v>
      </c>
      <c r="AH270" t="s">
        <v>267</v>
      </c>
      <c r="AI270" s="1">
        <v>44202.72729166667</v>
      </c>
      <c r="AJ270">
        <v>398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23</v>
      </c>
      <c r="AQ270">
        <v>0</v>
      </c>
      <c r="AR270">
        <v>0</v>
      </c>
      <c r="AS270">
        <v>0</v>
      </c>
      <c r="AT270" t="s">
        <v>90</v>
      </c>
      <c r="AU270" s="1">
        <v>44203.369803240741</v>
      </c>
      <c r="AV270">
        <v>2092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23</v>
      </c>
      <c r="BC270">
        <v>0</v>
      </c>
      <c r="BD270">
        <v>0</v>
      </c>
      <c r="BE270">
        <v>0</v>
      </c>
    </row>
    <row r="271" spans="1:57" x14ac:dyDescent="0.45">
      <c r="A271" t="s">
        <v>801</v>
      </c>
      <c r="B271" t="s">
        <v>79</v>
      </c>
      <c r="C271" t="s">
        <v>802</v>
      </c>
      <c r="D271" t="s">
        <v>81</v>
      </c>
      <c r="E271" s="2" t="str">
        <f>HYPERLINK("capsilon://?command=openfolder&amp;siteaddress=FAM.docvelocity-na8.net&amp;folderid=FX0077B21D-C6A3-085F-5AD8-008A8D8D2A40","FX21011006")</f>
        <v>FX21011006</v>
      </c>
      <c r="F271" t="s">
        <v>19</v>
      </c>
      <c r="G271" t="s">
        <v>19</v>
      </c>
      <c r="H271" t="s">
        <v>82</v>
      </c>
      <c r="I271" t="s">
        <v>803</v>
      </c>
      <c r="J271">
        <v>322</v>
      </c>
      <c r="K271" t="s">
        <v>84</v>
      </c>
      <c r="L271" t="s">
        <v>85</v>
      </c>
      <c r="M271" t="s">
        <v>86</v>
      </c>
      <c r="N271">
        <v>3</v>
      </c>
      <c r="O271" s="1">
        <v>44202.691770833335</v>
      </c>
      <c r="P271" s="1">
        <v>44203.370659722219</v>
      </c>
      <c r="Q271">
        <v>57012</v>
      </c>
      <c r="R271">
        <v>1644</v>
      </c>
      <c r="S271" t="b">
        <v>0</v>
      </c>
      <c r="T271" t="s">
        <v>87</v>
      </c>
      <c r="U271" t="b">
        <v>0</v>
      </c>
      <c r="V271" t="s">
        <v>242</v>
      </c>
      <c r="W271" s="1">
        <v>44202.708715277775</v>
      </c>
      <c r="X271">
        <v>1017</v>
      </c>
      <c r="Y271">
        <v>211</v>
      </c>
      <c r="Z271">
        <v>0</v>
      </c>
      <c r="AA271">
        <v>211</v>
      </c>
      <c r="AB271">
        <v>37</v>
      </c>
      <c r="AC271">
        <v>83</v>
      </c>
      <c r="AD271">
        <v>111</v>
      </c>
      <c r="AE271">
        <v>0</v>
      </c>
      <c r="AF271">
        <v>0</v>
      </c>
      <c r="AG271">
        <v>0</v>
      </c>
      <c r="AH271" t="s">
        <v>267</v>
      </c>
      <c r="AI271" s="1">
        <v>44202.733773148146</v>
      </c>
      <c r="AJ271">
        <v>559</v>
      </c>
      <c r="AK271">
        <v>2</v>
      </c>
      <c r="AL271">
        <v>0</v>
      </c>
      <c r="AM271">
        <v>2</v>
      </c>
      <c r="AN271">
        <v>37</v>
      </c>
      <c r="AO271">
        <v>0</v>
      </c>
      <c r="AP271">
        <v>109</v>
      </c>
      <c r="AQ271">
        <v>0</v>
      </c>
      <c r="AR271">
        <v>0</v>
      </c>
      <c r="AS271">
        <v>0</v>
      </c>
      <c r="AT271" t="s">
        <v>90</v>
      </c>
      <c r="AU271" s="1">
        <v>44203.370659722219</v>
      </c>
      <c r="AV271">
        <v>68</v>
      </c>
      <c r="AW271">
        <v>0</v>
      </c>
      <c r="AX271">
        <v>0</v>
      </c>
      <c r="AY271">
        <v>0</v>
      </c>
      <c r="AZ271">
        <v>37</v>
      </c>
      <c r="BA271">
        <v>0</v>
      </c>
      <c r="BB271">
        <v>109</v>
      </c>
      <c r="BC271">
        <v>0</v>
      </c>
      <c r="BD271">
        <v>0</v>
      </c>
      <c r="BE271">
        <v>0</v>
      </c>
    </row>
    <row r="272" spans="1:57" x14ac:dyDescent="0.45">
      <c r="A272" t="s">
        <v>804</v>
      </c>
      <c r="B272" t="s">
        <v>79</v>
      </c>
      <c r="C272" t="s">
        <v>594</v>
      </c>
      <c r="D272" t="s">
        <v>81</v>
      </c>
      <c r="E272" s="2" t="str">
        <f>HYPERLINK("capsilon://?command=openfolder&amp;siteaddress=FAM.docvelocity-na8.net&amp;folderid=FX42D4C570-1BAB-90C2-784D-260AE7AFF551","FX21011214")</f>
        <v>FX21011214</v>
      </c>
      <c r="F272" t="s">
        <v>19</v>
      </c>
      <c r="G272" t="s">
        <v>19</v>
      </c>
      <c r="H272" t="s">
        <v>82</v>
      </c>
      <c r="I272" t="s">
        <v>789</v>
      </c>
      <c r="J272">
        <v>76</v>
      </c>
      <c r="K272" t="s">
        <v>84</v>
      </c>
      <c r="L272" t="s">
        <v>85</v>
      </c>
      <c r="M272" t="s">
        <v>86</v>
      </c>
      <c r="N272">
        <v>3</v>
      </c>
      <c r="O272" s="1">
        <v>44202.692291666666</v>
      </c>
      <c r="P272" s="1">
        <v>44203.334548611114</v>
      </c>
      <c r="Q272">
        <v>53998</v>
      </c>
      <c r="R272">
        <v>1493</v>
      </c>
      <c r="S272" t="b">
        <v>0</v>
      </c>
      <c r="T272" t="s">
        <v>87</v>
      </c>
      <c r="U272" t="b">
        <v>1</v>
      </c>
      <c r="V272" t="s">
        <v>262</v>
      </c>
      <c r="W272" s="1">
        <v>44202.706273148149</v>
      </c>
      <c r="X272">
        <v>1063</v>
      </c>
      <c r="Y272">
        <v>74</v>
      </c>
      <c r="Z272">
        <v>0</v>
      </c>
      <c r="AA272">
        <v>74</v>
      </c>
      <c r="AB272">
        <v>0</v>
      </c>
      <c r="AC272">
        <v>41</v>
      </c>
      <c r="AD272">
        <v>2</v>
      </c>
      <c r="AE272">
        <v>0</v>
      </c>
      <c r="AF272">
        <v>0</v>
      </c>
      <c r="AG272">
        <v>0</v>
      </c>
      <c r="AH272" t="s">
        <v>128</v>
      </c>
      <c r="AI272" s="1">
        <v>44202.712500000001</v>
      </c>
      <c r="AJ272">
        <v>395</v>
      </c>
      <c r="AK272">
        <v>1</v>
      </c>
      <c r="AL272">
        <v>0</v>
      </c>
      <c r="AM272">
        <v>1</v>
      </c>
      <c r="AN272">
        <v>0</v>
      </c>
      <c r="AO272">
        <v>7</v>
      </c>
      <c r="AP272">
        <v>1</v>
      </c>
      <c r="AQ272">
        <v>0</v>
      </c>
      <c r="AR272">
        <v>0</v>
      </c>
      <c r="AS272">
        <v>0</v>
      </c>
      <c r="AT272" t="s">
        <v>90</v>
      </c>
      <c r="AU272" s="1">
        <v>44203.334548611114</v>
      </c>
      <c r="AV272">
        <v>6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</row>
    <row r="273" spans="1:57" x14ac:dyDescent="0.45">
      <c r="A273" t="s">
        <v>805</v>
      </c>
      <c r="B273" t="s">
        <v>79</v>
      </c>
      <c r="C273" t="s">
        <v>806</v>
      </c>
      <c r="D273" t="s">
        <v>81</v>
      </c>
      <c r="E273" s="2" t="str">
        <f>HYPERLINK("capsilon://?command=openfolder&amp;siteaddress=FAM.docvelocity-na8.net&amp;folderid=FX04727687-20A6-8CB2-7A19-E29F9354E5FA","FX21011814")</f>
        <v>FX21011814</v>
      </c>
      <c r="F273" t="s">
        <v>19</v>
      </c>
      <c r="G273" t="s">
        <v>19</v>
      </c>
      <c r="H273" t="s">
        <v>82</v>
      </c>
      <c r="I273" t="s">
        <v>807</v>
      </c>
      <c r="J273">
        <v>326</v>
      </c>
      <c r="K273" t="s">
        <v>84</v>
      </c>
      <c r="L273" t="s">
        <v>85</v>
      </c>
      <c r="M273" t="s">
        <v>86</v>
      </c>
      <c r="N273">
        <v>3</v>
      </c>
      <c r="O273" s="1">
        <v>44202.694282407407</v>
      </c>
      <c r="P273" s="1">
        <v>44203.377002314817</v>
      </c>
      <c r="Q273">
        <v>51479</v>
      </c>
      <c r="R273">
        <v>7508</v>
      </c>
      <c r="S273" t="b">
        <v>0</v>
      </c>
      <c r="T273" t="s">
        <v>87</v>
      </c>
      <c r="U273" t="b">
        <v>0</v>
      </c>
      <c r="V273" t="s">
        <v>171</v>
      </c>
      <c r="W273" s="1">
        <v>44202.76730324074</v>
      </c>
      <c r="X273">
        <v>5909</v>
      </c>
      <c r="Y273">
        <v>409</v>
      </c>
      <c r="Z273">
        <v>0</v>
      </c>
      <c r="AA273">
        <v>409</v>
      </c>
      <c r="AB273">
        <v>37</v>
      </c>
      <c r="AC273">
        <v>288</v>
      </c>
      <c r="AD273">
        <v>-83</v>
      </c>
      <c r="AE273">
        <v>0</v>
      </c>
      <c r="AF273">
        <v>0</v>
      </c>
      <c r="AG273">
        <v>0</v>
      </c>
      <c r="AH273" t="s">
        <v>267</v>
      </c>
      <c r="AI273" s="1">
        <v>44202.785243055558</v>
      </c>
      <c r="AJ273">
        <v>997</v>
      </c>
      <c r="AK273">
        <v>11</v>
      </c>
      <c r="AL273">
        <v>0</v>
      </c>
      <c r="AM273">
        <v>11</v>
      </c>
      <c r="AN273">
        <v>37</v>
      </c>
      <c r="AO273">
        <v>10</v>
      </c>
      <c r="AP273">
        <v>-94</v>
      </c>
      <c r="AQ273">
        <v>0</v>
      </c>
      <c r="AR273">
        <v>0</v>
      </c>
      <c r="AS273">
        <v>0</v>
      </c>
      <c r="AT273" t="s">
        <v>90</v>
      </c>
      <c r="AU273" s="1">
        <v>44203.377002314817</v>
      </c>
      <c r="AV273">
        <v>548</v>
      </c>
      <c r="AW273">
        <v>0</v>
      </c>
      <c r="AX273">
        <v>0</v>
      </c>
      <c r="AY273">
        <v>0</v>
      </c>
      <c r="AZ273">
        <v>37</v>
      </c>
      <c r="BA273">
        <v>0</v>
      </c>
      <c r="BB273">
        <v>-94</v>
      </c>
      <c r="BC273">
        <v>0</v>
      </c>
      <c r="BD273">
        <v>0</v>
      </c>
      <c r="BE273">
        <v>0</v>
      </c>
    </row>
    <row r="274" spans="1:57" x14ac:dyDescent="0.45">
      <c r="A274" t="s">
        <v>808</v>
      </c>
      <c r="B274" t="s">
        <v>79</v>
      </c>
      <c r="C274" t="s">
        <v>809</v>
      </c>
      <c r="D274" t="s">
        <v>81</v>
      </c>
      <c r="E274" s="2" t="str">
        <f>HYPERLINK("capsilon://?command=openfolder&amp;siteaddress=FAM.docvelocity-na8.net&amp;folderid=FX00633463-7C58-5FDE-2EBE-6FF9646FD86A","FX21012421")</f>
        <v>FX21012421</v>
      </c>
      <c r="F274" t="s">
        <v>19</v>
      </c>
      <c r="G274" t="s">
        <v>19</v>
      </c>
      <c r="H274" t="s">
        <v>82</v>
      </c>
      <c r="I274" t="s">
        <v>810</v>
      </c>
      <c r="J274">
        <v>388</v>
      </c>
      <c r="K274" t="s">
        <v>84</v>
      </c>
      <c r="L274" t="s">
        <v>85</v>
      </c>
      <c r="M274" t="s">
        <v>81</v>
      </c>
      <c r="N274">
        <v>2</v>
      </c>
      <c r="O274" s="1">
        <v>44202.698634259257</v>
      </c>
      <c r="P274" s="1">
        <v>44202.756284722222</v>
      </c>
      <c r="Q274">
        <v>188</v>
      </c>
      <c r="R274">
        <v>4793</v>
      </c>
      <c r="S274" t="b">
        <v>0</v>
      </c>
      <c r="T274" t="s">
        <v>343</v>
      </c>
      <c r="U274" t="b">
        <v>0</v>
      </c>
      <c r="V274" t="s">
        <v>168</v>
      </c>
      <c r="W274" s="1">
        <v>44202.748807870368</v>
      </c>
      <c r="X274">
        <v>4309</v>
      </c>
      <c r="Y274">
        <v>396</v>
      </c>
      <c r="Z274">
        <v>0</v>
      </c>
      <c r="AA274">
        <v>396</v>
      </c>
      <c r="AB274">
        <v>0</v>
      </c>
      <c r="AC274">
        <v>187</v>
      </c>
      <c r="AD274">
        <v>-8</v>
      </c>
      <c r="AE274">
        <v>0</v>
      </c>
      <c r="AF274">
        <v>0</v>
      </c>
      <c r="AG274">
        <v>0</v>
      </c>
      <c r="AH274" t="s">
        <v>343</v>
      </c>
      <c r="AI274" s="1">
        <v>44202.756284722222</v>
      </c>
      <c r="AJ274">
        <v>251</v>
      </c>
      <c r="AK274">
        <v>1</v>
      </c>
      <c r="AL274">
        <v>0</v>
      </c>
      <c r="AM274">
        <v>1</v>
      </c>
      <c r="AN274">
        <v>0</v>
      </c>
      <c r="AO274">
        <v>0</v>
      </c>
      <c r="AP274">
        <v>-9</v>
      </c>
      <c r="AQ274">
        <v>42</v>
      </c>
      <c r="AR274">
        <v>0</v>
      </c>
      <c r="AS274">
        <v>4</v>
      </c>
      <c r="AT274" t="s">
        <v>87</v>
      </c>
      <c r="AU274" t="s">
        <v>87</v>
      </c>
      <c r="AV274" t="s">
        <v>87</v>
      </c>
      <c r="AW274" t="s">
        <v>87</v>
      </c>
      <c r="AX274" t="s">
        <v>87</v>
      </c>
      <c r="AY274" t="s">
        <v>87</v>
      </c>
      <c r="AZ274" t="s">
        <v>87</v>
      </c>
      <c r="BA274" t="s">
        <v>87</v>
      </c>
      <c r="BB274" t="s">
        <v>87</v>
      </c>
      <c r="BC274" t="s">
        <v>87</v>
      </c>
      <c r="BD274" t="s">
        <v>87</v>
      </c>
      <c r="BE274" t="s">
        <v>87</v>
      </c>
    </row>
    <row r="275" spans="1:57" x14ac:dyDescent="0.45">
      <c r="A275" t="s">
        <v>811</v>
      </c>
      <c r="B275" t="s">
        <v>79</v>
      </c>
      <c r="C275" t="s">
        <v>659</v>
      </c>
      <c r="D275" t="s">
        <v>81</v>
      </c>
      <c r="E275" s="2" t="str">
        <f>HYPERLINK("capsilon://?command=openfolder&amp;siteaddress=FAM.docvelocity-na8.net&amp;folderid=FXB293FE52-99C1-0A86-8FDF-896510BF9BB6","FX21012092")</f>
        <v>FX21012092</v>
      </c>
      <c r="F275" t="s">
        <v>19</v>
      </c>
      <c r="G275" t="s">
        <v>19</v>
      </c>
      <c r="H275" t="s">
        <v>82</v>
      </c>
      <c r="I275" t="s">
        <v>812</v>
      </c>
      <c r="J275">
        <v>26</v>
      </c>
      <c r="K275" t="s">
        <v>84</v>
      </c>
      <c r="L275" t="s">
        <v>85</v>
      </c>
      <c r="M275" t="s">
        <v>86</v>
      </c>
      <c r="N275">
        <v>3</v>
      </c>
      <c r="O275" s="1">
        <v>44202.702326388891</v>
      </c>
      <c r="P275" s="1">
        <v>44203.377141203702</v>
      </c>
      <c r="Q275">
        <v>58017</v>
      </c>
      <c r="R275">
        <v>287</v>
      </c>
      <c r="S275" t="b">
        <v>0</v>
      </c>
      <c r="T275" t="s">
        <v>87</v>
      </c>
      <c r="U275" t="b">
        <v>0</v>
      </c>
      <c r="V275" t="s">
        <v>343</v>
      </c>
      <c r="W275" s="1">
        <v>44202.707743055558</v>
      </c>
      <c r="X275">
        <v>209</v>
      </c>
      <c r="Y275">
        <v>21</v>
      </c>
      <c r="Z275">
        <v>0</v>
      </c>
      <c r="AA275">
        <v>21</v>
      </c>
      <c r="AB275">
        <v>0</v>
      </c>
      <c r="AC275">
        <v>3</v>
      </c>
      <c r="AD275">
        <v>5</v>
      </c>
      <c r="AE275">
        <v>0</v>
      </c>
      <c r="AF275">
        <v>0</v>
      </c>
      <c r="AG275">
        <v>0</v>
      </c>
      <c r="AH275" t="s">
        <v>267</v>
      </c>
      <c r="AI275" s="1">
        <v>44202.734560185185</v>
      </c>
      <c r="AJ275">
        <v>67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5</v>
      </c>
      <c r="AQ275">
        <v>0</v>
      </c>
      <c r="AR275">
        <v>0</v>
      </c>
      <c r="AS275">
        <v>0</v>
      </c>
      <c r="AT275" t="s">
        <v>90</v>
      </c>
      <c r="AU275" s="1">
        <v>44203.377141203702</v>
      </c>
      <c r="AV275">
        <v>11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5</v>
      </c>
      <c r="BC275">
        <v>0</v>
      </c>
      <c r="BD275">
        <v>0</v>
      </c>
      <c r="BE275">
        <v>0</v>
      </c>
    </row>
    <row r="276" spans="1:57" x14ac:dyDescent="0.45">
      <c r="A276" t="s">
        <v>813</v>
      </c>
      <c r="B276" t="s">
        <v>79</v>
      </c>
      <c r="C276" t="s">
        <v>794</v>
      </c>
      <c r="D276" t="s">
        <v>81</v>
      </c>
      <c r="E276" s="2" t="str">
        <f>HYPERLINK("capsilon://?command=openfolder&amp;siteaddress=FAM.docvelocity-na8.net&amp;folderid=FX12D7B20B-06E0-B51D-1308-B6C5D4518D1D","FX201228966")</f>
        <v>FX201228966</v>
      </c>
      <c r="F276" t="s">
        <v>19</v>
      </c>
      <c r="G276" t="s">
        <v>19</v>
      </c>
      <c r="H276" t="s">
        <v>82</v>
      </c>
      <c r="I276" t="s">
        <v>814</v>
      </c>
      <c r="J276">
        <v>26</v>
      </c>
      <c r="K276" t="s">
        <v>84</v>
      </c>
      <c r="L276" t="s">
        <v>85</v>
      </c>
      <c r="M276" t="s">
        <v>86</v>
      </c>
      <c r="N276">
        <v>3</v>
      </c>
      <c r="O276" s="1">
        <v>44202.703645833331</v>
      </c>
      <c r="P276" s="1">
        <v>44203.377210648148</v>
      </c>
      <c r="Q276">
        <v>57906</v>
      </c>
      <c r="R276">
        <v>290</v>
      </c>
      <c r="S276" t="b">
        <v>0</v>
      </c>
      <c r="T276" t="s">
        <v>87</v>
      </c>
      <c r="U276" t="b">
        <v>0</v>
      </c>
      <c r="V276" t="s">
        <v>262</v>
      </c>
      <c r="W276" s="1">
        <v>44202.70853009259</v>
      </c>
      <c r="X276">
        <v>194</v>
      </c>
      <c r="Y276">
        <v>21</v>
      </c>
      <c r="Z276">
        <v>0</v>
      </c>
      <c r="AA276">
        <v>21</v>
      </c>
      <c r="AB276">
        <v>0</v>
      </c>
      <c r="AC276">
        <v>1</v>
      </c>
      <c r="AD276">
        <v>5</v>
      </c>
      <c r="AE276">
        <v>0</v>
      </c>
      <c r="AF276">
        <v>0</v>
      </c>
      <c r="AG276">
        <v>0</v>
      </c>
      <c r="AH276" t="s">
        <v>128</v>
      </c>
      <c r="AI276" s="1">
        <v>44202.735127314816</v>
      </c>
      <c r="AJ276">
        <v>91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5</v>
      </c>
      <c r="AQ276">
        <v>0</v>
      </c>
      <c r="AR276">
        <v>0</v>
      </c>
      <c r="AS276">
        <v>0</v>
      </c>
      <c r="AT276" t="s">
        <v>90</v>
      </c>
      <c r="AU276" s="1">
        <v>44203.377210648148</v>
      </c>
      <c r="AV276">
        <v>5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5</v>
      </c>
      <c r="BC276">
        <v>0</v>
      </c>
      <c r="BD276">
        <v>0</v>
      </c>
      <c r="BE276">
        <v>0</v>
      </c>
    </row>
    <row r="277" spans="1:57" x14ac:dyDescent="0.45">
      <c r="A277" t="s">
        <v>815</v>
      </c>
      <c r="B277" t="s">
        <v>79</v>
      </c>
      <c r="C277" t="s">
        <v>816</v>
      </c>
      <c r="D277" t="s">
        <v>81</v>
      </c>
      <c r="E277" s="2" t="str">
        <f>HYPERLINK("capsilon://?command=openfolder&amp;siteaddress=FAM.docvelocity-na8.net&amp;folderid=FX87C9FAE3-85E9-A0CA-1618-8E40FC65148B","FX201226381")</f>
        <v>FX201226381</v>
      </c>
      <c r="F277" t="s">
        <v>19</v>
      </c>
      <c r="G277" t="s">
        <v>19</v>
      </c>
      <c r="H277" t="s">
        <v>82</v>
      </c>
      <c r="I277" t="s">
        <v>817</v>
      </c>
      <c r="J277">
        <v>26</v>
      </c>
      <c r="K277" t="s">
        <v>84</v>
      </c>
      <c r="L277" t="s">
        <v>85</v>
      </c>
      <c r="M277" t="s">
        <v>86</v>
      </c>
      <c r="N277">
        <v>3</v>
      </c>
      <c r="O277" s="1">
        <v>44202.704872685186</v>
      </c>
      <c r="P277" s="1">
        <v>44203.377280092594</v>
      </c>
      <c r="Q277">
        <v>57473</v>
      </c>
      <c r="R277">
        <v>623</v>
      </c>
      <c r="S277" t="b">
        <v>0</v>
      </c>
      <c r="T277" t="s">
        <v>87</v>
      </c>
      <c r="U277" t="b">
        <v>0</v>
      </c>
      <c r="V277" t="s">
        <v>343</v>
      </c>
      <c r="W277" s="1">
        <v>44202.713935185187</v>
      </c>
      <c r="X277">
        <v>534</v>
      </c>
      <c r="Y277">
        <v>21</v>
      </c>
      <c r="Z277">
        <v>0</v>
      </c>
      <c r="AA277">
        <v>21</v>
      </c>
      <c r="AB277">
        <v>0</v>
      </c>
      <c r="AC277">
        <v>11</v>
      </c>
      <c r="AD277">
        <v>5</v>
      </c>
      <c r="AE277">
        <v>0</v>
      </c>
      <c r="AF277">
        <v>0</v>
      </c>
      <c r="AG277">
        <v>0</v>
      </c>
      <c r="AH277" t="s">
        <v>267</v>
      </c>
      <c r="AI277" s="1">
        <v>44202.735543981478</v>
      </c>
      <c r="AJ277">
        <v>84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5</v>
      </c>
      <c r="AQ277">
        <v>0</v>
      </c>
      <c r="AR277">
        <v>0</v>
      </c>
      <c r="AS277">
        <v>0</v>
      </c>
      <c r="AT277" t="s">
        <v>90</v>
      </c>
      <c r="AU277" s="1">
        <v>44203.377280092594</v>
      </c>
      <c r="AV277">
        <v>5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5</v>
      </c>
      <c r="BC277">
        <v>0</v>
      </c>
      <c r="BD277">
        <v>0</v>
      </c>
      <c r="BE277">
        <v>0</v>
      </c>
    </row>
    <row r="278" spans="1:57" hidden="1" x14ac:dyDescent="0.45">
      <c r="A278" t="s">
        <v>818</v>
      </c>
      <c r="B278" t="s">
        <v>79</v>
      </c>
      <c r="C278" t="s">
        <v>819</v>
      </c>
      <c r="D278" t="s">
        <v>81</v>
      </c>
      <c r="E278" s="2" t="str">
        <f>HYPERLINK("capsilon://?command=openfolder&amp;siteaddress=FAM.docvelocity-na8.net&amp;folderid=FXC467FC2D-36D2-E208-3D6D-7C6B48007C19","FX201229255")</f>
        <v>FX201229255</v>
      </c>
      <c r="F278" t="s">
        <v>19</v>
      </c>
      <c r="G278" t="s">
        <v>19</v>
      </c>
      <c r="H278" t="s">
        <v>82</v>
      </c>
      <c r="I278" t="s">
        <v>820</v>
      </c>
      <c r="J278">
        <v>190</v>
      </c>
      <c r="K278" t="s">
        <v>84</v>
      </c>
      <c r="L278" t="s">
        <v>85</v>
      </c>
      <c r="M278" t="s">
        <v>86</v>
      </c>
      <c r="N278">
        <v>1</v>
      </c>
      <c r="O278" s="1">
        <v>44202.712430555555</v>
      </c>
      <c r="P278" s="1">
        <v>44202.734467592592</v>
      </c>
      <c r="Q278">
        <v>1</v>
      </c>
      <c r="R278">
        <v>1903</v>
      </c>
      <c r="S278" t="b">
        <v>0</v>
      </c>
      <c r="T278" t="s">
        <v>87</v>
      </c>
      <c r="U278" t="b">
        <v>0</v>
      </c>
      <c r="V278" t="s">
        <v>160</v>
      </c>
      <c r="W278" s="1">
        <v>44202.734467592592</v>
      </c>
      <c r="X278">
        <v>1903</v>
      </c>
      <c r="Y278">
        <v>123</v>
      </c>
      <c r="Z278">
        <v>0</v>
      </c>
      <c r="AA278">
        <v>123</v>
      </c>
      <c r="AB278">
        <v>74</v>
      </c>
      <c r="AC278">
        <v>60</v>
      </c>
      <c r="AD278">
        <v>67</v>
      </c>
      <c r="AE278">
        <v>79</v>
      </c>
      <c r="AF278">
        <v>0</v>
      </c>
      <c r="AG278">
        <v>3</v>
      </c>
      <c r="AH278" t="s">
        <v>87</v>
      </c>
      <c r="AI278" t="s">
        <v>87</v>
      </c>
      <c r="AJ278" t="s">
        <v>87</v>
      </c>
      <c r="AK278" t="s">
        <v>87</v>
      </c>
      <c r="AL278" t="s">
        <v>87</v>
      </c>
      <c r="AM278" t="s">
        <v>87</v>
      </c>
      <c r="AN278" t="s">
        <v>87</v>
      </c>
      <c r="AO278" t="s">
        <v>87</v>
      </c>
      <c r="AP278" t="s">
        <v>87</v>
      </c>
      <c r="AQ278" t="s">
        <v>87</v>
      </c>
      <c r="AR278" t="s">
        <v>87</v>
      </c>
      <c r="AS278" t="s">
        <v>87</v>
      </c>
      <c r="AT278" t="s">
        <v>87</v>
      </c>
      <c r="AU278" t="s">
        <v>87</v>
      </c>
      <c r="AV278" t="s">
        <v>87</v>
      </c>
      <c r="AW278" t="s">
        <v>87</v>
      </c>
      <c r="AX278" t="s">
        <v>87</v>
      </c>
      <c r="AY278" t="s">
        <v>87</v>
      </c>
      <c r="AZ278" t="s">
        <v>87</v>
      </c>
      <c r="BA278" t="s">
        <v>87</v>
      </c>
      <c r="BB278" t="s">
        <v>87</v>
      </c>
      <c r="BC278" t="s">
        <v>87</v>
      </c>
      <c r="BD278" t="s">
        <v>87</v>
      </c>
      <c r="BE278" t="s">
        <v>87</v>
      </c>
    </row>
    <row r="279" spans="1:57" x14ac:dyDescent="0.45">
      <c r="A279" t="s">
        <v>821</v>
      </c>
      <c r="B279" t="s">
        <v>79</v>
      </c>
      <c r="C279" t="s">
        <v>693</v>
      </c>
      <c r="D279" t="s">
        <v>81</v>
      </c>
      <c r="E279" s="2" t="str">
        <f>HYPERLINK("capsilon://?command=openfolder&amp;siteaddress=FAM.docvelocity-na8.net&amp;folderid=FX105BEBDA-E3C6-C836-6B65-285D6ACE4919","FX20128066")</f>
        <v>FX20128066</v>
      </c>
      <c r="F279" t="s">
        <v>19</v>
      </c>
      <c r="G279" t="s">
        <v>19</v>
      </c>
      <c r="H279" t="s">
        <v>82</v>
      </c>
      <c r="I279" t="s">
        <v>822</v>
      </c>
      <c r="J279">
        <v>66</v>
      </c>
      <c r="K279" t="s">
        <v>84</v>
      </c>
      <c r="L279" t="s">
        <v>85</v>
      </c>
      <c r="M279" t="s">
        <v>86</v>
      </c>
      <c r="N279">
        <v>3</v>
      </c>
      <c r="O279" s="1">
        <v>44202.716620370367</v>
      </c>
      <c r="P279" s="1">
        <v>44203.380254629628</v>
      </c>
      <c r="Q279">
        <v>55347</v>
      </c>
      <c r="R279">
        <v>1991</v>
      </c>
      <c r="S279" t="b">
        <v>0</v>
      </c>
      <c r="T279" t="s">
        <v>87</v>
      </c>
      <c r="U279" t="b">
        <v>0</v>
      </c>
      <c r="V279" t="s">
        <v>343</v>
      </c>
      <c r="W279" s="1">
        <v>44202.733634259261</v>
      </c>
      <c r="X279">
        <v>1463</v>
      </c>
      <c r="Y279">
        <v>52</v>
      </c>
      <c r="Z279">
        <v>0</v>
      </c>
      <c r="AA279">
        <v>52</v>
      </c>
      <c r="AB279">
        <v>0</v>
      </c>
      <c r="AC279">
        <v>40</v>
      </c>
      <c r="AD279">
        <v>14</v>
      </c>
      <c r="AE279">
        <v>0</v>
      </c>
      <c r="AF279">
        <v>0</v>
      </c>
      <c r="AG279">
        <v>0</v>
      </c>
      <c r="AH279" t="s">
        <v>128</v>
      </c>
      <c r="AI279" s="1">
        <v>44202.738275462965</v>
      </c>
      <c r="AJ279">
        <v>271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14</v>
      </c>
      <c r="AQ279">
        <v>0</v>
      </c>
      <c r="AR279">
        <v>0</v>
      </c>
      <c r="AS279">
        <v>0</v>
      </c>
      <c r="AT279" t="s">
        <v>90</v>
      </c>
      <c r="AU279" s="1">
        <v>44203.380254629628</v>
      </c>
      <c r="AV279">
        <v>257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14</v>
      </c>
      <c r="BC279">
        <v>0</v>
      </c>
      <c r="BD279">
        <v>0</v>
      </c>
      <c r="BE279">
        <v>0</v>
      </c>
    </row>
    <row r="280" spans="1:57" x14ac:dyDescent="0.45">
      <c r="A280" t="s">
        <v>823</v>
      </c>
      <c r="B280" t="s">
        <v>79</v>
      </c>
      <c r="C280" t="s">
        <v>824</v>
      </c>
      <c r="D280" t="s">
        <v>81</v>
      </c>
      <c r="E280" s="2" t="str">
        <f>HYPERLINK("capsilon://?command=openfolder&amp;siteaddress=FAM.docvelocity-na8.net&amp;folderid=FX57EB887E-71B5-BC14-8252-3477343B5325","FX21012058")</f>
        <v>FX21012058</v>
      </c>
      <c r="F280" t="s">
        <v>19</v>
      </c>
      <c r="G280" t="s">
        <v>19</v>
      </c>
      <c r="H280" t="s">
        <v>82</v>
      </c>
      <c r="I280" t="s">
        <v>825</v>
      </c>
      <c r="J280">
        <v>257</v>
      </c>
      <c r="K280" t="s">
        <v>84</v>
      </c>
      <c r="L280" t="s">
        <v>85</v>
      </c>
      <c r="M280" t="s">
        <v>86</v>
      </c>
      <c r="N280">
        <v>3</v>
      </c>
      <c r="O280" s="1">
        <v>44202.718344907407</v>
      </c>
      <c r="P280" s="1">
        <v>44203.381377314814</v>
      </c>
      <c r="Q280">
        <v>50497</v>
      </c>
      <c r="R280">
        <v>6789</v>
      </c>
      <c r="S280" t="b">
        <v>0</v>
      </c>
      <c r="T280" t="s">
        <v>87</v>
      </c>
      <c r="U280" t="b">
        <v>0</v>
      </c>
      <c r="V280" t="s">
        <v>179</v>
      </c>
      <c r="W280" s="1">
        <v>44202.78564814815</v>
      </c>
      <c r="X280">
        <v>5742</v>
      </c>
      <c r="Y280">
        <v>348</v>
      </c>
      <c r="Z280">
        <v>0</v>
      </c>
      <c r="AA280">
        <v>348</v>
      </c>
      <c r="AB280">
        <v>0</v>
      </c>
      <c r="AC280">
        <v>259</v>
      </c>
      <c r="AD280">
        <v>-91</v>
      </c>
      <c r="AE280">
        <v>0</v>
      </c>
      <c r="AF280">
        <v>0</v>
      </c>
      <c r="AG280">
        <v>0</v>
      </c>
      <c r="AH280" t="s">
        <v>267</v>
      </c>
      <c r="AI280" s="1">
        <v>44202.800219907411</v>
      </c>
      <c r="AJ280">
        <v>950</v>
      </c>
      <c r="AK280">
        <v>7</v>
      </c>
      <c r="AL280">
        <v>0</v>
      </c>
      <c r="AM280">
        <v>7</v>
      </c>
      <c r="AN280">
        <v>0</v>
      </c>
      <c r="AO280">
        <v>6</v>
      </c>
      <c r="AP280">
        <v>-98</v>
      </c>
      <c r="AQ280">
        <v>0</v>
      </c>
      <c r="AR280">
        <v>0</v>
      </c>
      <c r="AS280">
        <v>0</v>
      </c>
      <c r="AT280" t="s">
        <v>90</v>
      </c>
      <c r="AU280" s="1">
        <v>44203.381377314814</v>
      </c>
      <c r="AV280">
        <v>97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-98</v>
      </c>
      <c r="BC280">
        <v>0</v>
      </c>
      <c r="BD280">
        <v>0</v>
      </c>
      <c r="BE280">
        <v>0</v>
      </c>
    </row>
    <row r="281" spans="1:57" x14ac:dyDescent="0.45">
      <c r="A281" t="s">
        <v>826</v>
      </c>
      <c r="B281" t="s">
        <v>79</v>
      </c>
      <c r="C281" t="s">
        <v>827</v>
      </c>
      <c r="D281" t="s">
        <v>81</v>
      </c>
      <c r="E281" s="2" t="str">
        <f>HYPERLINK("capsilon://?command=openfolder&amp;siteaddress=FAM.docvelocity-na8.net&amp;folderid=FXC40DF458-031F-AA2E-3A61-19CF628C7FAB","FX21011860")</f>
        <v>FX21011860</v>
      </c>
      <c r="F281" t="s">
        <v>19</v>
      </c>
      <c r="G281" t="s">
        <v>19</v>
      </c>
      <c r="H281" t="s">
        <v>82</v>
      </c>
      <c r="I281" t="s">
        <v>828</v>
      </c>
      <c r="J281">
        <v>152</v>
      </c>
      <c r="K281" t="s">
        <v>84</v>
      </c>
      <c r="L281" t="s">
        <v>85</v>
      </c>
      <c r="M281" t="s">
        <v>86</v>
      </c>
      <c r="N281">
        <v>3</v>
      </c>
      <c r="O281" s="1">
        <v>44202.719895833332</v>
      </c>
      <c r="P281" s="1">
        <v>44203.381331018521</v>
      </c>
      <c r="Q281">
        <v>56290</v>
      </c>
      <c r="R281">
        <v>858</v>
      </c>
      <c r="S281" t="b">
        <v>0</v>
      </c>
      <c r="T281" t="s">
        <v>87</v>
      </c>
      <c r="U281" t="b">
        <v>0</v>
      </c>
      <c r="V281" t="s">
        <v>242</v>
      </c>
      <c r="W281" s="1">
        <v>44202.730995370373</v>
      </c>
      <c r="X281">
        <v>569</v>
      </c>
      <c r="Y281">
        <v>119</v>
      </c>
      <c r="Z281">
        <v>0</v>
      </c>
      <c r="AA281">
        <v>119</v>
      </c>
      <c r="AB281">
        <v>37</v>
      </c>
      <c r="AC281">
        <v>55</v>
      </c>
      <c r="AD281">
        <v>33</v>
      </c>
      <c r="AE281">
        <v>0</v>
      </c>
      <c r="AF281">
        <v>0</v>
      </c>
      <c r="AG281">
        <v>0</v>
      </c>
      <c r="AH281" t="s">
        <v>267</v>
      </c>
      <c r="AI281" s="1">
        <v>44202.737974537034</v>
      </c>
      <c r="AJ281">
        <v>210</v>
      </c>
      <c r="AK281">
        <v>0</v>
      </c>
      <c r="AL281">
        <v>0</v>
      </c>
      <c r="AM281">
        <v>0</v>
      </c>
      <c r="AN281">
        <v>37</v>
      </c>
      <c r="AO281">
        <v>0</v>
      </c>
      <c r="AP281">
        <v>33</v>
      </c>
      <c r="AQ281">
        <v>0</v>
      </c>
      <c r="AR281">
        <v>0</v>
      </c>
      <c r="AS281">
        <v>0</v>
      </c>
      <c r="AT281" t="s">
        <v>549</v>
      </c>
      <c r="AU281" s="1">
        <v>44203.381331018521</v>
      </c>
      <c r="AV281">
        <v>50</v>
      </c>
      <c r="AW281">
        <v>0</v>
      </c>
      <c r="AX281">
        <v>0</v>
      </c>
      <c r="AY281">
        <v>0</v>
      </c>
      <c r="AZ281">
        <v>37</v>
      </c>
      <c r="BA281">
        <v>0</v>
      </c>
      <c r="BB281">
        <v>33</v>
      </c>
      <c r="BC281">
        <v>0</v>
      </c>
      <c r="BD281">
        <v>0</v>
      </c>
      <c r="BE281">
        <v>0</v>
      </c>
    </row>
    <row r="282" spans="1:57" x14ac:dyDescent="0.45">
      <c r="A282" t="s">
        <v>829</v>
      </c>
      <c r="B282" t="s">
        <v>79</v>
      </c>
      <c r="C282" t="s">
        <v>830</v>
      </c>
      <c r="D282" t="s">
        <v>81</v>
      </c>
      <c r="E282" s="2" t="str">
        <f>HYPERLINK("capsilon://?command=openfolder&amp;siteaddress=FAM.docvelocity-na8.net&amp;folderid=FXFC9E5EE0-2D9E-274E-E063-48F803C7C86E","FX20123744")</f>
        <v>FX20123744</v>
      </c>
      <c r="F282" t="s">
        <v>19</v>
      </c>
      <c r="G282" t="s">
        <v>19</v>
      </c>
      <c r="H282" t="s">
        <v>82</v>
      </c>
      <c r="I282" t="s">
        <v>831</v>
      </c>
      <c r="J282">
        <v>31</v>
      </c>
      <c r="K282" t="s">
        <v>84</v>
      </c>
      <c r="L282" t="s">
        <v>85</v>
      </c>
      <c r="M282" t="s">
        <v>86</v>
      </c>
      <c r="N282">
        <v>3</v>
      </c>
      <c r="O282" s="1">
        <v>44202.723692129628</v>
      </c>
      <c r="P282" s="1">
        <v>44203.383043981485</v>
      </c>
      <c r="Q282">
        <v>56514</v>
      </c>
      <c r="R282">
        <v>454</v>
      </c>
      <c r="S282" t="b">
        <v>0</v>
      </c>
      <c r="T282" t="s">
        <v>87</v>
      </c>
      <c r="U282" t="b">
        <v>0</v>
      </c>
      <c r="V282" t="s">
        <v>242</v>
      </c>
      <c r="W282" s="1">
        <v>44202.733634259261</v>
      </c>
      <c r="X282">
        <v>227</v>
      </c>
      <c r="Y282">
        <v>41</v>
      </c>
      <c r="Z282">
        <v>0</v>
      </c>
      <c r="AA282">
        <v>41</v>
      </c>
      <c r="AB282">
        <v>0</v>
      </c>
      <c r="AC282">
        <v>27</v>
      </c>
      <c r="AD282">
        <v>-10</v>
      </c>
      <c r="AE282">
        <v>0</v>
      </c>
      <c r="AF282">
        <v>0</v>
      </c>
      <c r="AG282">
        <v>0</v>
      </c>
      <c r="AH282" t="s">
        <v>267</v>
      </c>
      <c r="AI282" s="1">
        <v>44202.738912037035</v>
      </c>
      <c r="AJ282">
        <v>80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-10</v>
      </c>
      <c r="AQ282">
        <v>0</v>
      </c>
      <c r="AR282">
        <v>0</v>
      </c>
      <c r="AS282">
        <v>0</v>
      </c>
      <c r="AT282" t="s">
        <v>549</v>
      </c>
      <c r="AU282" s="1">
        <v>44203.383043981485</v>
      </c>
      <c r="AV282">
        <v>147</v>
      </c>
      <c r="AW282">
        <v>1</v>
      </c>
      <c r="AX282">
        <v>0</v>
      </c>
      <c r="AY282">
        <v>1</v>
      </c>
      <c r="AZ282">
        <v>0</v>
      </c>
      <c r="BA282">
        <v>1</v>
      </c>
      <c r="BB282">
        <v>-11</v>
      </c>
      <c r="BC282">
        <v>0</v>
      </c>
      <c r="BD282">
        <v>0</v>
      </c>
      <c r="BE282">
        <v>0</v>
      </c>
    </row>
    <row r="283" spans="1:57" x14ac:dyDescent="0.45">
      <c r="A283" t="s">
        <v>832</v>
      </c>
      <c r="B283" t="s">
        <v>79</v>
      </c>
      <c r="C283" t="s">
        <v>830</v>
      </c>
      <c r="D283" t="s">
        <v>81</v>
      </c>
      <c r="E283" s="2" t="str">
        <f>HYPERLINK("capsilon://?command=openfolder&amp;siteaddress=FAM.docvelocity-na8.net&amp;folderid=FXFC9E5EE0-2D9E-274E-E063-48F803C7C86E","FX20123744")</f>
        <v>FX20123744</v>
      </c>
      <c r="F283" t="s">
        <v>19</v>
      </c>
      <c r="G283" t="s">
        <v>19</v>
      </c>
      <c r="H283" t="s">
        <v>82</v>
      </c>
      <c r="I283" t="s">
        <v>833</v>
      </c>
      <c r="J283">
        <v>31</v>
      </c>
      <c r="K283" t="s">
        <v>84</v>
      </c>
      <c r="L283" t="s">
        <v>85</v>
      </c>
      <c r="M283" t="s">
        <v>86</v>
      </c>
      <c r="N283">
        <v>3</v>
      </c>
      <c r="O283" s="1">
        <v>44202.72388888889</v>
      </c>
      <c r="P283" s="1">
        <v>44203.38417824074</v>
      </c>
      <c r="Q283">
        <v>56253</v>
      </c>
      <c r="R283">
        <v>796</v>
      </c>
      <c r="S283" t="b">
        <v>0</v>
      </c>
      <c r="T283" t="s">
        <v>87</v>
      </c>
      <c r="U283" t="b">
        <v>0</v>
      </c>
      <c r="V283" t="s">
        <v>343</v>
      </c>
      <c r="W283" s="1">
        <v>44202.739259259259</v>
      </c>
      <c r="X283">
        <v>485</v>
      </c>
      <c r="Y283">
        <v>39</v>
      </c>
      <c r="Z283">
        <v>0</v>
      </c>
      <c r="AA283">
        <v>39</v>
      </c>
      <c r="AB283">
        <v>0</v>
      </c>
      <c r="AC283">
        <v>27</v>
      </c>
      <c r="AD283">
        <v>-8</v>
      </c>
      <c r="AE283">
        <v>0</v>
      </c>
      <c r="AF283">
        <v>0</v>
      </c>
      <c r="AG283">
        <v>0</v>
      </c>
      <c r="AH283" t="s">
        <v>267</v>
      </c>
      <c r="AI283" s="1">
        <v>44202.740173611113</v>
      </c>
      <c r="AJ283">
        <v>69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-8</v>
      </c>
      <c r="AQ283">
        <v>0</v>
      </c>
      <c r="AR283">
        <v>0</v>
      </c>
      <c r="AS283">
        <v>0</v>
      </c>
      <c r="AT283" t="s">
        <v>90</v>
      </c>
      <c r="AU283" s="1">
        <v>44203.38417824074</v>
      </c>
      <c r="AV283">
        <v>242</v>
      </c>
      <c r="AW283">
        <v>1</v>
      </c>
      <c r="AX283">
        <v>0</v>
      </c>
      <c r="AY283">
        <v>1</v>
      </c>
      <c r="AZ283">
        <v>0</v>
      </c>
      <c r="BA283">
        <v>1</v>
      </c>
      <c r="BB283">
        <v>-9</v>
      </c>
      <c r="BC283">
        <v>0</v>
      </c>
      <c r="BD283">
        <v>0</v>
      </c>
      <c r="BE283">
        <v>0</v>
      </c>
    </row>
    <row r="284" spans="1:57" x14ac:dyDescent="0.45">
      <c r="A284" t="s">
        <v>834</v>
      </c>
      <c r="B284" t="s">
        <v>79</v>
      </c>
      <c r="C284" t="s">
        <v>835</v>
      </c>
      <c r="D284" t="s">
        <v>81</v>
      </c>
      <c r="E284" s="2" t="str">
        <f>HYPERLINK("capsilon://?command=openfolder&amp;siteaddress=FAM.docvelocity-na8.net&amp;folderid=FX528DF45B-3494-7B0E-6A93-81C8B5013526","FX21012232")</f>
        <v>FX21012232</v>
      </c>
      <c r="F284" t="s">
        <v>19</v>
      </c>
      <c r="G284" t="s">
        <v>19</v>
      </c>
      <c r="H284" t="s">
        <v>82</v>
      </c>
      <c r="I284" t="s">
        <v>836</v>
      </c>
      <c r="J284">
        <v>608</v>
      </c>
      <c r="K284" t="s">
        <v>84</v>
      </c>
      <c r="L284" t="s">
        <v>85</v>
      </c>
      <c r="M284" t="s">
        <v>86</v>
      </c>
      <c r="N284">
        <v>3</v>
      </c>
      <c r="O284" s="1">
        <v>44202.72556712963</v>
      </c>
      <c r="P284" s="1">
        <v>44203.386736111112</v>
      </c>
      <c r="Q284">
        <v>50392</v>
      </c>
      <c r="R284">
        <v>6733</v>
      </c>
      <c r="S284" t="b">
        <v>0</v>
      </c>
      <c r="T284" t="s">
        <v>87</v>
      </c>
      <c r="U284" t="b">
        <v>0</v>
      </c>
      <c r="V284" t="s">
        <v>343</v>
      </c>
      <c r="W284" s="1">
        <v>44202.793449074074</v>
      </c>
      <c r="X284">
        <v>4375</v>
      </c>
      <c r="Y284">
        <v>508</v>
      </c>
      <c r="Z284">
        <v>0</v>
      </c>
      <c r="AA284">
        <v>508</v>
      </c>
      <c r="AB284">
        <v>37</v>
      </c>
      <c r="AC284">
        <v>177</v>
      </c>
      <c r="AD284">
        <v>100</v>
      </c>
      <c r="AE284">
        <v>0</v>
      </c>
      <c r="AF284">
        <v>0</v>
      </c>
      <c r="AG284">
        <v>0</v>
      </c>
      <c r="AH284" t="s">
        <v>128</v>
      </c>
      <c r="AI284" s="1">
        <v>44202.825092592589</v>
      </c>
      <c r="AJ284">
        <v>1766</v>
      </c>
      <c r="AK284">
        <v>8</v>
      </c>
      <c r="AL284">
        <v>0</v>
      </c>
      <c r="AM284">
        <v>8</v>
      </c>
      <c r="AN284">
        <v>37</v>
      </c>
      <c r="AO284">
        <v>8</v>
      </c>
      <c r="AP284">
        <v>92</v>
      </c>
      <c r="AQ284">
        <v>0</v>
      </c>
      <c r="AR284">
        <v>0</v>
      </c>
      <c r="AS284">
        <v>0</v>
      </c>
      <c r="AT284" t="s">
        <v>549</v>
      </c>
      <c r="AU284" s="1">
        <v>44203.386736111112</v>
      </c>
      <c r="AV284">
        <v>318</v>
      </c>
      <c r="AW284">
        <v>0</v>
      </c>
      <c r="AX284">
        <v>0</v>
      </c>
      <c r="AY284">
        <v>0</v>
      </c>
      <c r="AZ284">
        <v>37</v>
      </c>
      <c r="BA284">
        <v>0</v>
      </c>
      <c r="BB284">
        <v>92</v>
      </c>
      <c r="BC284">
        <v>0</v>
      </c>
      <c r="BD284">
        <v>0</v>
      </c>
      <c r="BE284">
        <v>0</v>
      </c>
    </row>
    <row r="285" spans="1:57" x14ac:dyDescent="0.45">
      <c r="A285" t="s">
        <v>837</v>
      </c>
      <c r="B285" t="s">
        <v>79</v>
      </c>
      <c r="C285" t="s">
        <v>838</v>
      </c>
      <c r="D285" t="s">
        <v>81</v>
      </c>
      <c r="E285" s="2" t="str">
        <f>HYPERLINK("capsilon://?command=openfolder&amp;siteaddress=FAM.docvelocity-na8.net&amp;folderid=FXED508936-55F9-6FF2-5307-E7112D2D77E6","FX2101978")</f>
        <v>FX2101978</v>
      </c>
      <c r="F285" t="s">
        <v>19</v>
      </c>
      <c r="G285" t="s">
        <v>19</v>
      </c>
      <c r="H285" t="s">
        <v>82</v>
      </c>
      <c r="I285" t="s">
        <v>839</v>
      </c>
      <c r="J285">
        <v>230</v>
      </c>
      <c r="K285" t="s">
        <v>84</v>
      </c>
      <c r="L285" t="s">
        <v>85</v>
      </c>
      <c r="M285" t="s">
        <v>86</v>
      </c>
      <c r="N285">
        <v>3</v>
      </c>
      <c r="O285" s="1">
        <v>44202.73474537037</v>
      </c>
      <c r="P285" s="1">
        <v>44203.387812499997</v>
      </c>
      <c r="Q285">
        <v>54071</v>
      </c>
      <c r="R285">
        <v>2354</v>
      </c>
      <c r="S285" t="b">
        <v>0</v>
      </c>
      <c r="T285" t="s">
        <v>87</v>
      </c>
      <c r="U285" t="b">
        <v>0</v>
      </c>
      <c r="V285" t="s">
        <v>160</v>
      </c>
      <c r="W285" s="1">
        <v>44202.75445601852</v>
      </c>
      <c r="X285">
        <v>1685</v>
      </c>
      <c r="Y285">
        <v>202</v>
      </c>
      <c r="Z285">
        <v>0</v>
      </c>
      <c r="AA285">
        <v>202</v>
      </c>
      <c r="AB285">
        <v>0</v>
      </c>
      <c r="AC285">
        <v>67</v>
      </c>
      <c r="AD285">
        <v>28</v>
      </c>
      <c r="AE285">
        <v>0</v>
      </c>
      <c r="AF285">
        <v>0</v>
      </c>
      <c r="AG285">
        <v>0</v>
      </c>
      <c r="AH285" t="s">
        <v>267</v>
      </c>
      <c r="AI285" s="1">
        <v>44202.760497685187</v>
      </c>
      <c r="AJ285">
        <v>356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28</v>
      </c>
      <c r="AQ285">
        <v>0</v>
      </c>
      <c r="AR285">
        <v>0</v>
      </c>
      <c r="AS285">
        <v>0</v>
      </c>
      <c r="AT285" t="s">
        <v>90</v>
      </c>
      <c r="AU285" s="1">
        <v>44203.387812499997</v>
      </c>
      <c r="AV285">
        <v>313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28</v>
      </c>
      <c r="BC285">
        <v>0</v>
      </c>
      <c r="BD285">
        <v>0</v>
      </c>
      <c r="BE285">
        <v>0</v>
      </c>
    </row>
    <row r="286" spans="1:57" x14ac:dyDescent="0.45">
      <c r="A286" t="s">
        <v>840</v>
      </c>
      <c r="B286" t="s">
        <v>79</v>
      </c>
      <c r="C286" t="s">
        <v>819</v>
      </c>
      <c r="D286" t="s">
        <v>81</v>
      </c>
      <c r="E286" s="2" t="str">
        <f>HYPERLINK("capsilon://?command=openfolder&amp;siteaddress=FAM.docvelocity-na8.net&amp;folderid=FXC467FC2D-36D2-E208-3D6D-7C6B48007C19","FX201229255")</f>
        <v>FX201229255</v>
      </c>
      <c r="F286" t="s">
        <v>19</v>
      </c>
      <c r="G286" t="s">
        <v>19</v>
      </c>
      <c r="H286" t="s">
        <v>82</v>
      </c>
      <c r="I286" t="s">
        <v>820</v>
      </c>
      <c r="J286">
        <v>174</v>
      </c>
      <c r="K286" t="s">
        <v>84</v>
      </c>
      <c r="L286" t="s">
        <v>85</v>
      </c>
      <c r="M286" t="s">
        <v>86</v>
      </c>
      <c r="N286">
        <v>3</v>
      </c>
      <c r="O286" s="1">
        <v>44202.73578703704</v>
      </c>
      <c r="P286" s="1">
        <v>44203.334953703707</v>
      </c>
      <c r="Q286">
        <v>50712</v>
      </c>
      <c r="R286">
        <v>1056</v>
      </c>
      <c r="S286" t="b">
        <v>0</v>
      </c>
      <c r="T286" t="s">
        <v>87</v>
      </c>
      <c r="U286" t="b">
        <v>1</v>
      </c>
      <c r="V286" t="s">
        <v>242</v>
      </c>
      <c r="W286" s="1">
        <v>44202.744710648149</v>
      </c>
      <c r="X286">
        <v>765</v>
      </c>
      <c r="Y286">
        <v>138</v>
      </c>
      <c r="Z286">
        <v>0</v>
      </c>
      <c r="AA286">
        <v>138</v>
      </c>
      <c r="AB286">
        <v>37</v>
      </c>
      <c r="AC286">
        <v>63</v>
      </c>
      <c r="AD286">
        <v>36</v>
      </c>
      <c r="AE286">
        <v>0</v>
      </c>
      <c r="AF286">
        <v>0</v>
      </c>
      <c r="AG286">
        <v>0</v>
      </c>
      <c r="AH286" t="s">
        <v>267</v>
      </c>
      <c r="AI286" s="1">
        <v>44202.750625000001</v>
      </c>
      <c r="AJ286">
        <v>257</v>
      </c>
      <c r="AK286">
        <v>2</v>
      </c>
      <c r="AL286">
        <v>0</v>
      </c>
      <c r="AM286">
        <v>2</v>
      </c>
      <c r="AN286">
        <v>37</v>
      </c>
      <c r="AO286">
        <v>1</v>
      </c>
      <c r="AP286">
        <v>34</v>
      </c>
      <c r="AQ286">
        <v>0</v>
      </c>
      <c r="AR286">
        <v>0</v>
      </c>
      <c r="AS286">
        <v>0</v>
      </c>
      <c r="AT286" t="s">
        <v>90</v>
      </c>
      <c r="AU286" s="1">
        <v>44203.334953703707</v>
      </c>
      <c r="AV286">
        <v>34</v>
      </c>
      <c r="AW286">
        <v>0</v>
      </c>
      <c r="AX286">
        <v>0</v>
      </c>
      <c r="AY286">
        <v>0</v>
      </c>
      <c r="AZ286">
        <v>37</v>
      </c>
      <c r="BA286">
        <v>0</v>
      </c>
      <c r="BB286">
        <v>34</v>
      </c>
      <c r="BC286">
        <v>0</v>
      </c>
      <c r="BD286">
        <v>0</v>
      </c>
      <c r="BE286">
        <v>0</v>
      </c>
    </row>
    <row r="287" spans="1:57" hidden="1" x14ac:dyDescent="0.45">
      <c r="A287" t="s">
        <v>841</v>
      </c>
      <c r="B287" t="s">
        <v>79</v>
      </c>
      <c r="C287" t="s">
        <v>842</v>
      </c>
      <c r="D287" t="s">
        <v>81</v>
      </c>
      <c r="E287" s="2" t="str">
        <f>HYPERLINK("capsilon://?command=openfolder&amp;siteaddress=FAM.docvelocity-na8.net&amp;folderid=FXE6D94563-3F7F-43DE-8205-45C247BB7786","FX2012404")</f>
        <v>FX2012404</v>
      </c>
      <c r="F287" t="s">
        <v>19</v>
      </c>
      <c r="G287" t="s">
        <v>19</v>
      </c>
      <c r="H287" t="s">
        <v>82</v>
      </c>
      <c r="I287" t="s">
        <v>843</v>
      </c>
      <c r="J287">
        <v>198</v>
      </c>
      <c r="K287" t="s">
        <v>84</v>
      </c>
      <c r="L287" t="s">
        <v>85</v>
      </c>
      <c r="M287" t="s">
        <v>86</v>
      </c>
      <c r="N287">
        <v>1</v>
      </c>
      <c r="O287" s="1">
        <v>44200.397766203707</v>
      </c>
      <c r="P287" s="1">
        <v>44200.420069444444</v>
      </c>
      <c r="Q287">
        <v>1351</v>
      </c>
      <c r="R287">
        <v>576</v>
      </c>
      <c r="S287" t="b">
        <v>0</v>
      </c>
      <c r="T287" t="s">
        <v>87</v>
      </c>
      <c r="U287" t="b">
        <v>0</v>
      </c>
      <c r="V287" t="s">
        <v>419</v>
      </c>
      <c r="W287" s="1">
        <v>44200.420069444444</v>
      </c>
      <c r="X287">
        <v>269</v>
      </c>
      <c r="Y287">
        <v>52</v>
      </c>
      <c r="Z287">
        <v>0</v>
      </c>
      <c r="AA287">
        <v>52</v>
      </c>
      <c r="AB287">
        <v>0</v>
      </c>
      <c r="AC287">
        <v>0</v>
      </c>
      <c r="AD287">
        <v>146</v>
      </c>
      <c r="AE287">
        <v>104</v>
      </c>
      <c r="AF287">
        <v>0</v>
      </c>
      <c r="AG287">
        <v>2</v>
      </c>
      <c r="AH287" t="s">
        <v>87</v>
      </c>
      <c r="AI287" t="s">
        <v>87</v>
      </c>
      <c r="AJ287" t="s">
        <v>87</v>
      </c>
      <c r="AK287" t="s">
        <v>87</v>
      </c>
      <c r="AL287" t="s">
        <v>87</v>
      </c>
      <c r="AM287" t="s">
        <v>87</v>
      </c>
      <c r="AN287" t="s">
        <v>87</v>
      </c>
      <c r="AO287" t="s">
        <v>87</v>
      </c>
      <c r="AP287" t="s">
        <v>87</v>
      </c>
      <c r="AQ287" t="s">
        <v>87</v>
      </c>
      <c r="AR287" t="s">
        <v>87</v>
      </c>
      <c r="AS287" t="s">
        <v>87</v>
      </c>
      <c r="AT287" t="s">
        <v>87</v>
      </c>
      <c r="AU287" t="s">
        <v>87</v>
      </c>
      <c r="AV287" t="s">
        <v>87</v>
      </c>
      <c r="AW287" t="s">
        <v>87</v>
      </c>
      <c r="AX287" t="s">
        <v>87</v>
      </c>
      <c r="AY287" t="s">
        <v>87</v>
      </c>
      <c r="AZ287" t="s">
        <v>87</v>
      </c>
      <c r="BA287" t="s">
        <v>87</v>
      </c>
      <c r="BB287" t="s">
        <v>87</v>
      </c>
      <c r="BC287" t="s">
        <v>87</v>
      </c>
      <c r="BD287" t="s">
        <v>87</v>
      </c>
      <c r="BE287" t="s">
        <v>87</v>
      </c>
    </row>
    <row r="288" spans="1:57" hidden="1" x14ac:dyDescent="0.45">
      <c r="A288" t="s">
        <v>844</v>
      </c>
      <c r="B288" t="s">
        <v>79</v>
      </c>
      <c r="C288" t="s">
        <v>845</v>
      </c>
      <c r="D288" t="s">
        <v>81</v>
      </c>
      <c r="E288" s="2" t="str">
        <f>HYPERLINK("capsilon://?command=openfolder&amp;siteaddress=FAM.docvelocity-na8.net&amp;folderid=FX58280C90-7B65-E18F-6638-35C791C949C5","FX20122106")</f>
        <v>FX20122106</v>
      </c>
      <c r="F288" t="s">
        <v>19</v>
      </c>
      <c r="G288" t="s">
        <v>19</v>
      </c>
      <c r="H288" t="s">
        <v>82</v>
      </c>
      <c r="I288" t="s">
        <v>846</v>
      </c>
      <c r="J288">
        <v>66</v>
      </c>
      <c r="K288" t="s">
        <v>84</v>
      </c>
      <c r="L288" t="s">
        <v>85</v>
      </c>
      <c r="M288" t="s">
        <v>86</v>
      </c>
      <c r="N288">
        <v>3</v>
      </c>
      <c r="O288" s="1">
        <v>44202.744837962964</v>
      </c>
      <c r="P288" s="1">
        <v>44203.386874999997</v>
      </c>
      <c r="Q288">
        <v>55262</v>
      </c>
      <c r="R288">
        <v>210</v>
      </c>
      <c r="S288" t="b">
        <v>0</v>
      </c>
      <c r="T288" t="s">
        <v>87</v>
      </c>
      <c r="U288" t="b">
        <v>0</v>
      </c>
      <c r="V288" t="s">
        <v>242</v>
      </c>
      <c r="W288" s="1">
        <v>44202.74628472222</v>
      </c>
      <c r="X288">
        <v>120</v>
      </c>
      <c r="Y288">
        <v>0</v>
      </c>
      <c r="Z288">
        <v>0</v>
      </c>
      <c r="AA288">
        <v>0</v>
      </c>
      <c r="AB288">
        <v>52</v>
      </c>
      <c r="AC288">
        <v>0</v>
      </c>
      <c r="AD288">
        <v>66</v>
      </c>
      <c r="AE288">
        <v>0</v>
      </c>
      <c r="AF288">
        <v>0</v>
      </c>
      <c r="AG288">
        <v>0</v>
      </c>
      <c r="AH288" t="s">
        <v>128</v>
      </c>
      <c r="AI288" s="1">
        <v>44202.753287037034</v>
      </c>
      <c r="AJ288">
        <v>79</v>
      </c>
      <c r="AK288">
        <v>0</v>
      </c>
      <c r="AL288">
        <v>0</v>
      </c>
      <c r="AM288">
        <v>0</v>
      </c>
      <c r="AN288">
        <v>52</v>
      </c>
      <c r="AO288">
        <v>0</v>
      </c>
      <c r="AP288">
        <v>66</v>
      </c>
      <c r="AQ288">
        <v>0</v>
      </c>
      <c r="AR288">
        <v>0</v>
      </c>
      <c r="AS288">
        <v>0</v>
      </c>
      <c r="AT288" t="s">
        <v>549</v>
      </c>
      <c r="AU288" s="1">
        <v>44203.386874999997</v>
      </c>
      <c r="AV288">
        <v>11</v>
      </c>
      <c r="AW288">
        <v>0</v>
      </c>
      <c r="AX288">
        <v>0</v>
      </c>
      <c r="AY288">
        <v>0</v>
      </c>
      <c r="AZ288">
        <v>52</v>
      </c>
      <c r="BA288">
        <v>0</v>
      </c>
      <c r="BB288">
        <v>66</v>
      </c>
      <c r="BC288">
        <v>0</v>
      </c>
      <c r="BD288">
        <v>0</v>
      </c>
      <c r="BE288">
        <v>0</v>
      </c>
    </row>
    <row r="289" spans="1:57" x14ac:dyDescent="0.45">
      <c r="A289" t="s">
        <v>847</v>
      </c>
      <c r="B289" t="s">
        <v>79</v>
      </c>
      <c r="C289" t="s">
        <v>845</v>
      </c>
      <c r="D289" t="s">
        <v>81</v>
      </c>
      <c r="E289" s="2" t="str">
        <f>HYPERLINK("capsilon://?command=openfolder&amp;siteaddress=FAM.docvelocity-na8.net&amp;folderid=FX58280C90-7B65-E18F-6638-35C791C949C5","FX20122106")</f>
        <v>FX20122106</v>
      </c>
      <c r="F289" t="s">
        <v>19</v>
      </c>
      <c r="G289" t="s">
        <v>19</v>
      </c>
      <c r="H289" t="s">
        <v>82</v>
      </c>
      <c r="I289" t="s">
        <v>848</v>
      </c>
      <c r="J289">
        <v>66</v>
      </c>
      <c r="K289" t="s">
        <v>84</v>
      </c>
      <c r="L289" t="s">
        <v>85</v>
      </c>
      <c r="M289" t="s">
        <v>86</v>
      </c>
      <c r="N289">
        <v>3</v>
      </c>
      <c r="O289" s="1">
        <v>44202.751400462963</v>
      </c>
      <c r="P289" s="1">
        <v>44203.386944444443</v>
      </c>
      <c r="Q289">
        <v>54519</v>
      </c>
      <c r="R289">
        <v>392</v>
      </c>
      <c r="S289" t="b">
        <v>0</v>
      </c>
      <c r="T289" t="s">
        <v>87</v>
      </c>
      <c r="U289" t="b">
        <v>0</v>
      </c>
      <c r="V289" t="s">
        <v>168</v>
      </c>
      <c r="W289" s="1">
        <v>44202.755532407406</v>
      </c>
      <c r="X289">
        <v>356</v>
      </c>
      <c r="Y289">
        <v>9</v>
      </c>
      <c r="Z289">
        <v>0</v>
      </c>
      <c r="AA289">
        <v>9</v>
      </c>
      <c r="AB289">
        <v>52</v>
      </c>
      <c r="AC289">
        <v>0</v>
      </c>
      <c r="AD289">
        <v>57</v>
      </c>
      <c r="AE289">
        <v>0</v>
      </c>
      <c r="AF289">
        <v>0</v>
      </c>
      <c r="AG289">
        <v>0</v>
      </c>
      <c r="AH289" t="s">
        <v>267</v>
      </c>
      <c r="AI289" s="1">
        <v>44202.76085648148</v>
      </c>
      <c r="AJ289">
        <v>31</v>
      </c>
      <c r="AK289">
        <v>0</v>
      </c>
      <c r="AL289">
        <v>0</v>
      </c>
      <c r="AM289">
        <v>0</v>
      </c>
      <c r="AN289">
        <v>52</v>
      </c>
      <c r="AO289">
        <v>0</v>
      </c>
      <c r="AP289">
        <v>57</v>
      </c>
      <c r="AQ289">
        <v>0</v>
      </c>
      <c r="AR289">
        <v>0</v>
      </c>
      <c r="AS289">
        <v>0</v>
      </c>
      <c r="AT289" t="s">
        <v>549</v>
      </c>
      <c r="AU289" s="1">
        <v>44203.386944444443</v>
      </c>
      <c r="AV289">
        <v>5</v>
      </c>
      <c r="AW289">
        <v>0</v>
      </c>
      <c r="AX289">
        <v>0</v>
      </c>
      <c r="AY289">
        <v>0</v>
      </c>
      <c r="AZ289">
        <v>52</v>
      </c>
      <c r="BA289">
        <v>0</v>
      </c>
      <c r="BB289">
        <v>57</v>
      </c>
      <c r="BC289">
        <v>0</v>
      </c>
      <c r="BD289">
        <v>0</v>
      </c>
      <c r="BE289">
        <v>0</v>
      </c>
    </row>
    <row r="290" spans="1:57" x14ac:dyDescent="0.45">
      <c r="A290" t="s">
        <v>849</v>
      </c>
      <c r="B290" t="s">
        <v>79</v>
      </c>
      <c r="C290" t="s">
        <v>809</v>
      </c>
      <c r="D290" t="s">
        <v>81</v>
      </c>
      <c r="E290" s="2" t="str">
        <f>HYPERLINK("capsilon://?command=openfolder&amp;siteaddress=FAM.docvelocity-na8.net&amp;folderid=FX00633463-7C58-5FDE-2EBE-6FF9646FD86A","FX21012421")</f>
        <v>FX21012421</v>
      </c>
      <c r="F290" t="s">
        <v>19</v>
      </c>
      <c r="G290" t="s">
        <v>19</v>
      </c>
      <c r="H290" t="s">
        <v>82</v>
      </c>
      <c r="I290" t="s">
        <v>810</v>
      </c>
      <c r="J290">
        <v>104</v>
      </c>
      <c r="K290" t="s">
        <v>84</v>
      </c>
      <c r="L290" t="s">
        <v>85</v>
      </c>
      <c r="M290" t="s">
        <v>86</v>
      </c>
      <c r="N290">
        <v>3</v>
      </c>
      <c r="O290" s="1">
        <v>44202.756701388891</v>
      </c>
      <c r="P290" s="1">
        <v>44203.34207175926</v>
      </c>
      <c r="Q290">
        <v>46212</v>
      </c>
      <c r="R290">
        <v>4364</v>
      </c>
      <c r="S290" t="b">
        <v>0</v>
      </c>
      <c r="T290" t="s">
        <v>87</v>
      </c>
      <c r="U290" t="b">
        <v>1</v>
      </c>
      <c r="V290" t="s">
        <v>259</v>
      </c>
      <c r="W290" s="1">
        <v>44202.79991898148</v>
      </c>
      <c r="X290">
        <v>3091</v>
      </c>
      <c r="Y290">
        <v>96</v>
      </c>
      <c r="Z290">
        <v>0</v>
      </c>
      <c r="AA290">
        <v>96</v>
      </c>
      <c r="AB290">
        <v>21</v>
      </c>
      <c r="AC290">
        <v>79</v>
      </c>
      <c r="AD290">
        <v>8</v>
      </c>
      <c r="AE290">
        <v>0</v>
      </c>
      <c r="AF290">
        <v>0</v>
      </c>
      <c r="AG290">
        <v>0</v>
      </c>
      <c r="AH290" t="s">
        <v>267</v>
      </c>
      <c r="AI290" s="1">
        <v>44202.807847222219</v>
      </c>
      <c r="AJ290">
        <v>658</v>
      </c>
      <c r="AK290">
        <v>4</v>
      </c>
      <c r="AL290">
        <v>0</v>
      </c>
      <c r="AM290">
        <v>4</v>
      </c>
      <c r="AN290">
        <v>21</v>
      </c>
      <c r="AO290">
        <v>3</v>
      </c>
      <c r="AP290">
        <v>4</v>
      </c>
      <c r="AQ290">
        <v>0</v>
      </c>
      <c r="AR290">
        <v>0</v>
      </c>
      <c r="AS290">
        <v>0</v>
      </c>
      <c r="AT290" t="s">
        <v>90</v>
      </c>
      <c r="AU290" s="1">
        <v>44203.34207175926</v>
      </c>
      <c r="AV290">
        <v>615</v>
      </c>
      <c r="AW290">
        <v>0</v>
      </c>
      <c r="AX290">
        <v>0</v>
      </c>
      <c r="AY290">
        <v>0</v>
      </c>
      <c r="AZ290">
        <v>21</v>
      </c>
      <c r="BA290">
        <v>0</v>
      </c>
      <c r="BB290">
        <v>4</v>
      </c>
      <c r="BC290">
        <v>0</v>
      </c>
      <c r="BD290">
        <v>0</v>
      </c>
      <c r="BE290">
        <v>0</v>
      </c>
    </row>
    <row r="291" spans="1:57" x14ac:dyDescent="0.45">
      <c r="A291" t="s">
        <v>850</v>
      </c>
      <c r="B291" t="s">
        <v>79</v>
      </c>
      <c r="C291" t="s">
        <v>851</v>
      </c>
      <c r="D291" t="s">
        <v>81</v>
      </c>
      <c r="E291" s="2" t="str">
        <f>HYPERLINK("capsilon://?command=openfolder&amp;siteaddress=FAM.docvelocity-na8.net&amp;folderid=FXED345F6A-AB6A-93C6-C741-41A6486CDF28","FX21012298")</f>
        <v>FX21012298</v>
      </c>
      <c r="F291" t="s">
        <v>19</v>
      </c>
      <c r="G291" t="s">
        <v>19</v>
      </c>
      <c r="H291" t="s">
        <v>82</v>
      </c>
      <c r="I291" t="s">
        <v>852</v>
      </c>
      <c r="J291">
        <v>115</v>
      </c>
      <c r="K291" t="s">
        <v>84</v>
      </c>
      <c r="L291" t="s">
        <v>85</v>
      </c>
      <c r="M291" t="s">
        <v>86</v>
      </c>
      <c r="N291">
        <v>3</v>
      </c>
      <c r="O291" s="1">
        <v>44202.759050925924</v>
      </c>
      <c r="P291" s="1">
        <v>44203.411724537036</v>
      </c>
      <c r="Q291">
        <v>52212</v>
      </c>
      <c r="R291">
        <v>4179</v>
      </c>
      <c r="S291" t="b">
        <v>0</v>
      </c>
      <c r="T291" t="s">
        <v>87</v>
      </c>
      <c r="U291" t="b">
        <v>0</v>
      </c>
      <c r="V291" t="s">
        <v>160</v>
      </c>
      <c r="W291" s="1">
        <v>44202.794305555559</v>
      </c>
      <c r="X291">
        <v>1338</v>
      </c>
      <c r="Y291">
        <v>105</v>
      </c>
      <c r="Z291">
        <v>0</v>
      </c>
      <c r="AA291">
        <v>105</v>
      </c>
      <c r="AB291">
        <v>0</v>
      </c>
      <c r="AC291">
        <v>51</v>
      </c>
      <c r="AD291">
        <v>10</v>
      </c>
      <c r="AE291">
        <v>0</v>
      </c>
      <c r="AF291">
        <v>0</v>
      </c>
      <c r="AG291">
        <v>0</v>
      </c>
      <c r="AH291" t="s">
        <v>267</v>
      </c>
      <c r="AI291" s="1">
        <v>44202.815972222219</v>
      </c>
      <c r="AJ291">
        <v>701</v>
      </c>
      <c r="AK291">
        <v>2</v>
      </c>
      <c r="AL291">
        <v>0</v>
      </c>
      <c r="AM291">
        <v>2</v>
      </c>
      <c r="AN291">
        <v>0</v>
      </c>
      <c r="AO291">
        <v>1</v>
      </c>
      <c r="AP291">
        <v>8</v>
      </c>
      <c r="AQ291">
        <v>0</v>
      </c>
      <c r="AR291">
        <v>0</v>
      </c>
      <c r="AS291">
        <v>0</v>
      </c>
      <c r="AT291" t="s">
        <v>549</v>
      </c>
      <c r="AU291" s="1">
        <v>44203.411724537036</v>
      </c>
      <c r="AV291">
        <v>2140</v>
      </c>
      <c r="AW291">
        <v>1</v>
      </c>
      <c r="AX291">
        <v>0</v>
      </c>
      <c r="AY291">
        <v>1</v>
      </c>
      <c r="AZ291">
        <v>0</v>
      </c>
      <c r="BA291">
        <v>1</v>
      </c>
      <c r="BB291">
        <v>7</v>
      </c>
      <c r="BC291">
        <v>0</v>
      </c>
      <c r="BD291">
        <v>0</v>
      </c>
      <c r="BE291">
        <v>0</v>
      </c>
    </row>
    <row r="292" spans="1:57" hidden="1" x14ac:dyDescent="0.45">
      <c r="A292" t="s">
        <v>853</v>
      </c>
      <c r="B292" t="s">
        <v>79</v>
      </c>
      <c r="C292" t="s">
        <v>854</v>
      </c>
      <c r="D292" t="s">
        <v>81</v>
      </c>
      <c r="E292" s="2" t="str">
        <f>HYPERLINK("capsilon://?command=openfolder&amp;siteaddress=FAM.docvelocity-na8.net&amp;folderid=FX260FD5A5-6DCB-1B1A-1371-0D43A37BC893","FX2011193")</f>
        <v>FX2011193</v>
      </c>
      <c r="F292" t="s">
        <v>19</v>
      </c>
      <c r="G292" t="s">
        <v>19</v>
      </c>
      <c r="H292" t="s">
        <v>82</v>
      </c>
      <c r="I292" t="s">
        <v>855</v>
      </c>
      <c r="J292">
        <v>66</v>
      </c>
      <c r="K292" t="s">
        <v>84</v>
      </c>
      <c r="L292" t="s">
        <v>85</v>
      </c>
      <c r="M292" t="s">
        <v>86</v>
      </c>
      <c r="N292">
        <v>1</v>
      </c>
      <c r="O292" s="1">
        <v>44200.403240740743</v>
      </c>
      <c r="P292" s="1">
        <v>44200.416944444441</v>
      </c>
      <c r="Q292">
        <v>900</v>
      </c>
      <c r="R292">
        <v>284</v>
      </c>
      <c r="S292" t="b">
        <v>0</v>
      </c>
      <c r="T292" t="s">
        <v>87</v>
      </c>
      <c r="U292" t="b">
        <v>0</v>
      </c>
      <c r="V292" t="s">
        <v>419</v>
      </c>
      <c r="W292" s="1">
        <v>44200.416944444441</v>
      </c>
      <c r="X292">
        <v>284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66</v>
      </c>
      <c r="AE292">
        <v>52</v>
      </c>
      <c r="AF292">
        <v>0</v>
      </c>
      <c r="AG292">
        <v>1</v>
      </c>
      <c r="AH292" t="s">
        <v>87</v>
      </c>
      <c r="AI292" t="s">
        <v>87</v>
      </c>
      <c r="AJ292" t="s">
        <v>87</v>
      </c>
      <c r="AK292" t="s">
        <v>87</v>
      </c>
      <c r="AL292" t="s">
        <v>87</v>
      </c>
      <c r="AM292" t="s">
        <v>87</v>
      </c>
      <c r="AN292" t="s">
        <v>87</v>
      </c>
      <c r="AO292" t="s">
        <v>87</v>
      </c>
      <c r="AP292" t="s">
        <v>87</v>
      </c>
      <c r="AQ292" t="s">
        <v>87</v>
      </c>
      <c r="AR292" t="s">
        <v>87</v>
      </c>
      <c r="AS292" t="s">
        <v>87</v>
      </c>
      <c r="AT292" t="s">
        <v>87</v>
      </c>
      <c r="AU292" t="s">
        <v>87</v>
      </c>
      <c r="AV292" t="s">
        <v>87</v>
      </c>
      <c r="AW292" t="s">
        <v>87</v>
      </c>
      <c r="AX292" t="s">
        <v>87</v>
      </c>
      <c r="AY292" t="s">
        <v>87</v>
      </c>
      <c r="AZ292" t="s">
        <v>87</v>
      </c>
      <c r="BA292" t="s">
        <v>87</v>
      </c>
      <c r="BB292" t="s">
        <v>87</v>
      </c>
      <c r="BC292" t="s">
        <v>87</v>
      </c>
      <c r="BD292" t="s">
        <v>87</v>
      </c>
      <c r="BE292" t="s">
        <v>87</v>
      </c>
    </row>
    <row r="293" spans="1:57" x14ac:dyDescent="0.45">
      <c r="A293" t="s">
        <v>856</v>
      </c>
      <c r="B293" t="s">
        <v>79</v>
      </c>
      <c r="C293" t="s">
        <v>857</v>
      </c>
      <c r="D293" t="s">
        <v>81</v>
      </c>
      <c r="E293" s="2" t="str">
        <f>HYPERLINK("capsilon://?command=openfolder&amp;siteaddress=FAM.docvelocity-na8.net&amp;folderid=FX43293717-68E5-D412-90EA-B85549DD1A0D","FX201222230")</f>
        <v>FX201222230</v>
      </c>
      <c r="F293" t="s">
        <v>19</v>
      </c>
      <c r="G293" t="s">
        <v>19</v>
      </c>
      <c r="H293" t="s">
        <v>82</v>
      </c>
      <c r="I293" t="s">
        <v>858</v>
      </c>
      <c r="J293">
        <v>26</v>
      </c>
      <c r="K293" t="s">
        <v>84</v>
      </c>
      <c r="L293" t="s">
        <v>85</v>
      </c>
      <c r="M293" t="s">
        <v>86</v>
      </c>
      <c r="N293">
        <v>3</v>
      </c>
      <c r="O293" s="1">
        <v>44202.783587962964</v>
      </c>
      <c r="P293" s="1">
        <v>44203.387858796297</v>
      </c>
      <c r="Q293">
        <v>51519</v>
      </c>
      <c r="R293">
        <v>690</v>
      </c>
      <c r="S293" t="b">
        <v>0</v>
      </c>
      <c r="T293" t="s">
        <v>87</v>
      </c>
      <c r="U293" t="b">
        <v>0</v>
      </c>
      <c r="V293" t="s">
        <v>168</v>
      </c>
      <c r="W293" s="1">
        <v>44202.790324074071</v>
      </c>
      <c r="X293">
        <v>581</v>
      </c>
      <c r="Y293">
        <v>21</v>
      </c>
      <c r="Z293">
        <v>0</v>
      </c>
      <c r="AA293">
        <v>21</v>
      </c>
      <c r="AB293">
        <v>0</v>
      </c>
      <c r="AC293">
        <v>1</v>
      </c>
      <c r="AD293">
        <v>5</v>
      </c>
      <c r="AE293">
        <v>0</v>
      </c>
      <c r="AF293">
        <v>0</v>
      </c>
      <c r="AG293">
        <v>0</v>
      </c>
      <c r="AH293" t="s">
        <v>267</v>
      </c>
      <c r="AI293" s="1">
        <v>44202.817199074074</v>
      </c>
      <c r="AJ293">
        <v>105</v>
      </c>
      <c r="AK293">
        <v>2</v>
      </c>
      <c r="AL293">
        <v>0</v>
      </c>
      <c r="AM293">
        <v>2</v>
      </c>
      <c r="AN293">
        <v>0</v>
      </c>
      <c r="AO293">
        <v>1</v>
      </c>
      <c r="AP293">
        <v>3</v>
      </c>
      <c r="AQ293">
        <v>0</v>
      </c>
      <c r="AR293">
        <v>0</v>
      </c>
      <c r="AS293">
        <v>0</v>
      </c>
      <c r="AT293" t="s">
        <v>90</v>
      </c>
      <c r="AU293" s="1">
        <v>44203.387858796297</v>
      </c>
      <c r="AV293">
        <v>4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3</v>
      </c>
      <c r="BC293">
        <v>0</v>
      </c>
      <c r="BD293">
        <v>0</v>
      </c>
      <c r="BE293">
        <v>0</v>
      </c>
    </row>
    <row r="294" spans="1:57" x14ac:dyDescent="0.45">
      <c r="A294" t="s">
        <v>859</v>
      </c>
      <c r="B294" t="s">
        <v>79</v>
      </c>
      <c r="C294" t="s">
        <v>860</v>
      </c>
      <c r="D294" t="s">
        <v>81</v>
      </c>
      <c r="E294" s="2" t="str">
        <f>HYPERLINK("capsilon://?command=openfolder&amp;siteaddress=FAM.docvelocity-na8.net&amp;folderid=FX48C27D9D-F061-736A-B308-A28705A383F0","FX201115439")</f>
        <v>FX201115439</v>
      </c>
      <c r="F294" t="s">
        <v>19</v>
      </c>
      <c r="G294" t="s">
        <v>19</v>
      </c>
      <c r="H294" t="s">
        <v>82</v>
      </c>
      <c r="I294" t="s">
        <v>861</v>
      </c>
      <c r="J294">
        <v>77</v>
      </c>
      <c r="K294" t="s">
        <v>84</v>
      </c>
      <c r="L294" t="s">
        <v>85</v>
      </c>
      <c r="M294" t="s">
        <v>86</v>
      </c>
      <c r="N294">
        <v>3</v>
      </c>
      <c r="O294" s="1">
        <v>44202.786076388889</v>
      </c>
      <c r="P294" s="1">
        <v>44203.390266203707</v>
      </c>
      <c r="Q294">
        <v>51115</v>
      </c>
      <c r="R294">
        <v>1087</v>
      </c>
      <c r="S294" t="b">
        <v>0</v>
      </c>
      <c r="T294" t="s">
        <v>87</v>
      </c>
      <c r="U294" t="b">
        <v>0</v>
      </c>
      <c r="V294" t="s">
        <v>179</v>
      </c>
      <c r="W294" s="1">
        <v>44202.796203703707</v>
      </c>
      <c r="X294">
        <v>744</v>
      </c>
      <c r="Y294">
        <v>73</v>
      </c>
      <c r="Z294">
        <v>0</v>
      </c>
      <c r="AA294">
        <v>73</v>
      </c>
      <c r="AB294">
        <v>0</v>
      </c>
      <c r="AC294">
        <v>11</v>
      </c>
      <c r="AD294">
        <v>4</v>
      </c>
      <c r="AE294">
        <v>0</v>
      </c>
      <c r="AF294">
        <v>0</v>
      </c>
      <c r="AG294">
        <v>0</v>
      </c>
      <c r="AH294" t="s">
        <v>267</v>
      </c>
      <c r="AI294" s="1">
        <v>44202.818784722222</v>
      </c>
      <c r="AJ294">
        <v>136</v>
      </c>
      <c r="AK294">
        <v>3</v>
      </c>
      <c r="AL294">
        <v>0</v>
      </c>
      <c r="AM294">
        <v>3</v>
      </c>
      <c r="AN294">
        <v>0</v>
      </c>
      <c r="AO294">
        <v>2</v>
      </c>
      <c r="AP294">
        <v>1</v>
      </c>
      <c r="AQ294">
        <v>0</v>
      </c>
      <c r="AR294">
        <v>0</v>
      </c>
      <c r="AS294">
        <v>0</v>
      </c>
      <c r="AT294" t="s">
        <v>90</v>
      </c>
      <c r="AU294" s="1">
        <v>44203.390266203707</v>
      </c>
      <c r="AV294">
        <v>207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</row>
    <row r="295" spans="1:57" x14ac:dyDescent="0.45">
      <c r="A295" t="s">
        <v>862</v>
      </c>
      <c r="B295" t="s">
        <v>79</v>
      </c>
      <c r="C295" t="s">
        <v>860</v>
      </c>
      <c r="D295" t="s">
        <v>81</v>
      </c>
      <c r="E295" s="2" t="str">
        <f>HYPERLINK("capsilon://?command=openfolder&amp;siteaddress=FAM.docvelocity-na8.net&amp;folderid=FX48C27D9D-F061-736A-B308-A28705A383F0","FX201115439")</f>
        <v>FX201115439</v>
      </c>
      <c r="F295" t="s">
        <v>19</v>
      </c>
      <c r="G295" t="s">
        <v>19</v>
      </c>
      <c r="H295" t="s">
        <v>82</v>
      </c>
      <c r="I295" t="s">
        <v>863</v>
      </c>
      <c r="J295">
        <v>77</v>
      </c>
      <c r="K295" t="s">
        <v>84</v>
      </c>
      <c r="L295" t="s">
        <v>85</v>
      </c>
      <c r="M295" t="s">
        <v>86</v>
      </c>
      <c r="N295">
        <v>3</v>
      </c>
      <c r="O295" s="1">
        <v>44202.786585648151</v>
      </c>
      <c r="P295" s="1">
        <v>44203.3903587963</v>
      </c>
      <c r="Q295">
        <v>50595</v>
      </c>
      <c r="R295">
        <v>1571</v>
      </c>
      <c r="S295" t="b">
        <v>0</v>
      </c>
      <c r="T295" t="s">
        <v>87</v>
      </c>
      <c r="U295" t="b">
        <v>0</v>
      </c>
      <c r="V295" t="s">
        <v>168</v>
      </c>
      <c r="W295" s="1">
        <v>44202.806805555556</v>
      </c>
      <c r="X295">
        <v>1423</v>
      </c>
      <c r="Y295">
        <v>78</v>
      </c>
      <c r="Z295">
        <v>0</v>
      </c>
      <c r="AA295">
        <v>78</v>
      </c>
      <c r="AB295">
        <v>0</v>
      </c>
      <c r="AC295">
        <v>44</v>
      </c>
      <c r="AD295">
        <v>-1</v>
      </c>
      <c r="AE295">
        <v>0</v>
      </c>
      <c r="AF295">
        <v>0</v>
      </c>
      <c r="AG295">
        <v>0</v>
      </c>
      <c r="AH295" t="s">
        <v>267</v>
      </c>
      <c r="AI295" s="1">
        <v>44202.820416666669</v>
      </c>
      <c r="AJ295">
        <v>140</v>
      </c>
      <c r="AK295">
        <v>2</v>
      </c>
      <c r="AL295">
        <v>0</v>
      </c>
      <c r="AM295">
        <v>2</v>
      </c>
      <c r="AN295">
        <v>0</v>
      </c>
      <c r="AO295">
        <v>1</v>
      </c>
      <c r="AP295">
        <v>-3</v>
      </c>
      <c r="AQ295">
        <v>0</v>
      </c>
      <c r="AR295">
        <v>0</v>
      </c>
      <c r="AS295">
        <v>0</v>
      </c>
      <c r="AT295" t="s">
        <v>90</v>
      </c>
      <c r="AU295" s="1">
        <v>44203.3903587963</v>
      </c>
      <c r="AV295">
        <v>8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-3</v>
      </c>
      <c r="BC295">
        <v>0</v>
      </c>
      <c r="BD295">
        <v>0</v>
      </c>
      <c r="BE295">
        <v>0</v>
      </c>
    </row>
    <row r="296" spans="1:57" x14ac:dyDescent="0.45">
      <c r="A296" t="s">
        <v>864</v>
      </c>
      <c r="B296" t="s">
        <v>79</v>
      </c>
      <c r="C296" t="s">
        <v>865</v>
      </c>
      <c r="D296" t="s">
        <v>81</v>
      </c>
      <c r="E296" s="2" t="str">
        <f>HYPERLINK("capsilon://?command=openfolder&amp;siteaddress=FAM.docvelocity-na8.net&amp;folderid=FXDC5D0857-8969-45CD-C7FF-E36D8179319D","FX201114922")</f>
        <v>FX201114922</v>
      </c>
      <c r="F296" t="s">
        <v>19</v>
      </c>
      <c r="G296" t="s">
        <v>19</v>
      </c>
      <c r="H296" t="s">
        <v>82</v>
      </c>
      <c r="I296" t="s">
        <v>866</v>
      </c>
      <c r="J296">
        <v>60</v>
      </c>
      <c r="K296" t="s">
        <v>84</v>
      </c>
      <c r="L296" t="s">
        <v>85</v>
      </c>
      <c r="M296" t="s">
        <v>86</v>
      </c>
      <c r="N296">
        <v>3</v>
      </c>
      <c r="O296" s="1">
        <v>44202.788460648146</v>
      </c>
      <c r="P296" s="1">
        <v>44203.404918981483</v>
      </c>
      <c r="Q296">
        <v>51213</v>
      </c>
      <c r="R296">
        <v>2049</v>
      </c>
      <c r="S296" t="b">
        <v>0</v>
      </c>
      <c r="T296" t="s">
        <v>87</v>
      </c>
      <c r="U296" t="b">
        <v>0</v>
      </c>
      <c r="V296" t="s">
        <v>343</v>
      </c>
      <c r="W296" s="1">
        <v>44202.80164351852</v>
      </c>
      <c r="X296">
        <v>707</v>
      </c>
      <c r="Y296">
        <v>39</v>
      </c>
      <c r="Z296">
        <v>0</v>
      </c>
      <c r="AA296">
        <v>39</v>
      </c>
      <c r="AB296">
        <v>0</v>
      </c>
      <c r="AC296">
        <v>19</v>
      </c>
      <c r="AD296">
        <v>21</v>
      </c>
      <c r="AE296">
        <v>0</v>
      </c>
      <c r="AF296">
        <v>0</v>
      </c>
      <c r="AG296">
        <v>0</v>
      </c>
      <c r="AH296" t="s">
        <v>267</v>
      </c>
      <c r="AI296" s="1">
        <v>44202.821400462963</v>
      </c>
      <c r="AJ296">
        <v>85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21</v>
      </c>
      <c r="AQ296">
        <v>0</v>
      </c>
      <c r="AR296">
        <v>0</v>
      </c>
      <c r="AS296">
        <v>0</v>
      </c>
      <c r="AT296" t="s">
        <v>90</v>
      </c>
      <c r="AU296" s="1">
        <v>44203.404918981483</v>
      </c>
      <c r="AV296">
        <v>1257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21</v>
      </c>
      <c r="BC296">
        <v>0</v>
      </c>
      <c r="BD296">
        <v>0</v>
      </c>
      <c r="BE296">
        <v>0</v>
      </c>
    </row>
    <row r="297" spans="1:57" x14ac:dyDescent="0.45">
      <c r="A297" t="s">
        <v>867</v>
      </c>
      <c r="B297" t="s">
        <v>79</v>
      </c>
      <c r="C297" t="s">
        <v>868</v>
      </c>
      <c r="D297" t="s">
        <v>81</v>
      </c>
      <c r="E297" s="2" t="str">
        <f>HYPERLINK("capsilon://?command=openfolder&amp;siteaddress=FAM.docvelocity-na8.net&amp;folderid=FXD6F9673C-CB6D-A7EC-26D6-1C9592D30343","FX20121075")</f>
        <v>FX20121075</v>
      </c>
      <c r="F297" t="s">
        <v>19</v>
      </c>
      <c r="G297" t="s">
        <v>19</v>
      </c>
      <c r="H297" t="s">
        <v>82</v>
      </c>
      <c r="I297" t="s">
        <v>869</v>
      </c>
      <c r="J297">
        <v>65</v>
      </c>
      <c r="K297" t="s">
        <v>84</v>
      </c>
      <c r="L297" t="s">
        <v>85</v>
      </c>
      <c r="M297" t="s">
        <v>86</v>
      </c>
      <c r="N297">
        <v>3</v>
      </c>
      <c r="O297" s="1">
        <v>44200.405821759261</v>
      </c>
      <c r="P297" s="1">
        <v>44200.477210648147</v>
      </c>
      <c r="Q297">
        <v>3489</v>
      </c>
      <c r="R297">
        <v>2679</v>
      </c>
      <c r="S297" t="b">
        <v>0</v>
      </c>
      <c r="T297" t="s">
        <v>87</v>
      </c>
      <c r="U297" t="b">
        <v>0</v>
      </c>
      <c r="V297" t="s">
        <v>98</v>
      </c>
      <c r="W297" s="1">
        <v>44200.431261574071</v>
      </c>
      <c r="X297">
        <v>1268</v>
      </c>
      <c r="Y297">
        <v>66</v>
      </c>
      <c r="Z297">
        <v>0</v>
      </c>
      <c r="AA297">
        <v>66</v>
      </c>
      <c r="AB297">
        <v>0</v>
      </c>
      <c r="AC297">
        <v>21</v>
      </c>
      <c r="AD297">
        <v>-1</v>
      </c>
      <c r="AE297">
        <v>0</v>
      </c>
      <c r="AF297">
        <v>0</v>
      </c>
      <c r="AG297">
        <v>0</v>
      </c>
      <c r="AH297" t="s">
        <v>267</v>
      </c>
      <c r="AI297" s="1">
        <v>44200.470949074072</v>
      </c>
      <c r="AJ297">
        <v>1282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-1</v>
      </c>
      <c r="AQ297">
        <v>0</v>
      </c>
      <c r="AR297">
        <v>0</v>
      </c>
      <c r="AS297">
        <v>0</v>
      </c>
      <c r="AT297" t="s">
        <v>90</v>
      </c>
      <c r="AU297" s="1">
        <v>44200.477210648147</v>
      </c>
      <c r="AV297">
        <v>129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-1</v>
      </c>
      <c r="BC297">
        <v>0</v>
      </c>
      <c r="BD297">
        <v>0</v>
      </c>
      <c r="BE297">
        <v>0</v>
      </c>
    </row>
    <row r="298" spans="1:57" x14ac:dyDescent="0.45">
      <c r="A298" t="s">
        <v>870</v>
      </c>
      <c r="B298" t="s">
        <v>79</v>
      </c>
      <c r="C298" t="s">
        <v>868</v>
      </c>
      <c r="D298" t="s">
        <v>81</v>
      </c>
      <c r="E298" s="2" t="str">
        <f>HYPERLINK("capsilon://?command=openfolder&amp;siteaddress=FAM.docvelocity-na8.net&amp;folderid=FXD6F9673C-CB6D-A7EC-26D6-1C9592D30343","FX20121075")</f>
        <v>FX20121075</v>
      </c>
      <c r="F298" t="s">
        <v>19</v>
      </c>
      <c r="G298" t="s">
        <v>19</v>
      </c>
      <c r="H298" t="s">
        <v>82</v>
      </c>
      <c r="I298" t="s">
        <v>871</v>
      </c>
      <c r="J298">
        <v>65</v>
      </c>
      <c r="K298" t="s">
        <v>84</v>
      </c>
      <c r="L298" t="s">
        <v>85</v>
      </c>
      <c r="M298" t="s">
        <v>86</v>
      </c>
      <c r="N298">
        <v>3</v>
      </c>
      <c r="O298" s="1">
        <v>44200.408564814818</v>
      </c>
      <c r="P298" s="1">
        <v>44200.477303240739</v>
      </c>
      <c r="Q298">
        <v>4095</v>
      </c>
      <c r="R298">
        <v>1844</v>
      </c>
      <c r="S298" t="b">
        <v>0</v>
      </c>
      <c r="T298" t="s">
        <v>87</v>
      </c>
      <c r="U298" t="b">
        <v>0</v>
      </c>
      <c r="V298" t="s">
        <v>736</v>
      </c>
      <c r="W298" s="1">
        <v>44200.440474537034</v>
      </c>
      <c r="X298">
        <v>1254</v>
      </c>
      <c r="Y298">
        <v>66</v>
      </c>
      <c r="Z298">
        <v>0</v>
      </c>
      <c r="AA298">
        <v>66</v>
      </c>
      <c r="AB298">
        <v>0</v>
      </c>
      <c r="AC298">
        <v>38</v>
      </c>
      <c r="AD298">
        <v>-1</v>
      </c>
      <c r="AE298">
        <v>0</v>
      </c>
      <c r="AF298">
        <v>0</v>
      </c>
      <c r="AG298">
        <v>0</v>
      </c>
      <c r="AH298" t="s">
        <v>94</v>
      </c>
      <c r="AI298" s="1">
        <v>44200.475324074076</v>
      </c>
      <c r="AJ298">
        <v>456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-1</v>
      </c>
      <c r="AQ298">
        <v>0</v>
      </c>
      <c r="AR298">
        <v>0</v>
      </c>
      <c r="AS298">
        <v>0</v>
      </c>
      <c r="AT298" t="s">
        <v>90</v>
      </c>
      <c r="AU298" s="1">
        <v>44200.477303240739</v>
      </c>
      <c r="AV298">
        <v>7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-1</v>
      </c>
      <c r="BC298">
        <v>0</v>
      </c>
      <c r="BD298">
        <v>0</v>
      </c>
      <c r="BE298">
        <v>0</v>
      </c>
    </row>
    <row r="299" spans="1:57" x14ac:dyDescent="0.45">
      <c r="A299" t="s">
        <v>872</v>
      </c>
      <c r="B299" t="s">
        <v>79</v>
      </c>
      <c r="C299" t="s">
        <v>865</v>
      </c>
      <c r="D299" t="s">
        <v>81</v>
      </c>
      <c r="E299" s="2" t="str">
        <f>HYPERLINK("capsilon://?command=openfolder&amp;siteaddress=FAM.docvelocity-na8.net&amp;folderid=FXDC5D0857-8969-45CD-C7FF-E36D8179319D","FX201114922")</f>
        <v>FX201114922</v>
      </c>
      <c r="F299" t="s">
        <v>19</v>
      </c>
      <c r="G299" t="s">
        <v>19</v>
      </c>
      <c r="H299" t="s">
        <v>82</v>
      </c>
      <c r="I299" t="s">
        <v>873</v>
      </c>
      <c r="J299">
        <v>66</v>
      </c>
      <c r="K299" t="s">
        <v>84</v>
      </c>
      <c r="L299" t="s">
        <v>85</v>
      </c>
      <c r="M299" t="s">
        <v>86</v>
      </c>
      <c r="N299">
        <v>3</v>
      </c>
      <c r="O299" s="1">
        <v>44202.803993055553</v>
      </c>
      <c r="P299" s="1">
        <v>44203.407453703701</v>
      </c>
      <c r="Q299">
        <v>50714</v>
      </c>
      <c r="R299">
        <v>1425</v>
      </c>
      <c r="S299" t="b">
        <v>0</v>
      </c>
      <c r="T299" t="s">
        <v>87</v>
      </c>
      <c r="U299" t="b">
        <v>0</v>
      </c>
      <c r="V299" t="s">
        <v>179</v>
      </c>
      <c r="W299" s="1">
        <v>44202.816851851851</v>
      </c>
      <c r="X299">
        <v>1107</v>
      </c>
      <c r="Y299">
        <v>52</v>
      </c>
      <c r="Z299">
        <v>0</v>
      </c>
      <c r="AA299">
        <v>52</v>
      </c>
      <c r="AB299">
        <v>0</v>
      </c>
      <c r="AC299">
        <v>35</v>
      </c>
      <c r="AD299">
        <v>14</v>
      </c>
      <c r="AE299">
        <v>0</v>
      </c>
      <c r="AF299">
        <v>0</v>
      </c>
      <c r="AG299">
        <v>0</v>
      </c>
      <c r="AH299" t="s">
        <v>267</v>
      </c>
      <c r="AI299" s="1">
        <v>44202.822627314818</v>
      </c>
      <c r="AJ299">
        <v>105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14</v>
      </c>
      <c r="AQ299">
        <v>0</v>
      </c>
      <c r="AR299">
        <v>0</v>
      </c>
      <c r="AS299">
        <v>0</v>
      </c>
      <c r="AT299" t="s">
        <v>90</v>
      </c>
      <c r="AU299" s="1">
        <v>44203.407453703701</v>
      </c>
      <c r="AV299">
        <v>213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14</v>
      </c>
      <c r="BC299">
        <v>0</v>
      </c>
      <c r="BD299">
        <v>0</v>
      </c>
      <c r="BE299">
        <v>0</v>
      </c>
    </row>
    <row r="300" spans="1:57" x14ac:dyDescent="0.45">
      <c r="A300" t="s">
        <v>874</v>
      </c>
      <c r="B300" t="s">
        <v>79</v>
      </c>
      <c r="C300" t="s">
        <v>875</v>
      </c>
      <c r="D300" t="s">
        <v>81</v>
      </c>
      <c r="E300" s="2" t="str">
        <f>HYPERLINK("capsilon://?command=openfolder&amp;siteaddress=FAM.docvelocity-na8.net&amp;folderid=FX8CAE4260-A543-E6DB-E579-8D4ED85DC75D","FX20124809")</f>
        <v>FX20124809</v>
      </c>
      <c r="F300" t="s">
        <v>19</v>
      </c>
      <c r="G300" t="s">
        <v>19</v>
      </c>
      <c r="H300" t="s">
        <v>82</v>
      </c>
      <c r="I300" t="s">
        <v>876</v>
      </c>
      <c r="J300">
        <v>66</v>
      </c>
      <c r="K300" t="s">
        <v>84</v>
      </c>
      <c r="L300" t="s">
        <v>85</v>
      </c>
      <c r="M300" t="s">
        <v>86</v>
      </c>
      <c r="N300">
        <v>3</v>
      </c>
      <c r="O300" s="1">
        <v>44202.811921296299</v>
      </c>
      <c r="P300" s="1">
        <v>44203.408101851855</v>
      </c>
      <c r="Q300">
        <v>50436</v>
      </c>
      <c r="R300">
        <v>1074</v>
      </c>
      <c r="S300" t="b">
        <v>0</v>
      </c>
      <c r="T300" t="s">
        <v>87</v>
      </c>
      <c r="U300" t="b">
        <v>0</v>
      </c>
      <c r="V300" t="s">
        <v>259</v>
      </c>
      <c r="W300" s="1">
        <v>44202.820150462961</v>
      </c>
      <c r="X300">
        <v>698</v>
      </c>
      <c r="Y300">
        <v>52</v>
      </c>
      <c r="Z300">
        <v>0</v>
      </c>
      <c r="AA300">
        <v>52</v>
      </c>
      <c r="AB300">
        <v>0</v>
      </c>
      <c r="AC300">
        <v>39</v>
      </c>
      <c r="AD300">
        <v>14</v>
      </c>
      <c r="AE300">
        <v>0</v>
      </c>
      <c r="AF300">
        <v>0</v>
      </c>
      <c r="AG300">
        <v>0</v>
      </c>
      <c r="AH300" t="s">
        <v>267</v>
      </c>
      <c r="AI300" s="1">
        <v>44202.826354166667</v>
      </c>
      <c r="AJ300">
        <v>321</v>
      </c>
      <c r="AK300">
        <v>3</v>
      </c>
      <c r="AL300">
        <v>0</v>
      </c>
      <c r="AM300">
        <v>3</v>
      </c>
      <c r="AN300">
        <v>0</v>
      </c>
      <c r="AO300">
        <v>1</v>
      </c>
      <c r="AP300">
        <v>11</v>
      </c>
      <c r="AQ300">
        <v>0</v>
      </c>
      <c r="AR300">
        <v>0</v>
      </c>
      <c r="AS300">
        <v>0</v>
      </c>
      <c r="AT300" t="s">
        <v>90</v>
      </c>
      <c r="AU300" s="1">
        <v>44203.408101851855</v>
      </c>
      <c r="AV300">
        <v>55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11</v>
      </c>
      <c r="BC300">
        <v>0</v>
      </c>
      <c r="BD300">
        <v>0</v>
      </c>
      <c r="BE300">
        <v>0</v>
      </c>
    </row>
    <row r="301" spans="1:57" hidden="1" x14ac:dyDescent="0.45">
      <c r="A301" t="s">
        <v>877</v>
      </c>
      <c r="B301" t="s">
        <v>79</v>
      </c>
      <c r="C301" t="s">
        <v>878</v>
      </c>
      <c r="D301" t="s">
        <v>81</v>
      </c>
      <c r="E301" s="2" t="str">
        <f>HYPERLINK("capsilon://?command=openfolder&amp;siteaddress=FAM.docvelocity-na8.net&amp;folderid=FX91476ABE-C54D-33AD-D79A-1F1EC699B11D","FX201111350")</f>
        <v>FX201111350</v>
      </c>
      <c r="F301" t="s">
        <v>19</v>
      </c>
      <c r="G301" t="s">
        <v>19</v>
      </c>
      <c r="H301" t="s">
        <v>82</v>
      </c>
      <c r="I301" t="s">
        <v>879</v>
      </c>
      <c r="J301">
        <v>66</v>
      </c>
      <c r="K301" t="s">
        <v>84</v>
      </c>
      <c r="L301" t="s">
        <v>85</v>
      </c>
      <c r="M301" t="s">
        <v>86</v>
      </c>
      <c r="N301">
        <v>3</v>
      </c>
      <c r="O301" s="1">
        <v>44200.413217592592</v>
      </c>
      <c r="P301" s="1">
        <v>44200.477349537039</v>
      </c>
      <c r="Q301">
        <v>5379</v>
      </c>
      <c r="R301">
        <v>162</v>
      </c>
      <c r="S301" t="b">
        <v>0</v>
      </c>
      <c r="T301" t="s">
        <v>87</v>
      </c>
      <c r="U301" t="b">
        <v>0</v>
      </c>
      <c r="V301" t="s">
        <v>419</v>
      </c>
      <c r="W301" s="1">
        <v>44200.432685185187</v>
      </c>
      <c r="X301">
        <v>130</v>
      </c>
      <c r="Y301">
        <v>0</v>
      </c>
      <c r="Z301">
        <v>0</v>
      </c>
      <c r="AA301">
        <v>0</v>
      </c>
      <c r="AB301">
        <v>52</v>
      </c>
      <c r="AC301">
        <v>0</v>
      </c>
      <c r="AD301">
        <v>66</v>
      </c>
      <c r="AE301">
        <v>0</v>
      </c>
      <c r="AF301">
        <v>0</v>
      </c>
      <c r="AG301">
        <v>0</v>
      </c>
      <c r="AH301" t="s">
        <v>267</v>
      </c>
      <c r="AI301" s="1">
        <v>44200.471296296295</v>
      </c>
      <c r="AJ301">
        <v>29</v>
      </c>
      <c r="AK301">
        <v>0</v>
      </c>
      <c r="AL301">
        <v>0</v>
      </c>
      <c r="AM301">
        <v>0</v>
      </c>
      <c r="AN301">
        <v>52</v>
      </c>
      <c r="AO301">
        <v>0</v>
      </c>
      <c r="AP301">
        <v>66</v>
      </c>
      <c r="AQ301">
        <v>0</v>
      </c>
      <c r="AR301">
        <v>0</v>
      </c>
      <c r="AS301">
        <v>0</v>
      </c>
      <c r="AT301" t="s">
        <v>90</v>
      </c>
      <c r="AU301" s="1">
        <v>44200.477349537039</v>
      </c>
      <c r="AV301">
        <v>3</v>
      </c>
      <c r="AW301">
        <v>0</v>
      </c>
      <c r="AX301">
        <v>0</v>
      </c>
      <c r="AY301">
        <v>0</v>
      </c>
      <c r="AZ301">
        <v>52</v>
      </c>
      <c r="BA301">
        <v>0</v>
      </c>
      <c r="BB301">
        <v>66</v>
      </c>
      <c r="BC301">
        <v>0</v>
      </c>
      <c r="BD301">
        <v>0</v>
      </c>
      <c r="BE301">
        <v>0</v>
      </c>
    </row>
    <row r="302" spans="1:57" x14ac:dyDescent="0.45">
      <c r="A302" t="s">
        <v>880</v>
      </c>
      <c r="B302" t="s">
        <v>79</v>
      </c>
      <c r="C302" t="s">
        <v>881</v>
      </c>
      <c r="D302" t="s">
        <v>81</v>
      </c>
      <c r="E302" s="2" t="str">
        <f>HYPERLINK("capsilon://?command=openfolder&amp;siteaddress=FAM.docvelocity-na8.net&amp;folderid=FX06447A73-AB55-D9B3-1617-EBA6FEA2B853","FX20121946")</f>
        <v>FX20121946</v>
      </c>
      <c r="F302" t="s">
        <v>19</v>
      </c>
      <c r="G302" t="s">
        <v>19</v>
      </c>
      <c r="H302" t="s">
        <v>82</v>
      </c>
      <c r="I302" t="s">
        <v>882</v>
      </c>
      <c r="J302">
        <v>26</v>
      </c>
      <c r="K302" t="s">
        <v>84</v>
      </c>
      <c r="L302" t="s">
        <v>85</v>
      </c>
      <c r="M302" t="s">
        <v>86</v>
      </c>
      <c r="N302">
        <v>3</v>
      </c>
      <c r="O302" s="1">
        <v>44202.81454861111</v>
      </c>
      <c r="P302" s="1">
        <v>44203.408171296294</v>
      </c>
      <c r="Q302">
        <v>50740</v>
      </c>
      <c r="R302">
        <v>549</v>
      </c>
      <c r="S302" t="b">
        <v>0</v>
      </c>
      <c r="T302" t="s">
        <v>87</v>
      </c>
      <c r="U302" t="b">
        <v>0</v>
      </c>
      <c r="V302" t="s">
        <v>259</v>
      </c>
      <c r="W302" s="1">
        <v>44202.825023148151</v>
      </c>
      <c r="X302">
        <v>420</v>
      </c>
      <c r="Y302">
        <v>21</v>
      </c>
      <c r="Z302">
        <v>0</v>
      </c>
      <c r="AA302">
        <v>21</v>
      </c>
      <c r="AB302">
        <v>0</v>
      </c>
      <c r="AC302">
        <v>18</v>
      </c>
      <c r="AD302">
        <v>5</v>
      </c>
      <c r="AE302">
        <v>0</v>
      </c>
      <c r="AF302">
        <v>0</v>
      </c>
      <c r="AG302">
        <v>0</v>
      </c>
      <c r="AH302" t="s">
        <v>128</v>
      </c>
      <c r="AI302" s="1">
        <v>44202.826469907406</v>
      </c>
      <c r="AJ302">
        <v>118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5</v>
      </c>
      <c r="AQ302">
        <v>0</v>
      </c>
      <c r="AR302">
        <v>0</v>
      </c>
      <c r="AS302">
        <v>0</v>
      </c>
      <c r="AT302" t="s">
        <v>90</v>
      </c>
      <c r="AU302" s="1">
        <v>44203.408171296294</v>
      </c>
      <c r="AV302">
        <v>5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5</v>
      </c>
      <c r="BC302">
        <v>0</v>
      </c>
      <c r="BD302">
        <v>0</v>
      </c>
      <c r="BE302">
        <v>0</v>
      </c>
    </row>
    <row r="303" spans="1:57" hidden="1" x14ac:dyDescent="0.45">
      <c r="A303" t="s">
        <v>883</v>
      </c>
      <c r="B303" t="s">
        <v>79</v>
      </c>
      <c r="C303" t="s">
        <v>884</v>
      </c>
      <c r="D303" t="s">
        <v>81</v>
      </c>
      <c r="E303" s="2" t="str">
        <f>HYPERLINK("capsilon://?command=openfolder&amp;siteaddress=FAM.docvelocity-na8.net&amp;folderid=FXC1B285BD-0BA1-22AE-4697-7B8BCF884C03","FX2011189")</f>
        <v>FX2011189</v>
      </c>
      <c r="F303" t="s">
        <v>19</v>
      </c>
      <c r="G303" t="s">
        <v>19</v>
      </c>
      <c r="H303" t="s">
        <v>82</v>
      </c>
      <c r="I303" t="s">
        <v>885</v>
      </c>
      <c r="J303">
        <v>66</v>
      </c>
      <c r="K303" t="s">
        <v>84</v>
      </c>
      <c r="L303" t="s">
        <v>85</v>
      </c>
      <c r="M303" t="s">
        <v>86</v>
      </c>
      <c r="N303">
        <v>3</v>
      </c>
      <c r="O303" s="1">
        <v>44200.415254629632</v>
      </c>
      <c r="P303" s="1">
        <v>44200.477453703701</v>
      </c>
      <c r="Q303">
        <v>5217</v>
      </c>
      <c r="R303">
        <v>157</v>
      </c>
      <c r="S303" t="b">
        <v>0</v>
      </c>
      <c r="T303" t="s">
        <v>87</v>
      </c>
      <c r="U303" t="b">
        <v>0</v>
      </c>
      <c r="V303" t="s">
        <v>98</v>
      </c>
      <c r="W303" s="1">
        <v>44200.432662037034</v>
      </c>
      <c r="X303">
        <v>120</v>
      </c>
      <c r="Y303">
        <v>0</v>
      </c>
      <c r="Z303">
        <v>0</v>
      </c>
      <c r="AA303">
        <v>0</v>
      </c>
      <c r="AB303">
        <v>52</v>
      </c>
      <c r="AC303">
        <v>0</v>
      </c>
      <c r="AD303">
        <v>66</v>
      </c>
      <c r="AE303">
        <v>0</v>
      </c>
      <c r="AF303">
        <v>0</v>
      </c>
      <c r="AG303">
        <v>0</v>
      </c>
      <c r="AH303" t="s">
        <v>267</v>
      </c>
      <c r="AI303" s="1">
        <v>44200.471643518518</v>
      </c>
      <c r="AJ303">
        <v>29</v>
      </c>
      <c r="AK303">
        <v>0</v>
      </c>
      <c r="AL303">
        <v>0</v>
      </c>
      <c r="AM303">
        <v>0</v>
      </c>
      <c r="AN303">
        <v>52</v>
      </c>
      <c r="AO303">
        <v>0</v>
      </c>
      <c r="AP303">
        <v>66</v>
      </c>
      <c r="AQ303">
        <v>0</v>
      </c>
      <c r="AR303">
        <v>0</v>
      </c>
      <c r="AS303">
        <v>0</v>
      </c>
      <c r="AT303" t="s">
        <v>90</v>
      </c>
      <c r="AU303" s="1">
        <v>44200.477453703701</v>
      </c>
      <c r="AV303">
        <v>8</v>
      </c>
      <c r="AW303">
        <v>0</v>
      </c>
      <c r="AX303">
        <v>0</v>
      </c>
      <c r="AY303">
        <v>0</v>
      </c>
      <c r="AZ303">
        <v>52</v>
      </c>
      <c r="BA303">
        <v>0</v>
      </c>
      <c r="BB303">
        <v>66</v>
      </c>
      <c r="BC303">
        <v>0</v>
      </c>
      <c r="BD303">
        <v>0</v>
      </c>
      <c r="BE303">
        <v>0</v>
      </c>
    </row>
    <row r="304" spans="1:57" hidden="1" x14ac:dyDescent="0.45">
      <c r="A304" t="s">
        <v>886</v>
      </c>
      <c r="B304" t="s">
        <v>79</v>
      </c>
      <c r="C304" t="s">
        <v>884</v>
      </c>
      <c r="D304" t="s">
        <v>81</v>
      </c>
      <c r="E304" s="2" t="str">
        <f>HYPERLINK("capsilon://?command=openfolder&amp;siteaddress=FAM.docvelocity-na8.net&amp;folderid=FXC1B285BD-0BA1-22AE-4697-7B8BCF884C03","FX2011189")</f>
        <v>FX2011189</v>
      </c>
      <c r="F304" t="s">
        <v>19</v>
      </c>
      <c r="G304" t="s">
        <v>19</v>
      </c>
      <c r="H304" t="s">
        <v>82</v>
      </c>
      <c r="I304" t="s">
        <v>887</v>
      </c>
      <c r="J304">
        <v>66</v>
      </c>
      <c r="K304" t="s">
        <v>84</v>
      </c>
      <c r="L304" t="s">
        <v>85</v>
      </c>
      <c r="M304" t="s">
        <v>86</v>
      </c>
      <c r="N304">
        <v>3</v>
      </c>
      <c r="O304" s="1">
        <v>44200.415694444448</v>
      </c>
      <c r="P304" s="1">
        <v>44200.477500000001</v>
      </c>
      <c r="Q304">
        <v>5215</v>
      </c>
      <c r="R304">
        <v>125</v>
      </c>
      <c r="S304" t="b">
        <v>0</v>
      </c>
      <c r="T304" t="s">
        <v>87</v>
      </c>
      <c r="U304" t="b">
        <v>0</v>
      </c>
      <c r="V304" t="s">
        <v>98</v>
      </c>
      <c r="W304" s="1">
        <v>44200.433807870373</v>
      </c>
      <c r="X304">
        <v>98</v>
      </c>
      <c r="Y304">
        <v>0</v>
      </c>
      <c r="Z304">
        <v>0</v>
      </c>
      <c r="AA304">
        <v>0</v>
      </c>
      <c r="AB304">
        <v>52</v>
      </c>
      <c r="AC304">
        <v>0</v>
      </c>
      <c r="AD304">
        <v>66</v>
      </c>
      <c r="AE304">
        <v>0</v>
      </c>
      <c r="AF304">
        <v>0</v>
      </c>
      <c r="AG304">
        <v>0</v>
      </c>
      <c r="AH304" t="s">
        <v>267</v>
      </c>
      <c r="AI304" s="1">
        <v>44200.471921296295</v>
      </c>
      <c r="AJ304">
        <v>23</v>
      </c>
      <c r="AK304">
        <v>0</v>
      </c>
      <c r="AL304">
        <v>0</v>
      </c>
      <c r="AM304">
        <v>0</v>
      </c>
      <c r="AN304">
        <v>52</v>
      </c>
      <c r="AO304">
        <v>0</v>
      </c>
      <c r="AP304">
        <v>66</v>
      </c>
      <c r="AQ304">
        <v>0</v>
      </c>
      <c r="AR304">
        <v>0</v>
      </c>
      <c r="AS304">
        <v>0</v>
      </c>
      <c r="AT304" t="s">
        <v>90</v>
      </c>
      <c r="AU304" s="1">
        <v>44200.477500000001</v>
      </c>
      <c r="AV304">
        <v>4</v>
      </c>
      <c r="AW304">
        <v>0</v>
      </c>
      <c r="AX304">
        <v>0</v>
      </c>
      <c r="AY304">
        <v>0</v>
      </c>
      <c r="AZ304">
        <v>52</v>
      </c>
      <c r="BA304">
        <v>0</v>
      </c>
      <c r="BB304">
        <v>66</v>
      </c>
      <c r="BC304">
        <v>0</v>
      </c>
      <c r="BD304">
        <v>0</v>
      </c>
      <c r="BE304">
        <v>0</v>
      </c>
    </row>
    <row r="305" spans="1:57" hidden="1" x14ac:dyDescent="0.45">
      <c r="A305" t="s">
        <v>888</v>
      </c>
      <c r="B305" t="s">
        <v>79</v>
      </c>
      <c r="C305" t="s">
        <v>878</v>
      </c>
      <c r="D305" t="s">
        <v>81</v>
      </c>
      <c r="E305" s="2" t="str">
        <f>HYPERLINK("capsilon://?command=openfolder&amp;siteaddress=FAM.docvelocity-na8.net&amp;folderid=FX91476ABE-C54D-33AD-D79A-1F1EC699B11D","FX201111350")</f>
        <v>FX201111350</v>
      </c>
      <c r="F305" t="s">
        <v>19</v>
      </c>
      <c r="G305" t="s">
        <v>19</v>
      </c>
      <c r="H305" t="s">
        <v>82</v>
      </c>
      <c r="I305" t="s">
        <v>889</v>
      </c>
      <c r="J305">
        <v>66</v>
      </c>
      <c r="K305" t="s">
        <v>84</v>
      </c>
      <c r="L305" t="s">
        <v>85</v>
      </c>
      <c r="M305" t="s">
        <v>86</v>
      </c>
      <c r="N305">
        <v>3</v>
      </c>
      <c r="O305" s="1">
        <v>44200.416238425925</v>
      </c>
      <c r="P305" s="1">
        <v>44200.477534722224</v>
      </c>
      <c r="Q305">
        <v>5166</v>
      </c>
      <c r="R305">
        <v>130</v>
      </c>
      <c r="S305" t="b">
        <v>0</v>
      </c>
      <c r="T305" t="s">
        <v>87</v>
      </c>
      <c r="U305" t="b">
        <v>0</v>
      </c>
      <c r="V305" t="s">
        <v>419</v>
      </c>
      <c r="W305" s="1">
        <v>44200.433912037035</v>
      </c>
      <c r="X305">
        <v>105</v>
      </c>
      <c r="Y305">
        <v>0</v>
      </c>
      <c r="Z305">
        <v>0</v>
      </c>
      <c r="AA305">
        <v>0</v>
      </c>
      <c r="AB305">
        <v>52</v>
      </c>
      <c r="AC305">
        <v>0</v>
      </c>
      <c r="AD305">
        <v>66</v>
      </c>
      <c r="AE305">
        <v>0</v>
      </c>
      <c r="AF305">
        <v>0</v>
      </c>
      <c r="AG305">
        <v>0</v>
      </c>
      <c r="AH305" t="s">
        <v>267</v>
      </c>
      <c r="AI305" s="1">
        <v>44200.472187500003</v>
      </c>
      <c r="AJ305">
        <v>22</v>
      </c>
      <c r="AK305">
        <v>0</v>
      </c>
      <c r="AL305">
        <v>0</v>
      </c>
      <c r="AM305">
        <v>0</v>
      </c>
      <c r="AN305">
        <v>52</v>
      </c>
      <c r="AO305">
        <v>0</v>
      </c>
      <c r="AP305">
        <v>66</v>
      </c>
      <c r="AQ305">
        <v>0</v>
      </c>
      <c r="AR305">
        <v>0</v>
      </c>
      <c r="AS305">
        <v>0</v>
      </c>
      <c r="AT305" t="s">
        <v>90</v>
      </c>
      <c r="AU305" s="1">
        <v>44200.477534722224</v>
      </c>
      <c r="AV305">
        <v>3</v>
      </c>
      <c r="AW305">
        <v>0</v>
      </c>
      <c r="AX305">
        <v>0</v>
      </c>
      <c r="AY305">
        <v>0</v>
      </c>
      <c r="AZ305">
        <v>52</v>
      </c>
      <c r="BA305">
        <v>0</v>
      </c>
      <c r="BB305">
        <v>66</v>
      </c>
      <c r="BC305">
        <v>0</v>
      </c>
      <c r="BD305">
        <v>0</v>
      </c>
      <c r="BE305">
        <v>0</v>
      </c>
    </row>
    <row r="306" spans="1:57" x14ac:dyDescent="0.45">
      <c r="A306" t="s">
        <v>890</v>
      </c>
      <c r="B306" t="s">
        <v>79</v>
      </c>
      <c r="C306" t="s">
        <v>854</v>
      </c>
      <c r="D306" t="s">
        <v>81</v>
      </c>
      <c r="E306" s="2" t="str">
        <f>HYPERLINK("capsilon://?command=openfolder&amp;siteaddress=FAM.docvelocity-na8.net&amp;folderid=FX260FD5A5-6DCB-1B1A-1371-0D43A37BC893","FX2011193")</f>
        <v>FX2011193</v>
      </c>
      <c r="F306" t="s">
        <v>19</v>
      </c>
      <c r="G306" t="s">
        <v>19</v>
      </c>
      <c r="H306" t="s">
        <v>82</v>
      </c>
      <c r="I306" t="s">
        <v>855</v>
      </c>
      <c r="J306">
        <v>38</v>
      </c>
      <c r="K306" t="s">
        <v>84</v>
      </c>
      <c r="L306" t="s">
        <v>85</v>
      </c>
      <c r="M306" t="s">
        <v>86</v>
      </c>
      <c r="N306">
        <v>3</v>
      </c>
      <c r="O306" s="1">
        <v>44200.417233796295</v>
      </c>
      <c r="P306" s="1">
        <v>44200.451805555553</v>
      </c>
      <c r="Q306">
        <v>2156</v>
      </c>
      <c r="R306">
        <v>831</v>
      </c>
      <c r="S306" t="b">
        <v>0</v>
      </c>
      <c r="T306" t="s">
        <v>87</v>
      </c>
      <c r="U306" t="b">
        <v>1</v>
      </c>
      <c r="V306" t="s">
        <v>736</v>
      </c>
      <c r="W306" s="1">
        <v>44200.425949074073</v>
      </c>
      <c r="X306">
        <v>528</v>
      </c>
      <c r="Y306">
        <v>37</v>
      </c>
      <c r="Z306">
        <v>0</v>
      </c>
      <c r="AA306">
        <v>37</v>
      </c>
      <c r="AB306">
        <v>0</v>
      </c>
      <c r="AC306">
        <v>27</v>
      </c>
      <c r="AD306">
        <v>1</v>
      </c>
      <c r="AE306">
        <v>0</v>
      </c>
      <c r="AF306">
        <v>0</v>
      </c>
      <c r="AG306">
        <v>0</v>
      </c>
      <c r="AH306" t="s">
        <v>94</v>
      </c>
      <c r="AI306" s="1">
        <v>44200.439675925925</v>
      </c>
      <c r="AJ306">
        <v>296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 t="s">
        <v>90</v>
      </c>
      <c r="AU306" s="1">
        <v>44200.451805555553</v>
      </c>
      <c r="AV306">
        <v>7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</row>
    <row r="307" spans="1:57" hidden="1" x14ac:dyDescent="0.45">
      <c r="A307" t="s">
        <v>891</v>
      </c>
      <c r="B307" t="s">
        <v>79</v>
      </c>
      <c r="C307" t="s">
        <v>892</v>
      </c>
      <c r="D307" t="s">
        <v>81</v>
      </c>
      <c r="E307" s="2" t="str">
        <f>HYPERLINK("capsilon://?command=openfolder&amp;siteaddress=FAM.docvelocity-na8.net&amp;folderid=FX5000F857-D4B2-CF8A-39ED-6FD38EDDA096","FX20127683")</f>
        <v>FX20127683</v>
      </c>
      <c r="F307" t="s">
        <v>19</v>
      </c>
      <c r="G307" t="s">
        <v>19</v>
      </c>
      <c r="H307" t="s">
        <v>82</v>
      </c>
      <c r="I307" t="s">
        <v>893</v>
      </c>
      <c r="J307">
        <v>66</v>
      </c>
      <c r="K307" t="s">
        <v>84</v>
      </c>
      <c r="L307" t="s">
        <v>85</v>
      </c>
      <c r="M307" t="s">
        <v>86</v>
      </c>
      <c r="N307">
        <v>1</v>
      </c>
      <c r="O307" s="1">
        <v>44202.864837962959</v>
      </c>
      <c r="P307" s="1">
        <v>44203.150914351849</v>
      </c>
      <c r="Q307">
        <v>24505</v>
      </c>
      <c r="R307">
        <v>212</v>
      </c>
      <c r="S307" t="b">
        <v>0</v>
      </c>
      <c r="T307" t="s">
        <v>87</v>
      </c>
      <c r="U307" t="b">
        <v>0</v>
      </c>
      <c r="V307" t="s">
        <v>112</v>
      </c>
      <c r="W307" s="1">
        <v>44203.150914351849</v>
      </c>
      <c r="X307">
        <v>212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66</v>
      </c>
      <c r="AE307">
        <v>52</v>
      </c>
      <c r="AF307">
        <v>0</v>
      </c>
      <c r="AG307">
        <v>1</v>
      </c>
      <c r="AH307" t="s">
        <v>87</v>
      </c>
      <c r="AI307" t="s">
        <v>87</v>
      </c>
      <c r="AJ307" t="s">
        <v>87</v>
      </c>
      <c r="AK307" t="s">
        <v>87</v>
      </c>
      <c r="AL307" t="s">
        <v>87</v>
      </c>
      <c r="AM307" t="s">
        <v>87</v>
      </c>
      <c r="AN307" t="s">
        <v>87</v>
      </c>
      <c r="AO307" t="s">
        <v>87</v>
      </c>
      <c r="AP307" t="s">
        <v>87</v>
      </c>
      <c r="AQ307" t="s">
        <v>87</v>
      </c>
      <c r="AR307" t="s">
        <v>87</v>
      </c>
      <c r="AS307" t="s">
        <v>87</v>
      </c>
      <c r="AT307" t="s">
        <v>87</v>
      </c>
      <c r="AU307" t="s">
        <v>87</v>
      </c>
      <c r="AV307" t="s">
        <v>87</v>
      </c>
      <c r="AW307" t="s">
        <v>87</v>
      </c>
      <c r="AX307" t="s">
        <v>87</v>
      </c>
      <c r="AY307" t="s">
        <v>87</v>
      </c>
      <c r="AZ307" t="s">
        <v>87</v>
      </c>
      <c r="BA307" t="s">
        <v>87</v>
      </c>
      <c r="BB307" t="s">
        <v>87</v>
      </c>
      <c r="BC307" t="s">
        <v>87</v>
      </c>
      <c r="BD307" t="s">
        <v>87</v>
      </c>
      <c r="BE307" t="s">
        <v>87</v>
      </c>
    </row>
    <row r="308" spans="1:57" x14ac:dyDescent="0.45">
      <c r="A308" t="s">
        <v>894</v>
      </c>
      <c r="B308" t="s">
        <v>79</v>
      </c>
      <c r="C308" t="s">
        <v>895</v>
      </c>
      <c r="D308" t="s">
        <v>81</v>
      </c>
      <c r="E308" s="2" t="str">
        <f>HYPERLINK("capsilon://?command=openfolder&amp;siteaddress=FAM.docvelocity-na8.net&amp;folderid=FX5D51A8A7-8478-3593-D93B-4CD2818B83E6","FX20123045")</f>
        <v>FX20123045</v>
      </c>
      <c r="F308" t="s">
        <v>19</v>
      </c>
      <c r="G308" t="s">
        <v>19</v>
      </c>
      <c r="H308" t="s">
        <v>82</v>
      </c>
      <c r="I308" t="s">
        <v>896</v>
      </c>
      <c r="J308">
        <v>26</v>
      </c>
      <c r="K308" t="s">
        <v>84</v>
      </c>
      <c r="L308" t="s">
        <v>85</v>
      </c>
      <c r="M308" t="s">
        <v>86</v>
      </c>
      <c r="N308">
        <v>3</v>
      </c>
      <c r="O308" s="1">
        <v>44202.902291666665</v>
      </c>
      <c r="P308" s="1">
        <v>44203.408437500002</v>
      </c>
      <c r="Q308">
        <v>42958</v>
      </c>
      <c r="R308">
        <v>773</v>
      </c>
      <c r="S308" t="b">
        <v>0</v>
      </c>
      <c r="T308" t="s">
        <v>87</v>
      </c>
      <c r="U308" t="b">
        <v>0</v>
      </c>
      <c r="V308" t="s">
        <v>98</v>
      </c>
      <c r="W308" s="1">
        <v>44203.153819444444</v>
      </c>
      <c r="X308">
        <v>392</v>
      </c>
      <c r="Y308">
        <v>21</v>
      </c>
      <c r="Z308">
        <v>0</v>
      </c>
      <c r="AA308">
        <v>21</v>
      </c>
      <c r="AB308">
        <v>0</v>
      </c>
      <c r="AC308">
        <v>9</v>
      </c>
      <c r="AD308">
        <v>5</v>
      </c>
      <c r="AE308">
        <v>0</v>
      </c>
      <c r="AF308">
        <v>0</v>
      </c>
      <c r="AG308">
        <v>0</v>
      </c>
      <c r="AH308" t="s">
        <v>89</v>
      </c>
      <c r="AI308" s="1">
        <v>44203.158726851849</v>
      </c>
      <c r="AJ308">
        <v>359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5</v>
      </c>
      <c r="AQ308">
        <v>0</v>
      </c>
      <c r="AR308">
        <v>0</v>
      </c>
      <c r="AS308">
        <v>0</v>
      </c>
      <c r="AT308" t="s">
        <v>90</v>
      </c>
      <c r="AU308" s="1">
        <v>44203.408437500002</v>
      </c>
      <c r="AV308">
        <v>22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5</v>
      </c>
      <c r="BC308">
        <v>0</v>
      </c>
      <c r="BD308">
        <v>0</v>
      </c>
      <c r="BE308">
        <v>0</v>
      </c>
    </row>
    <row r="309" spans="1:57" x14ac:dyDescent="0.45">
      <c r="A309" t="s">
        <v>897</v>
      </c>
      <c r="B309" t="s">
        <v>79</v>
      </c>
      <c r="C309" t="s">
        <v>842</v>
      </c>
      <c r="D309" t="s">
        <v>81</v>
      </c>
      <c r="E309" s="2" t="str">
        <f>HYPERLINK("capsilon://?command=openfolder&amp;siteaddress=FAM.docvelocity-na8.net&amp;folderid=FXE6D94563-3F7F-43DE-8205-45C247BB7786","FX2012404")</f>
        <v>FX2012404</v>
      </c>
      <c r="F309" t="s">
        <v>19</v>
      </c>
      <c r="G309" t="s">
        <v>19</v>
      </c>
      <c r="H309" t="s">
        <v>82</v>
      </c>
      <c r="I309" t="s">
        <v>843</v>
      </c>
      <c r="J309">
        <v>140</v>
      </c>
      <c r="K309" t="s">
        <v>84</v>
      </c>
      <c r="L309" t="s">
        <v>85</v>
      </c>
      <c r="M309" t="s">
        <v>86</v>
      </c>
      <c r="N309">
        <v>3</v>
      </c>
      <c r="O309" s="1">
        <v>44200.421099537038</v>
      </c>
      <c r="P309" s="1">
        <v>44200.456041666665</v>
      </c>
      <c r="Q309">
        <v>1428</v>
      </c>
      <c r="R309">
        <v>1591</v>
      </c>
      <c r="S309" t="b">
        <v>0</v>
      </c>
      <c r="T309" t="s">
        <v>87</v>
      </c>
      <c r="U309" t="b">
        <v>1</v>
      </c>
      <c r="V309" t="s">
        <v>419</v>
      </c>
      <c r="W309" s="1">
        <v>44200.431168981479</v>
      </c>
      <c r="X309">
        <v>867</v>
      </c>
      <c r="Y309">
        <v>102</v>
      </c>
      <c r="Z309">
        <v>0</v>
      </c>
      <c r="AA309">
        <v>102</v>
      </c>
      <c r="AB309">
        <v>52</v>
      </c>
      <c r="AC309">
        <v>29</v>
      </c>
      <c r="AD309">
        <v>38</v>
      </c>
      <c r="AE309">
        <v>0</v>
      </c>
      <c r="AF309">
        <v>0</v>
      </c>
      <c r="AG309">
        <v>0</v>
      </c>
      <c r="AH309" t="s">
        <v>94</v>
      </c>
      <c r="AI309" s="1">
        <v>44200.443831018521</v>
      </c>
      <c r="AJ309">
        <v>358</v>
      </c>
      <c r="AK309">
        <v>0</v>
      </c>
      <c r="AL309">
        <v>0</v>
      </c>
      <c r="AM309">
        <v>0</v>
      </c>
      <c r="AN309">
        <v>52</v>
      </c>
      <c r="AO309">
        <v>0</v>
      </c>
      <c r="AP309">
        <v>38</v>
      </c>
      <c r="AQ309">
        <v>0</v>
      </c>
      <c r="AR309">
        <v>0</v>
      </c>
      <c r="AS309">
        <v>0</v>
      </c>
      <c r="AT309" t="s">
        <v>90</v>
      </c>
      <c r="AU309" s="1">
        <v>44200.456041666665</v>
      </c>
      <c r="AV309">
        <v>366</v>
      </c>
      <c r="AW309">
        <v>0</v>
      </c>
      <c r="AX309">
        <v>0</v>
      </c>
      <c r="AY309">
        <v>0</v>
      </c>
      <c r="AZ309">
        <v>52</v>
      </c>
      <c r="BA309">
        <v>0</v>
      </c>
      <c r="BB309">
        <v>38</v>
      </c>
      <c r="BC309">
        <v>0</v>
      </c>
      <c r="BD309">
        <v>0</v>
      </c>
      <c r="BE309">
        <v>0</v>
      </c>
    </row>
    <row r="310" spans="1:57" x14ac:dyDescent="0.45">
      <c r="A310" t="s">
        <v>898</v>
      </c>
      <c r="B310" t="s">
        <v>79</v>
      </c>
      <c r="C310" t="s">
        <v>895</v>
      </c>
      <c r="D310" t="s">
        <v>81</v>
      </c>
      <c r="E310" s="2" t="str">
        <f>HYPERLINK("capsilon://?command=openfolder&amp;siteaddress=FAM.docvelocity-na8.net&amp;folderid=FX5D51A8A7-8478-3593-D93B-4CD2818B83E6","FX20123045")</f>
        <v>FX20123045</v>
      </c>
      <c r="F310" t="s">
        <v>19</v>
      </c>
      <c r="G310" t="s">
        <v>19</v>
      </c>
      <c r="H310" t="s">
        <v>82</v>
      </c>
      <c r="I310" t="s">
        <v>899</v>
      </c>
      <c r="J310">
        <v>36</v>
      </c>
      <c r="K310" t="s">
        <v>84</v>
      </c>
      <c r="L310" t="s">
        <v>85</v>
      </c>
      <c r="M310" t="s">
        <v>86</v>
      </c>
      <c r="N310">
        <v>3</v>
      </c>
      <c r="O310" s="1">
        <v>44202.903217592589</v>
      </c>
      <c r="P310" s="1">
        <v>44203.408726851849</v>
      </c>
      <c r="Q310">
        <v>42059</v>
      </c>
      <c r="R310">
        <v>1617</v>
      </c>
      <c r="S310" t="b">
        <v>0</v>
      </c>
      <c r="T310" t="s">
        <v>87</v>
      </c>
      <c r="U310" t="b">
        <v>0</v>
      </c>
      <c r="V310" t="s">
        <v>112</v>
      </c>
      <c r="W310" s="1">
        <v>44203.164293981485</v>
      </c>
      <c r="X310">
        <v>1155</v>
      </c>
      <c r="Y310">
        <v>59</v>
      </c>
      <c r="Z310">
        <v>0</v>
      </c>
      <c r="AA310">
        <v>59</v>
      </c>
      <c r="AB310">
        <v>0</v>
      </c>
      <c r="AC310">
        <v>46</v>
      </c>
      <c r="AD310">
        <v>-23</v>
      </c>
      <c r="AE310">
        <v>0</v>
      </c>
      <c r="AF310">
        <v>0</v>
      </c>
      <c r="AG310">
        <v>0</v>
      </c>
      <c r="AH310" t="s">
        <v>89</v>
      </c>
      <c r="AI310" s="1">
        <v>44203.188761574071</v>
      </c>
      <c r="AJ310">
        <v>438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-23</v>
      </c>
      <c r="AQ310">
        <v>0</v>
      </c>
      <c r="AR310">
        <v>0</v>
      </c>
      <c r="AS310">
        <v>0</v>
      </c>
      <c r="AT310" t="s">
        <v>90</v>
      </c>
      <c r="AU310" s="1">
        <v>44203.408726851849</v>
      </c>
      <c r="AV310">
        <v>24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-23</v>
      </c>
      <c r="BC310">
        <v>0</v>
      </c>
      <c r="BD310">
        <v>0</v>
      </c>
      <c r="BE310">
        <v>0</v>
      </c>
    </row>
    <row r="311" spans="1:57" x14ac:dyDescent="0.45">
      <c r="A311" t="s">
        <v>900</v>
      </c>
      <c r="B311" t="s">
        <v>79</v>
      </c>
      <c r="C311" t="s">
        <v>895</v>
      </c>
      <c r="D311" t="s">
        <v>81</v>
      </c>
      <c r="E311" s="2" t="str">
        <f>HYPERLINK("capsilon://?command=openfolder&amp;siteaddress=FAM.docvelocity-na8.net&amp;folderid=FX5D51A8A7-8478-3593-D93B-4CD2818B83E6","FX20123045")</f>
        <v>FX20123045</v>
      </c>
      <c r="F311" t="s">
        <v>19</v>
      </c>
      <c r="G311" t="s">
        <v>19</v>
      </c>
      <c r="H311" t="s">
        <v>82</v>
      </c>
      <c r="I311" t="s">
        <v>901</v>
      </c>
      <c r="J311">
        <v>41</v>
      </c>
      <c r="K311" t="s">
        <v>84</v>
      </c>
      <c r="L311" t="s">
        <v>85</v>
      </c>
      <c r="M311" t="s">
        <v>86</v>
      </c>
      <c r="N311">
        <v>3</v>
      </c>
      <c r="O311" s="1">
        <v>44202.913715277777</v>
      </c>
      <c r="P311" s="1">
        <v>44203.408807870372</v>
      </c>
      <c r="Q311">
        <v>41301</v>
      </c>
      <c r="R311">
        <v>1475</v>
      </c>
      <c r="S311" t="b">
        <v>0</v>
      </c>
      <c r="T311" t="s">
        <v>87</v>
      </c>
      <c r="U311" t="b">
        <v>0</v>
      </c>
      <c r="V311" t="s">
        <v>98</v>
      </c>
      <c r="W311" s="1">
        <v>44203.172777777778</v>
      </c>
      <c r="X311">
        <v>845</v>
      </c>
      <c r="Y311">
        <v>59</v>
      </c>
      <c r="Z311">
        <v>0</v>
      </c>
      <c r="AA311">
        <v>59</v>
      </c>
      <c r="AB311">
        <v>0</v>
      </c>
      <c r="AC311">
        <v>52</v>
      </c>
      <c r="AD311">
        <v>-18</v>
      </c>
      <c r="AE311">
        <v>0</v>
      </c>
      <c r="AF311">
        <v>0</v>
      </c>
      <c r="AG311">
        <v>0</v>
      </c>
      <c r="AH311" t="s">
        <v>89</v>
      </c>
      <c r="AI311" s="1">
        <v>44203.195983796293</v>
      </c>
      <c r="AJ311">
        <v>623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-18</v>
      </c>
      <c r="AQ311">
        <v>0</v>
      </c>
      <c r="AR311">
        <v>0</v>
      </c>
      <c r="AS311">
        <v>0</v>
      </c>
      <c r="AT311" t="s">
        <v>90</v>
      </c>
      <c r="AU311" s="1">
        <v>44203.408807870372</v>
      </c>
      <c r="AV311">
        <v>7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-18</v>
      </c>
      <c r="BC311">
        <v>0</v>
      </c>
      <c r="BD311">
        <v>0</v>
      </c>
      <c r="BE311">
        <v>0</v>
      </c>
    </row>
    <row r="312" spans="1:57" x14ac:dyDescent="0.45">
      <c r="A312" t="s">
        <v>902</v>
      </c>
      <c r="B312" t="s">
        <v>79</v>
      </c>
      <c r="C312" t="s">
        <v>892</v>
      </c>
      <c r="D312" t="s">
        <v>81</v>
      </c>
      <c r="E312" s="2" t="str">
        <f>HYPERLINK("capsilon://?command=openfolder&amp;siteaddress=FAM.docvelocity-na8.net&amp;folderid=FX5000F857-D4B2-CF8A-39ED-6FD38EDDA096","FX20127683")</f>
        <v>FX20127683</v>
      </c>
      <c r="F312" t="s">
        <v>19</v>
      </c>
      <c r="G312" t="s">
        <v>19</v>
      </c>
      <c r="H312" t="s">
        <v>82</v>
      </c>
      <c r="I312" t="s">
        <v>893</v>
      </c>
      <c r="J312">
        <v>38</v>
      </c>
      <c r="K312" t="s">
        <v>84</v>
      </c>
      <c r="L312" t="s">
        <v>85</v>
      </c>
      <c r="M312" t="s">
        <v>86</v>
      </c>
      <c r="N312">
        <v>3</v>
      </c>
      <c r="O312" s="1">
        <v>44203.151250000003</v>
      </c>
      <c r="P312" s="1">
        <v>44203.342141203706</v>
      </c>
      <c r="Q312">
        <v>15605</v>
      </c>
      <c r="R312">
        <v>888</v>
      </c>
      <c r="S312" t="b">
        <v>0</v>
      </c>
      <c r="T312" t="s">
        <v>87</v>
      </c>
      <c r="U312" t="b">
        <v>1</v>
      </c>
      <c r="V312" t="s">
        <v>419</v>
      </c>
      <c r="W312" s="1">
        <v>44203.158506944441</v>
      </c>
      <c r="X312">
        <v>568</v>
      </c>
      <c r="Y312">
        <v>37</v>
      </c>
      <c r="Z312">
        <v>0</v>
      </c>
      <c r="AA312">
        <v>37</v>
      </c>
      <c r="AB312">
        <v>0</v>
      </c>
      <c r="AC312">
        <v>22</v>
      </c>
      <c r="AD312">
        <v>1</v>
      </c>
      <c r="AE312">
        <v>0</v>
      </c>
      <c r="AF312">
        <v>0</v>
      </c>
      <c r="AG312">
        <v>0</v>
      </c>
      <c r="AH312" t="s">
        <v>89</v>
      </c>
      <c r="AI312" s="1">
        <v>44203.16238425926</v>
      </c>
      <c r="AJ312">
        <v>315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 t="s">
        <v>90</v>
      </c>
      <c r="AU312" s="1">
        <v>44203.342141203706</v>
      </c>
      <c r="AV312">
        <v>5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</row>
    <row r="313" spans="1:57" x14ac:dyDescent="0.45">
      <c r="A313" t="s">
        <v>903</v>
      </c>
      <c r="B313" t="s">
        <v>79</v>
      </c>
      <c r="C313" t="s">
        <v>904</v>
      </c>
      <c r="D313" t="s">
        <v>81</v>
      </c>
      <c r="E313" s="2" t="str">
        <f>HYPERLINK("capsilon://?command=openfolder&amp;siteaddress=FAM.docvelocity-na8.net&amp;folderid=FX9F770D5C-C00E-FAB6-09A3-383E58B3D6A6","FX21012969")</f>
        <v>FX21012969</v>
      </c>
      <c r="F313" t="s">
        <v>19</v>
      </c>
      <c r="G313" t="s">
        <v>19</v>
      </c>
      <c r="H313" t="s">
        <v>82</v>
      </c>
      <c r="I313" t="s">
        <v>905</v>
      </c>
      <c r="J313">
        <v>486</v>
      </c>
      <c r="K313" t="s">
        <v>84</v>
      </c>
      <c r="L313" t="s">
        <v>85</v>
      </c>
      <c r="M313" t="s">
        <v>86</v>
      </c>
      <c r="N313">
        <v>3</v>
      </c>
      <c r="O313" s="1">
        <v>44203.322453703702</v>
      </c>
      <c r="P313" s="1">
        <v>44203.453796296293</v>
      </c>
      <c r="Q313">
        <v>4724</v>
      </c>
      <c r="R313">
        <v>6624</v>
      </c>
      <c r="S313" t="b">
        <v>0</v>
      </c>
      <c r="T313" t="s">
        <v>87</v>
      </c>
      <c r="U313" t="b">
        <v>0</v>
      </c>
      <c r="V313" t="s">
        <v>112</v>
      </c>
      <c r="W313" s="1">
        <v>44203.372071759259</v>
      </c>
      <c r="X313">
        <v>4182</v>
      </c>
      <c r="Y313">
        <v>450</v>
      </c>
      <c r="Z313">
        <v>0</v>
      </c>
      <c r="AA313">
        <v>450</v>
      </c>
      <c r="AB313">
        <v>0</v>
      </c>
      <c r="AC313">
        <v>129</v>
      </c>
      <c r="AD313">
        <v>36</v>
      </c>
      <c r="AE313">
        <v>0</v>
      </c>
      <c r="AF313">
        <v>0</v>
      </c>
      <c r="AG313">
        <v>0</v>
      </c>
      <c r="AH313" t="s">
        <v>89</v>
      </c>
      <c r="AI313" s="1">
        <v>44203.418020833335</v>
      </c>
      <c r="AJ313">
        <v>2372</v>
      </c>
      <c r="AK313">
        <v>2</v>
      </c>
      <c r="AL313">
        <v>0</v>
      </c>
      <c r="AM313">
        <v>2</v>
      </c>
      <c r="AN313">
        <v>0</v>
      </c>
      <c r="AO313">
        <v>1</v>
      </c>
      <c r="AP313">
        <v>34</v>
      </c>
      <c r="AQ313">
        <v>0</v>
      </c>
      <c r="AR313">
        <v>0</v>
      </c>
      <c r="AS313">
        <v>0</v>
      </c>
      <c r="AT313" t="s">
        <v>90</v>
      </c>
      <c r="AU313" s="1">
        <v>44203.453796296293</v>
      </c>
      <c r="AV313">
        <v>70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34</v>
      </c>
      <c r="BC313">
        <v>0</v>
      </c>
      <c r="BD313">
        <v>0</v>
      </c>
      <c r="BE313">
        <v>0</v>
      </c>
    </row>
    <row r="314" spans="1:57" hidden="1" x14ac:dyDescent="0.45">
      <c r="A314" t="s">
        <v>906</v>
      </c>
      <c r="B314" t="s">
        <v>79</v>
      </c>
      <c r="C314" t="s">
        <v>907</v>
      </c>
      <c r="D314" t="s">
        <v>81</v>
      </c>
      <c r="E314" s="2" t="str">
        <f>HYPERLINK("capsilon://?command=openfolder&amp;siteaddress=FAM.docvelocity-na8.net&amp;folderid=FXF8CF2055-F512-7892-66AD-5ABC6BDFB23D","FX20119487")</f>
        <v>FX20119487</v>
      </c>
      <c r="F314" t="s">
        <v>19</v>
      </c>
      <c r="G314" t="s">
        <v>19</v>
      </c>
      <c r="H314" t="s">
        <v>82</v>
      </c>
      <c r="I314" t="s">
        <v>908</v>
      </c>
      <c r="J314">
        <v>66</v>
      </c>
      <c r="K314" t="s">
        <v>84</v>
      </c>
      <c r="L314" t="s">
        <v>85</v>
      </c>
      <c r="M314" t="s">
        <v>86</v>
      </c>
      <c r="N314">
        <v>1</v>
      </c>
      <c r="O314" s="1">
        <v>44203.328877314816</v>
      </c>
      <c r="P314" s="1">
        <v>44203.335879629631</v>
      </c>
      <c r="Q314">
        <v>288</v>
      </c>
      <c r="R314">
        <v>317</v>
      </c>
      <c r="S314" t="b">
        <v>0</v>
      </c>
      <c r="T314" t="s">
        <v>87</v>
      </c>
      <c r="U314" t="b">
        <v>0</v>
      </c>
      <c r="V314" t="s">
        <v>98</v>
      </c>
      <c r="W314" s="1">
        <v>44203.335879629631</v>
      </c>
      <c r="X314">
        <v>317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66</v>
      </c>
      <c r="AE314">
        <v>52</v>
      </c>
      <c r="AF314">
        <v>0</v>
      </c>
      <c r="AG314">
        <v>1</v>
      </c>
      <c r="AH314" t="s">
        <v>87</v>
      </c>
      <c r="AI314" t="s">
        <v>87</v>
      </c>
      <c r="AJ314" t="s">
        <v>87</v>
      </c>
      <c r="AK314" t="s">
        <v>87</v>
      </c>
      <c r="AL314" t="s">
        <v>87</v>
      </c>
      <c r="AM314" t="s">
        <v>87</v>
      </c>
      <c r="AN314" t="s">
        <v>87</v>
      </c>
      <c r="AO314" t="s">
        <v>87</v>
      </c>
      <c r="AP314" t="s">
        <v>87</v>
      </c>
      <c r="AQ314" t="s">
        <v>87</v>
      </c>
      <c r="AR314" t="s">
        <v>87</v>
      </c>
      <c r="AS314" t="s">
        <v>87</v>
      </c>
      <c r="AT314" t="s">
        <v>87</v>
      </c>
      <c r="AU314" t="s">
        <v>87</v>
      </c>
      <c r="AV314" t="s">
        <v>87</v>
      </c>
      <c r="AW314" t="s">
        <v>87</v>
      </c>
      <c r="AX314" t="s">
        <v>87</v>
      </c>
      <c r="AY314" t="s">
        <v>87</v>
      </c>
      <c r="AZ314" t="s">
        <v>87</v>
      </c>
      <c r="BA314" t="s">
        <v>87</v>
      </c>
      <c r="BB314" t="s">
        <v>87</v>
      </c>
      <c r="BC314" t="s">
        <v>87</v>
      </c>
      <c r="BD314" t="s">
        <v>87</v>
      </c>
      <c r="BE314" t="s">
        <v>87</v>
      </c>
    </row>
    <row r="315" spans="1:57" hidden="1" x14ac:dyDescent="0.45">
      <c r="A315" t="s">
        <v>909</v>
      </c>
      <c r="B315" t="s">
        <v>79</v>
      </c>
      <c r="C315" t="s">
        <v>910</v>
      </c>
      <c r="D315" t="s">
        <v>81</v>
      </c>
      <c r="E315" s="2" t="str">
        <f>HYPERLINK("capsilon://?command=openfolder&amp;siteaddress=FAM.docvelocity-na8.net&amp;folderid=FX19CF271C-71CA-F7BB-405A-DB31B89938D4","FX201221728")</f>
        <v>FX201221728</v>
      </c>
      <c r="F315" t="s">
        <v>19</v>
      </c>
      <c r="G315" t="s">
        <v>19</v>
      </c>
      <c r="H315" t="s">
        <v>82</v>
      </c>
      <c r="I315" t="s">
        <v>911</v>
      </c>
      <c r="J315">
        <v>441</v>
      </c>
      <c r="K315" t="s">
        <v>84</v>
      </c>
      <c r="L315" t="s">
        <v>85</v>
      </c>
      <c r="M315" t="s">
        <v>86</v>
      </c>
      <c r="N315">
        <v>1</v>
      </c>
      <c r="O315" s="1">
        <v>44203.334016203706</v>
      </c>
      <c r="P315" s="1">
        <v>44203.359201388892</v>
      </c>
      <c r="Q315">
        <v>270</v>
      </c>
      <c r="R315">
        <v>1906</v>
      </c>
      <c r="S315" t="b">
        <v>0</v>
      </c>
      <c r="T315" t="s">
        <v>87</v>
      </c>
      <c r="U315" t="b">
        <v>0</v>
      </c>
      <c r="V315" t="s">
        <v>419</v>
      </c>
      <c r="W315" s="1">
        <v>44203.359201388892</v>
      </c>
      <c r="X315">
        <v>1807</v>
      </c>
      <c r="Y315">
        <v>291</v>
      </c>
      <c r="Z315">
        <v>0</v>
      </c>
      <c r="AA315">
        <v>291</v>
      </c>
      <c r="AB315">
        <v>0</v>
      </c>
      <c r="AC315">
        <v>0</v>
      </c>
      <c r="AD315">
        <v>150</v>
      </c>
      <c r="AE315">
        <v>99</v>
      </c>
      <c r="AF315">
        <v>1</v>
      </c>
      <c r="AG315">
        <v>6</v>
      </c>
      <c r="AH315" t="s">
        <v>87</v>
      </c>
      <c r="AI315" t="s">
        <v>87</v>
      </c>
      <c r="AJ315" t="s">
        <v>87</v>
      </c>
      <c r="AK315" t="s">
        <v>87</v>
      </c>
      <c r="AL315" t="s">
        <v>87</v>
      </c>
      <c r="AM315" t="s">
        <v>87</v>
      </c>
      <c r="AN315" t="s">
        <v>87</v>
      </c>
      <c r="AO315" t="s">
        <v>87</v>
      </c>
      <c r="AP315" t="s">
        <v>87</v>
      </c>
      <c r="AQ315" t="s">
        <v>87</v>
      </c>
      <c r="AR315" t="s">
        <v>87</v>
      </c>
      <c r="AS315" t="s">
        <v>87</v>
      </c>
      <c r="AT315" t="s">
        <v>87</v>
      </c>
      <c r="AU315" t="s">
        <v>87</v>
      </c>
      <c r="AV315" t="s">
        <v>87</v>
      </c>
      <c r="AW315" t="s">
        <v>87</v>
      </c>
      <c r="AX315" t="s">
        <v>87</v>
      </c>
      <c r="AY315" t="s">
        <v>87</v>
      </c>
      <c r="AZ315" t="s">
        <v>87</v>
      </c>
      <c r="BA315" t="s">
        <v>87</v>
      </c>
      <c r="BB315" t="s">
        <v>87</v>
      </c>
      <c r="BC315" t="s">
        <v>87</v>
      </c>
      <c r="BD315" t="s">
        <v>87</v>
      </c>
      <c r="BE315" t="s">
        <v>87</v>
      </c>
    </row>
    <row r="316" spans="1:57" x14ac:dyDescent="0.45">
      <c r="A316" t="s">
        <v>912</v>
      </c>
      <c r="B316" t="s">
        <v>79</v>
      </c>
      <c r="C316" t="s">
        <v>907</v>
      </c>
      <c r="D316" t="s">
        <v>81</v>
      </c>
      <c r="E316" s="2" t="str">
        <f>HYPERLINK("capsilon://?command=openfolder&amp;siteaddress=FAM.docvelocity-na8.net&amp;folderid=FXF8CF2055-F512-7892-66AD-5ABC6BDFB23D","FX20119487")</f>
        <v>FX20119487</v>
      </c>
      <c r="F316" t="s">
        <v>19</v>
      </c>
      <c r="G316" t="s">
        <v>19</v>
      </c>
      <c r="H316" t="s">
        <v>82</v>
      </c>
      <c r="I316" t="s">
        <v>908</v>
      </c>
      <c r="J316">
        <v>38</v>
      </c>
      <c r="K316" t="s">
        <v>84</v>
      </c>
      <c r="L316" t="s">
        <v>85</v>
      </c>
      <c r="M316" t="s">
        <v>86</v>
      </c>
      <c r="N316">
        <v>3</v>
      </c>
      <c r="O316" s="1">
        <v>44203.336099537039</v>
      </c>
      <c r="P316" s="1">
        <v>44203.36986111111</v>
      </c>
      <c r="Q316">
        <v>2215</v>
      </c>
      <c r="R316">
        <v>702</v>
      </c>
      <c r="S316" t="b">
        <v>0</v>
      </c>
      <c r="T316" t="s">
        <v>87</v>
      </c>
      <c r="U316" t="b">
        <v>1</v>
      </c>
      <c r="V316" t="s">
        <v>98</v>
      </c>
      <c r="W316" s="1">
        <v>44203.341006944444</v>
      </c>
      <c r="X316">
        <v>424</v>
      </c>
      <c r="Y316">
        <v>37</v>
      </c>
      <c r="Z316">
        <v>0</v>
      </c>
      <c r="AA316">
        <v>37</v>
      </c>
      <c r="AB316">
        <v>0</v>
      </c>
      <c r="AC316">
        <v>28</v>
      </c>
      <c r="AD316">
        <v>1</v>
      </c>
      <c r="AE316">
        <v>0</v>
      </c>
      <c r="AF316">
        <v>0</v>
      </c>
      <c r="AG316">
        <v>0</v>
      </c>
      <c r="AH316" t="s">
        <v>89</v>
      </c>
      <c r="AI316" s="1">
        <v>44203.346550925926</v>
      </c>
      <c r="AJ316">
        <v>273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 t="s">
        <v>90</v>
      </c>
      <c r="AU316" s="1">
        <v>44203.36986111111</v>
      </c>
      <c r="AV316">
        <v>5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</row>
    <row r="317" spans="1:57" x14ac:dyDescent="0.45">
      <c r="A317" t="s">
        <v>913</v>
      </c>
      <c r="B317" t="s">
        <v>79</v>
      </c>
      <c r="C317" t="s">
        <v>914</v>
      </c>
      <c r="D317" t="s">
        <v>81</v>
      </c>
      <c r="E317" s="2" t="str">
        <f>HYPERLINK("capsilon://?command=openfolder&amp;siteaddress=FAM.docvelocity-na8.net&amp;folderid=FX991990CC-37BA-E224-B67E-4C52BB1950B3","FX21012744")</f>
        <v>FX21012744</v>
      </c>
      <c r="F317" t="s">
        <v>19</v>
      </c>
      <c r="G317" t="s">
        <v>19</v>
      </c>
      <c r="H317" t="s">
        <v>82</v>
      </c>
      <c r="I317" t="s">
        <v>915</v>
      </c>
      <c r="J317">
        <v>588</v>
      </c>
      <c r="K317" t="s">
        <v>84</v>
      </c>
      <c r="L317" t="s">
        <v>85</v>
      </c>
      <c r="M317" t="s">
        <v>86</v>
      </c>
      <c r="N317">
        <v>3</v>
      </c>
      <c r="O317" s="1">
        <v>44203.340277777781</v>
      </c>
      <c r="P317" s="1">
        <v>44203.505659722221</v>
      </c>
      <c r="Q317">
        <v>5020</v>
      </c>
      <c r="R317">
        <v>9269</v>
      </c>
      <c r="S317" t="b">
        <v>0</v>
      </c>
      <c r="T317" t="s">
        <v>87</v>
      </c>
      <c r="U317" t="b">
        <v>0</v>
      </c>
      <c r="V317" t="s">
        <v>98</v>
      </c>
      <c r="W317" s="1">
        <v>44203.41443287037</v>
      </c>
      <c r="X317">
        <v>6344</v>
      </c>
      <c r="Y317">
        <v>442</v>
      </c>
      <c r="Z317">
        <v>0</v>
      </c>
      <c r="AA317">
        <v>442</v>
      </c>
      <c r="AB317">
        <v>0</v>
      </c>
      <c r="AC317">
        <v>242</v>
      </c>
      <c r="AD317">
        <v>146</v>
      </c>
      <c r="AE317">
        <v>0</v>
      </c>
      <c r="AF317">
        <v>0</v>
      </c>
      <c r="AG317">
        <v>0</v>
      </c>
      <c r="AH317" t="s">
        <v>128</v>
      </c>
      <c r="AI317" s="1">
        <v>44203.48945601852</v>
      </c>
      <c r="AJ317">
        <v>1599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146</v>
      </c>
      <c r="AQ317">
        <v>0</v>
      </c>
      <c r="AR317">
        <v>0</v>
      </c>
      <c r="AS317">
        <v>0</v>
      </c>
      <c r="AT317" t="s">
        <v>90</v>
      </c>
      <c r="AU317" s="1">
        <v>44203.505659722221</v>
      </c>
      <c r="AV317">
        <v>1326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146</v>
      </c>
      <c r="BC317">
        <v>0</v>
      </c>
      <c r="BD317">
        <v>0</v>
      </c>
      <c r="BE317">
        <v>0</v>
      </c>
    </row>
    <row r="318" spans="1:57" hidden="1" x14ac:dyDescent="0.45">
      <c r="A318" t="s">
        <v>916</v>
      </c>
      <c r="B318" t="s">
        <v>79</v>
      </c>
      <c r="C318" t="s">
        <v>917</v>
      </c>
      <c r="D318" t="s">
        <v>81</v>
      </c>
      <c r="E318" s="2" t="str">
        <f>HYPERLINK("capsilon://?command=openfolder&amp;siteaddress=FAM.docvelocity-na8.net&amp;folderid=FX3BEA5B04-50F9-E3E1-D680-32B040EE7278","FX20125642")</f>
        <v>FX20125642</v>
      </c>
      <c r="F318" t="s">
        <v>19</v>
      </c>
      <c r="G318" t="s">
        <v>19</v>
      </c>
      <c r="H318" t="s">
        <v>82</v>
      </c>
      <c r="I318" t="s">
        <v>918</v>
      </c>
      <c r="J318">
        <v>66</v>
      </c>
      <c r="K318" t="s">
        <v>84</v>
      </c>
      <c r="L318" t="s">
        <v>85</v>
      </c>
      <c r="M318" t="s">
        <v>86</v>
      </c>
      <c r="N318">
        <v>3</v>
      </c>
      <c r="O318" s="1">
        <v>44203.34578703704</v>
      </c>
      <c r="P318" s="1">
        <v>44203.484872685185</v>
      </c>
      <c r="Q318">
        <v>11526</v>
      </c>
      <c r="R318">
        <v>491</v>
      </c>
      <c r="S318" t="b">
        <v>0</v>
      </c>
      <c r="T318" t="s">
        <v>87</v>
      </c>
      <c r="U318" t="b">
        <v>0</v>
      </c>
      <c r="V318" t="s">
        <v>919</v>
      </c>
      <c r="W318" s="1">
        <v>44203.350717592592</v>
      </c>
      <c r="X318">
        <v>419</v>
      </c>
      <c r="Y318">
        <v>0</v>
      </c>
      <c r="Z318">
        <v>0</v>
      </c>
      <c r="AA318">
        <v>0</v>
      </c>
      <c r="AB318">
        <v>52</v>
      </c>
      <c r="AC318">
        <v>0</v>
      </c>
      <c r="AD318">
        <v>66</v>
      </c>
      <c r="AE318">
        <v>0</v>
      </c>
      <c r="AF318">
        <v>0</v>
      </c>
      <c r="AG318">
        <v>0</v>
      </c>
      <c r="AH318" t="s">
        <v>89</v>
      </c>
      <c r="AI318" s="1">
        <v>44203.473877314813</v>
      </c>
      <c r="AJ318">
        <v>69</v>
      </c>
      <c r="AK318">
        <v>0</v>
      </c>
      <c r="AL318">
        <v>0</v>
      </c>
      <c r="AM318">
        <v>0</v>
      </c>
      <c r="AN318">
        <v>52</v>
      </c>
      <c r="AO318">
        <v>0</v>
      </c>
      <c r="AP318">
        <v>66</v>
      </c>
      <c r="AQ318">
        <v>0</v>
      </c>
      <c r="AR318">
        <v>0</v>
      </c>
      <c r="AS318">
        <v>0</v>
      </c>
      <c r="AT318" t="s">
        <v>90</v>
      </c>
      <c r="AU318" s="1">
        <v>44203.484872685185</v>
      </c>
      <c r="AV318">
        <v>3</v>
      </c>
      <c r="AW318">
        <v>0</v>
      </c>
      <c r="AX318">
        <v>0</v>
      </c>
      <c r="AY318">
        <v>0</v>
      </c>
      <c r="AZ318">
        <v>52</v>
      </c>
      <c r="BA318">
        <v>0</v>
      </c>
      <c r="BB318">
        <v>66</v>
      </c>
      <c r="BC318">
        <v>0</v>
      </c>
      <c r="BD318">
        <v>0</v>
      </c>
      <c r="BE318">
        <v>0</v>
      </c>
    </row>
    <row r="319" spans="1:57" hidden="1" x14ac:dyDescent="0.45">
      <c r="A319" t="s">
        <v>920</v>
      </c>
      <c r="B319" t="s">
        <v>79</v>
      </c>
      <c r="C319" t="s">
        <v>921</v>
      </c>
      <c r="D319" t="s">
        <v>81</v>
      </c>
      <c r="E319" s="2" t="str">
        <f>HYPERLINK("capsilon://?command=openfolder&amp;siteaddress=FAM.docvelocity-na8.net&amp;folderid=FX7869493A-6EAD-4F63-AA2C-4C1AC1EF43A8","FX20123027")</f>
        <v>FX20123027</v>
      </c>
      <c r="F319" t="s">
        <v>19</v>
      </c>
      <c r="G319" t="s">
        <v>19</v>
      </c>
      <c r="H319" t="s">
        <v>82</v>
      </c>
      <c r="I319" t="s">
        <v>922</v>
      </c>
      <c r="J319">
        <v>66</v>
      </c>
      <c r="K319" t="s">
        <v>84</v>
      </c>
      <c r="L319" t="s">
        <v>85</v>
      </c>
      <c r="M319" t="s">
        <v>86</v>
      </c>
      <c r="N319">
        <v>1</v>
      </c>
      <c r="O319" s="1">
        <v>44203.350069444445</v>
      </c>
      <c r="P319" s="1">
        <v>44203.361689814818</v>
      </c>
      <c r="Q319">
        <v>669</v>
      </c>
      <c r="R319">
        <v>335</v>
      </c>
      <c r="S319" t="b">
        <v>0</v>
      </c>
      <c r="T319" t="s">
        <v>87</v>
      </c>
      <c r="U319" t="b">
        <v>0</v>
      </c>
      <c r="V319" t="s">
        <v>419</v>
      </c>
      <c r="W319" s="1">
        <v>44203.361689814818</v>
      </c>
      <c r="X319">
        <v>215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66</v>
      </c>
      <c r="AE319">
        <v>52</v>
      </c>
      <c r="AF319">
        <v>0</v>
      </c>
      <c r="AG319">
        <v>1</v>
      </c>
      <c r="AH319" t="s">
        <v>87</v>
      </c>
      <c r="AI319" t="s">
        <v>87</v>
      </c>
      <c r="AJ319" t="s">
        <v>87</v>
      </c>
      <c r="AK319" t="s">
        <v>87</v>
      </c>
      <c r="AL319" t="s">
        <v>87</v>
      </c>
      <c r="AM319" t="s">
        <v>87</v>
      </c>
      <c r="AN319" t="s">
        <v>87</v>
      </c>
      <c r="AO319" t="s">
        <v>87</v>
      </c>
      <c r="AP319" t="s">
        <v>87</v>
      </c>
      <c r="AQ319" t="s">
        <v>87</v>
      </c>
      <c r="AR319" t="s">
        <v>87</v>
      </c>
      <c r="AS319" t="s">
        <v>87</v>
      </c>
      <c r="AT319" t="s">
        <v>87</v>
      </c>
      <c r="AU319" t="s">
        <v>87</v>
      </c>
      <c r="AV319" t="s">
        <v>87</v>
      </c>
      <c r="AW319" t="s">
        <v>87</v>
      </c>
      <c r="AX319" t="s">
        <v>87</v>
      </c>
      <c r="AY319" t="s">
        <v>87</v>
      </c>
      <c r="AZ319" t="s">
        <v>87</v>
      </c>
      <c r="BA319" t="s">
        <v>87</v>
      </c>
      <c r="BB319" t="s">
        <v>87</v>
      </c>
      <c r="BC319" t="s">
        <v>87</v>
      </c>
      <c r="BD319" t="s">
        <v>87</v>
      </c>
      <c r="BE319" t="s">
        <v>87</v>
      </c>
    </row>
    <row r="320" spans="1:57" x14ac:dyDescent="0.45">
      <c r="A320" t="s">
        <v>923</v>
      </c>
      <c r="B320" t="s">
        <v>79</v>
      </c>
      <c r="C320" t="s">
        <v>910</v>
      </c>
      <c r="D320" t="s">
        <v>81</v>
      </c>
      <c r="E320" s="2" t="str">
        <f>HYPERLINK("capsilon://?command=openfolder&amp;siteaddress=FAM.docvelocity-na8.net&amp;folderid=FX19CF271C-71CA-F7BB-405A-DB31B89938D4","FX201221728")</f>
        <v>FX201221728</v>
      </c>
      <c r="F320" t="s">
        <v>19</v>
      </c>
      <c r="G320" t="s">
        <v>19</v>
      </c>
      <c r="H320" t="s">
        <v>82</v>
      </c>
      <c r="I320" t="s">
        <v>911</v>
      </c>
      <c r="J320">
        <v>280</v>
      </c>
      <c r="K320" t="s">
        <v>84</v>
      </c>
      <c r="L320" t="s">
        <v>85</v>
      </c>
      <c r="M320" t="s">
        <v>86</v>
      </c>
      <c r="N320">
        <v>3</v>
      </c>
      <c r="O320" s="1">
        <v>44203.359942129631</v>
      </c>
      <c r="P320" s="1">
        <v>44203.482129629629</v>
      </c>
      <c r="Q320">
        <v>993</v>
      </c>
      <c r="R320">
        <v>9564</v>
      </c>
      <c r="S320" t="b">
        <v>0</v>
      </c>
      <c r="T320" t="s">
        <v>87</v>
      </c>
      <c r="U320" t="b">
        <v>1</v>
      </c>
      <c r="V320" t="s">
        <v>105</v>
      </c>
      <c r="W320" s="1">
        <v>44203.441504629627</v>
      </c>
      <c r="X320">
        <v>6908</v>
      </c>
      <c r="Y320">
        <v>490</v>
      </c>
      <c r="Z320">
        <v>0</v>
      </c>
      <c r="AA320">
        <v>490</v>
      </c>
      <c r="AB320">
        <v>37</v>
      </c>
      <c r="AC320">
        <v>171</v>
      </c>
      <c r="AD320">
        <v>-210</v>
      </c>
      <c r="AE320">
        <v>0</v>
      </c>
      <c r="AF320">
        <v>0</v>
      </c>
      <c r="AG320">
        <v>0</v>
      </c>
      <c r="AH320" t="s">
        <v>89</v>
      </c>
      <c r="AI320" s="1">
        <v>44203.473067129627</v>
      </c>
      <c r="AJ320">
        <v>2490</v>
      </c>
      <c r="AK320">
        <v>4</v>
      </c>
      <c r="AL320">
        <v>0</v>
      </c>
      <c r="AM320">
        <v>4</v>
      </c>
      <c r="AN320">
        <v>37</v>
      </c>
      <c r="AO320">
        <v>3</v>
      </c>
      <c r="AP320">
        <v>-214</v>
      </c>
      <c r="AQ320">
        <v>0</v>
      </c>
      <c r="AR320">
        <v>0</v>
      </c>
      <c r="AS320">
        <v>0</v>
      </c>
      <c r="AT320" t="s">
        <v>90</v>
      </c>
      <c r="AU320" s="1">
        <v>44203.482129629629</v>
      </c>
      <c r="AV320">
        <v>150</v>
      </c>
      <c r="AW320">
        <v>0</v>
      </c>
      <c r="AX320">
        <v>0</v>
      </c>
      <c r="AY320">
        <v>0</v>
      </c>
      <c r="AZ320">
        <v>37</v>
      </c>
      <c r="BA320">
        <v>0</v>
      </c>
      <c r="BB320">
        <v>-214</v>
      </c>
      <c r="BC320">
        <v>0</v>
      </c>
      <c r="BD320">
        <v>0</v>
      </c>
      <c r="BE320">
        <v>0</v>
      </c>
    </row>
    <row r="321" spans="1:57" x14ac:dyDescent="0.45">
      <c r="A321" t="s">
        <v>924</v>
      </c>
      <c r="B321" t="s">
        <v>79</v>
      </c>
      <c r="C321" t="s">
        <v>921</v>
      </c>
      <c r="D321" t="s">
        <v>81</v>
      </c>
      <c r="E321" s="2" t="str">
        <f>HYPERLINK("capsilon://?command=openfolder&amp;siteaddress=FAM.docvelocity-na8.net&amp;folderid=FX7869493A-6EAD-4F63-AA2C-4C1AC1EF43A8","FX20123027")</f>
        <v>FX20123027</v>
      </c>
      <c r="F321" t="s">
        <v>19</v>
      </c>
      <c r="G321" t="s">
        <v>19</v>
      </c>
      <c r="H321" t="s">
        <v>82</v>
      </c>
      <c r="I321" t="s">
        <v>922</v>
      </c>
      <c r="J321">
        <v>38</v>
      </c>
      <c r="K321" t="s">
        <v>84</v>
      </c>
      <c r="L321" t="s">
        <v>85</v>
      </c>
      <c r="M321" t="s">
        <v>86</v>
      </c>
      <c r="N321">
        <v>3</v>
      </c>
      <c r="O321" s="1">
        <v>44203.361921296295</v>
      </c>
      <c r="P321" s="1">
        <v>44203.404976851853</v>
      </c>
      <c r="Q321">
        <v>2073</v>
      </c>
      <c r="R321">
        <v>1647</v>
      </c>
      <c r="S321" t="b">
        <v>0</v>
      </c>
      <c r="T321" t="s">
        <v>87</v>
      </c>
      <c r="U321" t="b">
        <v>1</v>
      </c>
      <c r="V321" t="s">
        <v>419</v>
      </c>
      <c r="W321" s="1">
        <v>44203.373043981483</v>
      </c>
      <c r="X321">
        <v>892</v>
      </c>
      <c r="Y321">
        <v>37</v>
      </c>
      <c r="Z321">
        <v>0</v>
      </c>
      <c r="AA321">
        <v>37</v>
      </c>
      <c r="AB321">
        <v>0</v>
      </c>
      <c r="AC321">
        <v>33</v>
      </c>
      <c r="AD321">
        <v>1</v>
      </c>
      <c r="AE321">
        <v>0</v>
      </c>
      <c r="AF321">
        <v>0</v>
      </c>
      <c r="AG321">
        <v>0</v>
      </c>
      <c r="AH321" t="s">
        <v>89</v>
      </c>
      <c r="AI321" s="1">
        <v>44203.390567129631</v>
      </c>
      <c r="AJ321">
        <v>751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 t="s">
        <v>90</v>
      </c>
      <c r="AU321" s="1">
        <v>44203.404976851853</v>
      </c>
      <c r="AV321">
        <v>4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</row>
    <row r="322" spans="1:57" x14ac:dyDescent="0.45">
      <c r="A322" t="s">
        <v>925</v>
      </c>
      <c r="B322" t="s">
        <v>79</v>
      </c>
      <c r="C322" t="s">
        <v>926</v>
      </c>
      <c r="D322" t="s">
        <v>81</v>
      </c>
      <c r="E322" s="2" t="str">
        <f>HYPERLINK("capsilon://?command=openfolder&amp;siteaddress=FAM.docvelocity-na8.net&amp;folderid=FX8BBBF2EE-62B8-F2D4-7B94-95B25D6D2904","FX201112148")</f>
        <v>FX201112148</v>
      </c>
      <c r="F322" t="s">
        <v>19</v>
      </c>
      <c r="G322" t="s">
        <v>19</v>
      </c>
      <c r="H322" t="s">
        <v>82</v>
      </c>
      <c r="I322" t="s">
        <v>927</v>
      </c>
      <c r="J322">
        <v>58</v>
      </c>
      <c r="K322" t="s">
        <v>84</v>
      </c>
      <c r="L322" t="s">
        <v>85</v>
      </c>
      <c r="M322" t="s">
        <v>86</v>
      </c>
      <c r="N322">
        <v>3</v>
      </c>
      <c r="O322" s="1">
        <v>44203.368171296293</v>
      </c>
      <c r="P322" s="1">
        <v>44203.486319444448</v>
      </c>
      <c r="Q322">
        <v>8551</v>
      </c>
      <c r="R322">
        <v>1657</v>
      </c>
      <c r="S322" t="b">
        <v>0</v>
      </c>
      <c r="T322" t="s">
        <v>87</v>
      </c>
      <c r="U322" t="b">
        <v>0</v>
      </c>
      <c r="V322" t="s">
        <v>919</v>
      </c>
      <c r="W322" s="1">
        <v>44203.381064814814</v>
      </c>
      <c r="X322">
        <v>983</v>
      </c>
      <c r="Y322">
        <v>54</v>
      </c>
      <c r="Z322">
        <v>0</v>
      </c>
      <c r="AA322">
        <v>54</v>
      </c>
      <c r="AB322">
        <v>0</v>
      </c>
      <c r="AC322">
        <v>2</v>
      </c>
      <c r="AD322">
        <v>4</v>
      </c>
      <c r="AE322">
        <v>0</v>
      </c>
      <c r="AF322">
        <v>0</v>
      </c>
      <c r="AG322">
        <v>0</v>
      </c>
      <c r="AH322" t="s">
        <v>267</v>
      </c>
      <c r="AI322" s="1">
        <v>44203.480011574073</v>
      </c>
      <c r="AJ322">
        <v>550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4</v>
      </c>
      <c r="AQ322">
        <v>0</v>
      </c>
      <c r="AR322">
        <v>0</v>
      </c>
      <c r="AS322">
        <v>0</v>
      </c>
      <c r="AT322" t="s">
        <v>90</v>
      </c>
      <c r="AU322" s="1">
        <v>44203.486319444448</v>
      </c>
      <c r="AV322">
        <v>124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4</v>
      </c>
      <c r="BC322">
        <v>0</v>
      </c>
      <c r="BD322">
        <v>0</v>
      </c>
      <c r="BE322">
        <v>0</v>
      </c>
    </row>
    <row r="323" spans="1:57" hidden="1" x14ac:dyDescent="0.45">
      <c r="A323" t="s">
        <v>928</v>
      </c>
      <c r="B323" t="s">
        <v>79</v>
      </c>
      <c r="C323" t="s">
        <v>921</v>
      </c>
      <c r="D323" t="s">
        <v>81</v>
      </c>
      <c r="E323" s="2" t="str">
        <f>HYPERLINK("capsilon://?command=openfolder&amp;siteaddress=FAM.docvelocity-na8.net&amp;folderid=FX7869493A-6EAD-4F63-AA2C-4C1AC1EF43A8","FX20123027")</f>
        <v>FX20123027</v>
      </c>
      <c r="F323" t="s">
        <v>19</v>
      </c>
      <c r="G323" t="s">
        <v>19</v>
      </c>
      <c r="H323" t="s">
        <v>82</v>
      </c>
      <c r="I323" t="s">
        <v>929</v>
      </c>
      <c r="J323">
        <v>38</v>
      </c>
      <c r="K323" t="s">
        <v>84</v>
      </c>
      <c r="L323" t="s">
        <v>85</v>
      </c>
      <c r="M323" t="s">
        <v>86</v>
      </c>
      <c r="N323">
        <v>3</v>
      </c>
      <c r="O323" s="1">
        <v>44203.372997685183</v>
      </c>
      <c r="P323" s="1">
        <v>44203.48641203704</v>
      </c>
      <c r="Q323">
        <v>9592</v>
      </c>
      <c r="R323">
        <v>207</v>
      </c>
      <c r="S323" t="b">
        <v>0</v>
      </c>
      <c r="T323" t="s">
        <v>87</v>
      </c>
      <c r="U323" t="b">
        <v>0</v>
      </c>
      <c r="V323" t="s">
        <v>419</v>
      </c>
      <c r="W323" s="1">
        <v>44203.375173611108</v>
      </c>
      <c r="X323">
        <v>183</v>
      </c>
      <c r="Y323">
        <v>0</v>
      </c>
      <c r="Z323">
        <v>0</v>
      </c>
      <c r="AA323">
        <v>0</v>
      </c>
      <c r="AB323">
        <v>37</v>
      </c>
      <c r="AC323">
        <v>0</v>
      </c>
      <c r="AD323">
        <v>38</v>
      </c>
      <c r="AE323">
        <v>0</v>
      </c>
      <c r="AF323">
        <v>0</v>
      </c>
      <c r="AG323">
        <v>0</v>
      </c>
      <c r="AH323" t="s">
        <v>267</v>
      </c>
      <c r="AI323" s="1">
        <v>44203.480266203704</v>
      </c>
      <c r="AJ323">
        <v>21</v>
      </c>
      <c r="AK323">
        <v>0</v>
      </c>
      <c r="AL323">
        <v>0</v>
      </c>
      <c r="AM323">
        <v>0</v>
      </c>
      <c r="AN323">
        <v>37</v>
      </c>
      <c r="AO323">
        <v>0</v>
      </c>
      <c r="AP323">
        <v>38</v>
      </c>
      <c r="AQ323">
        <v>0</v>
      </c>
      <c r="AR323">
        <v>0</v>
      </c>
      <c r="AS323">
        <v>0</v>
      </c>
      <c r="AT323" t="s">
        <v>90</v>
      </c>
      <c r="AU323" s="1">
        <v>44203.48641203704</v>
      </c>
      <c r="AV323">
        <v>3</v>
      </c>
      <c r="AW323">
        <v>0</v>
      </c>
      <c r="AX323">
        <v>0</v>
      </c>
      <c r="AY323">
        <v>0</v>
      </c>
      <c r="AZ323">
        <v>37</v>
      </c>
      <c r="BA323">
        <v>0</v>
      </c>
      <c r="BB323">
        <v>38</v>
      </c>
      <c r="BC323">
        <v>0</v>
      </c>
      <c r="BD323">
        <v>0</v>
      </c>
      <c r="BE323">
        <v>0</v>
      </c>
    </row>
    <row r="324" spans="1:57" x14ac:dyDescent="0.45">
      <c r="A324" t="s">
        <v>930</v>
      </c>
      <c r="B324" t="s">
        <v>79</v>
      </c>
      <c r="C324" t="s">
        <v>931</v>
      </c>
      <c r="D324" t="s">
        <v>81</v>
      </c>
      <c r="E324" s="2" t="str">
        <f>HYPERLINK("capsilon://?command=openfolder&amp;siteaddress=FAM.docvelocity-na8.net&amp;folderid=FX56C0E3CB-92DD-4A1E-F797-7CE6E17244D8","FX20127969")</f>
        <v>FX20127969</v>
      </c>
      <c r="F324" t="s">
        <v>19</v>
      </c>
      <c r="G324" t="s">
        <v>19</v>
      </c>
      <c r="H324" t="s">
        <v>82</v>
      </c>
      <c r="I324" t="s">
        <v>932</v>
      </c>
      <c r="J324">
        <v>90</v>
      </c>
      <c r="K324" t="s">
        <v>84</v>
      </c>
      <c r="L324" t="s">
        <v>85</v>
      </c>
      <c r="M324" t="s">
        <v>86</v>
      </c>
      <c r="N324">
        <v>3</v>
      </c>
      <c r="O324" s="1">
        <v>44200.428611111114</v>
      </c>
      <c r="P324" s="1">
        <v>44200.477812500001</v>
      </c>
      <c r="Q324">
        <v>1383</v>
      </c>
      <c r="R324">
        <v>2868</v>
      </c>
      <c r="S324" t="b">
        <v>0</v>
      </c>
      <c r="T324" t="s">
        <v>87</v>
      </c>
      <c r="U324" t="b">
        <v>0</v>
      </c>
      <c r="V324" t="s">
        <v>98</v>
      </c>
      <c r="W324" s="1">
        <v>44200.463287037041</v>
      </c>
      <c r="X324">
        <v>2547</v>
      </c>
      <c r="Y324">
        <v>96</v>
      </c>
      <c r="Z324">
        <v>0</v>
      </c>
      <c r="AA324">
        <v>96</v>
      </c>
      <c r="AB324">
        <v>0</v>
      </c>
      <c r="AC324">
        <v>83</v>
      </c>
      <c r="AD324">
        <v>-6</v>
      </c>
      <c r="AE324">
        <v>0</v>
      </c>
      <c r="AF324">
        <v>0</v>
      </c>
      <c r="AG324">
        <v>0</v>
      </c>
      <c r="AH324" t="s">
        <v>267</v>
      </c>
      <c r="AI324" s="1">
        <v>44200.475648148145</v>
      </c>
      <c r="AJ324">
        <v>298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-6</v>
      </c>
      <c r="AQ324">
        <v>0</v>
      </c>
      <c r="AR324">
        <v>0</v>
      </c>
      <c r="AS324">
        <v>0</v>
      </c>
      <c r="AT324" t="s">
        <v>90</v>
      </c>
      <c r="AU324" s="1">
        <v>44200.477812500001</v>
      </c>
      <c r="AV324">
        <v>23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-6</v>
      </c>
      <c r="BC324">
        <v>0</v>
      </c>
      <c r="BD324">
        <v>0</v>
      </c>
      <c r="BE324">
        <v>0</v>
      </c>
    </row>
    <row r="325" spans="1:57" hidden="1" x14ac:dyDescent="0.45">
      <c r="A325" t="s">
        <v>933</v>
      </c>
      <c r="B325" t="s">
        <v>79</v>
      </c>
      <c r="C325" t="s">
        <v>934</v>
      </c>
      <c r="D325" t="s">
        <v>81</v>
      </c>
      <c r="E325" s="2" t="str">
        <f>HYPERLINK("capsilon://?command=openfolder&amp;siteaddress=FAM.docvelocity-na8.net&amp;folderid=FXAB7AF3AB-3377-6BA8-780C-E91E09640A67","FX201110785")</f>
        <v>FX201110785</v>
      </c>
      <c r="F325" t="s">
        <v>19</v>
      </c>
      <c r="G325" t="s">
        <v>19</v>
      </c>
      <c r="H325" t="s">
        <v>82</v>
      </c>
      <c r="I325" t="s">
        <v>935</v>
      </c>
      <c r="J325">
        <v>240</v>
      </c>
      <c r="K325" t="s">
        <v>84</v>
      </c>
      <c r="L325" t="s">
        <v>85</v>
      </c>
      <c r="M325" t="s">
        <v>86</v>
      </c>
      <c r="N325">
        <v>1</v>
      </c>
      <c r="O325" s="1">
        <v>44203.377500000002</v>
      </c>
      <c r="P325" s="1">
        <v>44203.383460648147</v>
      </c>
      <c r="Q325">
        <v>143</v>
      </c>
      <c r="R325">
        <v>372</v>
      </c>
      <c r="S325" t="b">
        <v>0</v>
      </c>
      <c r="T325" t="s">
        <v>87</v>
      </c>
      <c r="U325" t="b">
        <v>0</v>
      </c>
      <c r="V325" t="s">
        <v>419</v>
      </c>
      <c r="W325" s="1">
        <v>44203.383460648147</v>
      </c>
      <c r="X325">
        <v>372</v>
      </c>
      <c r="Y325">
        <v>179</v>
      </c>
      <c r="Z325">
        <v>0</v>
      </c>
      <c r="AA325">
        <v>179</v>
      </c>
      <c r="AB325">
        <v>0</v>
      </c>
      <c r="AC325">
        <v>0</v>
      </c>
      <c r="AD325">
        <v>61</v>
      </c>
      <c r="AE325">
        <v>41</v>
      </c>
      <c r="AF325">
        <v>0</v>
      </c>
      <c r="AG325">
        <v>2</v>
      </c>
      <c r="AH325" t="s">
        <v>87</v>
      </c>
      <c r="AI325" t="s">
        <v>87</v>
      </c>
      <c r="AJ325" t="s">
        <v>87</v>
      </c>
      <c r="AK325" t="s">
        <v>87</v>
      </c>
      <c r="AL325" t="s">
        <v>87</v>
      </c>
      <c r="AM325" t="s">
        <v>87</v>
      </c>
      <c r="AN325" t="s">
        <v>87</v>
      </c>
      <c r="AO325" t="s">
        <v>87</v>
      </c>
      <c r="AP325" t="s">
        <v>87</v>
      </c>
      <c r="AQ325" t="s">
        <v>87</v>
      </c>
      <c r="AR325" t="s">
        <v>87</v>
      </c>
      <c r="AS325" t="s">
        <v>87</v>
      </c>
      <c r="AT325" t="s">
        <v>87</v>
      </c>
      <c r="AU325" t="s">
        <v>87</v>
      </c>
      <c r="AV325" t="s">
        <v>87</v>
      </c>
      <c r="AW325" t="s">
        <v>87</v>
      </c>
      <c r="AX325" t="s">
        <v>87</v>
      </c>
      <c r="AY325" t="s">
        <v>87</v>
      </c>
      <c r="AZ325" t="s">
        <v>87</v>
      </c>
      <c r="BA325" t="s">
        <v>87</v>
      </c>
      <c r="BB325" t="s">
        <v>87</v>
      </c>
      <c r="BC325" t="s">
        <v>87</v>
      </c>
      <c r="BD325" t="s">
        <v>87</v>
      </c>
      <c r="BE325" t="s">
        <v>87</v>
      </c>
    </row>
    <row r="326" spans="1:57" x14ac:dyDescent="0.45">
      <c r="A326" t="s">
        <v>936</v>
      </c>
      <c r="B326" t="s">
        <v>79</v>
      </c>
      <c r="C326" t="s">
        <v>931</v>
      </c>
      <c r="D326" t="s">
        <v>81</v>
      </c>
      <c r="E326" s="2" t="str">
        <f>HYPERLINK("capsilon://?command=openfolder&amp;siteaddress=FAM.docvelocity-na8.net&amp;folderid=FX56C0E3CB-92DD-4A1E-F797-7CE6E17244D8","FX20127969")</f>
        <v>FX20127969</v>
      </c>
      <c r="F326" t="s">
        <v>19</v>
      </c>
      <c r="G326" t="s">
        <v>19</v>
      </c>
      <c r="H326" t="s">
        <v>82</v>
      </c>
      <c r="I326" t="s">
        <v>937</v>
      </c>
      <c r="J326">
        <v>26</v>
      </c>
      <c r="K326" t="s">
        <v>84</v>
      </c>
      <c r="L326" t="s">
        <v>85</v>
      </c>
      <c r="M326" t="s">
        <v>86</v>
      </c>
      <c r="N326">
        <v>3</v>
      </c>
      <c r="O326" s="1">
        <v>44200.428900462961</v>
      </c>
      <c r="P326" s="1">
        <v>44200.477905092594</v>
      </c>
      <c r="Q326">
        <v>3714</v>
      </c>
      <c r="R326">
        <v>520</v>
      </c>
      <c r="S326" t="b">
        <v>0</v>
      </c>
      <c r="T326" t="s">
        <v>87</v>
      </c>
      <c r="U326" t="b">
        <v>0</v>
      </c>
      <c r="V326" t="s">
        <v>419</v>
      </c>
      <c r="W326" s="1">
        <v>44200.438171296293</v>
      </c>
      <c r="X326">
        <v>367</v>
      </c>
      <c r="Y326">
        <v>21</v>
      </c>
      <c r="Z326">
        <v>0</v>
      </c>
      <c r="AA326">
        <v>21</v>
      </c>
      <c r="AB326">
        <v>0</v>
      </c>
      <c r="AC326">
        <v>7</v>
      </c>
      <c r="AD326">
        <v>5</v>
      </c>
      <c r="AE326">
        <v>0</v>
      </c>
      <c r="AF326">
        <v>0</v>
      </c>
      <c r="AG326">
        <v>0</v>
      </c>
      <c r="AH326" t="s">
        <v>94</v>
      </c>
      <c r="AI326" s="1">
        <v>44200.477025462962</v>
      </c>
      <c r="AJ326">
        <v>146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5</v>
      </c>
      <c r="AQ326">
        <v>0</v>
      </c>
      <c r="AR326">
        <v>0</v>
      </c>
      <c r="AS326">
        <v>0</v>
      </c>
      <c r="AT326" t="s">
        <v>90</v>
      </c>
      <c r="AU326" s="1">
        <v>44200.477905092594</v>
      </c>
      <c r="AV326">
        <v>7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5</v>
      </c>
      <c r="BC326">
        <v>0</v>
      </c>
      <c r="BD326">
        <v>0</v>
      </c>
      <c r="BE326">
        <v>0</v>
      </c>
    </row>
    <row r="327" spans="1:57" x14ac:dyDescent="0.45">
      <c r="A327" t="s">
        <v>938</v>
      </c>
      <c r="B327" t="s">
        <v>79</v>
      </c>
      <c r="C327" t="s">
        <v>931</v>
      </c>
      <c r="D327" t="s">
        <v>81</v>
      </c>
      <c r="E327" s="2" t="str">
        <f>HYPERLINK("capsilon://?command=openfolder&amp;siteaddress=FAM.docvelocity-na8.net&amp;folderid=FX56C0E3CB-92DD-4A1E-F797-7CE6E17244D8","FX20127969")</f>
        <v>FX20127969</v>
      </c>
      <c r="F327" t="s">
        <v>19</v>
      </c>
      <c r="G327" t="s">
        <v>19</v>
      </c>
      <c r="H327" t="s">
        <v>82</v>
      </c>
      <c r="I327" t="s">
        <v>939</v>
      </c>
      <c r="J327">
        <v>102</v>
      </c>
      <c r="K327" t="s">
        <v>84</v>
      </c>
      <c r="L327" t="s">
        <v>85</v>
      </c>
      <c r="M327" t="s">
        <v>86</v>
      </c>
      <c r="N327">
        <v>3</v>
      </c>
      <c r="O327" s="1">
        <v>44200.429652777777</v>
      </c>
      <c r="P327" s="1">
        <v>44200.478043981479</v>
      </c>
      <c r="Q327">
        <v>3639</v>
      </c>
      <c r="R327">
        <v>542</v>
      </c>
      <c r="S327" t="b">
        <v>0</v>
      </c>
      <c r="T327" t="s">
        <v>87</v>
      </c>
      <c r="U327" t="b">
        <v>0</v>
      </c>
      <c r="V327" t="s">
        <v>419</v>
      </c>
      <c r="W327" s="1">
        <v>44200.442499999997</v>
      </c>
      <c r="X327">
        <v>373</v>
      </c>
      <c r="Y327">
        <v>74</v>
      </c>
      <c r="Z327">
        <v>0</v>
      </c>
      <c r="AA327">
        <v>74</v>
      </c>
      <c r="AB327">
        <v>0</v>
      </c>
      <c r="AC327">
        <v>1</v>
      </c>
      <c r="AD327">
        <v>28</v>
      </c>
      <c r="AE327">
        <v>0</v>
      </c>
      <c r="AF327">
        <v>0</v>
      </c>
      <c r="AG327">
        <v>0</v>
      </c>
      <c r="AH327" t="s">
        <v>267</v>
      </c>
      <c r="AI327" s="1">
        <v>44200.477465277778</v>
      </c>
      <c r="AJ327">
        <v>157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28</v>
      </c>
      <c r="AQ327">
        <v>0</v>
      </c>
      <c r="AR327">
        <v>0</v>
      </c>
      <c r="AS327">
        <v>0</v>
      </c>
      <c r="AT327" t="s">
        <v>90</v>
      </c>
      <c r="AU327" s="1">
        <v>44200.478043981479</v>
      </c>
      <c r="AV327">
        <v>12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28</v>
      </c>
      <c r="BC327">
        <v>0</v>
      </c>
      <c r="BD327">
        <v>0</v>
      </c>
      <c r="BE327">
        <v>0</v>
      </c>
    </row>
    <row r="328" spans="1:57" hidden="1" x14ac:dyDescent="0.45">
      <c r="A328" t="s">
        <v>940</v>
      </c>
      <c r="B328" t="s">
        <v>79</v>
      </c>
      <c r="C328" t="s">
        <v>921</v>
      </c>
      <c r="D328" t="s">
        <v>81</v>
      </c>
      <c r="E328" s="2" t="str">
        <f>HYPERLINK("capsilon://?command=openfolder&amp;siteaddress=FAM.docvelocity-na8.net&amp;folderid=FX7869493A-6EAD-4F63-AA2C-4C1AC1EF43A8","FX20123027")</f>
        <v>FX20123027</v>
      </c>
      <c r="F328" t="s">
        <v>19</v>
      </c>
      <c r="G328" t="s">
        <v>19</v>
      </c>
      <c r="H328" t="s">
        <v>82</v>
      </c>
      <c r="I328" t="s">
        <v>941</v>
      </c>
      <c r="J328">
        <v>38</v>
      </c>
      <c r="K328" t="s">
        <v>84</v>
      </c>
      <c r="L328" t="s">
        <v>85</v>
      </c>
      <c r="M328" t="s">
        <v>86</v>
      </c>
      <c r="N328">
        <v>3</v>
      </c>
      <c r="O328" s="1">
        <v>44203.383726851855</v>
      </c>
      <c r="P328" s="1">
        <v>44203.486493055556</v>
      </c>
      <c r="Q328">
        <v>8550</v>
      </c>
      <c r="R328">
        <v>329</v>
      </c>
      <c r="S328" t="b">
        <v>0</v>
      </c>
      <c r="T328" t="s">
        <v>87</v>
      </c>
      <c r="U328" t="b">
        <v>0</v>
      </c>
      <c r="V328" t="s">
        <v>919</v>
      </c>
      <c r="W328" s="1">
        <v>44203.392418981479</v>
      </c>
      <c r="X328">
        <v>306</v>
      </c>
      <c r="Y328">
        <v>0</v>
      </c>
      <c r="Z328">
        <v>0</v>
      </c>
      <c r="AA328">
        <v>0</v>
      </c>
      <c r="AB328">
        <v>37</v>
      </c>
      <c r="AC328">
        <v>0</v>
      </c>
      <c r="AD328">
        <v>38</v>
      </c>
      <c r="AE328">
        <v>0</v>
      </c>
      <c r="AF328">
        <v>0</v>
      </c>
      <c r="AG328">
        <v>0</v>
      </c>
      <c r="AH328" t="s">
        <v>267</v>
      </c>
      <c r="AI328" s="1">
        <v>44203.480810185189</v>
      </c>
      <c r="AJ328">
        <v>21</v>
      </c>
      <c r="AK328">
        <v>0</v>
      </c>
      <c r="AL328">
        <v>0</v>
      </c>
      <c r="AM328">
        <v>0</v>
      </c>
      <c r="AN328">
        <v>37</v>
      </c>
      <c r="AO328">
        <v>0</v>
      </c>
      <c r="AP328">
        <v>38</v>
      </c>
      <c r="AQ328">
        <v>0</v>
      </c>
      <c r="AR328">
        <v>0</v>
      </c>
      <c r="AS328">
        <v>0</v>
      </c>
      <c r="AT328" t="s">
        <v>90</v>
      </c>
      <c r="AU328" s="1">
        <v>44203.486493055556</v>
      </c>
      <c r="AV328">
        <v>2</v>
      </c>
      <c r="AW328">
        <v>0</v>
      </c>
      <c r="AX328">
        <v>0</v>
      </c>
      <c r="AY328">
        <v>0</v>
      </c>
      <c r="AZ328">
        <v>37</v>
      </c>
      <c r="BA328">
        <v>0</v>
      </c>
      <c r="BB328">
        <v>38</v>
      </c>
      <c r="BC328">
        <v>0</v>
      </c>
      <c r="BD328">
        <v>0</v>
      </c>
      <c r="BE328">
        <v>0</v>
      </c>
    </row>
    <row r="329" spans="1:57" x14ac:dyDescent="0.45">
      <c r="A329" t="s">
        <v>942</v>
      </c>
      <c r="B329" t="s">
        <v>79</v>
      </c>
      <c r="C329" t="s">
        <v>934</v>
      </c>
      <c r="D329" t="s">
        <v>81</v>
      </c>
      <c r="E329" s="2" t="str">
        <f>HYPERLINK("capsilon://?command=openfolder&amp;siteaddress=FAM.docvelocity-na8.net&amp;folderid=FXAB7AF3AB-3377-6BA8-780C-E91E09640A67","FX201110785")</f>
        <v>FX201110785</v>
      </c>
      <c r="F329" t="s">
        <v>19</v>
      </c>
      <c r="G329" t="s">
        <v>19</v>
      </c>
      <c r="H329" t="s">
        <v>82</v>
      </c>
      <c r="I329" t="s">
        <v>935</v>
      </c>
      <c r="J329">
        <v>90</v>
      </c>
      <c r="K329" t="s">
        <v>84</v>
      </c>
      <c r="L329" t="s">
        <v>85</v>
      </c>
      <c r="M329" t="s">
        <v>86</v>
      </c>
      <c r="N329">
        <v>3</v>
      </c>
      <c r="O329" s="1">
        <v>44203.384305555555</v>
      </c>
      <c r="P329" s="1">
        <v>44203.452974537038</v>
      </c>
      <c r="Q329">
        <v>1280</v>
      </c>
      <c r="R329">
        <v>4653</v>
      </c>
      <c r="S329" t="b">
        <v>0</v>
      </c>
      <c r="T329" t="s">
        <v>87</v>
      </c>
      <c r="U329" t="b">
        <v>1</v>
      </c>
      <c r="V329" t="s">
        <v>112</v>
      </c>
      <c r="W329" s="1">
        <v>44203.413888888892</v>
      </c>
      <c r="X329">
        <v>2365</v>
      </c>
      <c r="Y329">
        <v>127</v>
      </c>
      <c r="Z329">
        <v>0</v>
      </c>
      <c r="AA329">
        <v>127</v>
      </c>
      <c r="AB329">
        <v>0</v>
      </c>
      <c r="AC329">
        <v>81</v>
      </c>
      <c r="AD329">
        <v>-37</v>
      </c>
      <c r="AE329">
        <v>0</v>
      </c>
      <c r="AF329">
        <v>0</v>
      </c>
      <c r="AG329">
        <v>0</v>
      </c>
      <c r="AH329" t="s">
        <v>89</v>
      </c>
      <c r="AI329" s="1">
        <v>44203.444236111114</v>
      </c>
      <c r="AJ329">
        <v>2264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-37</v>
      </c>
      <c r="AQ329">
        <v>0</v>
      </c>
      <c r="AR329">
        <v>0</v>
      </c>
      <c r="AS329">
        <v>0</v>
      </c>
      <c r="AT329" t="s">
        <v>90</v>
      </c>
      <c r="AU329" s="1">
        <v>44203.452974537038</v>
      </c>
      <c r="AV329">
        <v>24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-37</v>
      </c>
      <c r="BC329">
        <v>0</v>
      </c>
      <c r="BD329">
        <v>0</v>
      </c>
      <c r="BE329">
        <v>0</v>
      </c>
    </row>
    <row r="330" spans="1:57" x14ac:dyDescent="0.45">
      <c r="A330" t="s">
        <v>943</v>
      </c>
      <c r="B330" t="s">
        <v>79</v>
      </c>
      <c r="C330" t="s">
        <v>944</v>
      </c>
      <c r="D330" t="s">
        <v>81</v>
      </c>
      <c r="E330" s="2" t="str">
        <f>HYPERLINK("capsilon://?command=openfolder&amp;siteaddress=FAM.docvelocity-na8.net&amp;folderid=FX1F93A92A-E712-BB41-A8EB-5D1B16F40246","FX201223168")</f>
        <v>FX201223168</v>
      </c>
      <c r="F330" t="s">
        <v>19</v>
      </c>
      <c r="G330" t="s">
        <v>19</v>
      </c>
      <c r="H330" t="s">
        <v>82</v>
      </c>
      <c r="I330" t="s">
        <v>945</v>
      </c>
      <c r="J330">
        <v>38</v>
      </c>
      <c r="K330" t="s">
        <v>84</v>
      </c>
      <c r="L330" t="s">
        <v>85</v>
      </c>
      <c r="M330" t="s">
        <v>86</v>
      </c>
      <c r="N330">
        <v>3</v>
      </c>
      <c r="O330" s="1">
        <v>44203.384606481479</v>
      </c>
      <c r="P330" s="1">
        <v>44203.486550925925</v>
      </c>
      <c r="Q330">
        <v>7635</v>
      </c>
      <c r="R330">
        <v>1173</v>
      </c>
      <c r="S330" t="b">
        <v>0</v>
      </c>
      <c r="T330" t="s">
        <v>87</v>
      </c>
      <c r="U330" t="b">
        <v>0</v>
      </c>
      <c r="V330" t="s">
        <v>419</v>
      </c>
      <c r="W330" s="1">
        <v>44203.403865740744</v>
      </c>
      <c r="X330">
        <v>1052</v>
      </c>
      <c r="Y330">
        <v>37</v>
      </c>
      <c r="Z330">
        <v>0</v>
      </c>
      <c r="AA330">
        <v>37</v>
      </c>
      <c r="AB330">
        <v>0</v>
      </c>
      <c r="AC330">
        <v>34</v>
      </c>
      <c r="AD330">
        <v>1</v>
      </c>
      <c r="AE330">
        <v>0</v>
      </c>
      <c r="AF330">
        <v>0</v>
      </c>
      <c r="AG330">
        <v>0</v>
      </c>
      <c r="AH330" t="s">
        <v>267</v>
      </c>
      <c r="AI330" s="1">
        <v>44203.482175925928</v>
      </c>
      <c r="AJ330">
        <v>117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 t="s">
        <v>90</v>
      </c>
      <c r="AU330" s="1">
        <v>44203.486550925925</v>
      </c>
      <c r="AV330">
        <v>4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</row>
    <row r="331" spans="1:57" hidden="1" x14ac:dyDescent="0.45">
      <c r="A331" t="s">
        <v>946</v>
      </c>
      <c r="B331" t="s">
        <v>79</v>
      </c>
      <c r="C331" t="s">
        <v>619</v>
      </c>
      <c r="D331" t="s">
        <v>81</v>
      </c>
      <c r="E331" s="2" t="str">
        <f>HYPERLINK("capsilon://?command=openfolder&amp;siteaddress=FAM.docvelocity-na8.net&amp;folderid=FX7A556480-F0DF-9C53-ED89-8979B7E4FC65","FX21012182")</f>
        <v>FX21012182</v>
      </c>
      <c r="F331" t="s">
        <v>19</v>
      </c>
      <c r="G331" t="s">
        <v>19</v>
      </c>
      <c r="H331" t="s">
        <v>82</v>
      </c>
      <c r="I331" t="s">
        <v>947</v>
      </c>
      <c r="J331">
        <v>90</v>
      </c>
      <c r="K331" t="s">
        <v>84</v>
      </c>
      <c r="L331" t="s">
        <v>85</v>
      </c>
      <c r="M331" t="s">
        <v>86</v>
      </c>
      <c r="N331">
        <v>1</v>
      </c>
      <c r="O331" s="1">
        <v>44203.385439814818</v>
      </c>
      <c r="P331" s="1">
        <v>44203.397094907406</v>
      </c>
      <c r="Q331">
        <v>604</v>
      </c>
      <c r="R331">
        <v>403</v>
      </c>
      <c r="S331" t="b">
        <v>0</v>
      </c>
      <c r="T331" t="s">
        <v>87</v>
      </c>
      <c r="U331" t="b">
        <v>0</v>
      </c>
      <c r="V331" t="s">
        <v>919</v>
      </c>
      <c r="W331" s="1">
        <v>44203.397094907406</v>
      </c>
      <c r="X331">
        <v>403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90</v>
      </c>
      <c r="AE331">
        <v>86</v>
      </c>
      <c r="AF331">
        <v>0</v>
      </c>
      <c r="AG331">
        <v>2</v>
      </c>
      <c r="AH331" t="s">
        <v>87</v>
      </c>
      <c r="AI331" t="s">
        <v>87</v>
      </c>
      <c r="AJ331" t="s">
        <v>87</v>
      </c>
      <c r="AK331" t="s">
        <v>87</v>
      </c>
      <c r="AL331" t="s">
        <v>87</v>
      </c>
      <c r="AM331" t="s">
        <v>87</v>
      </c>
      <c r="AN331" t="s">
        <v>87</v>
      </c>
      <c r="AO331" t="s">
        <v>87</v>
      </c>
      <c r="AP331" t="s">
        <v>87</v>
      </c>
      <c r="AQ331" t="s">
        <v>87</v>
      </c>
      <c r="AR331" t="s">
        <v>87</v>
      </c>
      <c r="AS331" t="s">
        <v>87</v>
      </c>
      <c r="AT331" t="s">
        <v>87</v>
      </c>
      <c r="AU331" t="s">
        <v>87</v>
      </c>
      <c r="AV331" t="s">
        <v>87</v>
      </c>
      <c r="AW331" t="s">
        <v>87</v>
      </c>
      <c r="AX331" t="s">
        <v>87</v>
      </c>
      <c r="AY331" t="s">
        <v>87</v>
      </c>
      <c r="AZ331" t="s">
        <v>87</v>
      </c>
      <c r="BA331" t="s">
        <v>87</v>
      </c>
      <c r="BB331" t="s">
        <v>87</v>
      </c>
      <c r="BC331" t="s">
        <v>87</v>
      </c>
      <c r="BD331" t="s">
        <v>87</v>
      </c>
      <c r="BE331" t="s">
        <v>87</v>
      </c>
    </row>
    <row r="332" spans="1:57" hidden="1" x14ac:dyDescent="0.45">
      <c r="A332" t="s">
        <v>948</v>
      </c>
      <c r="B332" t="s">
        <v>79</v>
      </c>
      <c r="C332" t="s">
        <v>921</v>
      </c>
      <c r="D332" t="s">
        <v>81</v>
      </c>
      <c r="E332" s="2" t="str">
        <f>HYPERLINK("capsilon://?command=openfolder&amp;siteaddress=FAM.docvelocity-na8.net&amp;folderid=FX7869493A-6EAD-4F63-AA2C-4C1AC1EF43A8","FX20123027")</f>
        <v>FX20123027</v>
      </c>
      <c r="F332" t="s">
        <v>19</v>
      </c>
      <c r="G332" t="s">
        <v>19</v>
      </c>
      <c r="H332" t="s">
        <v>82</v>
      </c>
      <c r="I332" t="s">
        <v>949</v>
      </c>
      <c r="J332">
        <v>38</v>
      </c>
      <c r="K332" t="s">
        <v>84</v>
      </c>
      <c r="L332" t="s">
        <v>85</v>
      </c>
      <c r="M332" t="s">
        <v>86</v>
      </c>
      <c r="N332">
        <v>3</v>
      </c>
      <c r="O332" s="1">
        <v>44203.386238425926</v>
      </c>
      <c r="P332" s="1">
        <v>44203.489016203705</v>
      </c>
      <c r="Q332">
        <v>7973</v>
      </c>
      <c r="R332">
        <v>907</v>
      </c>
      <c r="S332" t="b">
        <v>0</v>
      </c>
      <c r="T332" t="s">
        <v>87</v>
      </c>
      <c r="U332" t="b">
        <v>0</v>
      </c>
      <c r="V332" t="s">
        <v>919</v>
      </c>
      <c r="W332" s="1">
        <v>44203.399884259263</v>
      </c>
      <c r="X332">
        <v>240</v>
      </c>
      <c r="Y332">
        <v>0</v>
      </c>
      <c r="Z332">
        <v>0</v>
      </c>
      <c r="AA332">
        <v>0</v>
      </c>
      <c r="AB332">
        <v>37</v>
      </c>
      <c r="AC332">
        <v>0</v>
      </c>
      <c r="AD332">
        <v>38</v>
      </c>
      <c r="AE332">
        <v>0</v>
      </c>
      <c r="AF332">
        <v>0</v>
      </c>
      <c r="AG332">
        <v>0</v>
      </c>
      <c r="AH332" t="s">
        <v>89</v>
      </c>
      <c r="AI332" s="1">
        <v>44203.488622685189</v>
      </c>
      <c r="AJ332">
        <v>655</v>
      </c>
      <c r="AK332">
        <v>0</v>
      </c>
      <c r="AL332">
        <v>0</v>
      </c>
      <c r="AM332">
        <v>0</v>
      </c>
      <c r="AN332">
        <v>37</v>
      </c>
      <c r="AO332">
        <v>0</v>
      </c>
      <c r="AP332">
        <v>38</v>
      </c>
      <c r="AQ332">
        <v>0</v>
      </c>
      <c r="AR332">
        <v>0</v>
      </c>
      <c r="AS332">
        <v>0</v>
      </c>
      <c r="AT332" t="s">
        <v>90</v>
      </c>
      <c r="AU332" s="1">
        <v>44203.489016203705</v>
      </c>
      <c r="AV332">
        <v>12</v>
      </c>
      <c r="AW332">
        <v>0</v>
      </c>
      <c r="AX332">
        <v>0</v>
      </c>
      <c r="AY332">
        <v>0</v>
      </c>
      <c r="AZ332">
        <v>37</v>
      </c>
      <c r="BA332">
        <v>0</v>
      </c>
      <c r="BB332">
        <v>38</v>
      </c>
      <c r="BC332">
        <v>0</v>
      </c>
      <c r="BD332">
        <v>0</v>
      </c>
      <c r="BE332">
        <v>0</v>
      </c>
    </row>
    <row r="333" spans="1:57" x14ac:dyDescent="0.45">
      <c r="A333" t="s">
        <v>950</v>
      </c>
      <c r="B333" t="s">
        <v>79</v>
      </c>
      <c r="C333" t="s">
        <v>951</v>
      </c>
      <c r="D333" t="s">
        <v>81</v>
      </c>
      <c r="E333" s="2" t="str">
        <f>HYPERLINK("capsilon://?command=openfolder&amp;siteaddress=FAM.docvelocity-na8.net&amp;folderid=FX4D41DFD5-0C93-E8CF-D148-329A434C478D","FX201227786")</f>
        <v>FX201227786</v>
      </c>
      <c r="F333" t="s">
        <v>19</v>
      </c>
      <c r="G333" t="s">
        <v>19</v>
      </c>
      <c r="H333" t="s">
        <v>82</v>
      </c>
      <c r="I333" t="s">
        <v>952</v>
      </c>
      <c r="J333">
        <v>154</v>
      </c>
      <c r="K333" t="s">
        <v>84</v>
      </c>
      <c r="L333" t="s">
        <v>85</v>
      </c>
      <c r="M333" t="s">
        <v>86</v>
      </c>
      <c r="N333">
        <v>3</v>
      </c>
      <c r="O333" s="1">
        <v>44200.430231481485</v>
      </c>
      <c r="P333" s="1">
        <v>44200.48704861111</v>
      </c>
      <c r="Q333">
        <v>3667</v>
      </c>
      <c r="R333">
        <v>1242</v>
      </c>
      <c r="S333" t="b">
        <v>0</v>
      </c>
      <c r="T333" t="s">
        <v>87</v>
      </c>
      <c r="U333" t="b">
        <v>0</v>
      </c>
      <c r="V333" t="s">
        <v>736</v>
      </c>
      <c r="W333" s="1">
        <v>44200.449189814812</v>
      </c>
      <c r="X333">
        <v>752</v>
      </c>
      <c r="Y333">
        <v>140</v>
      </c>
      <c r="Z333">
        <v>0</v>
      </c>
      <c r="AA333">
        <v>140</v>
      </c>
      <c r="AB333">
        <v>0</v>
      </c>
      <c r="AC333">
        <v>27</v>
      </c>
      <c r="AD333">
        <v>14</v>
      </c>
      <c r="AE333">
        <v>0</v>
      </c>
      <c r="AF333">
        <v>0</v>
      </c>
      <c r="AG333">
        <v>0</v>
      </c>
      <c r="AH333" t="s">
        <v>267</v>
      </c>
      <c r="AI333" s="1">
        <v>44200.482418981483</v>
      </c>
      <c r="AJ333">
        <v>427</v>
      </c>
      <c r="AK333">
        <v>2</v>
      </c>
      <c r="AL333">
        <v>0</v>
      </c>
      <c r="AM333">
        <v>2</v>
      </c>
      <c r="AN333">
        <v>0</v>
      </c>
      <c r="AO333">
        <v>1</v>
      </c>
      <c r="AP333">
        <v>12</v>
      </c>
      <c r="AQ333">
        <v>0</v>
      </c>
      <c r="AR333">
        <v>0</v>
      </c>
      <c r="AS333">
        <v>0</v>
      </c>
      <c r="AT333" t="s">
        <v>90</v>
      </c>
      <c r="AU333" s="1">
        <v>44200.48704861111</v>
      </c>
      <c r="AV333">
        <v>36</v>
      </c>
      <c r="AW333">
        <v>1</v>
      </c>
      <c r="AX333">
        <v>0</v>
      </c>
      <c r="AY333">
        <v>1</v>
      </c>
      <c r="AZ333">
        <v>0</v>
      </c>
      <c r="BA333">
        <v>1</v>
      </c>
      <c r="BB333">
        <v>11</v>
      </c>
      <c r="BC333">
        <v>0</v>
      </c>
      <c r="BD333">
        <v>0</v>
      </c>
      <c r="BE333">
        <v>0</v>
      </c>
    </row>
    <row r="334" spans="1:57" x14ac:dyDescent="0.45">
      <c r="A334" t="s">
        <v>953</v>
      </c>
      <c r="B334" t="s">
        <v>79</v>
      </c>
      <c r="C334" t="s">
        <v>619</v>
      </c>
      <c r="D334" t="s">
        <v>81</v>
      </c>
      <c r="E334" s="2" t="str">
        <f>HYPERLINK("capsilon://?command=openfolder&amp;siteaddress=FAM.docvelocity-na8.net&amp;folderid=FX7A556480-F0DF-9C53-ED89-8979B7E4FC65","FX21012182")</f>
        <v>FX21012182</v>
      </c>
      <c r="F334" t="s">
        <v>19</v>
      </c>
      <c r="G334" t="s">
        <v>19</v>
      </c>
      <c r="H334" t="s">
        <v>82</v>
      </c>
      <c r="I334" t="s">
        <v>947</v>
      </c>
      <c r="J334">
        <v>165</v>
      </c>
      <c r="K334" t="s">
        <v>84</v>
      </c>
      <c r="L334" t="s">
        <v>85</v>
      </c>
      <c r="M334" t="s">
        <v>86</v>
      </c>
      <c r="N334">
        <v>3</v>
      </c>
      <c r="O334" s="1">
        <v>44203.398240740738</v>
      </c>
      <c r="P334" s="1">
        <v>44203.484837962962</v>
      </c>
      <c r="Q334">
        <v>2384</v>
      </c>
      <c r="R334">
        <v>5098</v>
      </c>
      <c r="S334" t="b">
        <v>0</v>
      </c>
      <c r="T334" t="s">
        <v>87</v>
      </c>
      <c r="U334" t="b">
        <v>1</v>
      </c>
      <c r="V334" t="s">
        <v>919</v>
      </c>
      <c r="W334" s="1">
        <v>44203.451550925929</v>
      </c>
      <c r="X334">
        <v>4463</v>
      </c>
      <c r="Y334">
        <v>157</v>
      </c>
      <c r="Z334">
        <v>0</v>
      </c>
      <c r="AA334">
        <v>157</v>
      </c>
      <c r="AB334">
        <v>0</v>
      </c>
      <c r="AC334">
        <v>100</v>
      </c>
      <c r="AD334">
        <v>8</v>
      </c>
      <c r="AE334">
        <v>0</v>
      </c>
      <c r="AF334">
        <v>0</v>
      </c>
      <c r="AG334">
        <v>0</v>
      </c>
      <c r="AH334" t="s">
        <v>128</v>
      </c>
      <c r="AI334" s="1">
        <v>44203.470937500002</v>
      </c>
      <c r="AJ334">
        <v>401</v>
      </c>
      <c r="AK334">
        <v>1</v>
      </c>
      <c r="AL334">
        <v>0</v>
      </c>
      <c r="AM334">
        <v>1</v>
      </c>
      <c r="AN334">
        <v>0</v>
      </c>
      <c r="AO334">
        <v>4</v>
      </c>
      <c r="AP334">
        <v>7</v>
      </c>
      <c r="AQ334">
        <v>0</v>
      </c>
      <c r="AR334">
        <v>0</v>
      </c>
      <c r="AS334">
        <v>0</v>
      </c>
      <c r="AT334" t="s">
        <v>90</v>
      </c>
      <c r="AU334" s="1">
        <v>44203.484837962962</v>
      </c>
      <c r="AV334">
        <v>234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7</v>
      </c>
      <c r="BC334">
        <v>0</v>
      </c>
      <c r="BD334">
        <v>0</v>
      </c>
      <c r="BE334">
        <v>0</v>
      </c>
    </row>
    <row r="335" spans="1:57" x14ac:dyDescent="0.45">
      <c r="A335" t="s">
        <v>954</v>
      </c>
      <c r="B335" t="s">
        <v>79</v>
      </c>
      <c r="C335" t="s">
        <v>955</v>
      </c>
      <c r="D335" t="s">
        <v>81</v>
      </c>
      <c r="E335" s="2" t="str">
        <f>HYPERLINK("capsilon://?command=openfolder&amp;siteaddress=FAM.docvelocity-na8.net&amp;folderid=FX73CD7F8C-A402-3D20-CDF8-518D7DAC20E5","FX201228731")</f>
        <v>FX201228731</v>
      </c>
      <c r="F335" t="s">
        <v>19</v>
      </c>
      <c r="G335" t="s">
        <v>19</v>
      </c>
      <c r="H335" t="s">
        <v>82</v>
      </c>
      <c r="I335" t="s">
        <v>956</v>
      </c>
      <c r="J335">
        <v>66</v>
      </c>
      <c r="K335" t="s">
        <v>84</v>
      </c>
      <c r="L335" t="s">
        <v>85</v>
      </c>
      <c r="M335" t="s">
        <v>86</v>
      </c>
      <c r="N335">
        <v>3</v>
      </c>
      <c r="O335" s="1">
        <v>44203.401828703703</v>
      </c>
      <c r="P335" s="1">
        <v>44203.488865740743</v>
      </c>
      <c r="Q335">
        <v>5509</v>
      </c>
      <c r="R335">
        <v>2011</v>
      </c>
      <c r="S335" t="b">
        <v>0</v>
      </c>
      <c r="T335" t="s">
        <v>87</v>
      </c>
      <c r="U335" t="b">
        <v>0</v>
      </c>
      <c r="V335" t="s">
        <v>419</v>
      </c>
      <c r="W335" s="1">
        <v>44203.422453703701</v>
      </c>
      <c r="X335">
        <v>1605</v>
      </c>
      <c r="Y335">
        <v>52</v>
      </c>
      <c r="Z335">
        <v>0</v>
      </c>
      <c r="AA335">
        <v>52</v>
      </c>
      <c r="AB335">
        <v>0</v>
      </c>
      <c r="AC335">
        <v>45</v>
      </c>
      <c r="AD335">
        <v>14</v>
      </c>
      <c r="AE335">
        <v>0</v>
      </c>
      <c r="AF335">
        <v>0</v>
      </c>
      <c r="AG335">
        <v>0</v>
      </c>
      <c r="AH335" t="s">
        <v>267</v>
      </c>
      <c r="AI335" s="1">
        <v>44203.484583333331</v>
      </c>
      <c r="AJ335">
        <v>207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14</v>
      </c>
      <c r="AQ335">
        <v>0</v>
      </c>
      <c r="AR335">
        <v>0</v>
      </c>
      <c r="AS335">
        <v>0</v>
      </c>
      <c r="AT335" t="s">
        <v>90</v>
      </c>
      <c r="AU335" s="1">
        <v>44203.488865740743</v>
      </c>
      <c r="AV335">
        <v>199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14</v>
      </c>
      <c r="BC335">
        <v>0</v>
      </c>
      <c r="BD335">
        <v>0</v>
      </c>
      <c r="BE335">
        <v>0</v>
      </c>
    </row>
    <row r="336" spans="1:57" hidden="1" x14ac:dyDescent="0.45">
      <c r="A336" t="s">
        <v>957</v>
      </c>
      <c r="B336" t="s">
        <v>79</v>
      </c>
      <c r="C336" t="s">
        <v>958</v>
      </c>
      <c r="D336" t="s">
        <v>81</v>
      </c>
      <c r="E336" s="2" t="str">
        <f>HYPERLINK("capsilon://?command=openfolder&amp;siteaddress=FAM.docvelocity-na8.net&amp;folderid=FX2FC87CC5-2BC3-798C-CA7A-5FCE0E918093","FX20125530")</f>
        <v>FX20125530</v>
      </c>
      <c r="F336" t="s">
        <v>19</v>
      </c>
      <c r="G336" t="s">
        <v>19</v>
      </c>
      <c r="H336" t="s">
        <v>82</v>
      </c>
      <c r="I336" t="s">
        <v>959</v>
      </c>
      <c r="J336">
        <v>132</v>
      </c>
      <c r="K336" t="s">
        <v>84</v>
      </c>
      <c r="L336" t="s">
        <v>85</v>
      </c>
      <c r="M336" t="s">
        <v>86</v>
      </c>
      <c r="N336">
        <v>3</v>
      </c>
      <c r="O336" s="1">
        <v>44203.403668981482</v>
      </c>
      <c r="P336" s="1">
        <v>44203.489120370374</v>
      </c>
      <c r="Q336">
        <v>7150</v>
      </c>
      <c r="R336">
        <v>233</v>
      </c>
      <c r="S336" t="b">
        <v>0</v>
      </c>
      <c r="T336" t="s">
        <v>87</v>
      </c>
      <c r="U336" t="b">
        <v>0</v>
      </c>
      <c r="V336" t="s">
        <v>112</v>
      </c>
      <c r="W336" s="1">
        <v>44203.416250000002</v>
      </c>
      <c r="X336">
        <v>203</v>
      </c>
      <c r="Y336">
        <v>0</v>
      </c>
      <c r="Z336">
        <v>0</v>
      </c>
      <c r="AA336">
        <v>0</v>
      </c>
      <c r="AB336">
        <v>104</v>
      </c>
      <c r="AC336">
        <v>0</v>
      </c>
      <c r="AD336">
        <v>132</v>
      </c>
      <c r="AE336">
        <v>0</v>
      </c>
      <c r="AF336">
        <v>0</v>
      </c>
      <c r="AG336">
        <v>0</v>
      </c>
      <c r="AH336" t="s">
        <v>267</v>
      </c>
      <c r="AI336" s="1">
        <v>44203.484837962962</v>
      </c>
      <c r="AJ336">
        <v>21</v>
      </c>
      <c r="AK336">
        <v>0</v>
      </c>
      <c r="AL336">
        <v>0</v>
      </c>
      <c r="AM336">
        <v>0</v>
      </c>
      <c r="AN336">
        <v>104</v>
      </c>
      <c r="AO336">
        <v>0</v>
      </c>
      <c r="AP336">
        <v>132</v>
      </c>
      <c r="AQ336">
        <v>0</v>
      </c>
      <c r="AR336">
        <v>0</v>
      </c>
      <c r="AS336">
        <v>0</v>
      </c>
      <c r="AT336" t="s">
        <v>90</v>
      </c>
      <c r="AU336" s="1">
        <v>44203.489120370374</v>
      </c>
      <c r="AV336">
        <v>9</v>
      </c>
      <c r="AW336">
        <v>0</v>
      </c>
      <c r="AX336">
        <v>0</v>
      </c>
      <c r="AY336">
        <v>0</v>
      </c>
      <c r="AZ336">
        <v>104</v>
      </c>
      <c r="BA336">
        <v>0</v>
      </c>
      <c r="BB336">
        <v>132</v>
      </c>
      <c r="BC336">
        <v>0</v>
      </c>
      <c r="BD336">
        <v>0</v>
      </c>
      <c r="BE336">
        <v>0</v>
      </c>
    </row>
    <row r="337" spans="1:57" x14ac:dyDescent="0.45">
      <c r="A337" t="s">
        <v>960</v>
      </c>
      <c r="B337" t="s">
        <v>79</v>
      </c>
      <c r="C337" t="s">
        <v>961</v>
      </c>
      <c r="D337" t="s">
        <v>81</v>
      </c>
      <c r="E337" s="2" t="str">
        <f>HYPERLINK("capsilon://?command=openfolder&amp;siteaddress=FAM.docvelocity-na8.net&amp;folderid=FXFFE894BB-EB75-370B-7EE4-E05106163C2E","FX201225295")</f>
        <v>FX201225295</v>
      </c>
      <c r="F337" t="s">
        <v>19</v>
      </c>
      <c r="G337" t="s">
        <v>19</v>
      </c>
      <c r="H337" t="s">
        <v>82</v>
      </c>
      <c r="I337" t="s">
        <v>962</v>
      </c>
      <c r="J337">
        <v>66</v>
      </c>
      <c r="K337" t="s">
        <v>84</v>
      </c>
      <c r="L337" t="s">
        <v>85</v>
      </c>
      <c r="M337" t="s">
        <v>86</v>
      </c>
      <c r="N337">
        <v>3</v>
      </c>
      <c r="O337" s="1">
        <v>44203.406192129631</v>
      </c>
      <c r="P337" s="1">
        <v>44203.490243055552</v>
      </c>
      <c r="Q337">
        <v>4771</v>
      </c>
      <c r="R337">
        <v>2491</v>
      </c>
      <c r="S337" t="b">
        <v>0</v>
      </c>
      <c r="T337" t="s">
        <v>87</v>
      </c>
      <c r="U337" t="b">
        <v>0</v>
      </c>
      <c r="V337" t="s">
        <v>98</v>
      </c>
      <c r="W337" s="1">
        <v>44203.441099537034</v>
      </c>
      <c r="X337">
        <v>2303</v>
      </c>
      <c r="Y337">
        <v>52</v>
      </c>
      <c r="Z337">
        <v>0</v>
      </c>
      <c r="AA337">
        <v>52</v>
      </c>
      <c r="AB337">
        <v>0</v>
      </c>
      <c r="AC337">
        <v>33</v>
      </c>
      <c r="AD337">
        <v>14</v>
      </c>
      <c r="AE337">
        <v>0</v>
      </c>
      <c r="AF337">
        <v>0</v>
      </c>
      <c r="AG337">
        <v>0</v>
      </c>
      <c r="AH337" t="s">
        <v>267</v>
      </c>
      <c r="AI337" s="1">
        <v>44203.485902777778</v>
      </c>
      <c r="AJ337">
        <v>91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14</v>
      </c>
      <c r="AQ337">
        <v>0</v>
      </c>
      <c r="AR337">
        <v>0</v>
      </c>
      <c r="AS337">
        <v>0</v>
      </c>
      <c r="AT337" t="s">
        <v>90</v>
      </c>
      <c r="AU337" s="1">
        <v>44203.490243055552</v>
      </c>
      <c r="AV337">
        <v>97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14</v>
      </c>
      <c r="BC337">
        <v>0</v>
      </c>
      <c r="BD337">
        <v>0</v>
      </c>
      <c r="BE337">
        <v>0</v>
      </c>
    </row>
    <row r="338" spans="1:57" x14ac:dyDescent="0.45">
      <c r="A338" t="s">
        <v>963</v>
      </c>
      <c r="B338" t="s">
        <v>79</v>
      </c>
      <c r="C338" t="s">
        <v>964</v>
      </c>
      <c r="D338" t="s">
        <v>81</v>
      </c>
      <c r="E338" s="2" t="str">
        <f>HYPERLINK("capsilon://?command=openfolder&amp;siteaddress=FAM.docvelocity-na8.net&amp;folderid=FX39590868-09FB-A0F4-AE25-401E453DE19F","FX20127773")</f>
        <v>FX20127773</v>
      </c>
      <c r="F338" t="s">
        <v>19</v>
      </c>
      <c r="G338" t="s">
        <v>19</v>
      </c>
      <c r="H338" t="s">
        <v>82</v>
      </c>
      <c r="I338" t="s">
        <v>965</v>
      </c>
      <c r="J338">
        <v>66</v>
      </c>
      <c r="K338" t="s">
        <v>84</v>
      </c>
      <c r="L338" t="s">
        <v>85</v>
      </c>
      <c r="M338" t="s">
        <v>86</v>
      </c>
      <c r="N338">
        <v>3</v>
      </c>
      <c r="O338" s="1">
        <v>44203.407511574071</v>
      </c>
      <c r="P338" s="1">
        <v>44203.50577546296</v>
      </c>
      <c r="Q338">
        <v>7891</v>
      </c>
      <c r="R338">
        <v>599</v>
      </c>
      <c r="S338" t="b">
        <v>0</v>
      </c>
      <c r="T338" t="s">
        <v>87</v>
      </c>
      <c r="U338" t="b">
        <v>0</v>
      </c>
      <c r="V338" t="s">
        <v>112</v>
      </c>
      <c r="W338" s="1">
        <v>44203.421516203707</v>
      </c>
      <c r="X338">
        <v>454</v>
      </c>
      <c r="Y338">
        <v>52</v>
      </c>
      <c r="Z338">
        <v>0</v>
      </c>
      <c r="AA338">
        <v>52</v>
      </c>
      <c r="AB338">
        <v>0</v>
      </c>
      <c r="AC338">
        <v>29</v>
      </c>
      <c r="AD338">
        <v>14</v>
      </c>
      <c r="AE338">
        <v>0</v>
      </c>
      <c r="AF338">
        <v>0</v>
      </c>
      <c r="AG338">
        <v>0</v>
      </c>
      <c r="AH338" t="s">
        <v>267</v>
      </c>
      <c r="AI338" s="1">
        <v>44203.487488425926</v>
      </c>
      <c r="AJ338">
        <v>136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14</v>
      </c>
      <c r="AQ338">
        <v>0</v>
      </c>
      <c r="AR338">
        <v>0</v>
      </c>
      <c r="AS338">
        <v>0</v>
      </c>
      <c r="AT338" t="s">
        <v>90</v>
      </c>
      <c r="AU338" s="1">
        <v>44203.50577546296</v>
      </c>
      <c r="AV338">
        <v>9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14</v>
      </c>
      <c r="BC338">
        <v>0</v>
      </c>
      <c r="BD338">
        <v>0</v>
      </c>
      <c r="BE338">
        <v>0</v>
      </c>
    </row>
    <row r="339" spans="1:57" x14ac:dyDescent="0.45">
      <c r="A339" t="s">
        <v>966</v>
      </c>
      <c r="B339" t="s">
        <v>79</v>
      </c>
      <c r="C339" t="s">
        <v>967</v>
      </c>
      <c r="D339" t="s">
        <v>81</v>
      </c>
      <c r="E339" s="2" t="str">
        <f>HYPERLINK("capsilon://?command=openfolder&amp;siteaddress=FAM.docvelocity-na8.net&amp;folderid=FX77916BE9-19BC-80D2-4FA2-1AA7EF6AC0E5","FX201228437")</f>
        <v>FX201228437</v>
      </c>
      <c r="F339" t="s">
        <v>19</v>
      </c>
      <c r="G339" t="s">
        <v>19</v>
      </c>
      <c r="H339" t="s">
        <v>82</v>
      </c>
      <c r="I339" t="s">
        <v>968</v>
      </c>
      <c r="J339">
        <v>66</v>
      </c>
      <c r="K339" t="s">
        <v>84</v>
      </c>
      <c r="L339" t="s">
        <v>85</v>
      </c>
      <c r="M339" t="s">
        <v>86</v>
      </c>
      <c r="N339">
        <v>3</v>
      </c>
      <c r="O339" s="1">
        <v>44203.408182870371</v>
      </c>
      <c r="P339" s="1">
        <v>44203.511620370373</v>
      </c>
      <c r="Q339">
        <v>6683</v>
      </c>
      <c r="R339">
        <v>2254</v>
      </c>
      <c r="S339" t="b">
        <v>0</v>
      </c>
      <c r="T339" t="s">
        <v>87</v>
      </c>
      <c r="U339" t="b">
        <v>0</v>
      </c>
      <c r="V339" t="s">
        <v>112</v>
      </c>
      <c r="W339" s="1">
        <v>44203.440694444442</v>
      </c>
      <c r="X339">
        <v>1656</v>
      </c>
      <c r="Y339">
        <v>52</v>
      </c>
      <c r="Z339">
        <v>0</v>
      </c>
      <c r="AA339">
        <v>52</v>
      </c>
      <c r="AB339">
        <v>0</v>
      </c>
      <c r="AC339">
        <v>23</v>
      </c>
      <c r="AD339">
        <v>14</v>
      </c>
      <c r="AE339">
        <v>0</v>
      </c>
      <c r="AF339">
        <v>0</v>
      </c>
      <c r="AG339">
        <v>0</v>
      </c>
      <c r="AH339" t="s">
        <v>267</v>
      </c>
      <c r="AI339" s="1">
        <v>44203.488587962966</v>
      </c>
      <c r="AJ339">
        <v>94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14</v>
      </c>
      <c r="AQ339">
        <v>0</v>
      </c>
      <c r="AR339">
        <v>0</v>
      </c>
      <c r="AS339">
        <v>0</v>
      </c>
      <c r="AT339" t="s">
        <v>90</v>
      </c>
      <c r="AU339" s="1">
        <v>44203.511620370373</v>
      </c>
      <c r="AV339">
        <v>504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14</v>
      </c>
      <c r="BC339">
        <v>0</v>
      </c>
      <c r="BD339">
        <v>0</v>
      </c>
      <c r="BE339">
        <v>0</v>
      </c>
    </row>
    <row r="340" spans="1:57" x14ac:dyDescent="0.45">
      <c r="A340" t="s">
        <v>969</v>
      </c>
      <c r="B340" t="s">
        <v>79</v>
      </c>
      <c r="C340" t="s">
        <v>970</v>
      </c>
      <c r="D340" t="s">
        <v>81</v>
      </c>
      <c r="E340" s="2" t="str">
        <f>HYPERLINK("capsilon://?command=openfolder&amp;siteaddress=FAM.docvelocity-na8.net&amp;folderid=FX0DD13C16-E5AA-3CBF-1FD7-C1DD7C07967B","FX20122255")</f>
        <v>FX20122255</v>
      </c>
      <c r="F340" t="s">
        <v>19</v>
      </c>
      <c r="G340" t="s">
        <v>19</v>
      </c>
      <c r="H340" t="s">
        <v>82</v>
      </c>
      <c r="I340" t="s">
        <v>971</v>
      </c>
      <c r="J340">
        <v>50</v>
      </c>
      <c r="K340" t="s">
        <v>84</v>
      </c>
      <c r="L340" t="s">
        <v>85</v>
      </c>
      <c r="M340" t="s">
        <v>86</v>
      </c>
      <c r="N340">
        <v>3</v>
      </c>
      <c r="O340" s="1">
        <v>44203.409398148149</v>
      </c>
      <c r="P340" s="1">
        <v>44203.519560185188</v>
      </c>
      <c r="Q340">
        <v>7364</v>
      </c>
      <c r="R340">
        <v>2154</v>
      </c>
      <c r="S340" t="b">
        <v>0</v>
      </c>
      <c r="T340" t="s">
        <v>87</v>
      </c>
      <c r="U340" t="b">
        <v>0</v>
      </c>
      <c r="V340" t="s">
        <v>419</v>
      </c>
      <c r="W340" s="1">
        <v>44203.436261574076</v>
      </c>
      <c r="X340">
        <v>1192</v>
      </c>
      <c r="Y340">
        <v>46</v>
      </c>
      <c r="Z340">
        <v>0</v>
      </c>
      <c r="AA340">
        <v>46</v>
      </c>
      <c r="AB340">
        <v>0</v>
      </c>
      <c r="AC340">
        <v>34</v>
      </c>
      <c r="AD340">
        <v>4</v>
      </c>
      <c r="AE340">
        <v>0</v>
      </c>
      <c r="AF340">
        <v>0</v>
      </c>
      <c r="AG340">
        <v>0</v>
      </c>
      <c r="AH340" t="s">
        <v>89</v>
      </c>
      <c r="AI340" s="1">
        <v>44203.491956018515</v>
      </c>
      <c r="AJ340">
        <v>287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4</v>
      </c>
      <c r="AQ340">
        <v>0</v>
      </c>
      <c r="AR340">
        <v>0</v>
      </c>
      <c r="AS340">
        <v>0</v>
      </c>
      <c r="AT340" t="s">
        <v>90</v>
      </c>
      <c r="AU340" s="1">
        <v>44203.519560185188</v>
      </c>
      <c r="AV340">
        <v>675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4</v>
      </c>
      <c r="BC340">
        <v>0</v>
      </c>
      <c r="BD340">
        <v>0</v>
      </c>
      <c r="BE340">
        <v>0</v>
      </c>
    </row>
    <row r="341" spans="1:57" x14ac:dyDescent="0.45">
      <c r="A341" t="s">
        <v>972</v>
      </c>
      <c r="B341" t="s">
        <v>79</v>
      </c>
      <c r="C341" t="s">
        <v>970</v>
      </c>
      <c r="D341" t="s">
        <v>81</v>
      </c>
      <c r="E341" s="2" t="str">
        <f>HYPERLINK("capsilon://?command=openfolder&amp;siteaddress=FAM.docvelocity-na8.net&amp;folderid=FX0DD13C16-E5AA-3CBF-1FD7-C1DD7C07967B","FX20122255")</f>
        <v>FX20122255</v>
      </c>
      <c r="F341" t="s">
        <v>19</v>
      </c>
      <c r="G341" t="s">
        <v>19</v>
      </c>
      <c r="H341" t="s">
        <v>82</v>
      </c>
      <c r="I341" t="s">
        <v>973</v>
      </c>
      <c r="J341">
        <v>45</v>
      </c>
      <c r="K341" t="s">
        <v>84</v>
      </c>
      <c r="L341" t="s">
        <v>85</v>
      </c>
      <c r="M341" t="s">
        <v>86</v>
      </c>
      <c r="N341">
        <v>3</v>
      </c>
      <c r="O341" s="1">
        <v>44203.410937499997</v>
      </c>
      <c r="P341" s="1">
        <v>44203.519918981481</v>
      </c>
      <c r="Q341">
        <v>8280</v>
      </c>
      <c r="R341">
        <v>1136</v>
      </c>
      <c r="S341" t="b">
        <v>0</v>
      </c>
      <c r="T341" t="s">
        <v>87</v>
      </c>
      <c r="U341" t="b">
        <v>0</v>
      </c>
      <c r="V341" t="s">
        <v>419</v>
      </c>
      <c r="W341" s="1">
        <v>44203.447638888887</v>
      </c>
      <c r="X341">
        <v>982</v>
      </c>
      <c r="Y341">
        <v>41</v>
      </c>
      <c r="Z341">
        <v>0</v>
      </c>
      <c r="AA341">
        <v>41</v>
      </c>
      <c r="AB341">
        <v>0</v>
      </c>
      <c r="AC341">
        <v>29</v>
      </c>
      <c r="AD341">
        <v>4</v>
      </c>
      <c r="AE341">
        <v>0</v>
      </c>
      <c r="AF341">
        <v>0</v>
      </c>
      <c r="AG341">
        <v>0</v>
      </c>
      <c r="AH341" t="s">
        <v>128</v>
      </c>
      <c r="AI341" s="1">
        <v>44203.491203703707</v>
      </c>
      <c r="AJ341">
        <v>150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4</v>
      </c>
      <c r="AQ341">
        <v>0</v>
      </c>
      <c r="AR341">
        <v>0</v>
      </c>
      <c r="AS341">
        <v>0</v>
      </c>
      <c r="AT341" t="s">
        <v>90</v>
      </c>
      <c r="AU341" s="1">
        <v>44203.519918981481</v>
      </c>
      <c r="AV341">
        <v>4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4</v>
      </c>
      <c r="BC341">
        <v>0</v>
      </c>
      <c r="BD341">
        <v>0</v>
      </c>
      <c r="BE341">
        <v>0</v>
      </c>
    </row>
    <row r="342" spans="1:57" x14ac:dyDescent="0.45">
      <c r="A342" t="s">
        <v>974</v>
      </c>
      <c r="B342" t="s">
        <v>79</v>
      </c>
      <c r="C342" t="s">
        <v>975</v>
      </c>
      <c r="D342" t="s">
        <v>81</v>
      </c>
      <c r="E342" s="2" t="str">
        <f>HYPERLINK("capsilon://?command=openfolder&amp;siteaddress=FAM.docvelocity-na8.net&amp;folderid=FXE3AF8C70-F826-8848-C554-38812274F633","FX201226184")</f>
        <v>FX201226184</v>
      </c>
      <c r="F342" t="s">
        <v>19</v>
      </c>
      <c r="G342" t="s">
        <v>19</v>
      </c>
      <c r="H342" t="s">
        <v>82</v>
      </c>
      <c r="I342" t="s">
        <v>976</v>
      </c>
      <c r="J342">
        <v>38</v>
      </c>
      <c r="K342" t="s">
        <v>84</v>
      </c>
      <c r="L342" t="s">
        <v>85</v>
      </c>
      <c r="M342" t="s">
        <v>86</v>
      </c>
      <c r="N342">
        <v>3</v>
      </c>
      <c r="O342" s="1">
        <v>44203.413576388892</v>
      </c>
      <c r="P342" s="1">
        <v>44203.519988425927</v>
      </c>
      <c r="Q342">
        <v>8348</v>
      </c>
      <c r="R342">
        <v>846</v>
      </c>
      <c r="S342" t="b">
        <v>0</v>
      </c>
      <c r="T342" t="s">
        <v>87</v>
      </c>
      <c r="U342" t="b">
        <v>0</v>
      </c>
      <c r="V342" t="s">
        <v>160</v>
      </c>
      <c r="W342" s="1">
        <v>44203.448946759258</v>
      </c>
      <c r="X342">
        <v>759</v>
      </c>
      <c r="Y342">
        <v>37</v>
      </c>
      <c r="Z342">
        <v>0</v>
      </c>
      <c r="AA342">
        <v>37</v>
      </c>
      <c r="AB342">
        <v>0</v>
      </c>
      <c r="AC342">
        <v>35</v>
      </c>
      <c r="AD342">
        <v>1</v>
      </c>
      <c r="AE342">
        <v>0</v>
      </c>
      <c r="AF342">
        <v>0</v>
      </c>
      <c r="AG342">
        <v>0</v>
      </c>
      <c r="AH342" t="s">
        <v>267</v>
      </c>
      <c r="AI342" s="1">
        <v>44203.490416666667</v>
      </c>
      <c r="AJ342">
        <v>82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 t="s">
        <v>90</v>
      </c>
      <c r="AU342" s="1">
        <v>44203.519988425927</v>
      </c>
      <c r="AV342">
        <v>5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</row>
    <row r="343" spans="1:57" x14ac:dyDescent="0.45">
      <c r="A343" t="s">
        <v>977</v>
      </c>
      <c r="B343" t="s">
        <v>79</v>
      </c>
      <c r="C343" t="s">
        <v>944</v>
      </c>
      <c r="D343" t="s">
        <v>81</v>
      </c>
      <c r="E343" s="2" t="str">
        <f>HYPERLINK("capsilon://?command=openfolder&amp;siteaddress=FAM.docvelocity-na8.net&amp;folderid=FX1F93A92A-E712-BB41-A8EB-5D1B16F40246","FX201223168")</f>
        <v>FX201223168</v>
      </c>
      <c r="F343" t="s">
        <v>19</v>
      </c>
      <c r="G343" t="s">
        <v>19</v>
      </c>
      <c r="H343" t="s">
        <v>82</v>
      </c>
      <c r="I343" t="s">
        <v>978</v>
      </c>
      <c r="J343">
        <v>38</v>
      </c>
      <c r="K343" t="s">
        <v>84</v>
      </c>
      <c r="L343" t="s">
        <v>85</v>
      </c>
      <c r="M343" t="s">
        <v>86</v>
      </c>
      <c r="N343">
        <v>3</v>
      </c>
      <c r="O343" s="1">
        <v>44203.415590277778</v>
      </c>
      <c r="P343" s="1">
        <v>44203.520057870373</v>
      </c>
      <c r="Q343">
        <v>7923</v>
      </c>
      <c r="R343">
        <v>1103</v>
      </c>
      <c r="S343" t="b">
        <v>0</v>
      </c>
      <c r="T343" t="s">
        <v>87</v>
      </c>
      <c r="U343" t="b">
        <v>0</v>
      </c>
      <c r="V343" t="s">
        <v>112</v>
      </c>
      <c r="W343" s="1">
        <v>44203.452511574076</v>
      </c>
      <c r="X343">
        <v>1020</v>
      </c>
      <c r="Y343">
        <v>37</v>
      </c>
      <c r="Z343">
        <v>0</v>
      </c>
      <c r="AA343">
        <v>37</v>
      </c>
      <c r="AB343">
        <v>0</v>
      </c>
      <c r="AC343">
        <v>36</v>
      </c>
      <c r="AD343">
        <v>1</v>
      </c>
      <c r="AE343">
        <v>0</v>
      </c>
      <c r="AF343">
        <v>0</v>
      </c>
      <c r="AG343">
        <v>0</v>
      </c>
      <c r="AH343" t="s">
        <v>267</v>
      </c>
      <c r="AI343" s="1">
        <v>44203.491319444445</v>
      </c>
      <c r="AJ343">
        <v>77</v>
      </c>
      <c r="AK343">
        <v>2</v>
      </c>
      <c r="AL343">
        <v>0</v>
      </c>
      <c r="AM343">
        <v>2</v>
      </c>
      <c r="AN343">
        <v>0</v>
      </c>
      <c r="AO343">
        <v>1</v>
      </c>
      <c r="AP343">
        <v>-1</v>
      </c>
      <c r="AQ343">
        <v>0</v>
      </c>
      <c r="AR343">
        <v>0</v>
      </c>
      <c r="AS343">
        <v>0</v>
      </c>
      <c r="AT343" t="s">
        <v>90</v>
      </c>
      <c r="AU343" s="1">
        <v>44203.520057870373</v>
      </c>
      <c r="AV343">
        <v>6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-1</v>
      </c>
      <c r="BC343">
        <v>0</v>
      </c>
      <c r="BD343">
        <v>0</v>
      </c>
      <c r="BE343">
        <v>0</v>
      </c>
    </row>
    <row r="344" spans="1:57" x14ac:dyDescent="0.45">
      <c r="A344" t="s">
        <v>979</v>
      </c>
      <c r="B344" t="s">
        <v>79</v>
      </c>
      <c r="C344" t="s">
        <v>980</v>
      </c>
      <c r="D344" t="s">
        <v>81</v>
      </c>
      <c r="E344" s="2" t="str">
        <f>HYPERLINK("capsilon://?command=openfolder&amp;siteaddress=FAM.docvelocity-na8.net&amp;folderid=FX88E79DC1-11E1-8934-EA03-3CAC9FBB0112","FX20123051")</f>
        <v>FX20123051</v>
      </c>
      <c r="F344" t="s">
        <v>19</v>
      </c>
      <c r="G344" t="s">
        <v>19</v>
      </c>
      <c r="H344" t="s">
        <v>82</v>
      </c>
      <c r="I344" t="s">
        <v>981</v>
      </c>
      <c r="J344">
        <v>31</v>
      </c>
      <c r="K344" t="s">
        <v>84</v>
      </c>
      <c r="L344" t="s">
        <v>85</v>
      </c>
      <c r="M344" t="s">
        <v>86</v>
      </c>
      <c r="N344">
        <v>3</v>
      </c>
      <c r="O344" s="1">
        <v>44203.416701388887</v>
      </c>
      <c r="P344" s="1">
        <v>44203.525046296294</v>
      </c>
      <c r="Q344">
        <v>7653</v>
      </c>
      <c r="R344">
        <v>1708</v>
      </c>
      <c r="S344" t="b">
        <v>0</v>
      </c>
      <c r="T344" t="s">
        <v>87</v>
      </c>
      <c r="U344" t="b">
        <v>0</v>
      </c>
      <c r="V344" t="s">
        <v>98</v>
      </c>
      <c r="W344" s="1">
        <v>44203.453587962962</v>
      </c>
      <c r="X344">
        <v>1078</v>
      </c>
      <c r="Y344">
        <v>58</v>
      </c>
      <c r="Z344">
        <v>0</v>
      </c>
      <c r="AA344">
        <v>58</v>
      </c>
      <c r="AB344">
        <v>0</v>
      </c>
      <c r="AC344">
        <v>37</v>
      </c>
      <c r="AD344">
        <v>-27</v>
      </c>
      <c r="AE344">
        <v>0</v>
      </c>
      <c r="AF344">
        <v>0</v>
      </c>
      <c r="AG344">
        <v>0</v>
      </c>
      <c r="AH344" t="s">
        <v>128</v>
      </c>
      <c r="AI344" s="1">
        <v>44203.493518518517</v>
      </c>
      <c r="AJ344">
        <v>199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-27</v>
      </c>
      <c r="AQ344">
        <v>0</v>
      </c>
      <c r="AR344">
        <v>0</v>
      </c>
      <c r="AS344">
        <v>0</v>
      </c>
      <c r="AT344" t="s">
        <v>90</v>
      </c>
      <c r="AU344" s="1">
        <v>44203.525046296294</v>
      </c>
      <c r="AV344">
        <v>431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-27</v>
      </c>
      <c r="BC344">
        <v>0</v>
      </c>
      <c r="BD344">
        <v>0</v>
      </c>
      <c r="BE344">
        <v>0</v>
      </c>
    </row>
    <row r="345" spans="1:57" x14ac:dyDescent="0.45">
      <c r="A345" t="s">
        <v>982</v>
      </c>
      <c r="B345" t="s">
        <v>79</v>
      </c>
      <c r="C345" t="s">
        <v>980</v>
      </c>
      <c r="D345" t="s">
        <v>81</v>
      </c>
      <c r="E345" s="2" t="str">
        <f>HYPERLINK("capsilon://?command=openfolder&amp;siteaddress=FAM.docvelocity-na8.net&amp;folderid=FX88E79DC1-11E1-8934-EA03-3CAC9FBB0112","FX20123051")</f>
        <v>FX20123051</v>
      </c>
      <c r="F345" t="s">
        <v>19</v>
      </c>
      <c r="G345" t="s">
        <v>19</v>
      </c>
      <c r="H345" t="s">
        <v>82</v>
      </c>
      <c r="I345" t="s">
        <v>983</v>
      </c>
      <c r="J345">
        <v>31</v>
      </c>
      <c r="K345" t="s">
        <v>84</v>
      </c>
      <c r="L345" t="s">
        <v>85</v>
      </c>
      <c r="M345" t="s">
        <v>86</v>
      </c>
      <c r="N345">
        <v>3</v>
      </c>
      <c r="O345" s="1">
        <v>44203.417523148149</v>
      </c>
      <c r="P345" s="1">
        <v>44203.525092592594</v>
      </c>
      <c r="Q345">
        <v>7282</v>
      </c>
      <c r="R345">
        <v>2012</v>
      </c>
      <c r="S345" t="b">
        <v>0</v>
      </c>
      <c r="T345" t="s">
        <v>87</v>
      </c>
      <c r="U345" t="b">
        <v>0</v>
      </c>
      <c r="V345" t="s">
        <v>105</v>
      </c>
      <c r="W345" s="1">
        <v>44203.463240740741</v>
      </c>
      <c r="X345">
        <v>1877</v>
      </c>
      <c r="Y345">
        <v>58</v>
      </c>
      <c r="Z345">
        <v>0</v>
      </c>
      <c r="AA345">
        <v>58</v>
      </c>
      <c r="AB345">
        <v>0</v>
      </c>
      <c r="AC345">
        <v>46</v>
      </c>
      <c r="AD345">
        <v>-27</v>
      </c>
      <c r="AE345">
        <v>0</v>
      </c>
      <c r="AF345">
        <v>0</v>
      </c>
      <c r="AG345">
        <v>0</v>
      </c>
      <c r="AH345" t="s">
        <v>267</v>
      </c>
      <c r="AI345" s="1">
        <v>44203.492858796293</v>
      </c>
      <c r="AJ345">
        <v>132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-27</v>
      </c>
      <c r="AQ345">
        <v>0</v>
      </c>
      <c r="AR345">
        <v>0</v>
      </c>
      <c r="AS345">
        <v>0</v>
      </c>
      <c r="AT345" t="s">
        <v>90</v>
      </c>
      <c r="AU345" s="1">
        <v>44203.525092592594</v>
      </c>
      <c r="AV345">
        <v>3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-27</v>
      </c>
      <c r="BC345">
        <v>0</v>
      </c>
      <c r="BD345">
        <v>0</v>
      </c>
      <c r="BE345">
        <v>0</v>
      </c>
    </row>
    <row r="346" spans="1:57" x14ac:dyDescent="0.45">
      <c r="A346" t="s">
        <v>984</v>
      </c>
      <c r="B346" t="s">
        <v>79</v>
      </c>
      <c r="C346" t="s">
        <v>717</v>
      </c>
      <c r="D346" t="s">
        <v>81</v>
      </c>
      <c r="E346" s="2" t="str">
        <f>HYPERLINK("capsilon://?command=openfolder&amp;siteaddress=FAM.docvelocity-na8.net&amp;folderid=FX32E1B3EC-F6FF-50E9-8A4F-7ECCA3572469","FX201221295")</f>
        <v>FX201221295</v>
      </c>
      <c r="F346" t="s">
        <v>19</v>
      </c>
      <c r="G346" t="s">
        <v>19</v>
      </c>
      <c r="H346" t="s">
        <v>82</v>
      </c>
      <c r="I346" t="s">
        <v>985</v>
      </c>
      <c r="J346">
        <v>62</v>
      </c>
      <c r="K346" t="s">
        <v>84</v>
      </c>
      <c r="L346" t="s">
        <v>85</v>
      </c>
      <c r="M346" t="s">
        <v>86</v>
      </c>
      <c r="N346">
        <v>3</v>
      </c>
      <c r="O346" s="1">
        <v>44203.418078703704</v>
      </c>
      <c r="P346" s="1">
        <v>44203.526180555556</v>
      </c>
      <c r="Q346">
        <v>6940</v>
      </c>
      <c r="R346">
        <v>2400</v>
      </c>
      <c r="S346" t="b">
        <v>0</v>
      </c>
      <c r="T346" t="s">
        <v>87</v>
      </c>
      <c r="U346" t="b">
        <v>0</v>
      </c>
      <c r="V346" t="s">
        <v>146</v>
      </c>
      <c r="W346" s="1">
        <v>44203.46466435185</v>
      </c>
      <c r="X346">
        <v>1710</v>
      </c>
      <c r="Y346">
        <v>61</v>
      </c>
      <c r="Z346">
        <v>0</v>
      </c>
      <c r="AA346">
        <v>61</v>
      </c>
      <c r="AB346">
        <v>0</v>
      </c>
      <c r="AC346">
        <v>45</v>
      </c>
      <c r="AD346">
        <v>1</v>
      </c>
      <c r="AE346">
        <v>0</v>
      </c>
      <c r="AF346">
        <v>0</v>
      </c>
      <c r="AG346">
        <v>0</v>
      </c>
      <c r="AH346" t="s">
        <v>89</v>
      </c>
      <c r="AI346" s="1">
        <v>44203.498877314814</v>
      </c>
      <c r="AJ346">
        <v>597</v>
      </c>
      <c r="AK346">
        <v>2</v>
      </c>
      <c r="AL346">
        <v>0</v>
      </c>
      <c r="AM346">
        <v>2</v>
      </c>
      <c r="AN346">
        <v>0</v>
      </c>
      <c r="AO346">
        <v>1</v>
      </c>
      <c r="AP346">
        <v>-1</v>
      </c>
      <c r="AQ346">
        <v>0</v>
      </c>
      <c r="AR346">
        <v>0</v>
      </c>
      <c r="AS346">
        <v>0</v>
      </c>
      <c r="AT346" t="s">
        <v>90</v>
      </c>
      <c r="AU346" s="1">
        <v>44203.526180555556</v>
      </c>
      <c r="AV346">
        <v>93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-1</v>
      </c>
      <c r="BC346">
        <v>0</v>
      </c>
      <c r="BD346">
        <v>0</v>
      </c>
      <c r="BE346">
        <v>0</v>
      </c>
    </row>
    <row r="347" spans="1:57" x14ac:dyDescent="0.45">
      <c r="A347" t="s">
        <v>986</v>
      </c>
      <c r="B347" t="s">
        <v>79</v>
      </c>
      <c r="C347" t="s">
        <v>987</v>
      </c>
      <c r="D347" t="s">
        <v>81</v>
      </c>
      <c r="E347" s="2" t="str">
        <f>HYPERLINK("capsilon://?command=openfolder&amp;siteaddress=FAM.docvelocity-na8.net&amp;folderid=FXE132B6D1-4196-418E-93CB-5D6B26D339B4","FX21011358")</f>
        <v>FX21011358</v>
      </c>
      <c r="F347" t="s">
        <v>19</v>
      </c>
      <c r="G347" t="s">
        <v>19</v>
      </c>
      <c r="H347" t="s">
        <v>82</v>
      </c>
      <c r="I347" t="s">
        <v>988</v>
      </c>
      <c r="J347">
        <v>481</v>
      </c>
      <c r="K347" t="s">
        <v>84</v>
      </c>
      <c r="L347" t="s">
        <v>85</v>
      </c>
      <c r="M347" t="s">
        <v>86</v>
      </c>
      <c r="N347">
        <v>3</v>
      </c>
      <c r="O347" s="1">
        <v>44203.425254629627</v>
      </c>
      <c r="P347" s="1">
        <v>44203.527094907404</v>
      </c>
      <c r="Q347">
        <v>5039</v>
      </c>
      <c r="R347">
        <v>3760</v>
      </c>
      <c r="S347" t="b">
        <v>0</v>
      </c>
      <c r="T347" t="s">
        <v>87</v>
      </c>
      <c r="U347" t="b">
        <v>0</v>
      </c>
      <c r="V347" t="s">
        <v>168</v>
      </c>
      <c r="W347" s="1">
        <v>44203.482048611113</v>
      </c>
      <c r="X347">
        <v>2798</v>
      </c>
      <c r="Y347">
        <v>298</v>
      </c>
      <c r="Z347">
        <v>0</v>
      </c>
      <c r="AA347">
        <v>298</v>
      </c>
      <c r="AB347">
        <v>0</v>
      </c>
      <c r="AC347">
        <v>68</v>
      </c>
      <c r="AD347">
        <v>183</v>
      </c>
      <c r="AE347">
        <v>0</v>
      </c>
      <c r="AF347">
        <v>0</v>
      </c>
      <c r="AG347">
        <v>0</v>
      </c>
      <c r="AH347" t="s">
        <v>267</v>
      </c>
      <c r="AI347" s="1">
        <v>44203.49895833333</v>
      </c>
      <c r="AJ347">
        <v>527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183</v>
      </c>
      <c r="AQ347">
        <v>0</v>
      </c>
      <c r="AR347">
        <v>0</v>
      </c>
      <c r="AS347">
        <v>0</v>
      </c>
      <c r="AT347" t="s">
        <v>90</v>
      </c>
      <c r="AU347" s="1">
        <v>44203.527094907404</v>
      </c>
      <c r="AV347">
        <v>78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183</v>
      </c>
      <c r="BC347">
        <v>0</v>
      </c>
      <c r="BD347">
        <v>0</v>
      </c>
      <c r="BE347">
        <v>0</v>
      </c>
    </row>
    <row r="348" spans="1:57" x14ac:dyDescent="0.45">
      <c r="A348" t="s">
        <v>989</v>
      </c>
      <c r="B348" t="s">
        <v>79</v>
      </c>
      <c r="C348" t="s">
        <v>990</v>
      </c>
      <c r="D348" t="s">
        <v>81</v>
      </c>
      <c r="E348" s="2" t="str">
        <f>HYPERLINK("capsilon://?command=openfolder&amp;siteaddress=FAM.docvelocity-na8.net&amp;folderid=FX53333E3F-36B5-80FA-3572-6398E05574D6","FX21012246")</f>
        <v>FX21012246</v>
      </c>
      <c r="F348" t="s">
        <v>19</v>
      </c>
      <c r="G348" t="s">
        <v>19</v>
      </c>
      <c r="H348" t="s">
        <v>82</v>
      </c>
      <c r="I348" t="s">
        <v>991</v>
      </c>
      <c r="J348">
        <v>219</v>
      </c>
      <c r="K348" t="s">
        <v>84</v>
      </c>
      <c r="L348" t="s">
        <v>85</v>
      </c>
      <c r="M348" t="s">
        <v>86</v>
      </c>
      <c r="N348">
        <v>3</v>
      </c>
      <c r="O348" s="1">
        <v>44203.428136574075</v>
      </c>
      <c r="P348" s="1">
        <v>44203.532222222224</v>
      </c>
      <c r="Q348">
        <v>5264</v>
      </c>
      <c r="R348">
        <v>3729</v>
      </c>
      <c r="S348" t="b">
        <v>0</v>
      </c>
      <c r="T348" t="s">
        <v>87</v>
      </c>
      <c r="U348" t="b">
        <v>0</v>
      </c>
      <c r="V348" t="s">
        <v>419</v>
      </c>
      <c r="W348" s="1">
        <v>44203.475648148145</v>
      </c>
      <c r="X348">
        <v>2420</v>
      </c>
      <c r="Y348">
        <v>193</v>
      </c>
      <c r="Z348">
        <v>0</v>
      </c>
      <c r="AA348">
        <v>193</v>
      </c>
      <c r="AB348">
        <v>0</v>
      </c>
      <c r="AC348">
        <v>58</v>
      </c>
      <c r="AD348">
        <v>26</v>
      </c>
      <c r="AE348">
        <v>0</v>
      </c>
      <c r="AF348">
        <v>0</v>
      </c>
      <c r="AG348">
        <v>0</v>
      </c>
      <c r="AH348" t="s">
        <v>128</v>
      </c>
      <c r="AI348" s="1">
        <v>44203.503564814811</v>
      </c>
      <c r="AJ348">
        <v>867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26</v>
      </c>
      <c r="AQ348">
        <v>0</v>
      </c>
      <c r="AR348">
        <v>0</v>
      </c>
      <c r="AS348">
        <v>0</v>
      </c>
      <c r="AT348" t="s">
        <v>90</v>
      </c>
      <c r="AU348" s="1">
        <v>44203.532222222224</v>
      </c>
      <c r="AV348">
        <v>442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26</v>
      </c>
      <c r="BC348">
        <v>0</v>
      </c>
      <c r="BD348">
        <v>0</v>
      </c>
      <c r="BE348">
        <v>0</v>
      </c>
    </row>
    <row r="349" spans="1:57" hidden="1" x14ac:dyDescent="0.45">
      <c r="A349" t="s">
        <v>992</v>
      </c>
      <c r="B349" t="s">
        <v>79</v>
      </c>
      <c r="C349" t="s">
        <v>993</v>
      </c>
      <c r="D349" t="s">
        <v>81</v>
      </c>
      <c r="E349" s="2" t="str">
        <f>HYPERLINK("capsilon://?command=openfolder&amp;siteaddress=FAM.docvelocity-na8.net&amp;folderid=FXC1539256-51E1-3CFA-52DF-51AE7A1AA08F","FX20106240")</f>
        <v>FX20106240</v>
      </c>
      <c r="F349" t="s">
        <v>19</v>
      </c>
      <c r="G349" t="s">
        <v>19</v>
      </c>
      <c r="H349" t="s">
        <v>82</v>
      </c>
      <c r="I349" t="s">
        <v>994</v>
      </c>
      <c r="J349">
        <v>526</v>
      </c>
      <c r="K349" t="s">
        <v>84</v>
      </c>
      <c r="L349" t="s">
        <v>85</v>
      </c>
      <c r="M349" t="s">
        <v>81</v>
      </c>
      <c r="N349">
        <v>1</v>
      </c>
      <c r="O349" s="1">
        <v>44203.42832175926</v>
      </c>
      <c r="P349" s="1">
        <v>44203.433831018519</v>
      </c>
      <c r="Q349">
        <v>257</v>
      </c>
      <c r="R349">
        <v>219</v>
      </c>
      <c r="S349" t="b">
        <v>0</v>
      </c>
      <c r="T349" t="s">
        <v>481</v>
      </c>
      <c r="U349" t="b">
        <v>0</v>
      </c>
      <c r="V349" t="s">
        <v>481</v>
      </c>
      <c r="W349" s="1">
        <v>44203.433831018519</v>
      </c>
      <c r="X349">
        <v>194</v>
      </c>
      <c r="Y349">
        <v>98</v>
      </c>
      <c r="Z349">
        <v>0</v>
      </c>
      <c r="AA349">
        <v>98</v>
      </c>
      <c r="AB349">
        <v>0</v>
      </c>
      <c r="AC349">
        <v>0</v>
      </c>
      <c r="AD349">
        <v>428</v>
      </c>
      <c r="AE349">
        <v>0</v>
      </c>
      <c r="AF349">
        <v>0</v>
      </c>
      <c r="AG349">
        <v>0</v>
      </c>
      <c r="AH349" t="s">
        <v>87</v>
      </c>
      <c r="AI349" t="s">
        <v>87</v>
      </c>
      <c r="AJ349" t="s">
        <v>87</v>
      </c>
      <c r="AK349" t="s">
        <v>87</v>
      </c>
      <c r="AL349" t="s">
        <v>87</v>
      </c>
      <c r="AM349" t="s">
        <v>87</v>
      </c>
      <c r="AN349" t="s">
        <v>87</v>
      </c>
      <c r="AO349" t="s">
        <v>87</v>
      </c>
      <c r="AP349" t="s">
        <v>87</v>
      </c>
      <c r="AQ349" t="s">
        <v>87</v>
      </c>
      <c r="AR349" t="s">
        <v>87</v>
      </c>
      <c r="AS349" t="s">
        <v>87</v>
      </c>
      <c r="AT349" t="s">
        <v>87</v>
      </c>
      <c r="AU349" t="s">
        <v>87</v>
      </c>
      <c r="AV349" t="s">
        <v>87</v>
      </c>
      <c r="AW349" t="s">
        <v>87</v>
      </c>
      <c r="AX349" t="s">
        <v>87</v>
      </c>
      <c r="AY349" t="s">
        <v>87</v>
      </c>
      <c r="AZ349" t="s">
        <v>87</v>
      </c>
      <c r="BA349" t="s">
        <v>87</v>
      </c>
      <c r="BB349" t="s">
        <v>87</v>
      </c>
      <c r="BC349" t="s">
        <v>87</v>
      </c>
      <c r="BD349" t="s">
        <v>87</v>
      </c>
      <c r="BE349" t="s">
        <v>87</v>
      </c>
    </row>
    <row r="350" spans="1:57" x14ac:dyDescent="0.45">
      <c r="A350" t="s">
        <v>995</v>
      </c>
      <c r="B350" t="s">
        <v>79</v>
      </c>
      <c r="C350" t="s">
        <v>996</v>
      </c>
      <c r="D350" t="s">
        <v>81</v>
      </c>
      <c r="E350" s="2" t="str">
        <f>HYPERLINK("capsilon://?command=openfolder&amp;siteaddress=FAM.docvelocity-na8.net&amp;folderid=FXCA26B44E-0785-DB28-BE55-5BBA5A8E6B30","FX21012278")</f>
        <v>FX21012278</v>
      </c>
      <c r="F350" t="s">
        <v>19</v>
      </c>
      <c r="G350" t="s">
        <v>19</v>
      </c>
      <c r="H350" t="s">
        <v>82</v>
      </c>
      <c r="I350" t="s">
        <v>997</v>
      </c>
      <c r="J350">
        <v>38</v>
      </c>
      <c r="K350" t="s">
        <v>84</v>
      </c>
      <c r="L350" t="s">
        <v>85</v>
      </c>
      <c r="M350" t="s">
        <v>86</v>
      </c>
      <c r="N350">
        <v>3</v>
      </c>
      <c r="O350" s="1">
        <v>44203.431284722225</v>
      </c>
      <c r="P350" s="1">
        <v>44203.532372685186</v>
      </c>
      <c r="Q350">
        <v>7939</v>
      </c>
      <c r="R350">
        <v>795</v>
      </c>
      <c r="S350" t="b">
        <v>0</v>
      </c>
      <c r="T350" t="s">
        <v>87</v>
      </c>
      <c r="U350" t="b">
        <v>0</v>
      </c>
      <c r="V350" t="s">
        <v>160</v>
      </c>
      <c r="W350" s="1">
        <v>44203.454953703702</v>
      </c>
      <c r="X350">
        <v>518</v>
      </c>
      <c r="Y350">
        <v>37</v>
      </c>
      <c r="Z350">
        <v>0</v>
      </c>
      <c r="AA350">
        <v>37</v>
      </c>
      <c r="AB350">
        <v>0</v>
      </c>
      <c r="AC350">
        <v>8</v>
      </c>
      <c r="AD350">
        <v>1</v>
      </c>
      <c r="AE350">
        <v>0</v>
      </c>
      <c r="AF350">
        <v>0</v>
      </c>
      <c r="AG350">
        <v>0</v>
      </c>
      <c r="AH350" t="s">
        <v>267</v>
      </c>
      <c r="AI350" s="1">
        <v>44203.502465277779</v>
      </c>
      <c r="AJ350">
        <v>64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 t="s">
        <v>90</v>
      </c>
      <c r="AU350" s="1">
        <v>44203.532372685186</v>
      </c>
      <c r="AV350">
        <v>13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</row>
    <row r="351" spans="1:57" hidden="1" x14ac:dyDescent="0.45">
      <c r="A351" t="s">
        <v>998</v>
      </c>
      <c r="B351" t="s">
        <v>79</v>
      </c>
      <c r="C351" t="s">
        <v>999</v>
      </c>
      <c r="D351" t="s">
        <v>81</v>
      </c>
      <c r="E351" s="2" t="str">
        <f>HYPERLINK("capsilon://?command=openfolder&amp;siteaddress=FAM.docvelocity-na8.net&amp;folderid=FX80FC2E78-FC95-BDEB-133B-E9001238FA75","FX20112040")</f>
        <v>FX20112040</v>
      </c>
      <c r="F351" t="s">
        <v>19</v>
      </c>
      <c r="G351" t="s">
        <v>19</v>
      </c>
      <c r="H351" t="s">
        <v>82</v>
      </c>
      <c r="I351" t="s">
        <v>1000</v>
      </c>
      <c r="J351">
        <v>66</v>
      </c>
      <c r="K351" t="s">
        <v>84</v>
      </c>
      <c r="L351" t="s">
        <v>85</v>
      </c>
      <c r="M351" t="s">
        <v>86</v>
      </c>
      <c r="N351">
        <v>3</v>
      </c>
      <c r="O351" s="1">
        <v>44203.432141203702</v>
      </c>
      <c r="P351" s="1">
        <v>44203.532407407409</v>
      </c>
      <c r="Q351">
        <v>8333</v>
      </c>
      <c r="R351">
        <v>330</v>
      </c>
      <c r="S351" t="b">
        <v>0</v>
      </c>
      <c r="T351" t="s">
        <v>87</v>
      </c>
      <c r="U351" t="b">
        <v>0</v>
      </c>
      <c r="V351" t="s">
        <v>171</v>
      </c>
      <c r="W351" s="1">
        <v>44203.454074074078</v>
      </c>
      <c r="X351">
        <v>301</v>
      </c>
      <c r="Y351">
        <v>0</v>
      </c>
      <c r="Z351">
        <v>0</v>
      </c>
      <c r="AA351">
        <v>0</v>
      </c>
      <c r="AB351">
        <v>52</v>
      </c>
      <c r="AC351">
        <v>0</v>
      </c>
      <c r="AD351">
        <v>66</v>
      </c>
      <c r="AE351">
        <v>0</v>
      </c>
      <c r="AF351">
        <v>0</v>
      </c>
      <c r="AG351">
        <v>0</v>
      </c>
      <c r="AH351" t="s">
        <v>267</v>
      </c>
      <c r="AI351" s="1">
        <v>44203.499282407407</v>
      </c>
      <c r="AJ351">
        <v>27</v>
      </c>
      <c r="AK351">
        <v>0</v>
      </c>
      <c r="AL351">
        <v>0</v>
      </c>
      <c r="AM351">
        <v>0</v>
      </c>
      <c r="AN351">
        <v>52</v>
      </c>
      <c r="AO351">
        <v>0</v>
      </c>
      <c r="AP351">
        <v>66</v>
      </c>
      <c r="AQ351">
        <v>0</v>
      </c>
      <c r="AR351">
        <v>0</v>
      </c>
      <c r="AS351">
        <v>0</v>
      </c>
      <c r="AT351" t="s">
        <v>90</v>
      </c>
      <c r="AU351" s="1">
        <v>44203.532407407409</v>
      </c>
      <c r="AV351">
        <v>2</v>
      </c>
      <c r="AW351">
        <v>0</v>
      </c>
      <c r="AX351">
        <v>0</v>
      </c>
      <c r="AY351">
        <v>0</v>
      </c>
      <c r="AZ351">
        <v>52</v>
      </c>
      <c r="BA351">
        <v>0</v>
      </c>
      <c r="BB351">
        <v>66</v>
      </c>
      <c r="BC351">
        <v>0</v>
      </c>
      <c r="BD351">
        <v>0</v>
      </c>
      <c r="BE351">
        <v>0</v>
      </c>
    </row>
    <row r="352" spans="1:57" hidden="1" x14ac:dyDescent="0.45">
      <c r="A352" t="s">
        <v>1001</v>
      </c>
      <c r="B352" t="s">
        <v>79</v>
      </c>
      <c r="C352" t="s">
        <v>1002</v>
      </c>
      <c r="D352" t="s">
        <v>81</v>
      </c>
      <c r="E352" s="2" t="str">
        <f>HYPERLINK("capsilon://?command=openfolder&amp;siteaddress=FAM.docvelocity-na8.net&amp;folderid=FX987774A7-2F26-CFD7-92EF-864116928DB6","FX201114507")</f>
        <v>FX201114507</v>
      </c>
      <c r="F352" t="s">
        <v>19</v>
      </c>
      <c r="G352" t="s">
        <v>19</v>
      </c>
      <c r="H352" t="s">
        <v>82</v>
      </c>
      <c r="I352" t="s">
        <v>1003</v>
      </c>
      <c r="J352">
        <v>66</v>
      </c>
      <c r="K352" t="s">
        <v>84</v>
      </c>
      <c r="L352" t="s">
        <v>85</v>
      </c>
      <c r="M352" t="s">
        <v>86</v>
      </c>
      <c r="N352">
        <v>3</v>
      </c>
      <c r="O352" s="1">
        <v>44203.432743055557</v>
      </c>
      <c r="P352" s="1">
        <v>44203.532442129632</v>
      </c>
      <c r="Q352">
        <v>8224</v>
      </c>
      <c r="R352">
        <v>390</v>
      </c>
      <c r="S352" t="b">
        <v>0</v>
      </c>
      <c r="T352" t="s">
        <v>87</v>
      </c>
      <c r="U352" t="b">
        <v>0</v>
      </c>
      <c r="V352" t="s">
        <v>919</v>
      </c>
      <c r="W352" s="1">
        <v>44203.455821759257</v>
      </c>
      <c r="X352">
        <v>368</v>
      </c>
      <c r="Y352">
        <v>0</v>
      </c>
      <c r="Z352">
        <v>0</v>
      </c>
      <c r="AA352">
        <v>0</v>
      </c>
      <c r="AB352">
        <v>52</v>
      </c>
      <c r="AC352">
        <v>0</v>
      </c>
      <c r="AD352">
        <v>66</v>
      </c>
      <c r="AE352">
        <v>0</v>
      </c>
      <c r="AF352">
        <v>0</v>
      </c>
      <c r="AG352">
        <v>0</v>
      </c>
      <c r="AH352" t="s">
        <v>267</v>
      </c>
      <c r="AI352" s="1">
        <v>44203.499525462961</v>
      </c>
      <c r="AJ352">
        <v>20</v>
      </c>
      <c r="AK352">
        <v>0</v>
      </c>
      <c r="AL352">
        <v>0</v>
      </c>
      <c r="AM352">
        <v>0</v>
      </c>
      <c r="AN352">
        <v>52</v>
      </c>
      <c r="AO352">
        <v>0</v>
      </c>
      <c r="AP352">
        <v>66</v>
      </c>
      <c r="AQ352">
        <v>0</v>
      </c>
      <c r="AR352">
        <v>0</v>
      </c>
      <c r="AS352">
        <v>0</v>
      </c>
      <c r="AT352" t="s">
        <v>90</v>
      </c>
      <c r="AU352" s="1">
        <v>44203.532442129632</v>
      </c>
      <c r="AV352">
        <v>2</v>
      </c>
      <c r="AW352">
        <v>0</v>
      </c>
      <c r="AX352">
        <v>0</v>
      </c>
      <c r="AY352">
        <v>0</v>
      </c>
      <c r="AZ352">
        <v>52</v>
      </c>
      <c r="BA352">
        <v>0</v>
      </c>
      <c r="BB352">
        <v>66</v>
      </c>
      <c r="BC352">
        <v>0</v>
      </c>
      <c r="BD352">
        <v>0</v>
      </c>
      <c r="BE352">
        <v>0</v>
      </c>
    </row>
    <row r="353" spans="1:57" x14ac:dyDescent="0.45">
      <c r="A353" t="s">
        <v>1004</v>
      </c>
      <c r="B353" t="s">
        <v>79</v>
      </c>
      <c r="C353" t="s">
        <v>1005</v>
      </c>
      <c r="D353" t="s">
        <v>81</v>
      </c>
      <c r="E353" s="2" t="str">
        <f>HYPERLINK("capsilon://?command=openfolder&amp;siteaddress=FAM.docvelocity-na8.net&amp;folderid=FX836E887D-ECBE-2239-A001-FA55C8B72D39","FX201228309")</f>
        <v>FX201228309</v>
      </c>
      <c r="F353" t="s">
        <v>19</v>
      </c>
      <c r="G353" t="s">
        <v>19</v>
      </c>
      <c r="H353" t="s">
        <v>82</v>
      </c>
      <c r="I353" t="s">
        <v>1006</v>
      </c>
      <c r="J353">
        <v>281</v>
      </c>
      <c r="K353" t="s">
        <v>84</v>
      </c>
      <c r="L353" t="s">
        <v>85</v>
      </c>
      <c r="M353" t="s">
        <v>86</v>
      </c>
      <c r="N353">
        <v>3</v>
      </c>
      <c r="O353" s="1">
        <v>44200.43644675926</v>
      </c>
      <c r="P353" s="1">
        <v>44200.512974537036</v>
      </c>
      <c r="Q353">
        <v>1027</v>
      </c>
      <c r="R353">
        <v>5585</v>
      </c>
      <c r="S353" t="b">
        <v>0</v>
      </c>
      <c r="T353" t="s">
        <v>87</v>
      </c>
      <c r="U353" t="b">
        <v>0</v>
      </c>
      <c r="V353" t="s">
        <v>419</v>
      </c>
      <c r="W353" s="1">
        <v>44200.494016203702</v>
      </c>
      <c r="X353">
        <v>4450</v>
      </c>
      <c r="Y353">
        <v>268</v>
      </c>
      <c r="Z353">
        <v>0</v>
      </c>
      <c r="AA353">
        <v>268</v>
      </c>
      <c r="AB353">
        <v>0</v>
      </c>
      <c r="AC353">
        <v>138</v>
      </c>
      <c r="AD353">
        <v>13</v>
      </c>
      <c r="AE353">
        <v>0</v>
      </c>
      <c r="AF353">
        <v>0</v>
      </c>
      <c r="AG353">
        <v>0</v>
      </c>
      <c r="AH353" t="s">
        <v>267</v>
      </c>
      <c r="AI353" s="1">
        <v>44200.51190972222</v>
      </c>
      <c r="AJ353">
        <v>1092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13</v>
      </c>
      <c r="AQ353">
        <v>0</v>
      </c>
      <c r="AR353">
        <v>0</v>
      </c>
      <c r="AS353">
        <v>0</v>
      </c>
      <c r="AT353" t="s">
        <v>90</v>
      </c>
      <c r="AU353" s="1">
        <v>44200.512974537036</v>
      </c>
      <c r="AV353">
        <v>43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13</v>
      </c>
      <c r="BC353">
        <v>0</v>
      </c>
      <c r="BD353">
        <v>0</v>
      </c>
      <c r="BE353">
        <v>0</v>
      </c>
    </row>
    <row r="354" spans="1:57" x14ac:dyDescent="0.45">
      <c r="A354" t="s">
        <v>1007</v>
      </c>
      <c r="B354" t="s">
        <v>79</v>
      </c>
      <c r="C354" t="s">
        <v>1008</v>
      </c>
      <c r="D354" t="s">
        <v>81</v>
      </c>
      <c r="E354" s="2" t="str">
        <f>HYPERLINK("capsilon://?command=openfolder&amp;siteaddress=FAM.docvelocity-na8.net&amp;folderid=FX8B229F9D-25EA-922E-8625-A16F93D39D87","FX210174")</f>
        <v>FX210174</v>
      </c>
      <c r="F354" t="s">
        <v>19</v>
      </c>
      <c r="G354" t="s">
        <v>19</v>
      </c>
      <c r="H354" t="s">
        <v>82</v>
      </c>
      <c r="I354" t="s">
        <v>1009</v>
      </c>
      <c r="J354">
        <v>66</v>
      </c>
      <c r="K354" t="s">
        <v>84</v>
      </c>
      <c r="L354" t="s">
        <v>85</v>
      </c>
      <c r="M354" t="s">
        <v>86</v>
      </c>
      <c r="N354">
        <v>3</v>
      </c>
      <c r="O354" s="1">
        <v>44203.436840277776</v>
      </c>
      <c r="P354" s="1">
        <v>44203.55</v>
      </c>
      <c r="Q354">
        <v>6811</v>
      </c>
      <c r="R354">
        <v>2966</v>
      </c>
      <c r="S354" t="b">
        <v>0</v>
      </c>
      <c r="T354" t="s">
        <v>87</v>
      </c>
      <c r="U354" t="b">
        <v>0</v>
      </c>
      <c r="V354" t="s">
        <v>112</v>
      </c>
      <c r="W354" s="1">
        <v>44203.467418981483</v>
      </c>
      <c r="X354">
        <v>1288</v>
      </c>
      <c r="Y354">
        <v>52</v>
      </c>
      <c r="Z354">
        <v>0</v>
      </c>
      <c r="AA354">
        <v>52</v>
      </c>
      <c r="AB354">
        <v>0</v>
      </c>
      <c r="AC354">
        <v>24</v>
      </c>
      <c r="AD354">
        <v>14</v>
      </c>
      <c r="AE354">
        <v>0</v>
      </c>
      <c r="AF354">
        <v>0</v>
      </c>
      <c r="AG354">
        <v>0</v>
      </c>
      <c r="AH354" t="s">
        <v>267</v>
      </c>
      <c r="AI354" s="1">
        <v>44203.501712962963</v>
      </c>
      <c r="AJ354">
        <v>188</v>
      </c>
      <c r="AK354">
        <v>2</v>
      </c>
      <c r="AL354">
        <v>0</v>
      </c>
      <c r="AM354">
        <v>2</v>
      </c>
      <c r="AN354">
        <v>0</v>
      </c>
      <c r="AO354">
        <v>1</v>
      </c>
      <c r="AP354">
        <v>12</v>
      </c>
      <c r="AQ354">
        <v>0</v>
      </c>
      <c r="AR354">
        <v>0</v>
      </c>
      <c r="AS354">
        <v>0</v>
      </c>
      <c r="AT354" t="s">
        <v>90</v>
      </c>
      <c r="AU354" s="1">
        <v>44203.55</v>
      </c>
      <c r="AV354">
        <v>20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12</v>
      </c>
      <c r="BC354">
        <v>0</v>
      </c>
      <c r="BD354">
        <v>0</v>
      </c>
      <c r="BE354">
        <v>0</v>
      </c>
    </row>
    <row r="355" spans="1:57" x14ac:dyDescent="0.45">
      <c r="A355" t="s">
        <v>1010</v>
      </c>
      <c r="B355" t="s">
        <v>79</v>
      </c>
      <c r="C355" t="s">
        <v>1011</v>
      </c>
      <c r="D355" t="s">
        <v>81</v>
      </c>
      <c r="E355" s="2" t="str">
        <f>HYPERLINK("capsilon://?command=openfolder&amp;siteaddress=FAM.docvelocity-na8.net&amp;folderid=FX5DA0394A-8F4A-EF62-AF6D-AC34F1946013","FX21012658")</f>
        <v>FX21012658</v>
      </c>
      <c r="F355" t="s">
        <v>19</v>
      </c>
      <c r="G355" t="s">
        <v>19</v>
      </c>
      <c r="H355" t="s">
        <v>82</v>
      </c>
      <c r="I355" t="s">
        <v>1012</v>
      </c>
      <c r="J355">
        <v>169</v>
      </c>
      <c r="K355" t="s">
        <v>84</v>
      </c>
      <c r="L355" t="s">
        <v>85</v>
      </c>
      <c r="M355" t="s">
        <v>86</v>
      </c>
      <c r="N355">
        <v>3</v>
      </c>
      <c r="O355" s="1">
        <v>44203.437731481485</v>
      </c>
      <c r="P355" s="1">
        <v>44203.551064814812</v>
      </c>
      <c r="Q355">
        <v>7181</v>
      </c>
      <c r="R355">
        <v>2611</v>
      </c>
      <c r="S355" t="b">
        <v>0</v>
      </c>
      <c r="T355" t="s">
        <v>87</v>
      </c>
      <c r="U355" t="b">
        <v>0</v>
      </c>
      <c r="V355" t="s">
        <v>98</v>
      </c>
      <c r="W355" s="1">
        <v>44203.476979166669</v>
      </c>
      <c r="X355">
        <v>2020</v>
      </c>
      <c r="Y355">
        <v>160</v>
      </c>
      <c r="Z355">
        <v>0</v>
      </c>
      <c r="AA355">
        <v>160</v>
      </c>
      <c r="AB355">
        <v>0</v>
      </c>
      <c r="AC355">
        <v>123</v>
      </c>
      <c r="AD355">
        <v>9</v>
      </c>
      <c r="AE355">
        <v>0</v>
      </c>
      <c r="AF355">
        <v>0</v>
      </c>
      <c r="AG355">
        <v>0</v>
      </c>
      <c r="AH355" t="s">
        <v>267</v>
      </c>
      <c r="AI355" s="1">
        <v>44203.508263888885</v>
      </c>
      <c r="AJ355">
        <v>500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9</v>
      </c>
      <c r="AQ355">
        <v>0</v>
      </c>
      <c r="AR355">
        <v>0</v>
      </c>
      <c r="AS355">
        <v>0</v>
      </c>
      <c r="AT355" t="s">
        <v>90</v>
      </c>
      <c r="AU355" s="1">
        <v>44203.551064814812</v>
      </c>
      <c r="AV355">
        <v>91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9</v>
      </c>
      <c r="BC355">
        <v>0</v>
      </c>
      <c r="BD355">
        <v>0</v>
      </c>
      <c r="BE355">
        <v>0</v>
      </c>
    </row>
    <row r="356" spans="1:57" x14ac:dyDescent="0.45">
      <c r="A356" t="s">
        <v>1013</v>
      </c>
      <c r="B356" t="s">
        <v>79</v>
      </c>
      <c r="C356" t="s">
        <v>717</v>
      </c>
      <c r="D356" t="s">
        <v>81</v>
      </c>
      <c r="E356" s="2" t="str">
        <f>HYPERLINK("capsilon://?command=openfolder&amp;siteaddress=FAM.docvelocity-na8.net&amp;folderid=FX32E1B3EC-F6FF-50E9-8A4F-7ECCA3572469","FX201221295")</f>
        <v>FX201221295</v>
      </c>
      <c r="F356" t="s">
        <v>19</v>
      </c>
      <c r="G356" t="s">
        <v>19</v>
      </c>
      <c r="H356" t="s">
        <v>82</v>
      </c>
      <c r="I356" t="s">
        <v>1014</v>
      </c>
      <c r="J356">
        <v>65</v>
      </c>
      <c r="K356" t="s">
        <v>84</v>
      </c>
      <c r="L356" t="s">
        <v>85</v>
      </c>
      <c r="M356" t="s">
        <v>86</v>
      </c>
      <c r="N356">
        <v>3</v>
      </c>
      <c r="O356" s="1">
        <v>44203.438113425924</v>
      </c>
      <c r="P356" s="1">
        <v>44203.554120370369</v>
      </c>
      <c r="Q356">
        <v>7622</v>
      </c>
      <c r="R356">
        <v>2401</v>
      </c>
      <c r="S356" t="b">
        <v>0</v>
      </c>
      <c r="T356" t="s">
        <v>87</v>
      </c>
      <c r="U356" t="b">
        <v>0</v>
      </c>
      <c r="V356" t="s">
        <v>171</v>
      </c>
      <c r="W356" s="1">
        <v>44203.474212962959</v>
      </c>
      <c r="X356">
        <v>1739</v>
      </c>
      <c r="Y356">
        <v>53</v>
      </c>
      <c r="Z356">
        <v>0</v>
      </c>
      <c r="AA356">
        <v>53</v>
      </c>
      <c r="AB356">
        <v>0</v>
      </c>
      <c r="AC356">
        <v>30</v>
      </c>
      <c r="AD356">
        <v>12</v>
      </c>
      <c r="AE356">
        <v>0</v>
      </c>
      <c r="AF356">
        <v>0</v>
      </c>
      <c r="AG356">
        <v>0</v>
      </c>
      <c r="AH356" t="s">
        <v>89</v>
      </c>
      <c r="AI356" s="1">
        <v>44203.507662037038</v>
      </c>
      <c r="AJ356">
        <v>399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12</v>
      </c>
      <c r="AQ356">
        <v>0</v>
      </c>
      <c r="AR356">
        <v>0</v>
      </c>
      <c r="AS356">
        <v>0</v>
      </c>
      <c r="AT356" t="s">
        <v>90</v>
      </c>
      <c r="AU356" s="1">
        <v>44203.554120370369</v>
      </c>
      <c r="AV356">
        <v>263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12</v>
      </c>
      <c r="BC356">
        <v>0</v>
      </c>
      <c r="BD356">
        <v>0</v>
      </c>
      <c r="BE356">
        <v>0</v>
      </c>
    </row>
    <row r="357" spans="1:57" x14ac:dyDescent="0.45">
      <c r="A357" t="s">
        <v>1015</v>
      </c>
      <c r="B357" t="s">
        <v>79</v>
      </c>
      <c r="C357" t="s">
        <v>1016</v>
      </c>
      <c r="D357" t="s">
        <v>81</v>
      </c>
      <c r="E357" s="2" t="str">
        <f>HYPERLINK("capsilon://?command=openfolder&amp;siteaddress=FAM.docvelocity-na8.net&amp;folderid=FX65733EAA-58CC-7068-8335-DFB35735FBF7","FX21011886")</f>
        <v>FX21011886</v>
      </c>
      <c r="F357" t="s">
        <v>19</v>
      </c>
      <c r="G357" t="s">
        <v>19</v>
      </c>
      <c r="H357" t="s">
        <v>82</v>
      </c>
      <c r="I357" t="s">
        <v>1017</v>
      </c>
      <c r="J357">
        <v>408</v>
      </c>
      <c r="K357" t="s">
        <v>84</v>
      </c>
      <c r="L357" t="s">
        <v>85</v>
      </c>
      <c r="M357" t="s">
        <v>86</v>
      </c>
      <c r="N357">
        <v>3</v>
      </c>
      <c r="O357" s="1">
        <v>44203.438981481479</v>
      </c>
      <c r="P357" s="1">
        <v>44203.555219907408</v>
      </c>
      <c r="Q357">
        <v>5478</v>
      </c>
      <c r="R357">
        <v>4565</v>
      </c>
      <c r="S357" t="b">
        <v>0</v>
      </c>
      <c r="T357" t="s">
        <v>87</v>
      </c>
      <c r="U357" t="b">
        <v>0</v>
      </c>
      <c r="V357" t="s">
        <v>160</v>
      </c>
      <c r="W357" s="1">
        <v>44203.492881944447</v>
      </c>
      <c r="X357">
        <v>3276</v>
      </c>
      <c r="Y357">
        <v>328</v>
      </c>
      <c r="Z357">
        <v>0</v>
      </c>
      <c r="AA357">
        <v>328</v>
      </c>
      <c r="AB357">
        <v>37</v>
      </c>
      <c r="AC357">
        <v>149</v>
      </c>
      <c r="AD357">
        <v>80</v>
      </c>
      <c r="AE357">
        <v>0</v>
      </c>
      <c r="AF357">
        <v>0</v>
      </c>
      <c r="AG357">
        <v>0</v>
      </c>
      <c r="AH357" t="s">
        <v>128</v>
      </c>
      <c r="AI357" s="1">
        <v>44203.517407407409</v>
      </c>
      <c r="AJ357">
        <v>1195</v>
      </c>
      <c r="AK357">
        <v>1</v>
      </c>
      <c r="AL357">
        <v>0</v>
      </c>
      <c r="AM357">
        <v>1</v>
      </c>
      <c r="AN357">
        <v>37</v>
      </c>
      <c r="AO357">
        <v>1</v>
      </c>
      <c r="AP357">
        <v>79</v>
      </c>
      <c r="AQ357">
        <v>0</v>
      </c>
      <c r="AR357">
        <v>0</v>
      </c>
      <c r="AS357">
        <v>0</v>
      </c>
      <c r="AT357" t="s">
        <v>90</v>
      </c>
      <c r="AU357" s="1">
        <v>44203.555219907408</v>
      </c>
      <c r="AV357">
        <v>94</v>
      </c>
      <c r="AW357">
        <v>0</v>
      </c>
      <c r="AX357">
        <v>0</v>
      </c>
      <c r="AY357">
        <v>0</v>
      </c>
      <c r="AZ357">
        <v>37</v>
      </c>
      <c r="BA357">
        <v>0</v>
      </c>
      <c r="BB357">
        <v>79</v>
      </c>
      <c r="BC357">
        <v>0</v>
      </c>
      <c r="BD357">
        <v>0</v>
      </c>
      <c r="BE357">
        <v>0</v>
      </c>
    </row>
    <row r="358" spans="1:57" x14ac:dyDescent="0.45">
      <c r="A358" t="s">
        <v>1018</v>
      </c>
      <c r="B358" t="s">
        <v>79</v>
      </c>
      <c r="C358" t="s">
        <v>1019</v>
      </c>
      <c r="D358" t="s">
        <v>81</v>
      </c>
      <c r="E358" s="2" t="str">
        <f>HYPERLINK("capsilon://?command=openfolder&amp;siteaddress=FAM.docvelocity-na8.net&amp;folderid=FXC4D6C484-3985-7AB6-AA7B-276F6EAD5F79","FX21012939")</f>
        <v>FX21012939</v>
      </c>
      <c r="F358" t="s">
        <v>19</v>
      </c>
      <c r="G358" t="s">
        <v>19</v>
      </c>
      <c r="H358" t="s">
        <v>82</v>
      </c>
      <c r="I358" t="s">
        <v>1020</v>
      </c>
      <c r="J358">
        <v>245</v>
      </c>
      <c r="K358" t="s">
        <v>84</v>
      </c>
      <c r="L358" t="s">
        <v>85</v>
      </c>
      <c r="M358" t="s">
        <v>86</v>
      </c>
      <c r="N358">
        <v>3</v>
      </c>
      <c r="O358" s="1">
        <v>44203.439062500001</v>
      </c>
      <c r="P358" s="1">
        <v>44203.559189814812</v>
      </c>
      <c r="Q358">
        <v>7276</v>
      </c>
      <c r="R358">
        <v>3103</v>
      </c>
      <c r="S358" t="b">
        <v>0</v>
      </c>
      <c r="T358" t="s">
        <v>87</v>
      </c>
      <c r="U358" t="b">
        <v>0</v>
      </c>
      <c r="V358" t="s">
        <v>179</v>
      </c>
      <c r="W358" s="1">
        <v>44203.486875000002</v>
      </c>
      <c r="X358">
        <v>2407</v>
      </c>
      <c r="Y358">
        <v>221</v>
      </c>
      <c r="Z358">
        <v>0</v>
      </c>
      <c r="AA358">
        <v>221</v>
      </c>
      <c r="AB358">
        <v>0</v>
      </c>
      <c r="AC358">
        <v>45</v>
      </c>
      <c r="AD358">
        <v>24</v>
      </c>
      <c r="AE358">
        <v>0</v>
      </c>
      <c r="AF358">
        <v>0</v>
      </c>
      <c r="AG358">
        <v>0</v>
      </c>
      <c r="AH358" t="s">
        <v>267</v>
      </c>
      <c r="AI358" s="1">
        <v>44203.513993055552</v>
      </c>
      <c r="AJ358">
        <v>339</v>
      </c>
      <c r="AK358">
        <v>2</v>
      </c>
      <c r="AL358">
        <v>0</v>
      </c>
      <c r="AM358">
        <v>2</v>
      </c>
      <c r="AN358">
        <v>0</v>
      </c>
      <c r="AO358">
        <v>1</v>
      </c>
      <c r="AP358">
        <v>22</v>
      </c>
      <c r="AQ358">
        <v>0</v>
      </c>
      <c r="AR358">
        <v>0</v>
      </c>
      <c r="AS358">
        <v>0</v>
      </c>
      <c r="AT358" t="s">
        <v>90</v>
      </c>
      <c r="AU358" s="1">
        <v>44203.559189814812</v>
      </c>
      <c r="AV358">
        <v>343</v>
      </c>
      <c r="AW358">
        <v>1</v>
      </c>
      <c r="AX358">
        <v>0</v>
      </c>
      <c r="AY358">
        <v>1</v>
      </c>
      <c r="AZ358">
        <v>0</v>
      </c>
      <c r="BA358">
        <v>1</v>
      </c>
      <c r="BB358">
        <v>21</v>
      </c>
      <c r="BC358">
        <v>0</v>
      </c>
      <c r="BD358">
        <v>0</v>
      </c>
      <c r="BE358">
        <v>0</v>
      </c>
    </row>
    <row r="359" spans="1:57" x14ac:dyDescent="0.45">
      <c r="A359" t="s">
        <v>1021</v>
      </c>
      <c r="B359" t="s">
        <v>79</v>
      </c>
      <c r="C359" t="s">
        <v>1022</v>
      </c>
      <c r="D359" t="s">
        <v>81</v>
      </c>
      <c r="E359" s="2" t="str">
        <f>HYPERLINK("capsilon://?command=openfolder&amp;siteaddress=FAM.docvelocity-na8.net&amp;folderid=FXE29D28E6-66FC-0FCF-A336-600203AD82E2","FX21012307")</f>
        <v>FX21012307</v>
      </c>
      <c r="F359" t="s">
        <v>19</v>
      </c>
      <c r="G359" t="s">
        <v>19</v>
      </c>
      <c r="H359" t="s">
        <v>82</v>
      </c>
      <c r="I359" t="s">
        <v>1023</v>
      </c>
      <c r="J359">
        <v>210</v>
      </c>
      <c r="K359" t="s">
        <v>84</v>
      </c>
      <c r="L359" t="s">
        <v>85</v>
      </c>
      <c r="M359" t="s">
        <v>86</v>
      </c>
      <c r="N359">
        <v>3</v>
      </c>
      <c r="O359" s="1">
        <v>44203.445405092592</v>
      </c>
      <c r="P359" s="1">
        <v>44203.586516203701</v>
      </c>
      <c r="Q359">
        <v>3811</v>
      </c>
      <c r="R359">
        <v>8381</v>
      </c>
      <c r="S359" t="b">
        <v>0</v>
      </c>
      <c r="T359" t="s">
        <v>87</v>
      </c>
      <c r="U359" t="b">
        <v>0</v>
      </c>
      <c r="V359" t="s">
        <v>160</v>
      </c>
      <c r="W359" s="1">
        <v>44203.558391203704</v>
      </c>
      <c r="X359">
        <v>6982</v>
      </c>
      <c r="Y359">
        <v>377</v>
      </c>
      <c r="Z359">
        <v>0</v>
      </c>
      <c r="AA359">
        <v>377</v>
      </c>
      <c r="AB359">
        <v>0</v>
      </c>
      <c r="AC359">
        <v>300</v>
      </c>
      <c r="AD359">
        <v>-167</v>
      </c>
      <c r="AE359">
        <v>0</v>
      </c>
      <c r="AF359">
        <v>0</v>
      </c>
      <c r="AG359">
        <v>0</v>
      </c>
      <c r="AH359" t="s">
        <v>267</v>
      </c>
      <c r="AI359" s="1">
        <v>44203.573333333334</v>
      </c>
      <c r="AJ359">
        <v>1080</v>
      </c>
      <c r="AK359">
        <v>15</v>
      </c>
      <c r="AL359">
        <v>0</v>
      </c>
      <c r="AM359">
        <v>15</v>
      </c>
      <c r="AN359">
        <v>0</v>
      </c>
      <c r="AO359">
        <v>13</v>
      </c>
      <c r="AP359">
        <v>-182</v>
      </c>
      <c r="AQ359">
        <v>0</v>
      </c>
      <c r="AR359">
        <v>0</v>
      </c>
      <c r="AS359">
        <v>0</v>
      </c>
      <c r="AT359" t="s">
        <v>549</v>
      </c>
      <c r="AU359" s="1">
        <v>44203.586516203701</v>
      </c>
      <c r="AV359">
        <v>71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-182</v>
      </c>
      <c r="BC359">
        <v>0</v>
      </c>
      <c r="BD359">
        <v>0</v>
      </c>
      <c r="BE359">
        <v>0</v>
      </c>
    </row>
    <row r="360" spans="1:57" x14ac:dyDescent="0.45">
      <c r="A360" t="s">
        <v>1024</v>
      </c>
      <c r="B360" t="s">
        <v>79</v>
      </c>
      <c r="C360" t="s">
        <v>1025</v>
      </c>
      <c r="D360" t="s">
        <v>81</v>
      </c>
      <c r="E360" s="2" t="str">
        <f>HYPERLINK("capsilon://?command=openfolder&amp;siteaddress=FAM.docvelocity-na8.net&amp;folderid=FX793D9DC8-9598-E654-A432-9952905D3D6A","FX21011824")</f>
        <v>FX21011824</v>
      </c>
      <c r="F360" t="s">
        <v>19</v>
      </c>
      <c r="G360" t="s">
        <v>19</v>
      </c>
      <c r="H360" t="s">
        <v>82</v>
      </c>
      <c r="I360" t="s">
        <v>1026</v>
      </c>
      <c r="J360">
        <v>246</v>
      </c>
      <c r="K360" t="s">
        <v>84</v>
      </c>
      <c r="L360" t="s">
        <v>85</v>
      </c>
      <c r="M360" t="s">
        <v>86</v>
      </c>
      <c r="N360">
        <v>3</v>
      </c>
      <c r="O360" s="1">
        <v>44203.448055555556</v>
      </c>
      <c r="P360" s="1">
        <v>44203.59170138889</v>
      </c>
      <c r="Q360">
        <v>6354</v>
      </c>
      <c r="R360">
        <v>6057</v>
      </c>
      <c r="S360" t="b">
        <v>0</v>
      </c>
      <c r="T360" t="s">
        <v>87</v>
      </c>
      <c r="U360" t="b">
        <v>0</v>
      </c>
      <c r="V360" t="s">
        <v>919</v>
      </c>
      <c r="W360" s="1">
        <v>44203.517800925925</v>
      </c>
      <c r="X360">
        <v>4443</v>
      </c>
      <c r="Y360">
        <v>223</v>
      </c>
      <c r="Z360">
        <v>0</v>
      </c>
      <c r="AA360">
        <v>223</v>
      </c>
      <c r="AB360">
        <v>0</v>
      </c>
      <c r="AC360">
        <v>101</v>
      </c>
      <c r="AD360">
        <v>23</v>
      </c>
      <c r="AE360">
        <v>0</v>
      </c>
      <c r="AF360">
        <v>0</v>
      </c>
      <c r="AG360">
        <v>0</v>
      </c>
      <c r="AH360" t="s">
        <v>267</v>
      </c>
      <c r="AI360" s="1">
        <v>44203.526412037034</v>
      </c>
      <c r="AJ360">
        <v>659</v>
      </c>
      <c r="AK360">
        <v>0</v>
      </c>
      <c r="AL360">
        <v>0</v>
      </c>
      <c r="AM360">
        <v>0</v>
      </c>
      <c r="AN360">
        <v>0</v>
      </c>
      <c r="AO360">
        <v>3</v>
      </c>
      <c r="AP360">
        <v>23</v>
      </c>
      <c r="AQ360">
        <v>0</v>
      </c>
      <c r="AR360">
        <v>0</v>
      </c>
      <c r="AS360">
        <v>0</v>
      </c>
      <c r="AT360" t="s">
        <v>549</v>
      </c>
      <c r="AU360" s="1">
        <v>44203.59170138889</v>
      </c>
      <c r="AV360">
        <v>447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23</v>
      </c>
      <c r="BC360">
        <v>0</v>
      </c>
      <c r="BD360">
        <v>0</v>
      </c>
      <c r="BE360">
        <v>0</v>
      </c>
    </row>
    <row r="361" spans="1:57" x14ac:dyDescent="0.45">
      <c r="A361" t="s">
        <v>1027</v>
      </c>
      <c r="B361" t="s">
        <v>79</v>
      </c>
      <c r="C361" t="s">
        <v>1028</v>
      </c>
      <c r="D361" t="s">
        <v>81</v>
      </c>
      <c r="E361" s="2" t="str">
        <f>HYPERLINK("capsilon://?command=openfolder&amp;siteaddress=FAM.docvelocity-na8.net&amp;folderid=FX93BD1F32-FDB0-3EC4-4A9E-8A30AF8E2D3F","FX2101244")</f>
        <v>FX2101244</v>
      </c>
      <c r="F361" t="s">
        <v>19</v>
      </c>
      <c r="G361" t="s">
        <v>19</v>
      </c>
      <c r="H361" t="s">
        <v>82</v>
      </c>
      <c r="I361" t="s">
        <v>1029</v>
      </c>
      <c r="J361">
        <v>139</v>
      </c>
      <c r="K361" t="s">
        <v>84</v>
      </c>
      <c r="L361" t="s">
        <v>85</v>
      </c>
      <c r="M361" t="s">
        <v>86</v>
      </c>
      <c r="N361">
        <v>3</v>
      </c>
      <c r="O361" s="1">
        <v>44203.448680555557</v>
      </c>
      <c r="P361" s="1">
        <v>44203.588553240741</v>
      </c>
      <c r="Q361">
        <v>10315</v>
      </c>
      <c r="R361">
        <v>1770</v>
      </c>
      <c r="S361" t="b">
        <v>0</v>
      </c>
      <c r="T361" t="s">
        <v>87</v>
      </c>
      <c r="U361" t="b">
        <v>0</v>
      </c>
      <c r="V361" t="s">
        <v>259</v>
      </c>
      <c r="W361" s="1">
        <v>44203.488113425927</v>
      </c>
      <c r="X361">
        <v>1348</v>
      </c>
      <c r="Y361">
        <v>133</v>
      </c>
      <c r="Z361">
        <v>0</v>
      </c>
      <c r="AA361">
        <v>133</v>
      </c>
      <c r="AB361">
        <v>0</v>
      </c>
      <c r="AC361">
        <v>67</v>
      </c>
      <c r="AD361">
        <v>6</v>
      </c>
      <c r="AE361">
        <v>0</v>
      </c>
      <c r="AF361">
        <v>0</v>
      </c>
      <c r="AG361">
        <v>0</v>
      </c>
      <c r="AH361" t="s">
        <v>128</v>
      </c>
      <c r="AI361" s="1">
        <v>44203.522407407407</v>
      </c>
      <c r="AJ361">
        <v>297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6</v>
      </c>
      <c r="AQ361">
        <v>0</v>
      </c>
      <c r="AR361">
        <v>0</v>
      </c>
      <c r="AS361">
        <v>0</v>
      </c>
      <c r="AT361" t="s">
        <v>90</v>
      </c>
      <c r="AU361" s="1">
        <v>44203.588553240741</v>
      </c>
      <c r="AV361">
        <v>52</v>
      </c>
      <c r="AW361">
        <v>2</v>
      </c>
      <c r="AX361">
        <v>0</v>
      </c>
      <c r="AY361">
        <v>2</v>
      </c>
      <c r="AZ361">
        <v>0</v>
      </c>
      <c r="BA361">
        <v>2</v>
      </c>
      <c r="BB361">
        <v>4</v>
      </c>
      <c r="BC361">
        <v>0</v>
      </c>
      <c r="BD361">
        <v>0</v>
      </c>
      <c r="BE361">
        <v>0</v>
      </c>
    </row>
    <row r="362" spans="1:57" x14ac:dyDescent="0.45">
      <c r="A362" t="s">
        <v>1030</v>
      </c>
      <c r="B362" t="s">
        <v>79</v>
      </c>
      <c r="C362" t="s">
        <v>1031</v>
      </c>
      <c r="D362" t="s">
        <v>81</v>
      </c>
      <c r="E362" s="2" t="str">
        <f>HYPERLINK("capsilon://?command=openfolder&amp;siteaddress=FAM.docvelocity-na8.net&amp;folderid=FX325A1BA1-FF40-A208-B084-E20DB8B3E87B","FX21011534")</f>
        <v>FX21011534</v>
      </c>
      <c r="F362" t="s">
        <v>19</v>
      </c>
      <c r="G362" t="s">
        <v>19</v>
      </c>
      <c r="H362" t="s">
        <v>82</v>
      </c>
      <c r="I362" t="s">
        <v>1032</v>
      </c>
      <c r="J362">
        <v>169</v>
      </c>
      <c r="K362" t="s">
        <v>84</v>
      </c>
      <c r="L362" t="s">
        <v>85</v>
      </c>
      <c r="M362" t="s">
        <v>86</v>
      </c>
      <c r="N362">
        <v>3</v>
      </c>
      <c r="O362" s="1">
        <v>44203.452118055553</v>
      </c>
      <c r="P362" s="1">
        <v>44203.590902777774</v>
      </c>
      <c r="Q362">
        <v>10247</v>
      </c>
      <c r="R362">
        <v>1744</v>
      </c>
      <c r="S362" t="b">
        <v>0</v>
      </c>
      <c r="T362" t="s">
        <v>87</v>
      </c>
      <c r="U362" t="b">
        <v>0</v>
      </c>
      <c r="V362" t="s">
        <v>242</v>
      </c>
      <c r="W362" s="1">
        <v>44203.480555555558</v>
      </c>
      <c r="X362">
        <v>693</v>
      </c>
      <c r="Y362">
        <v>185</v>
      </c>
      <c r="Z362">
        <v>0</v>
      </c>
      <c r="AA362">
        <v>185</v>
      </c>
      <c r="AB362">
        <v>0</v>
      </c>
      <c r="AC362">
        <v>98</v>
      </c>
      <c r="AD362">
        <v>-16</v>
      </c>
      <c r="AE362">
        <v>0</v>
      </c>
      <c r="AF362">
        <v>0</v>
      </c>
      <c r="AG362">
        <v>0</v>
      </c>
      <c r="AH362" t="s">
        <v>128</v>
      </c>
      <c r="AI362" s="1">
        <v>44203.53224537037</v>
      </c>
      <c r="AJ362">
        <v>849</v>
      </c>
      <c r="AK362">
        <v>9</v>
      </c>
      <c r="AL362">
        <v>0</v>
      </c>
      <c r="AM362">
        <v>9</v>
      </c>
      <c r="AN362">
        <v>0</v>
      </c>
      <c r="AO362">
        <v>9</v>
      </c>
      <c r="AP362">
        <v>-25</v>
      </c>
      <c r="AQ362">
        <v>0</v>
      </c>
      <c r="AR362">
        <v>0</v>
      </c>
      <c r="AS362">
        <v>0</v>
      </c>
      <c r="AT362" t="s">
        <v>90</v>
      </c>
      <c r="AU362" s="1">
        <v>44203.590902777774</v>
      </c>
      <c r="AV362">
        <v>202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-25</v>
      </c>
      <c r="BC362">
        <v>0</v>
      </c>
      <c r="BD362">
        <v>0</v>
      </c>
      <c r="BE362">
        <v>0</v>
      </c>
    </row>
    <row r="363" spans="1:57" hidden="1" x14ac:dyDescent="0.45">
      <c r="A363" t="s">
        <v>1033</v>
      </c>
      <c r="B363" t="s">
        <v>79</v>
      </c>
      <c r="C363" t="s">
        <v>1034</v>
      </c>
      <c r="D363" t="s">
        <v>81</v>
      </c>
      <c r="E363" s="2" t="str">
        <f>HYPERLINK("capsilon://?command=openfolder&amp;siteaddress=FAM.docvelocity-na8.net&amp;folderid=FXB8CC448F-CED1-734D-129B-33C9B1C63C3B","FX201115525")</f>
        <v>FX201115525</v>
      </c>
      <c r="F363" t="s">
        <v>19</v>
      </c>
      <c r="G363" t="s">
        <v>19</v>
      </c>
      <c r="H363" t="s">
        <v>82</v>
      </c>
      <c r="I363" t="s">
        <v>1035</v>
      </c>
      <c r="J363">
        <v>66</v>
      </c>
      <c r="K363" t="s">
        <v>84</v>
      </c>
      <c r="L363" t="s">
        <v>85</v>
      </c>
      <c r="M363" t="s">
        <v>86</v>
      </c>
      <c r="N363">
        <v>1</v>
      </c>
      <c r="O363" s="1">
        <v>44203.452280092592</v>
      </c>
      <c r="P363" s="1">
        <v>44203.499305555553</v>
      </c>
      <c r="Q363">
        <v>1896</v>
      </c>
      <c r="R363">
        <v>2167</v>
      </c>
      <c r="S363" t="b">
        <v>0</v>
      </c>
      <c r="T363" t="s">
        <v>87</v>
      </c>
      <c r="U363" t="b">
        <v>0</v>
      </c>
      <c r="V363" t="s">
        <v>171</v>
      </c>
      <c r="W363" s="1">
        <v>44203.499305555553</v>
      </c>
      <c r="X363">
        <v>2167</v>
      </c>
      <c r="Y363">
        <v>47</v>
      </c>
      <c r="Z363">
        <v>0</v>
      </c>
      <c r="AA363">
        <v>47</v>
      </c>
      <c r="AB363">
        <v>0</v>
      </c>
      <c r="AC363">
        <v>28</v>
      </c>
      <c r="AD363">
        <v>19</v>
      </c>
      <c r="AE363">
        <v>52</v>
      </c>
      <c r="AF363">
        <v>0</v>
      </c>
      <c r="AG363">
        <v>1</v>
      </c>
      <c r="AH363" t="s">
        <v>87</v>
      </c>
      <c r="AI363" t="s">
        <v>87</v>
      </c>
      <c r="AJ363" t="s">
        <v>87</v>
      </c>
      <c r="AK363" t="s">
        <v>87</v>
      </c>
      <c r="AL363" t="s">
        <v>87</v>
      </c>
      <c r="AM363" t="s">
        <v>87</v>
      </c>
      <c r="AN363" t="s">
        <v>87</v>
      </c>
      <c r="AO363" t="s">
        <v>87</v>
      </c>
      <c r="AP363" t="s">
        <v>87</v>
      </c>
      <c r="AQ363" t="s">
        <v>87</v>
      </c>
      <c r="AR363" t="s">
        <v>87</v>
      </c>
      <c r="AS363" t="s">
        <v>87</v>
      </c>
      <c r="AT363" t="s">
        <v>87</v>
      </c>
      <c r="AU363" t="s">
        <v>87</v>
      </c>
      <c r="AV363" t="s">
        <v>87</v>
      </c>
      <c r="AW363" t="s">
        <v>87</v>
      </c>
      <c r="AX363" t="s">
        <v>87</v>
      </c>
      <c r="AY363" t="s">
        <v>87</v>
      </c>
      <c r="AZ363" t="s">
        <v>87</v>
      </c>
      <c r="BA363" t="s">
        <v>87</v>
      </c>
      <c r="BB363" t="s">
        <v>87</v>
      </c>
      <c r="BC363" t="s">
        <v>87</v>
      </c>
      <c r="BD363" t="s">
        <v>87</v>
      </c>
      <c r="BE363" t="s">
        <v>87</v>
      </c>
    </row>
    <row r="364" spans="1:57" x14ac:dyDescent="0.45">
      <c r="A364" t="s">
        <v>1036</v>
      </c>
      <c r="B364" t="s">
        <v>79</v>
      </c>
      <c r="C364" t="s">
        <v>1037</v>
      </c>
      <c r="D364" t="s">
        <v>81</v>
      </c>
      <c r="E364" s="2" t="str">
        <f>HYPERLINK("capsilon://?command=openfolder&amp;siteaddress=FAM.docvelocity-na8.net&amp;folderid=FXE544F1FC-FADD-2188-88D2-A3B5496871FB","FX21011199")</f>
        <v>FX21011199</v>
      </c>
      <c r="F364" t="s">
        <v>19</v>
      </c>
      <c r="G364" t="s">
        <v>19</v>
      </c>
      <c r="H364" t="s">
        <v>82</v>
      </c>
      <c r="I364" t="s">
        <v>1038</v>
      </c>
      <c r="J364">
        <v>347</v>
      </c>
      <c r="K364" t="s">
        <v>84</v>
      </c>
      <c r="L364" t="s">
        <v>85</v>
      </c>
      <c r="M364" t="s">
        <v>86</v>
      </c>
      <c r="N364">
        <v>3</v>
      </c>
      <c r="O364" s="1">
        <v>44203.452662037038</v>
      </c>
      <c r="P364" s="1">
        <v>44203.592013888891</v>
      </c>
      <c r="Q364">
        <v>8651</v>
      </c>
      <c r="R364">
        <v>3389</v>
      </c>
      <c r="S364" t="b">
        <v>0</v>
      </c>
      <c r="T364" t="s">
        <v>87</v>
      </c>
      <c r="U364" t="b">
        <v>0</v>
      </c>
      <c r="V364" t="s">
        <v>419</v>
      </c>
      <c r="W364" s="1">
        <v>44203.508622685185</v>
      </c>
      <c r="X364">
        <v>2848</v>
      </c>
      <c r="Y364">
        <v>244</v>
      </c>
      <c r="Z364">
        <v>0</v>
      </c>
      <c r="AA364">
        <v>244</v>
      </c>
      <c r="AB364">
        <v>0</v>
      </c>
      <c r="AC364">
        <v>94</v>
      </c>
      <c r="AD364">
        <v>103</v>
      </c>
      <c r="AE364">
        <v>0</v>
      </c>
      <c r="AF364">
        <v>0</v>
      </c>
      <c r="AG364">
        <v>0</v>
      </c>
      <c r="AH364" t="s">
        <v>267</v>
      </c>
      <c r="AI364" s="1">
        <v>44203.531678240739</v>
      </c>
      <c r="AJ364">
        <v>454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103</v>
      </c>
      <c r="AQ364">
        <v>0</v>
      </c>
      <c r="AR364">
        <v>0</v>
      </c>
      <c r="AS364">
        <v>0</v>
      </c>
      <c r="AT364" t="s">
        <v>90</v>
      </c>
      <c r="AU364" s="1">
        <v>44203.592013888891</v>
      </c>
      <c r="AV364">
        <v>87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103</v>
      </c>
      <c r="BC364">
        <v>0</v>
      </c>
      <c r="BD364">
        <v>0</v>
      </c>
      <c r="BE364">
        <v>0</v>
      </c>
    </row>
    <row r="365" spans="1:57" hidden="1" x14ac:dyDescent="0.45">
      <c r="A365" t="s">
        <v>1039</v>
      </c>
      <c r="B365" t="s">
        <v>79</v>
      </c>
      <c r="C365" t="s">
        <v>1040</v>
      </c>
      <c r="D365" t="s">
        <v>81</v>
      </c>
      <c r="E365" s="2" t="str">
        <f>HYPERLINK("capsilon://?command=openfolder&amp;siteaddress=FAM.docvelocity-na8.net&amp;folderid=FX25AE985D-5D36-7BC0-0903-FF17BD3F5E9E","FX201113035")</f>
        <v>FX201113035</v>
      </c>
      <c r="F365" t="s">
        <v>19</v>
      </c>
      <c r="G365" t="s">
        <v>19</v>
      </c>
      <c r="H365" t="s">
        <v>82</v>
      </c>
      <c r="I365" t="s">
        <v>1041</v>
      </c>
      <c r="J365">
        <v>66</v>
      </c>
      <c r="K365" t="s">
        <v>84</v>
      </c>
      <c r="L365" t="s">
        <v>85</v>
      </c>
      <c r="M365" t="s">
        <v>86</v>
      </c>
      <c r="N365">
        <v>1</v>
      </c>
      <c r="O365" s="1">
        <v>44203.45417824074</v>
      </c>
      <c r="P365" s="1">
        <v>44203.480243055557</v>
      </c>
      <c r="Q365">
        <v>1971</v>
      </c>
      <c r="R365">
        <v>281</v>
      </c>
      <c r="S365" t="b">
        <v>0</v>
      </c>
      <c r="T365" t="s">
        <v>87</v>
      </c>
      <c r="U365" t="b">
        <v>0</v>
      </c>
      <c r="V365" t="s">
        <v>98</v>
      </c>
      <c r="W365" s="1">
        <v>44203.480243055557</v>
      </c>
      <c r="X365">
        <v>281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66</v>
      </c>
      <c r="AE365">
        <v>52</v>
      </c>
      <c r="AF365">
        <v>0</v>
      </c>
      <c r="AG365">
        <v>1</v>
      </c>
      <c r="AH365" t="s">
        <v>87</v>
      </c>
      <c r="AI365" t="s">
        <v>87</v>
      </c>
      <c r="AJ365" t="s">
        <v>87</v>
      </c>
      <c r="AK365" t="s">
        <v>87</v>
      </c>
      <c r="AL365" t="s">
        <v>87</v>
      </c>
      <c r="AM365" t="s">
        <v>87</v>
      </c>
      <c r="AN365" t="s">
        <v>87</v>
      </c>
      <c r="AO365" t="s">
        <v>87</v>
      </c>
      <c r="AP365" t="s">
        <v>87</v>
      </c>
      <c r="AQ365" t="s">
        <v>87</v>
      </c>
      <c r="AR365" t="s">
        <v>87</v>
      </c>
      <c r="AS365" t="s">
        <v>87</v>
      </c>
      <c r="AT365" t="s">
        <v>87</v>
      </c>
      <c r="AU365" t="s">
        <v>87</v>
      </c>
      <c r="AV365" t="s">
        <v>87</v>
      </c>
      <c r="AW365" t="s">
        <v>87</v>
      </c>
      <c r="AX365" t="s">
        <v>87</v>
      </c>
      <c r="AY365" t="s">
        <v>87</v>
      </c>
      <c r="AZ365" t="s">
        <v>87</v>
      </c>
      <c r="BA365" t="s">
        <v>87</v>
      </c>
      <c r="BB365" t="s">
        <v>87</v>
      </c>
      <c r="BC365" t="s">
        <v>87</v>
      </c>
      <c r="BD365" t="s">
        <v>87</v>
      </c>
      <c r="BE365" t="s">
        <v>87</v>
      </c>
    </row>
    <row r="366" spans="1:57" x14ac:dyDescent="0.45">
      <c r="A366" t="s">
        <v>1042</v>
      </c>
      <c r="B366" t="s">
        <v>79</v>
      </c>
      <c r="C366" t="s">
        <v>1043</v>
      </c>
      <c r="D366" t="s">
        <v>81</v>
      </c>
      <c r="E366" s="2" t="str">
        <f>HYPERLINK("capsilon://?command=openfolder&amp;siteaddress=FAM.docvelocity-na8.net&amp;folderid=FX65C2396C-028D-AF71-DB7D-BADFC5206724","FX201226220")</f>
        <v>FX201226220</v>
      </c>
      <c r="F366" t="s">
        <v>19</v>
      </c>
      <c r="G366" t="s">
        <v>19</v>
      </c>
      <c r="H366" t="s">
        <v>82</v>
      </c>
      <c r="I366" t="s">
        <v>1044</v>
      </c>
      <c r="J366">
        <v>38</v>
      </c>
      <c r="K366" t="s">
        <v>84</v>
      </c>
      <c r="L366" t="s">
        <v>85</v>
      </c>
      <c r="M366" t="s">
        <v>86</v>
      </c>
      <c r="N366">
        <v>3</v>
      </c>
      <c r="O366" s="1">
        <v>44200.438321759262</v>
      </c>
      <c r="P366" s="1">
        <v>44200.48741898148</v>
      </c>
      <c r="Q366">
        <v>2428</v>
      </c>
      <c r="R366">
        <v>1814</v>
      </c>
      <c r="S366" t="b">
        <v>0</v>
      </c>
      <c r="T366" t="s">
        <v>87</v>
      </c>
      <c r="U366" t="b">
        <v>0</v>
      </c>
      <c r="V366" t="s">
        <v>98</v>
      </c>
      <c r="W366" s="1">
        <v>44200.48269675926</v>
      </c>
      <c r="X366">
        <v>1677</v>
      </c>
      <c r="Y366">
        <v>37</v>
      </c>
      <c r="Z366">
        <v>0</v>
      </c>
      <c r="AA366">
        <v>37</v>
      </c>
      <c r="AB366">
        <v>0</v>
      </c>
      <c r="AC366">
        <v>34</v>
      </c>
      <c r="AD366">
        <v>1</v>
      </c>
      <c r="AE366">
        <v>0</v>
      </c>
      <c r="AF366">
        <v>0</v>
      </c>
      <c r="AG366">
        <v>0</v>
      </c>
      <c r="AH366" t="s">
        <v>267</v>
      </c>
      <c r="AI366" s="1">
        <v>44200.484305555554</v>
      </c>
      <c r="AJ366">
        <v>97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 t="s">
        <v>90</v>
      </c>
      <c r="AU366" s="1">
        <v>44200.48741898148</v>
      </c>
      <c r="AV366">
        <v>32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</row>
    <row r="367" spans="1:57" hidden="1" x14ac:dyDescent="0.45">
      <c r="A367" t="s">
        <v>1045</v>
      </c>
      <c r="B367" t="s">
        <v>79</v>
      </c>
      <c r="C367" t="s">
        <v>1040</v>
      </c>
      <c r="D367" t="s">
        <v>81</v>
      </c>
      <c r="E367" s="2" t="str">
        <f>HYPERLINK("capsilon://?command=openfolder&amp;siteaddress=FAM.docvelocity-na8.net&amp;folderid=FX25AE985D-5D36-7BC0-0903-FF17BD3F5E9E","FX201113035")</f>
        <v>FX201113035</v>
      </c>
      <c r="F367" t="s">
        <v>19</v>
      </c>
      <c r="G367" t="s">
        <v>19</v>
      </c>
      <c r="H367" t="s">
        <v>82</v>
      </c>
      <c r="I367" t="s">
        <v>1046</v>
      </c>
      <c r="J367">
        <v>66</v>
      </c>
      <c r="K367" t="s">
        <v>84</v>
      </c>
      <c r="L367" t="s">
        <v>85</v>
      </c>
      <c r="M367" t="s">
        <v>86</v>
      </c>
      <c r="N367">
        <v>1</v>
      </c>
      <c r="O367" s="1">
        <v>44203.455509259256</v>
      </c>
      <c r="P367" s="1">
        <v>44203.482118055559</v>
      </c>
      <c r="Q367">
        <v>2137</v>
      </c>
      <c r="R367">
        <v>162</v>
      </c>
      <c r="S367" t="b">
        <v>0</v>
      </c>
      <c r="T367" t="s">
        <v>87</v>
      </c>
      <c r="U367" t="b">
        <v>0</v>
      </c>
      <c r="V367" t="s">
        <v>98</v>
      </c>
      <c r="W367" s="1">
        <v>44203.482118055559</v>
      </c>
      <c r="X367">
        <v>162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66</v>
      </c>
      <c r="AE367">
        <v>52</v>
      </c>
      <c r="AF367">
        <v>0</v>
      </c>
      <c r="AG367">
        <v>1</v>
      </c>
      <c r="AH367" t="s">
        <v>87</v>
      </c>
      <c r="AI367" t="s">
        <v>87</v>
      </c>
      <c r="AJ367" t="s">
        <v>87</v>
      </c>
      <c r="AK367" t="s">
        <v>87</v>
      </c>
      <c r="AL367" t="s">
        <v>87</v>
      </c>
      <c r="AM367" t="s">
        <v>87</v>
      </c>
      <c r="AN367" t="s">
        <v>87</v>
      </c>
      <c r="AO367" t="s">
        <v>87</v>
      </c>
      <c r="AP367" t="s">
        <v>87</v>
      </c>
      <c r="AQ367" t="s">
        <v>87</v>
      </c>
      <c r="AR367" t="s">
        <v>87</v>
      </c>
      <c r="AS367" t="s">
        <v>87</v>
      </c>
      <c r="AT367" t="s">
        <v>87</v>
      </c>
      <c r="AU367" t="s">
        <v>87</v>
      </c>
      <c r="AV367" t="s">
        <v>87</v>
      </c>
      <c r="AW367" t="s">
        <v>87</v>
      </c>
      <c r="AX367" t="s">
        <v>87</v>
      </c>
      <c r="AY367" t="s">
        <v>87</v>
      </c>
      <c r="AZ367" t="s">
        <v>87</v>
      </c>
      <c r="BA367" t="s">
        <v>87</v>
      </c>
      <c r="BB367" t="s">
        <v>87</v>
      </c>
      <c r="BC367" t="s">
        <v>87</v>
      </c>
      <c r="BD367" t="s">
        <v>87</v>
      </c>
      <c r="BE367" t="s">
        <v>87</v>
      </c>
    </row>
    <row r="368" spans="1:57" x14ac:dyDescent="0.45">
      <c r="A368" t="s">
        <v>1047</v>
      </c>
      <c r="B368" t="s">
        <v>79</v>
      </c>
      <c r="C368" t="s">
        <v>970</v>
      </c>
      <c r="D368" t="s">
        <v>81</v>
      </c>
      <c r="E368" s="2" t="str">
        <f>HYPERLINK("capsilon://?command=openfolder&amp;siteaddress=FAM.docvelocity-na8.net&amp;folderid=FX0DD13C16-E5AA-3CBF-1FD7-C1DD7C07967B","FX20122255")</f>
        <v>FX20122255</v>
      </c>
      <c r="F368" t="s">
        <v>19</v>
      </c>
      <c r="G368" t="s">
        <v>19</v>
      </c>
      <c r="H368" t="s">
        <v>82</v>
      </c>
      <c r="I368" t="s">
        <v>1048</v>
      </c>
      <c r="J368">
        <v>50</v>
      </c>
      <c r="K368" t="s">
        <v>84</v>
      </c>
      <c r="L368" t="s">
        <v>85</v>
      </c>
      <c r="M368" t="s">
        <v>86</v>
      </c>
      <c r="N368">
        <v>3</v>
      </c>
      <c r="O368" s="1">
        <v>44203.457037037035</v>
      </c>
      <c r="P368" s="1">
        <v>44203.592916666668</v>
      </c>
      <c r="Q368">
        <v>10314</v>
      </c>
      <c r="R368">
        <v>1426</v>
      </c>
      <c r="S368" t="b">
        <v>0</v>
      </c>
      <c r="T368" t="s">
        <v>87</v>
      </c>
      <c r="U368" t="b">
        <v>0</v>
      </c>
      <c r="V368" t="s">
        <v>168</v>
      </c>
      <c r="W368" s="1">
        <v>44203.495092592595</v>
      </c>
      <c r="X368">
        <v>1126</v>
      </c>
      <c r="Y368">
        <v>46</v>
      </c>
      <c r="Z368">
        <v>0</v>
      </c>
      <c r="AA368">
        <v>46</v>
      </c>
      <c r="AB368">
        <v>0</v>
      </c>
      <c r="AC368">
        <v>17</v>
      </c>
      <c r="AD368">
        <v>4</v>
      </c>
      <c r="AE368">
        <v>0</v>
      </c>
      <c r="AF368">
        <v>0</v>
      </c>
      <c r="AG368">
        <v>0</v>
      </c>
      <c r="AH368" t="s">
        <v>267</v>
      </c>
      <c r="AI368" s="1">
        <v>44203.533958333333</v>
      </c>
      <c r="AJ368">
        <v>196</v>
      </c>
      <c r="AK368">
        <v>1</v>
      </c>
      <c r="AL368">
        <v>0</v>
      </c>
      <c r="AM368">
        <v>1</v>
      </c>
      <c r="AN368">
        <v>0</v>
      </c>
      <c r="AO368">
        <v>1</v>
      </c>
      <c r="AP368">
        <v>3</v>
      </c>
      <c r="AQ368">
        <v>0</v>
      </c>
      <c r="AR368">
        <v>0</v>
      </c>
      <c r="AS368">
        <v>0</v>
      </c>
      <c r="AT368" t="s">
        <v>549</v>
      </c>
      <c r="AU368" s="1">
        <v>44203.592916666668</v>
      </c>
      <c r="AV368">
        <v>104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3</v>
      </c>
      <c r="BC368">
        <v>0</v>
      </c>
      <c r="BD368">
        <v>0</v>
      </c>
      <c r="BE368">
        <v>0</v>
      </c>
    </row>
    <row r="369" spans="1:57" x14ac:dyDescent="0.45">
      <c r="A369" t="s">
        <v>1049</v>
      </c>
      <c r="B369" t="s">
        <v>79</v>
      </c>
      <c r="C369" t="s">
        <v>970</v>
      </c>
      <c r="D369" t="s">
        <v>81</v>
      </c>
      <c r="E369" s="2" t="str">
        <f>HYPERLINK("capsilon://?command=openfolder&amp;siteaddress=FAM.docvelocity-na8.net&amp;folderid=FX0DD13C16-E5AA-3CBF-1FD7-C1DD7C07967B","FX20122255")</f>
        <v>FX20122255</v>
      </c>
      <c r="F369" t="s">
        <v>19</v>
      </c>
      <c r="G369" t="s">
        <v>19</v>
      </c>
      <c r="H369" t="s">
        <v>82</v>
      </c>
      <c r="I369" t="s">
        <v>1050</v>
      </c>
      <c r="J369">
        <v>45</v>
      </c>
      <c r="K369" t="s">
        <v>84</v>
      </c>
      <c r="L369" t="s">
        <v>85</v>
      </c>
      <c r="M369" t="s">
        <v>86</v>
      </c>
      <c r="N369">
        <v>3</v>
      </c>
      <c r="O369" s="1">
        <v>44203.457245370373</v>
      </c>
      <c r="P369" s="1">
        <v>44203.597766203704</v>
      </c>
      <c r="Q369">
        <v>10769</v>
      </c>
      <c r="R369">
        <v>1372</v>
      </c>
      <c r="S369" t="b">
        <v>0</v>
      </c>
      <c r="T369" t="s">
        <v>87</v>
      </c>
      <c r="U369" t="b">
        <v>0</v>
      </c>
      <c r="V369" t="s">
        <v>98</v>
      </c>
      <c r="W369" s="1">
        <v>44203.48878472222</v>
      </c>
      <c r="X369">
        <v>575</v>
      </c>
      <c r="Y369">
        <v>41</v>
      </c>
      <c r="Z369">
        <v>0</v>
      </c>
      <c r="AA369">
        <v>41</v>
      </c>
      <c r="AB369">
        <v>0</v>
      </c>
      <c r="AC369">
        <v>29</v>
      </c>
      <c r="AD369">
        <v>4</v>
      </c>
      <c r="AE369">
        <v>0</v>
      </c>
      <c r="AF369">
        <v>0</v>
      </c>
      <c r="AG369">
        <v>0</v>
      </c>
      <c r="AH369" t="s">
        <v>128</v>
      </c>
      <c r="AI369" s="1">
        <v>44203.535729166666</v>
      </c>
      <c r="AJ369">
        <v>301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4</v>
      </c>
      <c r="AQ369">
        <v>0</v>
      </c>
      <c r="AR369">
        <v>0</v>
      </c>
      <c r="AS369">
        <v>0</v>
      </c>
      <c r="AT369" t="s">
        <v>90</v>
      </c>
      <c r="AU369" s="1">
        <v>44203.597766203704</v>
      </c>
      <c r="AV369">
        <v>496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4</v>
      </c>
      <c r="BC369">
        <v>0</v>
      </c>
      <c r="BD369">
        <v>0</v>
      </c>
      <c r="BE369">
        <v>0</v>
      </c>
    </row>
    <row r="370" spans="1:57" hidden="1" x14ac:dyDescent="0.45">
      <c r="A370" t="s">
        <v>1051</v>
      </c>
      <c r="B370" t="s">
        <v>79</v>
      </c>
      <c r="C370" t="s">
        <v>1040</v>
      </c>
      <c r="D370" t="s">
        <v>81</v>
      </c>
      <c r="E370" s="2" t="str">
        <f>HYPERLINK("capsilon://?command=openfolder&amp;siteaddress=FAM.docvelocity-na8.net&amp;folderid=FX25AE985D-5D36-7BC0-0903-FF17BD3F5E9E","FX201113035")</f>
        <v>FX201113035</v>
      </c>
      <c r="F370" t="s">
        <v>19</v>
      </c>
      <c r="G370" t="s">
        <v>19</v>
      </c>
      <c r="H370" t="s">
        <v>82</v>
      </c>
      <c r="I370" t="s">
        <v>1052</v>
      </c>
      <c r="J370">
        <v>66</v>
      </c>
      <c r="K370" t="s">
        <v>84</v>
      </c>
      <c r="L370" t="s">
        <v>85</v>
      </c>
      <c r="M370" t="s">
        <v>86</v>
      </c>
      <c r="N370">
        <v>3</v>
      </c>
      <c r="O370" s="1">
        <v>44203.459247685183</v>
      </c>
      <c r="P370" s="1">
        <v>44203.592974537038</v>
      </c>
      <c r="Q370">
        <v>11392</v>
      </c>
      <c r="R370">
        <v>162</v>
      </c>
      <c r="S370" t="b">
        <v>0</v>
      </c>
      <c r="T370" t="s">
        <v>87</v>
      </c>
      <c r="U370" t="b">
        <v>0</v>
      </c>
      <c r="V370" t="s">
        <v>142</v>
      </c>
      <c r="W370" s="1">
        <v>44203.486006944448</v>
      </c>
      <c r="X370">
        <v>71</v>
      </c>
      <c r="Y370">
        <v>0</v>
      </c>
      <c r="Z370">
        <v>0</v>
      </c>
      <c r="AA370">
        <v>0</v>
      </c>
      <c r="AB370">
        <v>52</v>
      </c>
      <c r="AC370">
        <v>0</v>
      </c>
      <c r="AD370">
        <v>66</v>
      </c>
      <c r="AE370">
        <v>0</v>
      </c>
      <c r="AF370">
        <v>0</v>
      </c>
      <c r="AG370">
        <v>0</v>
      </c>
      <c r="AH370" t="s">
        <v>89</v>
      </c>
      <c r="AI370" s="1">
        <v>44203.533645833333</v>
      </c>
      <c r="AJ370">
        <v>87</v>
      </c>
      <c r="AK370">
        <v>0</v>
      </c>
      <c r="AL370">
        <v>0</v>
      </c>
      <c r="AM370">
        <v>0</v>
      </c>
      <c r="AN370">
        <v>52</v>
      </c>
      <c r="AO370">
        <v>0</v>
      </c>
      <c r="AP370">
        <v>66</v>
      </c>
      <c r="AQ370">
        <v>0</v>
      </c>
      <c r="AR370">
        <v>0</v>
      </c>
      <c r="AS370">
        <v>0</v>
      </c>
      <c r="AT370" t="s">
        <v>549</v>
      </c>
      <c r="AU370" s="1">
        <v>44203.592974537038</v>
      </c>
      <c r="AV370">
        <v>4</v>
      </c>
      <c r="AW370">
        <v>0</v>
      </c>
      <c r="AX370">
        <v>0</v>
      </c>
      <c r="AY370">
        <v>0</v>
      </c>
      <c r="AZ370">
        <v>52</v>
      </c>
      <c r="BA370">
        <v>0</v>
      </c>
      <c r="BB370">
        <v>66</v>
      </c>
      <c r="BC370">
        <v>0</v>
      </c>
      <c r="BD370">
        <v>0</v>
      </c>
      <c r="BE370">
        <v>0</v>
      </c>
    </row>
    <row r="371" spans="1:57" x14ac:dyDescent="0.45">
      <c r="A371" t="s">
        <v>1053</v>
      </c>
      <c r="B371" t="s">
        <v>79</v>
      </c>
      <c r="C371" t="s">
        <v>1054</v>
      </c>
      <c r="D371" t="s">
        <v>81</v>
      </c>
      <c r="E371" s="2" t="str">
        <f>HYPERLINK("capsilon://?command=openfolder&amp;siteaddress=FAM.docvelocity-na8.net&amp;folderid=FXEC951C66-FA5B-4337-89FB-B24EC4D9F654","FX2012313")</f>
        <v>FX2012313</v>
      </c>
      <c r="F371" t="s">
        <v>19</v>
      </c>
      <c r="G371" t="s">
        <v>19</v>
      </c>
      <c r="H371" t="s">
        <v>82</v>
      </c>
      <c r="I371" t="s">
        <v>1055</v>
      </c>
      <c r="J371">
        <v>255</v>
      </c>
      <c r="K371" t="s">
        <v>84</v>
      </c>
      <c r="L371" t="s">
        <v>85</v>
      </c>
      <c r="M371" t="s">
        <v>86</v>
      </c>
      <c r="N371">
        <v>3</v>
      </c>
      <c r="O371" s="1">
        <v>44203.460902777777</v>
      </c>
      <c r="P371" s="1">
        <v>44203.594814814816</v>
      </c>
      <c r="Q371">
        <v>10747</v>
      </c>
      <c r="R371">
        <v>823</v>
      </c>
      <c r="S371" t="b">
        <v>0</v>
      </c>
      <c r="T371" t="s">
        <v>87</v>
      </c>
      <c r="U371" t="b">
        <v>0</v>
      </c>
      <c r="V371" t="s">
        <v>142</v>
      </c>
      <c r="W371" s="1">
        <v>44203.490578703706</v>
      </c>
      <c r="X371">
        <v>394</v>
      </c>
      <c r="Y371">
        <v>171</v>
      </c>
      <c r="Z371">
        <v>0</v>
      </c>
      <c r="AA371">
        <v>171</v>
      </c>
      <c r="AB371">
        <v>0</v>
      </c>
      <c r="AC371">
        <v>5</v>
      </c>
      <c r="AD371">
        <v>84</v>
      </c>
      <c r="AE371">
        <v>0</v>
      </c>
      <c r="AF371">
        <v>0</v>
      </c>
      <c r="AG371">
        <v>0</v>
      </c>
      <c r="AH371" t="s">
        <v>267</v>
      </c>
      <c r="AI371" s="1">
        <v>44203.537870370368</v>
      </c>
      <c r="AJ371">
        <v>239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84</v>
      </c>
      <c r="AQ371">
        <v>0</v>
      </c>
      <c r="AR371">
        <v>0</v>
      </c>
      <c r="AS371">
        <v>0</v>
      </c>
      <c r="AT371" t="s">
        <v>549</v>
      </c>
      <c r="AU371" s="1">
        <v>44203.594814814816</v>
      </c>
      <c r="AV371">
        <v>159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84</v>
      </c>
      <c r="BC371">
        <v>0</v>
      </c>
      <c r="BD371">
        <v>0</v>
      </c>
      <c r="BE371">
        <v>0</v>
      </c>
    </row>
    <row r="372" spans="1:57" x14ac:dyDescent="0.45">
      <c r="A372" t="s">
        <v>1056</v>
      </c>
      <c r="B372" t="s">
        <v>79</v>
      </c>
      <c r="C372" t="s">
        <v>1057</v>
      </c>
      <c r="D372" t="s">
        <v>81</v>
      </c>
      <c r="E372" s="2" t="str">
        <f>HYPERLINK("capsilon://?command=openfolder&amp;siteaddress=FAM.docvelocity-na8.net&amp;folderid=FX16F2E662-FD8D-9C43-9F03-7C137A2B94D9","FX201228362")</f>
        <v>FX201228362</v>
      </c>
      <c r="F372" t="s">
        <v>19</v>
      </c>
      <c r="G372" t="s">
        <v>19</v>
      </c>
      <c r="H372" t="s">
        <v>82</v>
      </c>
      <c r="I372" t="s">
        <v>1058</v>
      </c>
      <c r="J372">
        <v>532</v>
      </c>
      <c r="K372" t="s">
        <v>84</v>
      </c>
      <c r="L372" t="s">
        <v>85</v>
      </c>
      <c r="M372" t="s">
        <v>86</v>
      </c>
      <c r="N372">
        <v>3</v>
      </c>
      <c r="O372" s="1">
        <v>44200.439444444448</v>
      </c>
      <c r="P372" s="1">
        <v>44200.548055555555</v>
      </c>
      <c r="Q372">
        <v>2969</v>
      </c>
      <c r="R372">
        <v>6415</v>
      </c>
      <c r="S372" t="b">
        <v>0</v>
      </c>
      <c r="T372" t="s">
        <v>87</v>
      </c>
      <c r="U372" t="b">
        <v>0</v>
      </c>
      <c r="V372" t="s">
        <v>736</v>
      </c>
      <c r="W372" s="1">
        <v>44200.508935185186</v>
      </c>
      <c r="X372">
        <v>3936</v>
      </c>
      <c r="Y372">
        <v>337</v>
      </c>
      <c r="Z372">
        <v>0</v>
      </c>
      <c r="AA372">
        <v>337</v>
      </c>
      <c r="AB372">
        <v>74</v>
      </c>
      <c r="AC372">
        <v>107</v>
      </c>
      <c r="AD372">
        <v>195</v>
      </c>
      <c r="AE372">
        <v>0</v>
      </c>
      <c r="AF372">
        <v>0</v>
      </c>
      <c r="AG372">
        <v>0</v>
      </c>
      <c r="AH372" t="s">
        <v>89</v>
      </c>
      <c r="AI372" s="1">
        <v>44200.539293981485</v>
      </c>
      <c r="AJ372">
        <v>2379</v>
      </c>
      <c r="AK372">
        <v>1</v>
      </c>
      <c r="AL372">
        <v>0</v>
      </c>
      <c r="AM372">
        <v>1</v>
      </c>
      <c r="AN372">
        <v>74</v>
      </c>
      <c r="AO372">
        <v>0</v>
      </c>
      <c r="AP372">
        <v>194</v>
      </c>
      <c r="AQ372">
        <v>0</v>
      </c>
      <c r="AR372">
        <v>0</v>
      </c>
      <c r="AS372">
        <v>0</v>
      </c>
      <c r="AT372" t="s">
        <v>90</v>
      </c>
      <c r="AU372" s="1">
        <v>44200.548055555555</v>
      </c>
      <c r="AV372">
        <v>85</v>
      </c>
      <c r="AW372">
        <v>0</v>
      </c>
      <c r="AX372">
        <v>0</v>
      </c>
      <c r="AY372">
        <v>0</v>
      </c>
      <c r="AZ372">
        <v>74</v>
      </c>
      <c r="BA372">
        <v>0</v>
      </c>
      <c r="BB372">
        <v>194</v>
      </c>
      <c r="BC372">
        <v>0</v>
      </c>
      <c r="BD372">
        <v>0</v>
      </c>
      <c r="BE372">
        <v>0</v>
      </c>
    </row>
    <row r="373" spans="1:57" x14ac:dyDescent="0.45">
      <c r="A373" t="s">
        <v>1059</v>
      </c>
      <c r="B373" t="s">
        <v>79</v>
      </c>
      <c r="C373" t="s">
        <v>1060</v>
      </c>
      <c r="D373" t="s">
        <v>81</v>
      </c>
      <c r="E373" s="2" t="str">
        <f>HYPERLINK("capsilon://?command=openfolder&amp;siteaddress=FAM.docvelocity-na8.net&amp;folderid=FX70D3D9B0-BFEE-4B16-1D27-04252D87A9F2","FX21011782")</f>
        <v>FX21011782</v>
      </c>
      <c r="F373" t="s">
        <v>19</v>
      </c>
      <c r="G373" t="s">
        <v>19</v>
      </c>
      <c r="H373" t="s">
        <v>82</v>
      </c>
      <c r="I373" t="s">
        <v>1061</v>
      </c>
      <c r="J373">
        <v>38</v>
      </c>
      <c r="K373" t="s">
        <v>84</v>
      </c>
      <c r="L373" t="s">
        <v>85</v>
      </c>
      <c r="M373" t="s">
        <v>86</v>
      </c>
      <c r="N373">
        <v>3</v>
      </c>
      <c r="O373" s="1">
        <v>44203.46912037037</v>
      </c>
      <c r="P373" s="1">
        <v>44203.594976851855</v>
      </c>
      <c r="Q373">
        <v>9825</v>
      </c>
      <c r="R373">
        <v>1049</v>
      </c>
      <c r="S373" t="b">
        <v>0</v>
      </c>
      <c r="T373" t="s">
        <v>87</v>
      </c>
      <c r="U373" t="b">
        <v>0</v>
      </c>
      <c r="V373" t="s">
        <v>179</v>
      </c>
      <c r="W373" s="1">
        <v>44203.497754629629</v>
      </c>
      <c r="X373">
        <v>939</v>
      </c>
      <c r="Y373">
        <v>37</v>
      </c>
      <c r="Z373">
        <v>0</v>
      </c>
      <c r="AA373">
        <v>37</v>
      </c>
      <c r="AB373">
        <v>0</v>
      </c>
      <c r="AC373">
        <v>20</v>
      </c>
      <c r="AD373">
        <v>1</v>
      </c>
      <c r="AE373">
        <v>0</v>
      </c>
      <c r="AF373">
        <v>0</v>
      </c>
      <c r="AG373">
        <v>0</v>
      </c>
      <c r="AH373" t="s">
        <v>267</v>
      </c>
      <c r="AI373" s="1">
        <v>44203.535092592596</v>
      </c>
      <c r="AJ373">
        <v>97</v>
      </c>
      <c r="AK373">
        <v>2</v>
      </c>
      <c r="AL373">
        <v>0</v>
      </c>
      <c r="AM373">
        <v>2</v>
      </c>
      <c r="AN373">
        <v>0</v>
      </c>
      <c r="AO373">
        <v>1</v>
      </c>
      <c r="AP373">
        <v>-1</v>
      </c>
      <c r="AQ373">
        <v>0</v>
      </c>
      <c r="AR373">
        <v>0</v>
      </c>
      <c r="AS373">
        <v>0</v>
      </c>
      <c r="AT373" t="s">
        <v>549</v>
      </c>
      <c r="AU373" s="1">
        <v>44203.594976851855</v>
      </c>
      <c r="AV373">
        <v>13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-1</v>
      </c>
      <c r="BC373">
        <v>0</v>
      </c>
      <c r="BD373">
        <v>0</v>
      </c>
      <c r="BE373">
        <v>0</v>
      </c>
    </row>
    <row r="374" spans="1:57" x14ac:dyDescent="0.45">
      <c r="A374" t="s">
        <v>1062</v>
      </c>
      <c r="B374" t="s">
        <v>79</v>
      </c>
      <c r="C374" t="s">
        <v>1057</v>
      </c>
      <c r="D374" t="s">
        <v>81</v>
      </c>
      <c r="E374" s="2" t="str">
        <f>HYPERLINK("capsilon://?command=openfolder&amp;siteaddress=FAM.docvelocity-na8.net&amp;folderid=FX16F2E662-FD8D-9C43-9F03-7C137A2B94D9","FX201228362")</f>
        <v>FX201228362</v>
      </c>
      <c r="F374" t="s">
        <v>19</v>
      </c>
      <c r="G374" t="s">
        <v>19</v>
      </c>
      <c r="H374" t="s">
        <v>82</v>
      </c>
      <c r="I374" t="s">
        <v>1063</v>
      </c>
      <c r="J374">
        <v>26</v>
      </c>
      <c r="K374" t="s">
        <v>84</v>
      </c>
      <c r="L374" t="s">
        <v>85</v>
      </c>
      <c r="M374" t="s">
        <v>86</v>
      </c>
      <c r="N374">
        <v>3</v>
      </c>
      <c r="O374" s="1">
        <v>44200.439733796295</v>
      </c>
      <c r="P374" s="1">
        <v>44200.488229166665</v>
      </c>
      <c r="Q374">
        <v>3490</v>
      </c>
      <c r="R374">
        <v>700</v>
      </c>
      <c r="S374" t="b">
        <v>0</v>
      </c>
      <c r="T374" t="s">
        <v>87</v>
      </c>
      <c r="U374" t="b">
        <v>0</v>
      </c>
      <c r="V374" t="s">
        <v>266</v>
      </c>
      <c r="W374" s="1">
        <v>44200.468472222223</v>
      </c>
      <c r="X374">
        <v>435</v>
      </c>
      <c r="Y374">
        <v>21</v>
      </c>
      <c r="Z374">
        <v>0</v>
      </c>
      <c r="AA374">
        <v>21</v>
      </c>
      <c r="AB374">
        <v>0</v>
      </c>
      <c r="AC374">
        <v>2</v>
      </c>
      <c r="AD374">
        <v>5</v>
      </c>
      <c r="AE374">
        <v>0</v>
      </c>
      <c r="AF374">
        <v>0</v>
      </c>
      <c r="AG374">
        <v>0</v>
      </c>
      <c r="AH374" t="s">
        <v>89</v>
      </c>
      <c r="AI374" s="1">
        <v>44200.488055555557</v>
      </c>
      <c r="AJ374">
        <v>258</v>
      </c>
      <c r="AK374">
        <v>2</v>
      </c>
      <c r="AL374">
        <v>0</v>
      </c>
      <c r="AM374">
        <v>2</v>
      </c>
      <c r="AN374">
        <v>0</v>
      </c>
      <c r="AO374">
        <v>1</v>
      </c>
      <c r="AP374">
        <v>3</v>
      </c>
      <c r="AQ374">
        <v>0</v>
      </c>
      <c r="AR374">
        <v>0</v>
      </c>
      <c r="AS374">
        <v>0</v>
      </c>
      <c r="AT374" t="s">
        <v>90</v>
      </c>
      <c r="AU374" s="1">
        <v>44200.488229166665</v>
      </c>
      <c r="AV374">
        <v>7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3</v>
      </c>
      <c r="BC374">
        <v>0</v>
      </c>
      <c r="BD374">
        <v>0</v>
      </c>
      <c r="BE374">
        <v>0</v>
      </c>
    </row>
    <row r="375" spans="1:57" x14ac:dyDescent="0.45">
      <c r="A375" t="s">
        <v>1064</v>
      </c>
      <c r="B375" t="s">
        <v>79</v>
      </c>
      <c r="C375" t="s">
        <v>1065</v>
      </c>
      <c r="D375" t="s">
        <v>81</v>
      </c>
      <c r="E375" s="2" t="str">
        <f>HYPERLINK("capsilon://?command=openfolder&amp;siteaddress=FAM.docvelocity-na8.net&amp;folderid=FX546A8127-B9D7-C365-387E-E65116E39C13","FX21012236")</f>
        <v>FX21012236</v>
      </c>
      <c r="F375" t="s">
        <v>19</v>
      </c>
      <c r="G375" t="s">
        <v>19</v>
      </c>
      <c r="H375" t="s">
        <v>82</v>
      </c>
      <c r="I375" t="s">
        <v>1066</v>
      </c>
      <c r="J375">
        <v>203</v>
      </c>
      <c r="K375" t="s">
        <v>84</v>
      </c>
      <c r="L375" t="s">
        <v>85</v>
      </c>
      <c r="M375" t="s">
        <v>86</v>
      </c>
      <c r="N375">
        <v>3</v>
      </c>
      <c r="O375" s="1">
        <v>44203.474722222221</v>
      </c>
      <c r="P375" s="1">
        <v>44203.596307870372</v>
      </c>
      <c r="Q375">
        <v>8886</v>
      </c>
      <c r="R375">
        <v>1619</v>
      </c>
      <c r="S375" t="b">
        <v>0</v>
      </c>
      <c r="T375" t="s">
        <v>87</v>
      </c>
      <c r="U375" t="b">
        <v>0</v>
      </c>
      <c r="V375" t="s">
        <v>242</v>
      </c>
      <c r="W375" s="1">
        <v>44203.494351851848</v>
      </c>
      <c r="X375">
        <v>553</v>
      </c>
      <c r="Y375">
        <v>140</v>
      </c>
      <c r="Z375">
        <v>0</v>
      </c>
      <c r="AA375">
        <v>140</v>
      </c>
      <c r="AB375">
        <v>0</v>
      </c>
      <c r="AC375">
        <v>25</v>
      </c>
      <c r="AD375">
        <v>63</v>
      </c>
      <c r="AE375">
        <v>0</v>
      </c>
      <c r="AF375">
        <v>0</v>
      </c>
      <c r="AG375">
        <v>0</v>
      </c>
      <c r="AH375" t="s">
        <v>128</v>
      </c>
      <c r="AI375" s="1">
        <v>44203.546574074076</v>
      </c>
      <c r="AJ375">
        <v>414</v>
      </c>
      <c r="AK375">
        <v>1</v>
      </c>
      <c r="AL375">
        <v>0</v>
      </c>
      <c r="AM375">
        <v>1</v>
      </c>
      <c r="AN375">
        <v>0</v>
      </c>
      <c r="AO375">
        <v>1</v>
      </c>
      <c r="AP375">
        <v>62</v>
      </c>
      <c r="AQ375">
        <v>0</v>
      </c>
      <c r="AR375">
        <v>0</v>
      </c>
      <c r="AS375">
        <v>0</v>
      </c>
      <c r="AT375" t="s">
        <v>549</v>
      </c>
      <c r="AU375" s="1">
        <v>44203.596307870372</v>
      </c>
      <c r="AV375">
        <v>114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62</v>
      </c>
      <c r="BC375">
        <v>0</v>
      </c>
      <c r="BD375">
        <v>0</v>
      </c>
      <c r="BE375">
        <v>0</v>
      </c>
    </row>
    <row r="376" spans="1:57" x14ac:dyDescent="0.45">
      <c r="A376" t="s">
        <v>1067</v>
      </c>
      <c r="B376" t="s">
        <v>79</v>
      </c>
      <c r="C376" t="s">
        <v>1068</v>
      </c>
      <c r="D376" t="s">
        <v>81</v>
      </c>
      <c r="E376" s="2" t="str">
        <f>HYPERLINK("capsilon://?command=openfolder&amp;siteaddress=FAM.docvelocity-na8.net&amp;folderid=FX70D774B1-DAD6-C7D3-3B49-2F6EC3202CA5","FX21012328")</f>
        <v>FX21012328</v>
      </c>
      <c r="F376" t="s">
        <v>19</v>
      </c>
      <c r="G376" t="s">
        <v>19</v>
      </c>
      <c r="H376" t="s">
        <v>82</v>
      </c>
      <c r="I376" t="s">
        <v>1069</v>
      </c>
      <c r="J376">
        <v>186</v>
      </c>
      <c r="K376" t="s">
        <v>84</v>
      </c>
      <c r="L376" t="s">
        <v>85</v>
      </c>
      <c r="M376" t="s">
        <v>86</v>
      </c>
      <c r="N376">
        <v>3</v>
      </c>
      <c r="O376" s="1">
        <v>44203.47483796296</v>
      </c>
      <c r="P376" s="1">
        <v>44203.598854166667</v>
      </c>
      <c r="Q376">
        <v>8756</v>
      </c>
      <c r="R376">
        <v>1959</v>
      </c>
      <c r="S376" t="b">
        <v>0</v>
      </c>
      <c r="T376" t="s">
        <v>87</v>
      </c>
      <c r="U376" t="b">
        <v>0</v>
      </c>
      <c r="V376" t="s">
        <v>259</v>
      </c>
      <c r="W376" s="1">
        <v>44203.503993055558</v>
      </c>
      <c r="X376">
        <v>1371</v>
      </c>
      <c r="Y376">
        <v>150</v>
      </c>
      <c r="Z376">
        <v>0</v>
      </c>
      <c r="AA376">
        <v>150</v>
      </c>
      <c r="AB376">
        <v>37</v>
      </c>
      <c r="AC376">
        <v>62</v>
      </c>
      <c r="AD376">
        <v>36</v>
      </c>
      <c r="AE376">
        <v>0</v>
      </c>
      <c r="AF376">
        <v>0</v>
      </c>
      <c r="AG376">
        <v>0</v>
      </c>
      <c r="AH376" t="s">
        <v>128</v>
      </c>
      <c r="AI376" s="1">
        <v>44203.541296296295</v>
      </c>
      <c r="AJ376">
        <v>480</v>
      </c>
      <c r="AK376">
        <v>0</v>
      </c>
      <c r="AL376">
        <v>0</v>
      </c>
      <c r="AM376">
        <v>0</v>
      </c>
      <c r="AN376">
        <v>37</v>
      </c>
      <c r="AO376">
        <v>0</v>
      </c>
      <c r="AP376">
        <v>36</v>
      </c>
      <c r="AQ376">
        <v>0</v>
      </c>
      <c r="AR376">
        <v>0</v>
      </c>
      <c r="AS376">
        <v>0</v>
      </c>
      <c r="AT376" t="s">
        <v>90</v>
      </c>
      <c r="AU376" s="1">
        <v>44203.598854166667</v>
      </c>
      <c r="AV376">
        <v>92</v>
      </c>
      <c r="AW376">
        <v>2</v>
      </c>
      <c r="AX376">
        <v>0</v>
      </c>
      <c r="AY376">
        <v>2</v>
      </c>
      <c r="AZ376">
        <v>37</v>
      </c>
      <c r="BA376">
        <v>2</v>
      </c>
      <c r="BB376">
        <v>34</v>
      </c>
      <c r="BC376">
        <v>0</v>
      </c>
      <c r="BD376">
        <v>0</v>
      </c>
      <c r="BE376">
        <v>0</v>
      </c>
    </row>
    <row r="377" spans="1:57" x14ac:dyDescent="0.45">
      <c r="A377" t="s">
        <v>1070</v>
      </c>
      <c r="B377" t="s">
        <v>79</v>
      </c>
      <c r="C377" t="s">
        <v>1071</v>
      </c>
      <c r="D377" t="s">
        <v>81</v>
      </c>
      <c r="E377" s="2" t="str">
        <f>HYPERLINK("capsilon://?command=openfolder&amp;siteaddress=FAM.docvelocity-na8.net&amp;folderid=FX14623DE2-0C2A-009F-1AAA-8A56005910D5","FX21012637")</f>
        <v>FX21012637</v>
      </c>
      <c r="F377" t="s">
        <v>19</v>
      </c>
      <c r="G377" t="s">
        <v>19</v>
      </c>
      <c r="H377" t="s">
        <v>82</v>
      </c>
      <c r="I377" t="s">
        <v>1072</v>
      </c>
      <c r="J377">
        <v>196</v>
      </c>
      <c r="K377" t="s">
        <v>84</v>
      </c>
      <c r="L377" t="s">
        <v>85</v>
      </c>
      <c r="M377" t="s">
        <v>86</v>
      </c>
      <c r="N377">
        <v>3</v>
      </c>
      <c r="O377" s="1">
        <v>44203.476770833331</v>
      </c>
      <c r="P377" s="1">
        <v>44203.621539351851</v>
      </c>
      <c r="Q377">
        <v>7525</v>
      </c>
      <c r="R377">
        <v>4983</v>
      </c>
      <c r="S377" t="b">
        <v>0</v>
      </c>
      <c r="T377" t="s">
        <v>87</v>
      </c>
      <c r="U377" t="b">
        <v>0</v>
      </c>
      <c r="V377" t="s">
        <v>343</v>
      </c>
      <c r="W377" s="1">
        <v>44203.519560185188</v>
      </c>
      <c r="X377">
        <v>2664</v>
      </c>
      <c r="Y377">
        <v>177</v>
      </c>
      <c r="Z377">
        <v>0</v>
      </c>
      <c r="AA377">
        <v>177</v>
      </c>
      <c r="AB377">
        <v>0</v>
      </c>
      <c r="AC377">
        <v>73</v>
      </c>
      <c r="AD377">
        <v>19</v>
      </c>
      <c r="AE377">
        <v>0</v>
      </c>
      <c r="AF377">
        <v>0</v>
      </c>
      <c r="AG377">
        <v>0</v>
      </c>
      <c r="AH377" t="s">
        <v>267</v>
      </c>
      <c r="AI377" s="1">
        <v>44203.542141203703</v>
      </c>
      <c r="AJ377">
        <v>368</v>
      </c>
      <c r="AK377">
        <v>2</v>
      </c>
      <c r="AL377">
        <v>0</v>
      </c>
      <c r="AM377">
        <v>2</v>
      </c>
      <c r="AN377">
        <v>0</v>
      </c>
      <c r="AO377">
        <v>1</v>
      </c>
      <c r="AP377">
        <v>17</v>
      </c>
      <c r="AQ377">
        <v>0</v>
      </c>
      <c r="AR377">
        <v>0</v>
      </c>
      <c r="AS377">
        <v>0</v>
      </c>
      <c r="AT377" t="s">
        <v>90</v>
      </c>
      <c r="AU377" s="1">
        <v>44203.621539351851</v>
      </c>
      <c r="AV377">
        <v>1951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17</v>
      </c>
      <c r="BC377">
        <v>0</v>
      </c>
      <c r="BD377">
        <v>0</v>
      </c>
      <c r="BE377">
        <v>0</v>
      </c>
    </row>
    <row r="378" spans="1:57" hidden="1" x14ac:dyDescent="0.45">
      <c r="A378" t="s">
        <v>1073</v>
      </c>
      <c r="B378" t="s">
        <v>79</v>
      </c>
      <c r="C378" t="s">
        <v>1074</v>
      </c>
      <c r="D378" t="s">
        <v>81</v>
      </c>
      <c r="E378" s="2" t="str">
        <f>HYPERLINK("capsilon://?command=openfolder&amp;siteaddress=FAM.docvelocity-na8.net&amp;folderid=FXE605EC56-1E45-9443-10D4-CB6224C62C8A","FX20116271")</f>
        <v>FX20116271</v>
      </c>
      <c r="F378" t="s">
        <v>19</v>
      </c>
      <c r="G378" t="s">
        <v>19</v>
      </c>
      <c r="H378" t="s">
        <v>82</v>
      </c>
      <c r="I378" t="s">
        <v>1075</v>
      </c>
      <c r="J378">
        <v>441</v>
      </c>
      <c r="K378" t="s">
        <v>183</v>
      </c>
      <c r="L378" t="s">
        <v>19</v>
      </c>
      <c r="M378" t="s">
        <v>81</v>
      </c>
      <c r="N378">
        <v>0</v>
      </c>
      <c r="O378" s="1">
        <v>44200.440416666665</v>
      </c>
      <c r="P378" s="1">
        <v>44200.445787037039</v>
      </c>
      <c r="Q378">
        <v>464</v>
      </c>
      <c r="R378">
        <v>0</v>
      </c>
      <c r="S378" t="b">
        <v>0</v>
      </c>
      <c r="T378" t="s">
        <v>87</v>
      </c>
      <c r="U378" t="b">
        <v>0</v>
      </c>
      <c r="V378" t="s">
        <v>87</v>
      </c>
      <c r="W378" t="s">
        <v>87</v>
      </c>
      <c r="X378" t="s">
        <v>87</v>
      </c>
      <c r="Y378" t="s">
        <v>87</v>
      </c>
      <c r="Z378" t="s">
        <v>87</v>
      </c>
      <c r="AA378" t="s">
        <v>87</v>
      </c>
      <c r="AB378" t="s">
        <v>87</v>
      </c>
      <c r="AC378" t="s">
        <v>87</v>
      </c>
      <c r="AD378" t="s">
        <v>87</v>
      </c>
      <c r="AE378" t="s">
        <v>87</v>
      </c>
      <c r="AF378" t="s">
        <v>87</v>
      </c>
      <c r="AG378" t="s">
        <v>87</v>
      </c>
      <c r="AH378" t="s">
        <v>87</v>
      </c>
      <c r="AI378" t="s">
        <v>87</v>
      </c>
      <c r="AJ378" t="s">
        <v>87</v>
      </c>
      <c r="AK378" t="s">
        <v>87</v>
      </c>
      <c r="AL378" t="s">
        <v>87</v>
      </c>
      <c r="AM378" t="s">
        <v>87</v>
      </c>
      <c r="AN378" t="s">
        <v>87</v>
      </c>
      <c r="AO378" t="s">
        <v>87</v>
      </c>
      <c r="AP378" t="s">
        <v>87</v>
      </c>
      <c r="AQ378" t="s">
        <v>87</v>
      </c>
      <c r="AR378" t="s">
        <v>87</v>
      </c>
      <c r="AS378" t="s">
        <v>87</v>
      </c>
      <c r="AT378" t="s">
        <v>87</v>
      </c>
      <c r="AU378" t="s">
        <v>87</v>
      </c>
      <c r="AV378" t="s">
        <v>87</v>
      </c>
      <c r="AW378" t="s">
        <v>87</v>
      </c>
      <c r="AX378" t="s">
        <v>87</v>
      </c>
      <c r="AY378" t="s">
        <v>87</v>
      </c>
      <c r="AZ378" t="s">
        <v>87</v>
      </c>
      <c r="BA378" t="s">
        <v>87</v>
      </c>
      <c r="BB378" t="s">
        <v>87</v>
      </c>
      <c r="BC378" t="s">
        <v>87</v>
      </c>
      <c r="BD378" t="s">
        <v>87</v>
      </c>
      <c r="BE378" t="s">
        <v>87</v>
      </c>
    </row>
    <row r="379" spans="1:57" hidden="1" x14ac:dyDescent="0.45">
      <c r="A379" t="s">
        <v>1076</v>
      </c>
      <c r="B379" t="s">
        <v>79</v>
      </c>
      <c r="C379" t="s">
        <v>1077</v>
      </c>
      <c r="D379" t="s">
        <v>81</v>
      </c>
      <c r="E379" s="2" t="str">
        <f>HYPERLINK("capsilon://?command=openfolder&amp;siteaddress=FAM.docvelocity-na8.net&amp;folderid=FX61728390-1351-C9C4-6171-298EAB92A046","FX20122812")</f>
        <v>FX20122812</v>
      </c>
      <c r="F379" t="s">
        <v>19</v>
      </c>
      <c r="G379" t="s">
        <v>19</v>
      </c>
      <c r="H379" t="s">
        <v>82</v>
      </c>
      <c r="I379" t="s">
        <v>1078</v>
      </c>
      <c r="J379">
        <v>66</v>
      </c>
      <c r="K379" t="s">
        <v>84</v>
      </c>
      <c r="L379" t="s">
        <v>85</v>
      </c>
      <c r="M379" t="s">
        <v>86</v>
      </c>
      <c r="N379">
        <v>3</v>
      </c>
      <c r="O379" s="1">
        <v>44203.479641203703</v>
      </c>
      <c r="P379" s="1">
        <v>44203.624340277776</v>
      </c>
      <c r="Q379">
        <v>12213</v>
      </c>
      <c r="R379">
        <v>289</v>
      </c>
      <c r="S379" t="b">
        <v>0</v>
      </c>
      <c r="T379" t="s">
        <v>87</v>
      </c>
      <c r="U379" t="b">
        <v>0</v>
      </c>
      <c r="V379" t="s">
        <v>98</v>
      </c>
      <c r="W379" s="1">
        <v>44203.491643518515</v>
      </c>
      <c r="X379">
        <v>246</v>
      </c>
      <c r="Y379">
        <v>0</v>
      </c>
      <c r="Z379">
        <v>0</v>
      </c>
      <c r="AA379">
        <v>0</v>
      </c>
      <c r="AB379">
        <v>52</v>
      </c>
      <c r="AC379">
        <v>0</v>
      </c>
      <c r="AD379">
        <v>66</v>
      </c>
      <c r="AE379">
        <v>0</v>
      </c>
      <c r="AF379">
        <v>0</v>
      </c>
      <c r="AG379">
        <v>0</v>
      </c>
      <c r="AH379" t="s">
        <v>128</v>
      </c>
      <c r="AI379" s="1">
        <v>44203.541770833333</v>
      </c>
      <c r="AJ379">
        <v>40</v>
      </c>
      <c r="AK379">
        <v>0</v>
      </c>
      <c r="AL379">
        <v>0</v>
      </c>
      <c r="AM379">
        <v>0</v>
      </c>
      <c r="AN379">
        <v>52</v>
      </c>
      <c r="AO379">
        <v>0</v>
      </c>
      <c r="AP379">
        <v>66</v>
      </c>
      <c r="AQ379">
        <v>0</v>
      </c>
      <c r="AR379">
        <v>0</v>
      </c>
      <c r="AS379">
        <v>0</v>
      </c>
      <c r="AT379" t="s">
        <v>90</v>
      </c>
      <c r="AU379" s="1">
        <v>44203.624340277776</v>
      </c>
      <c r="AV379">
        <v>3</v>
      </c>
      <c r="AW379">
        <v>0</v>
      </c>
      <c r="AX379">
        <v>0</v>
      </c>
      <c r="AY379">
        <v>0</v>
      </c>
      <c r="AZ379">
        <v>52</v>
      </c>
      <c r="BA379">
        <v>0</v>
      </c>
      <c r="BB379">
        <v>66</v>
      </c>
      <c r="BC379">
        <v>0</v>
      </c>
      <c r="BD379">
        <v>0</v>
      </c>
      <c r="BE379">
        <v>0</v>
      </c>
    </row>
    <row r="380" spans="1:57" x14ac:dyDescent="0.45">
      <c r="A380" t="s">
        <v>1079</v>
      </c>
      <c r="B380" t="s">
        <v>79</v>
      </c>
      <c r="C380" t="s">
        <v>1040</v>
      </c>
      <c r="D380" t="s">
        <v>81</v>
      </c>
      <c r="E380" s="2" t="str">
        <f>HYPERLINK("capsilon://?command=openfolder&amp;siteaddress=FAM.docvelocity-na8.net&amp;folderid=FX25AE985D-5D36-7BC0-0903-FF17BD3F5E9E","FX201113035")</f>
        <v>FX201113035</v>
      </c>
      <c r="F380" t="s">
        <v>19</v>
      </c>
      <c r="G380" t="s">
        <v>19</v>
      </c>
      <c r="H380" t="s">
        <v>82</v>
      </c>
      <c r="I380" t="s">
        <v>1041</v>
      </c>
      <c r="J380">
        <v>38</v>
      </c>
      <c r="K380" t="s">
        <v>84</v>
      </c>
      <c r="L380" t="s">
        <v>85</v>
      </c>
      <c r="M380" t="s">
        <v>86</v>
      </c>
      <c r="N380">
        <v>3</v>
      </c>
      <c r="O380" s="1">
        <v>44203.480520833335</v>
      </c>
      <c r="P380" s="1">
        <v>44203.490300925929</v>
      </c>
      <c r="Q380">
        <v>130</v>
      </c>
      <c r="R380">
        <v>715</v>
      </c>
      <c r="S380" t="b">
        <v>0</v>
      </c>
      <c r="T380" t="s">
        <v>87</v>
      </c>
      <c r="U380" t="b">
        <v>1</v>
      </c>
      <c r="V380" t="s">
        <v>242</v>
      </c>
      <c r="W380" s="1">
        <v>44203.487939814811</v>
      </c>
      <c r="X380">
        <v>637</v>
      </c>
      <c r="Y380">
        <v>37</v>
      </c>
      <c r="Z380">
        <v>0</v>
      </c>
      <c r="AA380">
        <v>37</v>
      </c>
      <c r="AB380">
        <v>0</v>
      </c>
      <c r="AC380">
        <v>34</v>
      </c>
      <c r="AD380">
        <v>1</v>
      </c>
      <c r="AE380">
        <v>0</v>
      </c>
      <c r="AF380">
        <v>0</v>
      </c>
      <c r="AG380">
        <v>0</v>
      </c>
      <c r="AH380" t="s">
        <v>267</v>
      </c>
      <c r="AI380" s="1">
        <v>44203.48945601852</v>
      </c>
      <c r="AJ380">
        <v>74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 t="s">
        <v>90</v>
      </c>
      <c r="AU380" s="1">
        <v>44203.490300925929</v>
      </c>
      <c r="AV380">
        <v>4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</row>
    <row r="381" spans="1:57" x14ac:dyDescent="0.45">
      <c r="A381" t="s">
        <v>1080</v>
      </c>
      <c r="B381" t="s">
        <v>79</v>
      </c>
      <c r="C381" t="s">
        <v>1057</v>
      </c>
      <c r="D381" t="s">
        <v>81</v>
      </c>
      <c r="E381" s="2" t="str">
        <f>HYPERLINK("capsilon://?command=openfolder&amp;siteaddress=FAM.docvelocity-na8.net&amp;folderid=FX16F2E662-FD8D-9C43-9F03-7C137A2B94D9","FX201228362")</f>
        <v>FX201228362</v>
      </c>
      <c r="F381" t="s">
        <v>19</v>
      </c>
      <c r="G381" t="s">
        <v>19</v>
      </c>
      <c r="H381" t="s">
        <v>82</v>
      </c>
      <c r="I381" t="s">
        <v>1081</v>
      </c>
      <c r="J381">
        <v>117</v>
      </c>
      <c r="K381" t="s">
        <v>84</v>
      </c>
      <c r="L381" t="s">
        <v>85</v>
      </c>
      <c r="M381" t="s">
        <v>86</v>
      </c>
      <c r="N381">
        <v>3</v>
      </c>
      <c r="O381" s="1">
        <v>44200.440497685187</v>
      </c>
      <c r="P381" s="1">
        <v>44200.487986111111</v>
      </c>
      <c r="Q381">
        <v>3027</v>
      </c>
      <c r="R381">
        <v>1076</v>
      </c>
      <c r="S381" t="b">
        <v>0</v>
      </c>
      <c r="T381" t="s">
        <v>87</v>
      </c>
      <c r="U381" t="b">
        <v>0</v>
      </c>
      <c r="V381" t="s">
        <v>242</v>
      </c>
      <c r="W381" s="1">
        <v>44200.470682870371</v>
      </c>
      <c r="X381">
        <v>564</v>
      </c>
      <c r="Y381">
        <v>94</v>
      </c>
      <c r="Z381">
        <v>0</v>
      </c>
      <c r="AA381">
        <v>94</v>
      </c>
      <c r="AB381">
        <v>0</v>
      </c>
      <c r="AC381">
        <v>40</v>
      </c>
      <c r="AD381">
        <v>23</v>
      </c>
      <c r="AE381">
        <v>0</v>
      </c>
      <c r="AF381">
        <v>0</v>
      </c>
      <c r="AG381">
        <v>0</v>
      </c>
      <c r="AH381" t="s">
        <v>89</v>
      </c>
      <c r="AI381" s="1">
        <v>44200.484444444446</v>
      </c>
      <c r="AJ381">
        <v>464</v>
      </c>
      <c r="AK381">
        <v>2</v>
      </c>
      <c r="AL381">
        <v>0</v>
      </c>
      <c r="AM381">
        <v>2</v>
      </c>
      <c r="AN381">
        <v>0</v>
      </c>
      <c r="AO381">
        <v>1</v>
      </c>
      <c r="AP381">
        <v>21</v>
      </c>
      <c r="AQ381">
        <v>0</v>
      </c>
      <c r="AR381">
        <v>0</v>
      </c>
      <c r="AS381">
        <v>0</v>
      </c>
      <c r="AT381" t="s">
        <v>90</v>
      </c>
      <c r="AU381" s="1">
        <v>44200.487986111111</v>
      </c>
      <c r="AV381">
        <v>48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21</v>
      </c>
      <c r="BC381">
        <v>0</v>
      </c>
      <c r="BD381">
        <v>0</v>
      </c>
      <c r="BE381">
        <v>0</v>
      </c>
    </row>
    <row r="382" spans="1:57" x14ac:dyDescent="0.45">
      <c r="A382" t="s">
        <v>1082</v>
      </c>
      <c r="B382" t="s">
        <v>79</v>
      </c>
      <c r="C382" t="s">
        <v>1040</v>
      </c>
      <c r="D382" t="s">
        <v>81</v>
      </c>
      <c r="E382" s="2" t="str">
        <f>HYPERLINK("capsilon://?command=openfolder&amp;siteaddress=FAM.docvelocity-na8.net&amp;folderid=FX25AE985D-5D36-7BC0-0903-FF17BD3F5E9E","FX201113035")</f>
        <v>FX201113035</v>
      </c>
      <c r="F382" t="s">
        <v>19</v>
      </c>
      <c r="G382" t="s">
        <v>19</v>
      </c>
      <c r="H382" t="s">
        <v>82</v>
      </c>
      <c r="I382" t="s">
        <v>1046</v>
      </c>
      <c r="J382">
        <v>38</v>
      </c>
      <c r="K382" t="s">
        <v>84</v>
      </c>
      <c r="L382" t="s">
        <v>85</v>
      </c>
      <c r="M382" t="s">
        <v>86</v>
      </c>
      <c r="N382">
        <v>3</v>
      </c>
      <c r="O382" s="1">
        <v>44203.482430555552</v>
      </c>
      <c r="P382" s="1">
        <v>44203.519803240742</v>
      </c>
      <c r="Q382">
        <v>488</v>
      </c>
      <c r="R382">
        <v>2741</v>
      </c>
      <c r="S382" t="b">
        <v>0</v>
      </c>
      <c r="T382" t="s">
        <v>87</v>
      </c>
      <c r="U382" t="b">
        <v>1</v>
      </c>
      <c r="V382" t="s">
        <v>105</v>
      </c>
      <c r="W382" s="1">
        <v>44203.511655092596</v>
      </c>
      <c r="X382">
        <v>2309</v>
      </c>
      <c r="Y382">
        <v>37</v>
      </c>
      <c r="Z382">
        <v>0</v>
      </c>
      <c r="AA382">
        <v>37</v>
      </c>
      <c r="AB382">
        <v>0</v>
      </c>
      <c r="AC382">
        <v>33</v>
      </c>
      <c r="AD382">
        <v>1</v>
      </c>
      <c r="AE382">
        <v>0</v>
      </c>
      <c r="AF382">
        <v>0</v>
      </c>
      <c r="AG382">
        <v>0</v>
      </c>
      <c r="AH382" t="s">
        <v>267</v>
      </c>
      <c r="AI382" s="1">
        <v>44203.518773148149</v>
      </c>
      <c r="AJ382">
        <v>412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 t="s">
        <v>90</v>
      </c>
      <c r="AU382" s="1">
        <v>44203.519803240742</v>
      </c>
      <c r="AV382">
        <v>20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</row>
    <row r="383" spans="1:57" x14ac:dyDescent="0.45">
      <c r="A383" t="s">
        <v>1083</v>
      </c>
      <c r="B383" t="s">
        <v>79</v>
      </c>
      <c r="C383" t="s">
        <v>1084</v>
      </c>
      <c r="D383" t="s">
        <v>81</v>
      </c>
      <c r="E383" s="2" t="str">
        <f>HYPERLINK("capsilon://?command=openfolder&amp;siteaddress=FAM.docvelocity-na8.net&amp;folderid=FX83FB5BBE-0E04-B0DA-7087-83E8F273DD18","FX21011448")</f>
        <v>FX21011448</v>
      </c>
      <c r="F383" t="s">
        <v>19</v>
      </c>
      <c r="G383" t="s">
        <v>19</v>
      </c>
      <c r="H383" t="s">
        <v>82</v>
      </c>
      <c r="I383" t="s">
        <v>1085</v>
      </c>
      <c r="J383">
        <v>308</v>
      </c>
      <c r="K383" t="s">
        <v>84</v>
      </c>
      <c r="L383" t="s">
        <v>85</v>
      </c>
      <c r="M383" t="s">
        <v>86</v>
      </c>
      <c r="N383">
        <v>3</v>
      </c>
      <c r="O383" s="1">
        <v>44203.482523148145</v>
      </c>
      <c r="P383" s="1">
        <v>44203.626469907409</v>
      </c>
      <c r="Q383">
        <v>10767</v>
      </c>
      <c r="R383">
        <v>1670</v>
      </c>
      <c r="S383" t="b">
        <v>0</v>
      </c>
      <c r="T383" t="s">
        <v>87</v>
      </c>
      <c r="U383" t="b">
        <v>0</v>
      </c>
      <c r="V383" t="s">
        <v>142</v>
      </c>
      <c r="W383" s="1">
        <v>44203.503993055558</v>
      </c>
      <c r="X383">
        <v>1158</v>
      </c>
      <c r="Y383">
        <v>207</v>
      </c>
      <c r="Z383">
        <v>0</v>
      </c>
      <c r="AA383">
        <v>207</v>
      </c>
      <c r="AB383">
        <v>0</v>
      </c>
      <c r="AC383">
        <v>94</v>
      </c>
      <c r="AD383">
        <v>101</v>
      </c>
      <c r="AE383">
        <v>0</v>
      </c>
      <c r="AF383">
        <v>0</v>
      </c>
      <c r="AG383">
        <v>0</v>
      </c>
      <c r="AH383" t="s">
        <v>267</v>
      </c>
      <c r="AI383" s="1">
        <v>44203.545949074076</v>
      </c>
      <c r="AJ383">
        <v>328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101</v>
      </c>
      <c r="AQ383">
        <v>0</v>
      </c>
      <c r="AR383">
        <v>0</v>
      </c>
      <c r="AS383">
        <v>0</v>
      </c>
      <c r="AT383" t="s">
        <v>90</v>
      </c>
      <c r="AU383" s="1">
        <v>44203.626469907409</v>
      </c>
      <c r="AV383">
        <v>184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101</v>
      </c>
      <c r="BC383">
        <v>0</v>
      </c>
      <c r="BD383">
        <v>0</v>
      </c>
      <c r="BE383">
        <v>0</v>
      </c>
    </row>
    <row r="384" spans="1:57" x14ac:dyDescent="0.45">
      <c r="A384" t="s">
        <v>1086</v>
      </c>
      <c r="B384" t="s">
        <v>79</v>
      </c>
      <c r="C384" t="s">
        <v>1087</v>
      </c>
      <c r="D384" t="s">
        <v>81</v>
      </c>
      <c r="E384" s="2" t="str">
        <f>HYPERLINK("capsilon://?command=openfolder&amp;siteaddress=FAM.docvelocity-na8.net&amp;folderid=FX99DB62D6-4C4D-B489-6BE9-81E728BC9021","FX21012061")</f>
        <v>FX21012061</v>
      </c>
      <c r="F384" t="s">
        <v>19</v>
      </c>
      <c r="G384" t="s">
        <v>19</v>
      </c>
      <c r="H384" t="s">
        <v>82</v>
      </c>
      <c r="I384" t="s">
        <v>1088</v>
      </c>
      <c r="J384">
        <v>178</v>
      </c>
      <c r="K384" t="s">
        <v>84</v>
      </c>
      <c r="L384" t="s">
        <v>85</v>
      </c>
      <c r="M384" t="s">
        <v>86</v>
      </c>
      <c r="N384">
        <v>3</v>
      </c>
      <c r="O384" s="1">
        <v>44203.483773148146</v>
      </c>
      <c r="P384" s="1">
        <v>44203.631041666667</v>
      </c>
      <c r="Q384">
        <v>9377</v>
      </c>
      <c r="R384">
        <v>3347</v>
      </c>
      <c r="S384" t="b">
        <v>0</v>
      </c>
      <c r="T384" t="s">
        <v>87</v>
      </c>
      <c r="U384" t="b">
        <v>0</v>
      </c>
      <c r="V384" t="s">
        <v>98</v>
      </c>
      <c r="W384" s="1">
        <v>44203.522951388892</v>
      </c>
      <c r="X384">
        <v>2704</v>
      </c>
      <c r="Y384">
        <v>130</v>
      </c>
      <c r="Z384">
        <v>0</v>
      </c>
      <c r="AA384">
        <v>130</v>
      </c>
      <c r="AB384">
        <v>0</v>
      </c>
      <c r="AC384">
        <v>14</v>
      </c>
      <c r="AD384">
        <v>48</v>
      </c>
      <c r="AE384">
        <v>0</v>
      </c>
      <c r="AF384">
        <v>0</v>
      </c>
      <c r="AG384">
        <v>0</v>
      </c>
      <c r="AH384" t="s">
        <v>267</v>
      </c>
      <c r="AI384" s="1">
        <v>44203.548842592594</v>
      </c>
      <c r="AJ384">
        <v>249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48</v>
      </c>
      <c r="AQ384">
        <v>0</v>
      </c>
      <c r="AR384">
        <v>0</v>
      </c>
      <c r="AS384">
        <v>0</v>
      </c>
      <c r="AT384" t="s">
        <v>90</v>
      </c>
      <c r="AU384" s="1">
        <v>44203.631041666667</v>
      </c>
      <c r="AV384">
        <v>394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48</v>
      </c>
      <c r="BC384">
        <v>0</v>
      </c>
      <c r="BD384">
        <v>0</v>
      </c>
      <c r="BE384">
        <v>0</v>
      </c>
    </row>
    <row r="385" spans="1:57" x14ac:dyDescent="0.45">
      <c r="A385" t="s">
        <v>1089</v>
      </c>
      <c r="B385" t="s">
        <v>79</v>
      </c>
      <c r="C385" t="s">
        <v>1057</v>
      </c>
      <c r="D385" t="s">
        <v>81</v>
      </c>
      <c r="E385" s="2" t="str">
        <f>HYPERLINK("capsilon://?command=openfolder&amp;siteaddress=FAM.docvelocity-na8.net&amp;folderid=FX16F2E662-FD8D-9C43-9F03-7C137A2B94D9","FX201228362")</f>
        <v>FX201228362</v>
      </c>
      <c r="F385" t="s">
        <v>19</v>
      </c>
      <c r="G385" t="s">
        <v>19</v>
      </c>
      <c r="H385" t="s">
        <v>82</v>
      </c>
      <c r="I385" t="s">
        <v>1090</v>
      </c>
      <c r="J385">
        <v>26</v>
      </c>
      <c r="K385" t="s">
        <v>84</v>
      </c>
      <c r="L385" t="s">
        <v>85</v>
      </c>
      <c r="M385" t="s">
        <v>86</v>
      </c>
      <c r="N385">
        <v>3</v>
      </c>
      <c r="O385" s="1">
        <v>44200.440868055557</v>
      </c>
      <c r="P385" s="1">
        <v>44200.488136574073</v>
      </c>
      <c r="Q385">
        <v>3672</v>
      </c>
      <c r="R385">
        <v>412</v>
      </c>
      <c r="S385" t="b">
        <v>0</v>
      </c>
      <c r="T385" t="s">
        <v>87</v>
      </c>
      <c r="U385" t="b">
        <v>0</v>
      </c>
      <c r="V385" t="s">
        <v>266</v>
      </c>
      <c r="W385" s="1">
        <v>44200.472407407404</v>
      </c>
      <c r="X385">
        <v>339</v>
      </c>
      <c r="Y385">
        <v>21</v>
      </c>
      <c r="Z385">
        <v>0</v>
      </c>
      <c r="AA385">
        <v>21</v>
      </c>
      <c r="AB385">
        <v>0</v>
      </c>
      <c r="AC385">
        <v>4</v>
      </c>
      <c r="AD385">
        <v>5</v>
      </c>
      <c r="AE385">
        <v>0</v>
      </c>
      <c r="AF385">
        <v>0</v>
      </c>
      <c r="AG385">
        <v>0</v>
      </c>
      <c r="AH385" t="s">
        <v>267</v>
      </c>
      <c r="AI385" s="1">
        <v>44200.483171296299</v>
      </c>
      <c r="AJ385">
        <v>64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5</v>
      </c>
      <c r="AQ385">
        <v>0</v>
      </c>
      <c r="AR385">
        <v>0</v>
      </c>
      <c r="AS385">
        <v>0</v>
      </c>
      <c r="AT385" t="s">
        <v>90</v>
      </c>
      <c r="AU385" s="1">
        <v>44200.488136574073</v>
      </c>
      <c r="AV385">
        <v>9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5</v>
      </c>
      <c r="BC385">
        <v>0</v>
      </c>
      <c r="BD385">
        <v>0</v>
      </c>
      <c r="BE385">
        <v>0</v>
      </c>
    </row>
    <row r="386" spans="1:57" x14ac:dyDescent="0.45">
      <c r="A386" t="s">
        <v>1091</v>
      </c>
      <c r="B386" t="s">
        <v>79</v>
      </c>
      <c r="C386" t="s">
        <v>1092</v>
      </c>
      <c r="D386" t="s">
        <v>81</v>
      </c>
      <c r="E386" s="2" t="str">
        <f>HYPERLINK("capsilon://?command=openfolder&amp;siteaddress=FAM.docvelocity-na8.net&amp;folderid=FX6A733E17-C6EF-057A-90D9-C8FF7BA96FD4","FX201223339")</f>
        <v>FX201223339</v>
      </c>
      <c r="F386" t="s">
        <v>19</v>
      </c>
      <c r="G386" t="s">
        <v>19</v>
      </c>
      <c r="H386" t="s">
        <v>82</v>
      </c>
      <c r="I386" t="s">
        <v>1093</v>
      </c>
      <c r="J386">
        <v>41</v>
      </c>
      <c r="K386" t="s">
        <v>84</v>
      </c>
      <c r="L386" t="s">
        <v>85</v>
      </c>
      <c r="M386" t="s">
        <v>86</v>
      </c>
      <c r="N386">
        <v>3</v>
      </c>
      <c r="O386" s="1">
        <v>44203.484918981485</v>
      </c>
      <c r="P386" s="1">
        <v>44203.636493055557</v>
      </c>
      <c r="Q386">
        <v>11603</v>
      </c>
      <c r="R386">
        <v>1493</v>
      </c>
      <c r="S386" t="b">
        <v>0</v>
      </c>
      <c r="T386" t="s">
        <v>87</v>
      </c>
      <c r="U386" t="b">
        <v>0</v>
      </c>
      <c r="V386" t="s">
        <v>160</v>
      </c>
      <c r="W386" s="1">
        <v>44203.502326388887</v>
      </c>
      <c r="X386">
        <v>815</v>
      </c>
      <c r="Y386">
        <v>43</v>
      </c>
      <c r="Z386">
        <v>0</v>
      </c>
      <c r="AA386">
        <v>43</v>
      </c>
      <c r="AB386">
        <v>0</v>
      </c>
      <c r="AC386">
        <v>27</v>
      </c>
      <c r="AD386">
        <v>-2</v>
      </c>
      <c r="AE386">
        <v>0</v>
      </c>
      <c r="AF386">
        <v>0</v>
      </c>
      <c r="AG386">
        <v>0</v>
      </c>
      <c r="AH386" t="s">
        <v>128</v>
      </c>
      <c r="AI386" s="1">
        <v>44203.549039351848</v>
      </c>
      <c r="AJ386">
        <v>212</v>
      </c>
      <c r="AK386">
        <v>2</v>
      </c>
      <c r="AL386">
        <v>0</v>
      </c>
      <c r="AM386">
        <v>2</v>
      </c>
      <c r="AN386">
        <v>0</v>
      </c>
      <c r="AO386">
        <v>2</v>
      </c>
      <c r="AP386">
        <v>-4</v>
      </c>
      <c r="AQ386">
        <v>0</v>
      </c>
      <c r="AR386">
        <v>0</v>
      </c>
      <c r="AS386">
        <v>0</v>
      </c>
      <c r="AT386" t="s">
        <v>90</v>
      </c>
      <c r="AU386" s="1">
        <v>44203.636493055557</v>
      </c>
      <c r="AV386">
        <v>466</v>
      </c>
      <c r="AW386">
        <v>1</v>
      </c>
      <c r="AX386">
        <v>0</v>
      </c>
      <c r="AY386">
        <v>1</v>
      </c>
      <c r="AZ386">
        <v>0</v>
      </c>
      <c r="BA386">
        <v>1</v>
      </c>
      <c r="BB386">
        <v>-5</v>
      </c>
      <c r="BC386">
        <v>0</v>
      </c>
      <c r="BD386">
        <v>0</v>
      </c>
      <c r="BE386">
        <v>0</v>
      </c>
    </row>
    <row r="387" spans="1:57" x14ac:dyDescent="0.45">
      <c r="A387" t="s">
        <v>1094</v>
      </c>
      <c r="B387" t="s">
        <v>79</v>
      </c>
      <c r="C387" t="s">
        <v>1095</v>
      </c>
      <c r="D387" t="s">
        <v>81</v>
      </c>
      <c r="E387" s="2" t="str">
        <f>HYPERLINK("capsilon://?command=openfolder&amp;siteaddress=FAM.docvelocity-na8.net&amp;folderid=FX851148EF-B19F-CE78-158A-C8D69651F8EB","FX21012406")</f>
        <v>FX21012406</v>
      </c>
      <c r="F387" t="s">
        <v>19</v>
      </c>
      <c r="G387" t="s">
        <v>19</v>
      </c>
      <c r="H387" t="s">
        <v>82</v>
      </c>
      <c r="I387" t="s">
        <v>1096</v>
      </c>
      <c r="J387">
        <v>340</v>
      </c>
      <c r="K387" t="s">
        <v>84</v>
      </c>
      <c r="L387" t="s">
        <v>85</v>
      </c>
      <c r="M387" t="s">
        <v>86</v>
      </c>
      <c r="N387">
        <v>3</v>
      </c>
      <c r="O387" s="1">
        <v>44203.486944444441</v>
      </c>
      <c r="P387" s="1">
        <v>44203.640162037038</v>
      </c>
      <c r="Q387">
        <v>9163</v>
      </c>
      <c r="R387">
        <v>4075</v>
      </c>
      <c r="S387" t="b">
        <v>0</v>
      </c>
      <c r="T387" t="s">
        <v>87</v>
      </c>
      <c r="U387" t="b">
        <v>0</v>
      </c>
      <c r="V387" t="s">
        <v>262</v>
      </c>
      <c r="W387" s="1">
        <v>44203.531724537039</v>
      </c>
      <c r="X387">
        <v>3242</v>
      </c>
      <c r="Y387">
        <v>315</v>
      </c>
      <c r="Z387">
        <v>0</v>
      </c>
      <c r="AA387">
        <v>315</v>
      </c>
      <c r="AB387">
        <v>37</v>
      </c>
      <c r="AC387">
        <v>163</v>
      </c>
      <c r="AD387">
        <v>25</v>
      </c>
      <c r="AE387">
        <v>0</v>
      </c>
      <c r="AF387">
        <v>0</v>
      </c>
      <c r="AG387">
        <v>0</v>
      </c>
      <c r="AH387" t="s">
        <v>267</v>
      </c>
      <c r="AI387" s="1">
        <v>44203.554826388892</v>
      </c>
      <c r="AJ387">
        <v>516</v>
      </c>
      <c r="AK387">
        <v>0</v>
      </c>
      <c r="AL387">
        <v>0</v>
      </c>
      <c r="AM387">
        <v>0</v>
      </c>
      <c r="AN387">
        <v>37</v>
      </c>
      <c r="AO387">
        <v>0</v>
      </c>
      <c r="AP387">
        <v>25</v>
      </c>
      <c r="AQ387">
        <v>0</v>
      </c>
      <c r="AR387">
        <v>0</v>
      </c>
      <c r="AS387">
        <v>0</v>
      </c>
      <c r="AT387" t="s">
        <v>90</v>
      </c>
      <c r="AU387" s="1">
        <v>44203.640162037038</v>
      </c>
      <c r="AV387">
        <v>317</v>
      </c>
      <c r="AW387">
        <v>0</v>
      </c>
      <c r="AX387">
        <v>0</v>
      </c>
      <c r="AY387">
        <v>0</v>
      </c>
      <c r="AZ387">
        <v>37</v>
      </c>
      <c r="BA387">
        <v>0</v>
      </c>
      <c r="BB387">
        <v>25</v>
      </c>
      <c r="BC387">
        <v>0</v>
      </c>
      <c r="BD387">
        <v>0</v>
      </c>
      <c r="BE387">
        <v>0</v>
      </c>
    </row>
    <row r="388" spans="1:57" x14ac:dyDescent="0.45">
      <c r="A388" t="s">
        <v>1097</v>
      </c>
      <c r="B388" t="s">
        <v>79</v>
      </c>
      <c r="C388" t="s">
        <v>1057</v>
      </c>
      <c r="D388" t="s">
        <v>81</v>
      </c>
      <c r="E388" s="2" t="str">
        <f>HYPERLINK("capsilon://?command=openfolder&amp;siteaddress=FAM.docvelocity-na8.net&amp;folderid=FX16F2E662-FD8D-9C43-9F03-7C137A2B94D9","FX201228362")</f>
        <v>FX201228362</v>
      </c>
      <c r="F388" t="s">
        <v>19</v>
      </c>
      <c r="G388" t="s">
        <v>19</v>
      </c>
      <c r="H388" t="s">
        <v>82</v>
      </c>
      <c r="I388" t="s">
        <v>1098</v>
      </c>
      <c r="J388">
        <v>103</v>
      </c>
      <c r="K388" t="s">
        <v>84</v>
      </c>
      <c r="L388" t="s">
        <v>85</v>
      </c>
      <c r="M388" t="s">
        <v>86</v>
      </c>
      <c r="N388">
        <v>3</v>
      </c>
      <c r="O388" s="1">
        <v>44200.441041666665</v>
      </c>
      <c r="P388" s="1">
        <v>44200.488495370373</v>
      </c>
      <c r="Q388">
        <v>3646</v>
      </c>
      <c r="R388">
        <v>454</v>
      </c>
      <c r="S388" t="b">
        <v>0</v>
      </c>
      <c r="T388" t="s">
        <v>87</v>
      </c>
      <c r="U388" t="b">
        <v>0</v>
      </c>
      <c r="V388" t="s">
        <v>242</v>
      </c>
      <c r="W388" s="1">
        <v>44200.472858796296</v>
      </c>
      <c r="X388">
        <v>187</v>
      </c>
      <c r="Y388">
        <v>69</v>
      </c>
      <c r="Z388">
        <v>0</v>
      </c>
      <c r="AA388">
        <v>69</v>
      </c>
      <c r="AB388">
        <v>0</v>
      </c>
      <c r="AC388">
        <v>22</v>
      </c>
      <c r="AD388">
        <v>34</v>
      </c>
      <c r="AE388">
        <v>0</v>
      </c>
      <c r="AF388">
        <v>0</v>
      </c>
      <c r="AG388">
        <v>0</v>
      </c>
      <c r="AH388" t="s">
        <v>267</v>
      </c>
      <c r="AI388" s="1">
        <v>44200.48715277778</v>
      </c>
      <c r="AJ388">
        <v>245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34</v>
      </c>
      <c r="AQ388">
        <v>0</v>
      </c>
      <c r="AR388">
        <v>0</v>
      </c>
      <c r="AS388">
        <v>0</v>
      </c>
      <c r="AT388" t="s">
        <v>90</v>
      </c>
      <c r="AU388" s="1">
        <v>44200.488495370373</v>
      </c>
      <c r="AV388">
        <v>22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34</v>
      </c>
      <c r="BC388">
        <v>0</v>
      </c>
      <c r="BD388">
        <v>0</v>
      </c>
      <c r="BE388">
        <v>0</v>
      </c>
    </row>
    <row r="389" spans="1:57" hidden="1" x14ac:dyDescent="0.45">
      <c r="A389" t="s">
        <v>1099</v>
      </c>
      <c r="B389" t="s">
        <v>79</v>
      </c>
      <c r="C389" t="s">
        <v>1100</v>
      </c>
      <c r="D389" t="s">
        <v>81</v>
      </c>
      <c r="E389" s="2" t="str">
        <f>HYPERLINK("capsilon://?command=openfolder&amp;siteaddress=FAM.docvelocity-na8.net&amp;folderid=FXFB46CCD4-BB22-CE2D-65E8-EA5BF717963A","FX20126408")</f>
        <v>FX20126408</v>
      </c>
      <c r="F389" t="s">
        <v>19</v>
      </c>
      <c r="G389" t="s">
        <v>19</v>
      </c>
      <c r="H389" t="s">
        <v>82</v>
      </c>
      <c r="I389" t="s">
        <v>1101</v>
      </c>
      <c r="J389">
        <v>66</v>
      </c>
      <c r="K389" t="s">
        <v>84</v>
      </c>
      <c r="L389" t="s">
        <v>85</v>
      </c>
      <c r="M389" t="s">
        <v>86</v>
      </c>
      <c r="N389">
        <v>1</v>
      </c>
      <c r="O389" s="1">
        <v>44203.489259259259</v>
      </c>
      <c r="P389" s="1">
        <v>44203.498067129629</v>
      </c>
      <c r="Q389">
        <v>441</v>
      </c>
      <c r="R389">
        <v>320</v>
      </c>
      <c r="S389" t="b">
        <v>0</v>
      </c>
      <c r="T389" t="s">
        <v>87</v>
      </c>
      <c r="U389" t="b">
        <v>0</v>
      </c>
      <c r="V389" t="s">
        <v>242</v>
      </c>
      <c r="W389" s="1">
        <v>44203.498067129629</v>
      </c>
      <c r="X389">
        <v>320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66</v>
      </c>
      <c r="AE389">
        <v>52</v>
      </c>
      <c r="AF389">
        <v>0</v>
      </c>
      <c r="AG389">
        <v>1</v>
      </c>
      <c r="AH389" t="s">
        <v>87</v>
      </c>
      <c r="AI389" t="s">
        <v>87</v>
      </c>
      <c r="AJ389" t="s">
        <v>87</v>
      </c>
      <c r="AK389" t="s">
        <v>87</v>
      </c>
      <c r="AL389" t="s">
        <v>87</v>
      </c>
      <c r="AM389" t="s">
        <v>87</v>
      </c>
      <c r="AN389" t="s">
        <v>87</v>
      </c>
      <c r="AO389" t="s">
        <v>87</v>
      </c>
      <c r="AP389" t="s">
        <v>87</v>
      </c>
      <c r="AQ389" t="s">
        <v>87</v>
      </c>
      <c r="AR389" t="s">
        <v>87</v>
      </c>
      <c r="AS389" t="s">
        <v>87</v>
      </c>
      <c r="AT389" t="s">
        <v>87</v>
      </c>
      <c r="AU389" t="s">
        <v>87</v>
      </c>
      <c r="AV389" t="s">
        <v>87</v>
      </c>
      <c r="AW389" t="s">
        <v>87</v>
      </c>
      <c r="AX389" t="s">
        <v>87</v>
      </c>
      <c r="AY389" t="s">
        <v>87</v>
      </c>
      <c r="AZ389" t="s">
        <v>87</v>
      </c>
      <c r="BA389" t="s">
        <v>87</v>
      </c>
      <c r="BB389" t="s">
        <v>87</v>
      </c>
      <c r="BC389" t="s">
        <v>87</v>
      </c>
      <c r="BD389" t="s">
        <v>87</v>
      </c>
      <c r="BE389" t="s">
        <v>87</v>
      </c>
    </row>
    <row r="390" spans="1:57" hidden="1" x14ac:dyDescent="0.45">
      <c r="A390" t="s">
        <v>1102</v>
      </c>
      <c r="B390" t="s">
        <v>79</v>
      </c>
      <c r="C390" t="s">
        <v>1103</v>
      </c>
      <c r="D390" t="s">
        <v>81</v>
      </c>
      <c r="E390" s="2" t="str">
        <f>HYPERLINK("capsilon://?command=openfolder&amp;siteaddress=FAM.docvelocity-na8.net&amp;folderid=FXE992DC20-890C-A4EA-5F2A-BFC6BC39A2D1","FX201019622")</f>
        <v>FX201019622</v>
      </c>
      <c r="F390" t="s">
        <v>19</v>
      </c>
      <c r="G390" t="s">
        <v>19</v>
      </c>
      <c r="H390" t="s">
        <v>82</v>
      </c>
      <c r="I390" t="s">
        <v>1104</v>
      </c>
      <c r="J390">
        <v>66</v>
      </c>
      <c r="K390" t="s">
        <v>84</v>
      </c>
      <c r="L390" t="s">
        <v>85</v>
      </c>
      <c r="M390" t="s">
        <v>86</v>
      </c>
      <c r="N390">
        <v>3</v>
      </c>
      <c r="O390" s="1">
        <v>44203.489444444444</v>
      </c>
      <c r="P390" s="1">
        <v>44203.648935185185</v>
      </c>
      <c r="Q390">
        <v>13349</v>
      </c>
      <c r="R390">
        <v>431</v>
      </c>
      <c r="S390" t="b">
        <v>0</v>
      </c>
      <c r="T390" t="s">
        <v>87</v>
      </c>
      <c r="U390" t="b">
        <v>0</v>
      </c>
      <c r="V390" t="s">
        <v>168</v>
      </c>
      <c r="W390" s="1">
        <v>44203.499421296299</v>
      </c>
      <c r="X390">
        <v>373</v>
      </c>
      <c r="Y390">
        <v>0</v>
      </c>
      <c r="Z390">
        <v>0</v>
      </c>
      <c r="AA390">
        <v>0</v>
      </c>
      <c r="AB390">
        <v>52</v>
      </c>
      <c r="AC390">
        <v>0</v>
      </c>
      <c r="AD390">
        <v>66</v>
      </c>
      <c r="AE390">
        <v>0</v>
      </c>
      <c r="AF390">
        <v>0</v>
      </c>
      <c r="AG390">
        <v>0</v>
      </c>
      <c r="AH390" t="s">
        <v>128</v>
      </c>
      <c r="AI390" s="1">
        <v>44203.549687500003</v>
      </c>
      <c r="AJ390">
        <v>55</v>
      </c>
      <c r="AK390">
        <v>0</v>
      </c>
      <c r="AL390">
        <v>0</v>
      </c>
      <c r="AM390">
        <v>0</v>
      </c>
      <c r="AN390">
        <v>52</v>
      </c>
      <c r="AO390">
        <v>0</v>
      </c>
      <c r="AP390">
        <v>66</v>
      </c>
      <c r="AQ390">
        <v>0</v>
      </c>
      <c r="AR390">
        <v>0</v>
      </c>
      <c r="AS390">
        <v>0</v>
      </c>
      <c r="AT390" t="s">
        <v>90</v>
      </c>
      <c r="AU390" s="1">
        <v>44203.648935185185</v>
      </c>
      <c r="AV390">
        <v>3</v>
      </c>
      <c r="AW390">
        <v>0</v>
      </c>
      <c r="AX390">
        <v>0</v>
      </c>
      <c r="AY390">
        <v>0</v>
      </c>
      <c r="AZ390">
        <v>52</v>
      </c>
      <c r="BA390">
        <v>0</v>
      </c>
      <c r="BB390">
        <v>66</v>
      </c>
      <c r="BC390">
        <v>0</v>
      </c>
      <c r="BD390">
        <v>0</v>
      </c>
      <c r="BE390">
        <v>0</v>
      </c>
    </row>
    <row r="391" spans="1:57" x14ac:dyDescent="0.45">
      <c r="A391" t="s">
        <v>1105</v>
      </c>
      <c r="B391" t="s">
        <v>79</v>
      </c>
      <c r="C391" t="s">
        <v>1106</v>
      </c>
      <c r="D391" t="s">
        <v>81</v>
      </c>
      <c r="E391" s="2" t="str">
        <f>HYPERLINK("capsilon://?command=openfolder&amp;siteaddress=FAM.docvelocity-na8.net&amp;folderid=FX00503E86-7EEF-089D-9EDE-AA93BC2593BF","FX201228745")</f>
        <v>FX201228745</v>
      </c>
      <c r="F391" t="s">
        <v>19</v>
      </c>
      <c r="G391" t="s">
        <v>19</v>
      </c>
      <c r="H391" t="s">
        <v>82</v>
      </c>
      <c r="I391" t="s">
        <v>1107</v>
      </c>
      <c r="J391">
        <v>66</v>
      </c>
      <c r="K391" t="s">
        <v>84</v>
      </c>
      <c r="L391" t="s">
        <v>85</v>
      </c>
      <c r="M391" t="s">
        <v>86</v>
      </c>
      <c r="N391">
        <v>3</v>
      </c>
      <c r="O391" s="1">
        <v>44203.489502314813</v>
      </c>
      <c r="P391" s="1">
        <v>44203.655173611114</v>
      </c>
      <c r="Q391">
        <v>12224</v>
      </c>
      <c r="R391">
        <v>2090</v>
      </c>
      <c r="S391" t="b">
        <v>0</v>
      </c>
      <c r="T391" t="s">
        <v>87</v>
      </c>
      <c r="U391" t="b">
        <v>0</v>
      </c>
      <c r="V391" t="s">
        <v>266</v>
      </c>
      <c r="W391" s="1">
        <v>44203.51226851852</v>
      </c>
      <c r="X391">
        <v>1308</v>
      </c>
      <c r="Y391">
        <v>52</v>
      </c>
      <c r="Z391">
        <v>0</v>
      </c>
      <c r="AA391">
        <v>52</v>
      </c>
      <c r="AB391">
        <v>0</v>
      </c>
      <c r="AC391">
        <v>29</v>
      </c>
      <c r="AD391">
        <v>14</v>
      </c>
      <c r="AE391">
        <v>0</v>
      </c>
      <c r="AF391">
        <v>0</v>
      </c>
      <c r="AG391">
        <v>0</v>
      </c>
      <c r="AH391" t="s">
        <v>128</v>
      </c>
      <c r="AI391" s="1">
        <v>44203.552511574075</v>
      </c>
      <c r="AJ391">
        <v>243</v>
      </c>
      <c r="AK391">
        <v>2</v>
      </c>
      <c r="AL391">
        <v>0</v>
      </c>
      <c r="AM391">
        <v>2</v>
      </c>
      <c r="AN391">
        <v>0</v>
      </c>
      <c r="AO391">
        <v>2</v>
      </c>
      <c r="AP391">
        <v>12</v>
      </c>
      <c r="AQ391">
        <v>0</v>
      </c>
      <c r="AR391">
        <v>0</v>
      </c>
      <c r="AS391">
        <v>0</v>
      </c>
      <c r="AT391" t="s">
        <v>90</v>
      </c>
      <c r="AU391" s="1">
        <v>44203.655173611114</v>
      </c>
      <c r="AV391">
        <v>539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12</v>
      </c>
      <c r="BC391">
        <v>0</v>
      </c>
      <c r="BD391">
        <v>0</v>
      </c>
      <c r="BE391">
        <v>0</v>
      </c>
    </row>
    <row r="392" spans="1:57" hidden="1" x14ac:dyDescent="0.45">
      <c r="A392" t="s">
        <v>1108</v>
      </c>
      <c r="B392" t="s">
        <v>79</v>
      </c>
      <c r="C392" t="s">
        <v>1109</v>
      </c>
      <c r="D392" t="s">
        <v>81</v>
      </c>
      <c r="E392" s="2" t="str">
        <f>HYPERLINK("capsilon://?command=openfolder&amp;siteaddress=FAM.docvelocity-na8.net&amp;folderid=FX752C2642-5ECF-773B-8E65-695284F4786D","FX201017101")</f>
        <v>FX201017101</v>
      </c>
      <c r="F392" t="s">
        <v>19</v>
      </c>
      <c r="G392" t="s">
        <v>19</v>
      </c>
      <c r="H392" t="s">
        <v>82</v>
      </c>
      <c r="I392" t="s">
        <v>1110</v>
      </c>
      <c r="J392">
        <v>66</v>
      </c>
      <c r="K392" t="s">
        <v>84</v>
      </c>
      <c r="L392" t="s">
        <v>85</v>
      </c>
      <c r="M392" t="s">
        <v>86</v>
      </c>
      <c r="N392">
        <v>1</v>
      </c>
      <c r="O392" s="1">
        <v>44203.489849537036</v>
      </c>
      <c r="P392" s="1">
        <v>44203.498368055552</v>
      </c>
      <c r="Q392">
        <v>684</v>
      </c>
      <c r="R392">
        <v>52</v>
      </c>
      <c r="S392" t="b">
        <v>0</v>
      </c>
      <c r="T392" t="s">
        <v>87</v>
      </c>
      <c r="U392" t="b">
        <v>0</v>
      </c>
      <c r="V392" t="s">
        <v>179</v>
      </c>
      <c r="W392" s="1">
        <v>44203.498368055552</v>
      </c>
      <c r="X392">
        <v>52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66</v>
      </c>
      <c r="AE392">
        <v>52</v>
      </c>
      <c r="AF392">
        <v>0</v>
      </c>
      <c r="AG392">
        <v>1</v>
      </c>
      <c r="AH392" t="s">
        <v>87</v>
      </c>
      <c r="AI392" t="s">
        <v>87</v>
      </c>
      <c r="AJ392" t="s">
        <v>87</v>
      </c>
      <c r="AK392" t="s">
        <v>87</v>
      </c>
      <c r="AL392" t="s">
        <v>87</v>
      </c>
      <c r="AM392" t="s">
        <v>87</v>
      </c>
      <c r="AN392" t="s">
        <v>87</v>
      </c>
      <c r="AO392" t="s">
        <v>87</v>
      </c>
      <c r="AP392" t="s">
        <v>87</v>
      </c>
      <c r="AQ392" t="s">
        <v>87</v>
      </c>
      <c r="AR392" t="s">
        <v>87</v>
      </c>
      <c r="AS392" t="s">
        <v>87</v>
      </c>
      <c r="AT392" t="s">
        <v>87</v>
      </c>
      <c r="AU392" t="s">
        <v>87</v>
      </c>
      <c r="AV392" t="s">
        <v>87</v>
      </c>
      <c r="AW392" t="s">
        <v>87</v>
      </c>
      <c r="AX392" t="s">
        <v>87</v>
      </c>
      <c r="AY392" t="s">
        <v>87</v>
      </c>
      <c r="AZ392" t="s">
        <v>87</v>
      </c>
      <c r="BA392" t="s">
        <v>87</v>
      </c>
      <c r="BB392" t="s">
        <v>87</v>
      </c>
      <c r="BC392" t="s">
        <v>87</v>
      </c>
      <c r="BD392" t="s">
        <v>87</v>
      </c>
      <c r="BE392" t="s">
        <v>87</v>
      </c>
    </row>
    <row r="393" spans="1:57" x14ac:dyDescent="0.45">
      <c r="A393" t="s">
        <v>1111</v>
      </c>
      <c r="B393" t="s">
        <v>79</v>
      </c>
      <c r="C393" t="s">
        <v>1112</v>
      </c>
      <c r="D393" t="s">
        <v>81</v>
      </c>
      <c r="E393" s="2" t="str">
        <f>HYPERLINK("capsilon://?command=openfolder&amp;siteaddress=FAM.docvelocity-na8.net&amp;folderid=FXF004B699-CD94-3EC4-1D59-C59DAEE0D83F","FX20127002")</f>
        <v>FX20127002</v>
      </c>
      <c r="F393" t="s">
        <v>19</v>
      </c>
      <c r="G393" t="s">
        <v>19</v>
      </c>
      <c r="H393" t="s">
        <v>82</v>
      </c>
      <c r="I393" t="s">
        <v>1113</v>
      </c>
      <c r="J393">
        <v>88</v>
      </c>
      <c r="K393" t="s">
        <v>84</v>
      </c>
      <c r="L393" t="s">
        <v>85</v>
      </c>
      <c r="M393" t="s">
        <v>86</v>
      </c>
      <c r="N393">
        <v>3</v>
      </c>
      <c r="O393" s="1">
        <v>44203.491469907407</v>
      </c>
      <c r="P393" s="1">
        <v>44203.660486111112</v>
      </c>
      <c r="Q393">
        <v>13708</v>
      </c>
      <c r="R393">
        <v>895</v>
      </c>
      <c r="S393" t="b">
        <v>0</v>
      </c>
      <c r="T393" t="s">
        <v>87</v>
      </c>
      <c r="U393" t="b">
        <v>0</v>
      </c>
      <c r="V393" t="s">
        <v>242</v>
      </c>
      <c r="W393" s="1">
        <v>44203.501215277778</v>
      </c>
      <c r="X393">
        <v>271</v>
      </c>
      <c r="Y393">
        <v>57</v>
      </c>
      <c r="Z393">
        <v>0</v>
      </c>
      <c r="AA393">
        <v>57</v>
      </c>
      <c r="AB393">
        <v>0</v>
      </c>
      <c r="AC393">
        <v>17</v>
      </c>
      <c r="AD393">
        <v>31</v>
      </c>
      <c r="AE393">
        <v>0</v>
      </c>
      <c r="AF393">
        <v>0</v>
      </c>
      <c r="AG393">
        <v>0</v>
      </c>
      <c r="AH393" t="s">
        <v>128</v>
      </c>
      <c r="AI393" s="1">
        <v>44203.554479166669</v>
      </c>
      <c r="AJ393">
        <v>169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31</v>
      </c>
      <c r="AQ393">
        <v>0</v>
      </c>
      <c r="AR393">
        <v>0</v>
      </c>
      <c r="AS393">
        <v>0</v>
      </c>
      <c r="AT393" t="s">
        <v>90</v>
      </c>
      <c r="AU393" s="1">
        <v>44203.660486111112</v>
      </c>
      <c r="AV393">
        <v>455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31</v>
      </c>
      <c r="BC393">
        <v>0</v>
      </c>
      <c r="BD393">
        <v>0</v>
      </c>
      <c r="BE393">
        <v>0</v>
      </c>
    </row>
    <row r="394" spans="1:57" hidden="1" x14ac:dyDescent="0.45">
      <c r="A394" t="s">
        <v>1114</v>
      </c>
      <c r="B394" t="s">
        <v>79</v>
      </c>
      <c r="C394" t="s">
        <v>1115</v>
      </c>
      <c r="D394" t="s">
        <v>81</v>
      </c>
      <c r="E394" s="2" t="str">
        <f>HYPERLINK("capsilon://?command=openfolder&amp;siteaddress=FAM.docvelocity-na8.net&amp;folderid=FX97815158-8A42-0656-7109-E39A35A7ECB2","FX20115187")</f>
        <v>FX20115187</v>
      </c>
      <c r="F394" t="s">
        <v>19</v>
      </c>
      <c r="G394" t="s">
        <v>19</v>
      </c>
      <c r="H394" t="s">
        <v>82</v>
      </c>
      <c r="I394" t="s">
        <v>1116</v>
      </c>
      <c r="J394">
        <v>66</v>
      </c>
      <c r="K394" t="s">
        <v>84</v>
      </c>
      <c r="L394" t="s">
        <v>85</v>
      </c>
      <c r="M394" t="s">
        <v>86</v>
      </c>
      <c r="N394">
        <v>3</v>
      </c>
      <c r="O394" s="1">
        <v>44203.494722222225</v>
      </c>
      <c r="P394" s="1">
        <v>44203.656273148146</v>
      </c>
      <c r="Q394">
        <v>13795</v>
      </c>
      <c r="R394">
        <v>163</v>
      </c>
      <c r="S394" t="b">
        <v>0</v>
      </c>
      <c r="T394" t="s">
        <v>87</v>
      </c>
      <c r="U394" t="b">
        <v>0</v>
      </c>
      <c r="V394" t="s">
        <v>259</v>
      </c>
      <c r="W394" s="1">
        <v>44203.505023148151</v>
      </c>
      <c r="X394">
        <v>88</v>
      </c>
      <c r="Y394">
        <v>0</v>
      </c>
      <c r="Z394">
        <v>0</v>
      </c>
      <c r="AA394">
        <v>0</v>
      </c>
      <c r="AB394">
        <v>52</v>
      </c>
      <c r="AC394">
        <v>0</v>
      </c>
      <c r="AD394">
        <v>66</v>
      </c>
      <c r="AE394">
        <v>0</v>
      </c>
      <c r="AF394">
        <v>0</v>
      </c>
      <c r="AG394">
        <v>0</v>
      </c>
      <c r="AH394" t="s">
        <v>128</v>
      </c>
      <c r="AI394" s="1">
        <v>44203.555173611108</v>
      </c>
      <c r="AJ394">
        <v>59</v>
      </c>
      <c r="AK394">
        <v>0</v>
      </c>
      <c r="AL394">
        <v>0</v>
      </c>
      <c r="AM394">
        <v>0</v>
      </c>
      <c r="AN394">
        <v>52</v>
      </c>
      <c r="AO394">
        <v>0</v>
      </c>
      <c r="AP394">
        <v>66</v>
      </c>
      <c r="AQ394">
        <v>0</v>
      </c>
      <c r="AR394">
        <v>0</v>
      </c>
      <c r="AS394">
        <v>0</v>
      </c>
      <c r="AT394" t="s">
        <v>549</v>
      </c>
      <c r="AU394" s="1">
        <v>44203.656273148146</v>
      </c>
      <c r="AV394">
        <v>5</v>
      </c>
      <c r="AW394">
        <v>0</v>
      </c>
      <c r="AX394">
        <v>0</v>
      </c>
      <c r="AY394">
        <v>0</v>
      </c>
      <c r="AZ394">
        <v>52</v>
      </c>
      <c r="BA394">
        <v>0</v>
      </c>
      <c r="BB394">
        <v>66</v>
      </c>
      <c r="BC394">
        <v>0</v>
      </c>
      <c r="BD394">
        <v>0</v>
      </c>
      <c r="BE394">
        <v>0</v>
      </c>
    </row>
    <row r="395" spans="1:57" hidden="1" x14ac:dyDescent="0.45">
      <c r="A395" t="s">
        <v>1117</v>
      </c>
      <c r="B395" t="s">
        <v>79</v>
      </c>
      <c r="C395" t="s">
        <v>1115</v>
      </c>
      <c r="D395" t="s">
        <v>81</v>
      </c>
      <c r="E395" s="2" t="str">
        <f>HYPERLINK("capsilon://?command=openfolder&amp;siteaddress=FAM.docvelocity-na8.net&amp;folderid=FX97815158-8A42-0656-7109-E39A35A7ECB2","FX20115187")</f>
        <v>FX20115187</v>
      </c>
      <c r="F395" t="s">
        <v>19</v>
      </c>
      <c r="G395" t="s">
        <v>19</v>
      </c>
      <c r="H395" t="s">
        <v>82</v>
      </c>
      <c r="I395" t="s">
        <v>1118</v>
      </c>
      <c r="J395">
        <v>66</v>
      </c>
      <c r="K395" t="s">
        <v>84</v>
      </c>
      <c r="L395" t="s">
        <v>85</v>
      </c>
      <c r="M395" t="s">
        <v>86</v>
      </c>
      <c r="N395">
        <v>3</v>
      </c>
      <c r="O395" s="1">
        <v>44203.495092592595</v>
      </c>
      <c r="P395" s="1">
        <v>44203.656539351854</v>
      </c>
      <c r="Q395">
        <v>13802</v>
      </c>
      <c r="R395">
        <v>147</v>
      </c>
      <c r="S395" t="b">
        <v>0</v>
      </c>
      <c r="T395" t="s">
        <v>87</v>
      </c>
      <c r="U395" t="b">
        <v>0</v>
      </c>
      <c r="V395" t="s">
        <v>259</v>
      </c>
      <c r="W395" s="1">
        <v>44203.505891203706</v>
      </c>
      <c r="X395">
        <v>74</v>
      </c>
      <c r="Y395">
        <v>0</v>
      </c>
      <c r="Z395">
        <v>0</v>
      </c>
      <c r="AA395">
        <v>0</v>
      </c>
      <c r="AB395">
        <v>52</v>
      </c>
      <c r="AC395">
        <v>0</v>
      </c>
      <c r="AD395">
        <v>66</v>
      </c>
      <c r="AE395">
        <v>0</v>
      </c>
      <c r="AF395">
        <v>0</v>
      </c>
      <c r="AG395">
        <v>0</v>
      </c>
      <c r="AH395" t="s">
        <v>267</v>
      </c>
      <c r="AI395" s="1">
        <v>44203.555335648147</v>
      </c>
      <c r="AJ395">
        <v>43</v>
      </c>
      <c r="AK395">
        <v>0</v>
      </c>
      <c r="AL395">
        <v>0</v>
      </c>
      <c r="AM395">
        <v>0</v>
      </c>
      <c r="AN395">
        <v>52</v>
      </c>
      <c r="AO395">
        <v>0</v>
      </c>
      <c r="AP395">
        <v>66</v>
      </c>
      <c r="AQ395">
        <v>0</v>
      </c>
      <c r="AR395">
        <v>0</v>
      </c>
      <c r="AS395">
        <v>0</v>
      </c>
      <c r="AT395" t="s">
        <v>549</v>
      </c>
      <c r="AU395" s="1">
        <v>44203.656539351854</v>
      </c>
      <c r="AV395">
        <v>22</v>
      </c>
      <c r="AW395">
        <v>0</v>
      </c>
      <c r="AX395">
        <v>0</v>
      </c>
      <c r="AY395">
        <v>0</v>
      </c>
      <c r="AZ395">
        <v>52</v>
      </c>
      <c r="BA395">
        <v>0</v>
      </c>
      <c r="BB395">
        <v>66</v>
      </c>
      <c r="BC395">
        <v>0</v>
      </c>
      <c r="BD395">
        <v>0</v>
      </c>
      <c r="BE395">
        <v>0</v>
      </c>
    </row>
    <row r="396" spans="1:57" x14ac:dyDescent="0.45">
      <c r="A396" t="s">
        <v>1119</v>
      </c>
      <c r="B396" t="s">
        <v>79</v>
      </c>
      <c r="C396" t="s">
        <v>1120</v>
      </c>
      <c r="D396" t="s">
        <v>81</v>
      </c>
      <c r="E396" s="2" t="str">
        <f>HYPERLINK("capsilon://?command=openfolder&amp;siteaddress=FAM.docvelocity-na8.net&amp;folderid=FXCF8AE84F-4541-6A2D-9012-7476AE95B1D3","FX21013005")</f>
        <v>FX21013005</v>
      </c>
      <c r="F396" t="s">
        <v>19</v>
      </c>
      <c r="G396" t="s">
        <v>19</v>
      </c>
      <c r="H396" t="s">
        <v>82</v>
      </c>
      <c r="I396" t="s">
        <v>1121</v>
      </c>
      <c r="J396">
        <v>38</v>
      </c>
      <c r="K396" t="s">
        <v>84</v>
      </c>
      <c r="L396" t="s">
        <v>85</v>
      </c>
      <c r="M396" t="s">
        <v>86</v>
      </c>
      <c r="N396">
        <v>3</v>
      </c>
      <c r="O396" s="1">
        <v>44203.495127314818</v>
      </c>
      <c r="P396" s="1">
        <v>44203.663171296299</v>
      </c>
      <c r="Q396">
        <v>13627</v>
      </c>
      <c r="R396">
        <v>892</v>
      </c>
      <c r="S396" t="b">
        <v>0</v>
      </c>
      <c r="T396" t="s">
        <v>87</v>
      </c>
      <c r="U396" t="b">
        <v>0</v>
      </c>
      <c r="V396" t="s">
        <v>259</v>
      </c>
      <c r="W396" s="1">
        <v>44203.508333333331</v>
      </c>
      <c r="X396">
        <v>210</v>
      </c>
      <c r="Y396">
        <v>37</v>
      </c>
      <c r="Z396">
        <v>0</v>
      </c>
      <c r="AA396">
        <v>37</v>
      </c>
      <c r="AB396">
        <v>0</v>
      </c>
      <c r="AC396">
        <v>7</v>
      </c>
      <c r="AD396">
        <v>1</v>
      </c>
      <c r="AE396">
        <v>0</v>
      </c>
      <c r="AF396">
        <v>0</v>
      </c>
      <c r="AG396">
        <v>0</v>
      </c>
      <c r="AH396" t="s">
        <v>128</v>
      </c>
      <c r="AI396" s="1">
        <v>44203.556446759256</v>
      </c>
      <c r="AJ396">
        <v>110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 t="s">
        <v>549</v>
      </c>
      <c r="AU396" s="1">
        <v>44203.663171296299</v>
      </c>
      <c r="AV396">
        <v>572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</row>
    <row r="397" spans="1:57" x14ac:dyDescent="0.45">
      <c r="A397" t="s">
        <v>1122</v>
      </c>
      <c r="B397" t="s">
        <v>79</v>
      </c>
      <c r="C397" t="s">
        <v>1123</v>
      </c>
      <c r="D397" t="s">
        <v>81</v>
      </c>
      <c r="E397" s="2" t="str">
        <f>HYPERLINK("capsilon://?command=openfolder&amp;siteaddress=FAM.docvelocity-na8.net&amp;folderid=FX03EDF288-8D13-870D-F236-F48AD0681CBD","FX201228670")</f>
        <v>FX201228670</v>
      </c>
      <c r="F397" t="s">
        <v>19</v>
      </c>
      <c r="G397" t="s">
        <v>19</v>
      </c>
      <c r="H397" t="s">
        <v>82</v>
      </c>
      <c r="I397" t="s">
        <v>1124</v>
      </c>
      <c r="J397">
        <v>304</v>
      </c>
      <c r="K397" t="s">
        <v>84</v>
      </c>
      <c r="L397" t="s">
        <v>85</v>
      </c>
      <c r="M397" t="s">
        <v>86</v>
      </c>
      <c r="N397">
        <v>3</v>
      </c>
      <c r="O397" s="1">
        <v>44200.441979166666</v>
      </c>
      <c r="P397" s="1">
        <v>44200.549664351849</v>
      </c>
      <c r="Q397">
        <v>4663</v>
      </c>
      <c r="R397">
        <v>4641</v>
      </c>
      <c r="S397" t="b">
        <v>0</v>
      </c>
      <c r="T397" t="s">
        <v>87</v>
      </c>
      <c r="U397" t="b">
        <v>0</v>
      </c>
      <c r="V397" t="s">
        <v>266</v>
      </c>
      <c r="W397" s="1">
        <v>44200.503506944442</v>
      </c>
      <c r="X397">
        <v>2686</v>
      </c>
      <c r="Y397">
        <v>206</v>
      </c>
      <c r="Z397">
        <v>0</v>
      </c>
      <c r="AA397">
        <v>206</v>
      </c>
      <c r="AB397">
        <v>0</v>
      </c>
      <c r="AC397">
        <v>86</v>
      </c>
      <c r="AD397">
        <v>98</v>
      </c>
      <c r="AE397">
        <v>0</v>
      </c>
      <c r="AF397">
        <v>0</v>
      </c>
      <c r="AG397">
        <v>0</v>
      </c>
      <c r="AH397" t="s">
        <v>267</v>
      </c>
      <c r="AI397" s="1">
        <v>44200.532951388886</v>
      </c>
      <c r="AJ397">
        <v>1817</v>
      </c>
      <c r="AK397">
        <v>3</v>
      </c>
      <c r="AL397">
        <v>0</v>
      </c>
      <c r="AM397">
        <v>3</v>
      </c>
      <c r="AN397">
        <v>0</v>
      </c>
      <c r="AO397">
        <v>10</v>
      </c>
      <c r="AP397">
        <v>95</v>
      </c>
      <c r="AQ397">
        <v>0</v>
      </c>
      <c r="AR397">
        <v>0</v>
      </c>
      <c r="AS397">
        <v>0</v>
      </c>
      <c r="AT397" t="s">
        <v>90</v>
      </c>
      <c r="AU397" s="1">
        <v>44200.549664351849</v>
      </c>
      <c r="AV397">
        <v>138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95</v>
      </c>
      <c r="BC397">
        <v>0</v>
      </c>
      <c r="BD397">
        <v>0</v>
      </c>
      <c r="BE397">
        <v>0</v>
      </c>
    </row>
    <row r="398" spans="1:57" x14ac:dyDescent="0.45">
      <c r="A398" t="s">
        <v>1125</v>
      </c>
      <c r="B398" t="s">
        <v>79</v>
      </c>
      <c r="C398" t="s">
        <v>1126</v>
      </c>
      <c r="D398" t="s">
        <v>81</v>
      </c>
      <c r="E398" s="2" t="str">
        <f>HYPERLINK("capsilon://?command=openfolder&amp;siteaddress=FAM.docvelocity-na8.net&amp;folderid=FX33936E1D-B581-05EC-799E-4282AA58C974","FX210162")</f>
        <v>FX210162</v>
      </c>
      <c r="F398" t="s">
        <v>19</v>
      </c>
      <c r="G398" t="s">
        <v>19</v>
      </c>
      <c r="H398" t="s">
        <v>82</v>
      </c>
      <c r="I398" t="s">
        <v>1127</v>
      </c>
      <c r="J398">
        <v>88</v>
      </c>
      <c r="K398" t="s">
        <v>84</v>
      </c>
      <c r="L398" t="s">
        <v>85</v>
      </c>
      <c r="M398" t="s">
        <v>86</v>
      </c>
      <c r="N398">
        <v>3</v>
      </c>
      <c r="O398" s="1">
        <v>44203.49759259259</v>
      </c>
      <c r="P398" s="1">
        <v>44204.344467592593</v>
      </c>
      <c r="Q398">
        <v>71938</v>
      </c>
      <c r="R398">
        <v>1232</v>
      </c>
      <c r="S398" t="b">
        <v>0</v>
      </c>
      <c r="T398" t="s">
        <v>87</v>
      </c>
      <c r="U398" t="b">
        <v>0</v>
      </c>
      <c r="V398" t="s">
        <v>142</v>
      </c>
      <c r="W398" s="1">
        <v>44203.514305555553</v>
      </c>
      <c r="X398">
        <v>669</v>
      </c>
      <c r="Y398">
        <v>132</v>
      </c>
      <c r="Z398">
        <v>0</v>
      </c>
      <c r="AA398">
        <v>132</v>
      </c>
      <c r="AB398">
        <v>0</v>
      </c>
      <c r="AC398">
        <v>78</v>
      </c>
      <c r="AD398">
        <v>-44</v>
      </c>
      <c r="AE398">
        <v>0</v>
      </c>
      <c r="AF398">
        <v>0</v>
      </c>
      <c r="AG398">
        <v>0</v>
      </c>
      <c r="AH398" t="s">
        <v>267</v>
      </c>
      <c r="AI398" s="1">
        <v>44203.557615740741</v>
      </c>
      <c r="AJ398">
        <v>196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-44</v>
      </c>
      <c r="AQ398">
        <v>0</v>
      </c>
      <c r="AR398">
        <v>0</v>
      </c>
      <c r="AS398">
        <v>0</v>
      </c>
      <c r="AT398" t="s">
        <v>90</v>
      </c>
      <c r="AU398" s="1">
        <v>44204.344467592593</v>
      </c>
      <c r="AV398">
        <v>144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-44</v>
      </c>
      <c r="BC398">
        <v>0</v>
      </c>
      <c r="BD398">
        <v>0</v>
      </c>
      <c r="BE398">
        <v>0</v>
      </c>
    </row>
    <row r="399" spans="1:57" x14ac:dyDescent="0.45">
      <c r="A399" t="s">
        <v>1128</v>
      </c>
      <c r="B399" t="s">
        <v>79</v>
      </c>
      <c r="C399" t="s">
        <v>1100</v>
      </c>
      <c r="D399" t="s">
        <v>81</v>
      </c>
      <c r="E399" s="2" t="str">
        <f>HYPERLINK("capsilon://?command=openfolder&amp;siteaddress=FAM.docvelocity-na8.net&amp;folderid=FXFB46CCD4-BB22-CE2D-65E8-EA5BF717963A","FX20126408")</f>
        <v>FX20126408</v>
      </c>
      <c r="F399" t="s">
        <v>19</v>
      </c>
      <c r="G399" t="s">
        <v>19</v>
      </c>
      <c r="H399" t="s">
        <v>82</v>
      </c>
      <c r="I399" t="s">
        <v>1101</v>
      </c>
      <c r="J399">
        <v>38</v>
      </c>
      <c r="K399" t="s">
        <v>84</v>
      </c>
      <c r="L399" t="s">
        <v>85</v>
      </c>
      <c r="M399" t="s">
        <v>86</v>
      </c>
      <c r="N399">
        <v>3</v>
      </c>
      <c r="O399" s="1">
        <v>44203.49858796296</v>
      </c>
      <c r="P399" s="1">
        <v>44203.511678240742</v>
      </c>
      <c r="Q399">
        <v>496</v>
      </c>
      <c r="R399">
        <v>635</v>
      </c>
      <c r="S399" t="b">
        <v>0</v>
      </c>
      <c r="T399" t="s">
        <v>87</v>
      </c>
      <c r="U399" t="b">
        <v>1</v>
      </c>
      <c r="V399" t="s">
        <v>242</v>
      </c>
      <c r="W399" s="1">
        <v>44203.507268518515</v>
      </c>
      <c r="X399">
        <v>522</v>
      </c>
      <c r="Y399">
        <v>37</v>
      </c>
      <c r="Z399">
        <v>0</v>
      </c>
      <c r="AA399">
        <v>37</v>
      </c>
      <c r="AB399">
        <v>0</v>
      </c>
      <c r="AC399">
        <v>34</v>
      </c>
      <c r="AD399">
        <v>1</v>
      </c>
      <c r="AE399">
        <v>0</v>
      </c>
      <c r="AF399">
        <v>0</v>
      </c>
      <c r="AG399">
        <v>0</v>
      </c>
      <c r="AH399" t="s">
        <v>267</v>
      </c>
      <c r="AI399" s="1">
        <v>44203.509085648147</v>
      </c>
      <c r="AJ399">
        <v>70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 t="s">
        <v>90</v>
      </c>
      <c r="AU399" s="1">
        <v>44203.511678240742</v>
      </c>
      <c r="AV399">
        <v>4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</row>
    <row r="400" spans="1:57" x14ac:dyDescent="0.45">
      <c r="A400" t="s">
        <v>1129</v>
      </c>
      <c r="B400" t="s">
        <v>79</v>
      </c>
      <c r="C400" t="s">
        <v>1034</v>
      </c>
      <c r="D400" t="s">
        <v>81</v>
      </c>
      <c r="E400" s="2" t="str">
        <f>HYPERLINK("capsilon://?command=openfolder&amp;siteaddress=FAM.docvelocity-na8.net&amp;folderid=FXB8CC448F-CED1-734D-129B-33C9B1C63C3B","FX201115525")</f>
        <v>FX201115525</v>
      </c>
      <c r="F400" t="s">
        <v>19</v>
      </c>
      <c r="G400" t="s">
        <v>19</v>
      </c>
      <c r="H400" t="s">
        <v>82</v>
      </c>
      <c r="I400" t="s">
        <v>1035</v>
      </c>
      <c r="J400">
        <v>38</v>
      </c>
      <c r="K400" t="s">
        <v>84</v>
      </c>
      <c r="L400" t="s">
        <v>85</v>
      </c>
      <c r="M400" t="s">
        <v>86</v>
      </c>
      <c r="N400">
        <v>3</v>
      </c>
      <c r="O400" s="1">
        <v>44203.499895833331</v>
      </c>
      <c r="P400" s="1">
        <v>44203.511736111112</v>
      </c>
      <c r="Q400">
        <v>704</v>
      </c>
      <c r="R400">
        <v>319</v>
      </c>
      <c r="S400" t="b">
        <v>0</v>
      </c>
      <c r="T400" t="s">
        <v>87</v>
      </c>
      <c r="U400" t="b">
        <v>1</v>
      </c>
      <c r="V400" t="s">
        <v>142</v>
      </c>
      <c r="W400" s="1">
        <v>44203.506550925929</v>
      </c>
      <c r="X400">
        <v>220</v>
      </c>
      <c r="Y400">
        <v>37</v>
      </c>
      <c r="Z400">
        <v>0</v>
      </c>
      <c r="AA400">
        <v>37</v>
      </c>
      <c r="AB400">
        <v>0</v>
      </c>
      <c r="AC400">
        <v>33</v>
      </c>
      <c r="AD400">
        <v>1</v>
      </c>
      <c r="AE400">
        <v>0</v>
      </c>
      <c r="AF400">
        <v>0</v>
      </c>
      <c r="AG400">
        <v>0</v>
      </c>
      <c r="AH400" t="s">
        <v>267</v>
      </c>
      <c r="AI400" s="1">
        <v>44203.510069444441</v>
      </c>
      <c r="AJ400">
        <v>84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 t="s">
        <v>90</v>
      </c>
      <c r="AU400" s="1">
        <v>44203.511736111112</v>
      </c>
      <c r="AV400">
        <v>4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</row>
    <row r="401" spans="1:57" x14ac:dyDescent="0.45">
      <c r="A401" t="s">
        <v>1130</v>
      </c>
      <c r="B401" t="s">
        <v>79</v>
      </c>
      <c r="C401" t="s">
        <v>1131</v>
      </c>
      <c r="D401" t="s">
        <v>81</v>
      </c>
      <c r="E401" s="2" t="str">
        <f>HYPERLINK("capsilon://?command=openfolder&amp;siteaddress=FAM.docvelocity-na8.net&amp;folderid=FXB4474EE8-8B36-F1CA-F875-09D813619FE6","FX201228013")</f>
        <v>FX201228013</v>
      </c>
      <c r="F401" t="s">
        <v>19</v>
      </c>
      <c r="G401" t="s">
        <v>19</v>
      </c>
      <c r="H401" t="s">
        <v>82</v>
      </c>
      <c r="I401" t="s">
        <v>1132</v>
      </c>
      <c r="J401">
        <v>340</v>
      </c>
      <c r="K401" t="s">
        <v>84</v>
      </c>
      <c r="L401" t="s">
        <v>85</v>
      </c>
      <c r="M401" t="s">
        <v>86</v>
      </c>
      <c r="N401">
        <v>3</v>
      </c>
      <c r="O401" s="1">
        <v>44200.443819444445</v>
      </c>
      <c r="P401" s="1">
        <v>44200.512476851851</v>
      </c>
      <c r="Q401">
        <v>3717</v>
      </c>
      <c r="R401">
        <v>2215</v>
      </c>
      <c r="S401" t="b">
        <v>0</v>
      </c>
      <c r="T401" t="s">
        <v>87</v>
      </c>
      <c r="U401" t="b">
        <v>0</v>
      </c>
      <c r="V401" t="s">
        <v>255</v>
      </c>
      <c r="W401" s="1">
        <v>44200.492349537039</v>
      </c>
      <c r="X401">
        <v>1323</v>
      </c>
      <c r="Y401">
        <v>268</v>
      </c>
      <c r="Z401">
        <v>0</v>
      </c>
      <c r="AA401">
        <v>268</v>
      </c>
      <c r="AB401">
        <v>0</v>
      </c>
      <c r="AC401">
        <v>56</v>
      </c>
      <c r="AD401">
        <v>72</v>
      </c>
      <c r="AE401">
        <v>0</v>
      </c>
      <c r="AF401">
        <v>0</v>
      </c>
      <c r="AG401">
        <v>0</v>
      </c>
      <c r="AH401" t="s">
        <v>267</v>
      </c>
      <c r="AI401" s="1">
        <v>44200.499259259261</v>
      </c>
      <c r="AJ401">
        <v>486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72</v>
      </c>
      <c r="AQ401">
        <v>0</v>
      </c>
      <c r="AR401">
        <v>0</v>
      </c>
      <c r="AS401">
        <v>0</v>
      </c>
      <c r="AT401" t="s">
        <v>90</v>
      </c>
      <c r="AU401" s="1">
        <v>44200.512476851851</v>
      </c>
      <c r="AV401">
        <v>397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72</v>
      </c>
      <c r="BC401">
        <v>0</v>
      </c>
      <c r="BD401">
        <v>0</v>
      </c>
      <c r="BE401">
        <v>0</v>
      </c>
    </row>
    <row r="402" spans="1:57" hidden="1" x14ac:dyDescent="0.45">
      <c r="A402" t="s">
        <v>1133</v>
      </c>
      <c r="B402" t="s">
        <v>79</v>
      </c>
      <c r="C402" t="s">
        <v>1134</v>
      </c>
      <c r="D402" t="s">
        <v>81</v>
      </c>
      <c r="E402" s="2" t="str">
        <f>HYPERLINK("capsilon://?command=openfolder&amp;siteaddress=FAM.docvelocity-na8.net&amp;folderid=FX1F2E7D9B-950B-EAB9-95BA-C94608697098","FX201221421")</f>
        <v>FX201221421</v>
      </c>
      <c r="F402" t="s">
        <v>19</v>
      </c>
      <c r="G402" t="s">
        <v>19</v>
      </c>
      <c r="H402" t="s">
        <v>82</v>
      </c>
      <c r="I402" t="s">
        <v>1135</v>
      </c>
      <c r="J402">
        <v>66</v>
      </c>
      <c r="K402" t="s">
        <v>84</v>
      </c>
      <c r="L402" t="s">
        <v>85</v>
      </c>
      <c r="M402" t="s">
        <v>86</v>
      </c>
      <c r="N402">
        <v>3</v>
      </c>
      <c r="O402" s="1">
        <v>44203.513101851851</v>
      </c>
      <c r="P402" s="1">
        <v>44204.345254629632</v>
      </c>
      <c r="Q402">
        <v>71750</v>
      </c>
      <c r="R402">
        <v>148</v>
      </c>
      <c r="S402" t="b">
        <v>0</v>
      </c>
      <c r="T402" t="s">
        <v>87</v>
      </c>
      <c r="U402" t="b">
        <v>0</v>
      </c>
      <c r="V402" t="s">
        <v>242</v>
      </c>
      <c r="W402" s="1">
        <v>44203.51458333333</v>
      </c>
      <c r="X402">
        <v>43</v>
      </c>
      <c r="Y402">
        <v>0</v>
      </c>
      <c r="Z402">
        <v>0</v>
      </c>
      <c r="AA402">
        <v>0</v>
      </c>
      <c r="AB402">
        <v>52</v>
      </c>
      <c r="AC402">
        <v>0</v>
      </c>
      <c r="AD402">
        <v>66</v>
      </c>
      <c r="AE402">
        <v>0</v>
      </c>
      <c r="AF402">
        <v>0</v>
      </c>
      <c r="AG402">
        <v>0</v>
      </c>
      <c r="AH402" t="s">
        <v>128</v>
      </c>
      <c r="AI402" s="1">
        <v>44203.556886574072</v>
      </c>
      <c r="AJ402">
        <v>37</v>
      </c>
      <c r="AK402">
        <v>0</v>
      </c>
      <c r="AL402">
        <v>0</v>
      </c>
      <c r="AM402">
        <v>0</v>
      </c>
      <c r="AN402">
        <v>52</v>
      </c>
      <c r="AO402">
        <v>0</v>
      </c>
      <c r="AP402">
        <v>66</v>
      </c>
      <c r="AQ402">
        <v>0</v>
      </c>
      <c r="AR402">
        <v>0</v>
      </c>
      <c r="AS402">
        <v>0</v>
      </c>
      <c r="AT402" t="s">
        <v>90</v>
      </c>
      <c r="AU402" s="1">
        <v>44204.345254629632</v>
      </c>
      <c r="AV402">
        <v>68</v>
      </c>
      <c r="AW402">
        <v>0</v>
      </c>
      <c r="AX402">
        <v>0</v>
      </c>
      <c r="AY402">
        <v>0</v>
      </c>
      <c r="AZ402">
        <v>52</v>
      </c>
      <c r="BA402">
        <v>0</v>
      </c>
      <c r="BB402">
        <v>66</v>
      </c>
      <c r="BC402">
        <v>0</v>
      </c>
      <c r="BD402">
        <v>0</v>
      </c>
      <c r="BE402">
        <v>0</v>
      </c>
    </row>
    <row r="403" spans="1:57" x14ac:dyDescent="0.45">
      <c r="A403" t="s">
        <v>1136</v>
      </c>
      <c r="B403" t="s">
        <v>79</v>
      </c>
      <c r="C403" t="s">
        <v>1137</v>
      </c>
      <c r="D403" t="s">
        <v>81</v>
      </c>
      <c r="E403" s="2" t="str">
        <f>HYPERLINK("capsilon://?command=openfolder&amp;siteaddress=FAM.docvelocity-na8.net&amp;folderid=FX37419348-883A-7231-86A5-66213CF8F4A9","FX201227543")</f>
        <v>FX201227543</v>
      </c>
      <c r="F403" t="s">
        <v>19</v>
      </c>
      <c r="G403" t="s">
        <v>19</v>
      </c>
      <c r="H403" t="s">
        <v>82</v>
      </c>
      <c r="I403" t="s">
        <v>1138</v>
      </c>
      <c r="J403">
        <v>66</v>
      </c>
      <c r="K403" t="s">
        <v>84</v>
      </c>
      <c r="L403" t="s">
        <v>85</v>
      </c>
      <c r="M403" t="s">
        <v>86</v>
      </c>
      <c r="N403">
        <v>3</v>
      </c>
      <c r="O403" s="1">
        <v>44203.513692129629</v>
      </c>
      <c r="P403" s="1">
        <v>44204.346539351849</v>
      </c>
      <c r="Q403">
        <v>70915</v>
      </c>
      <c r="R403">
        <v>1043</v>
      </c>
      <c r="S403" t="b">
        <v>0</v>
      </c>
      <c r="T403" t="s">
        <v>87</v>
      </c>
      <c r="U403" t="b">
        <v>0</v>
      </c>
      <c r="V403" t="s">
        <v>259</v>
      </c>
      <c r="W403" s="1">
        <v>44203.523206018515</v>
      </c>
      <c r="X403">
        <v>775</v>
      </c>
      <c r="Y403">
        <v>52</v>
      </c>
      <c r="Z403">
        <v>0</v>
      </c>
      <c r="AA403">
        <v>52</v>
      </c>
      <c r="AB403">
        <v>0</v>
      </c>
      <c r="AC403">
        <v>25</v>
      </c>
      <c r="AD403">
        <v>14</v>
      </c>
      <c r="AE403">
        <v>0</v>
      </c>
      <c r="AF403">
        <v>0</v>
      </c>
      <c r="AG403">
        <v>0</v>
      </c>
      <c r="AH403" t="s">
        <v>128</v>
      </c>
      <c r="AI403" s="1">
        <v>44203.55872685185</v>
      </c>
      <c r="AJ403">
        <v>158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14</v>
      </c>
      <c r="AQ403">
        <v>0</v>
      </c>
      <c r="AR403">
        <v>0</v>
      </c>
      <c r="AS403">
        <v>0</v>
      </c>
      <c r="AT403" t="s">
        <v>90</v>
      </c>
      <c r="AU403" s="1">
        <v>44204.346539351849</v>
      </c>
      <c r="AV403">
        <v>110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14</v>
      </c>
      <c r="BC403">
        <v>0</v>
      </c>
      <c r="BD403">
        <v>0</v>
      </c>
      <c r="BE403">
        <v>0</v>
      </c>
    </row>
    <row r="404" spans="1:57" x14ac:dyDescent="0.45">
      <c r="A404" t="s">
        <v>1139</v>
      </c>
      <c r="B404" t="s">
        <v>79</v>
      </c>
      <c r="C404" t="s">
        <v>1140</v>
      </c>
      <c r="D404" t="s">
        <v>81</v>
      </c>
      <c r="E404" s="2" t="str">
        <f>HYPERLINK("capsilon://?command=openfolder&amp;siteaddress=FAM.docvelocity-na8.net&amp;folderid=FX36E5F7FA-7B78-D282-0822-5C67BE5D7822","FX2101527")</f>
        <v>FX2101527</v>
      </c>
      <c r="F404" t="s">
        <v>19</v>
      </c>
      <c r="G404" t="s">
        <v>19</v>
      </c>
      <c r="H404" t="s">
        <v>82</v>
      </c>
      <c r="I404" t="s">
        <v>1141</v>
      </c>
      <c r="J404">
        <v>221</v>
      </c>
      <c r="K404" t="s">
        <v>84</v>
      </c>
      <c r="L404" t="s">
        <v>85</v>
      </c>
      <c r="M404" t="s">
        <v>86</v>
      </c>
      <c r="N404">
        <v>3</v>
      </c>
      <c r="O404" s="1">
        <v>44203.514525462961</v>
      </c>
      <c r="P404" s="1">
        <v>44204.347222222219</v>
      </c>
      <c r="Q404">
        <v>68879</v>
      </c>
      <c r="R404">
        <v>3066</v>
      </c>
      <c r="S404" t="b">
        <v>0</v>
      </c>
      <c r="T404" t="s">
        <v>87</v>
      </c>
      <c r="U404" t="b">
        <v>0</v>
      </c>
      <c r="V404" t="s">
        <v>266</v>
      </c>
      <c r="W404" s="1">
        <v>44203.546215277776</v>
      </c>
      <c r="X404">
        <v>2736</v>
      </c>
      <c r="Y404">
        <v>197</v>
      </c>
      <c r="Z404">
        <v>0</v>
      </c>
      <c r="AA404">
        <v>197</v>
      </c>
      <c r="AB404">
        <v>0</v>
      </c>
      <c r="AC404">
        <v>66</v>
      </c>
      <c r="AD404">
        <v>24</v>
      </c>
      <c r="AE404">
        <v>0</v>
      </c>
      <c r="AF404">
        <v>0</v>
      </c>
      <c r="AG404">
        <v>0</v>
      </c>
      <c r="AH404" t="s">
        <v>267</v>
      </c>
      <c r="AI404" s="1">
        <v>44203.56082175926</v>
      </c>
      <c r="AJ404">
        <v>264</v>
      </c>
      <c r="AK404">
        <v>2</v>
      </c>
      <c r="AL404">
        <v>0</v>
      </c>
      <c r="AM404">
        <v>2</v>
      </c>
      <c r="AN404">
        <v>0</v>
      </c>
      <c r="AO404">
        <v>1</v>
      </c>
      <c r="AP404">
        <v>22</v>
      </c>
      <c r="AQ404">
        <v>0</v>
      </c>
      <c r="AR404">
        <v>0</v>
      </c>
      <c r="AS404">
        <v>0</v>
      </c>
      <c r="AT404" t="s">
        <v>90</v>
      </c>
      <c r="AU404" s="1">
        <v>44204.347222222219</v>
      </c>
      <c r="AV404">
        <v>59</v>
      </c>
      <c r="AW404">
        <v>1</v>
      </c>
      <c r="AX404">
        <v>0</v>
      </c>
      <c r="AY404">
        <v>1</v>
      </c>
      <c r="AZ404">
        <v>0</v>
      </c>
      <c r="BA404">
        <v>1</v>
      </c>
      <c r="BB404">
        <v>21</v>
      </c>
      <c r="BC404">
        <v>0</v>
      </c>
      <c r="BD404">
        <v>0</v>
      </c>
      <c r="BE404">
        <v>0</v>
      </c>
    </row>
    <row r="405" spans="1:57" x14ac:dyDescent="0.45">
      <c r="A405" t="s">
        <v>1142</v>
      </c>
      <c r="B405" t="s">
        <v>79</v>
      </c>
      <c r="C405" t="s">
        <v>1143</v>
      </c>
      <c r="D405" t="s">
        <v>81</v>
      </c>
      <c r="E405" s="2" t="str">
        <f>HYPERLINK("capsilon://?command=openfolder&amp;siteaddress=FAM.docvelocity-na8.net&amp;folderid=FX4F33D959-F924-D120-5BF1-93E70EF653A5","FX201229170")</f>
        <v>FX201229170</v>
      </c>
      <c r="F405" t="s">
        <v>19</v>
      </c>
      <c r="G405" t="s">
        <v>19</v>
      </c>
      <c r="H405" t="s">
        <v>82</v>
      </c>
      <c r="I405" t="s">
        <v>1144</v>
      </c>
      <c r="J405">
        <v>404</v>
      </c>
      <c r="K405" t="s">
        <v>84</v>
      </c>
      <c r="L405" t="s">
        <v>85</v>
      </c>
      <c r="M405" t="s">
        <v>86</v>
      </c>
      <c r="N405">
        <v>3</v>
      </c>
      <c r="O405" s="1">
        <v>44200.446145833332</v>
      </c>
      <c r="P405" s="1">
        <v>44200.55196759259</v>
      </c>
      <c r="Q405">
        <v>4181</v>
      </c>
      <c r="R405">
        <v>4962</v>
      </c>
      <c r="S405" t="b">
        <v>0</v>
      </c>
      <c r="T405" t="s">
        <v>87</v>
      </c>
      <c r="U405" t="b">
        <v>0</v>
      </c>
      <c r="V405" t="s">
        <v>142</v>
      </c>
      <c r="W405" s="1">
        <v>44200.521412037036</v>
      </c>
      <c r="X405">
        <v>3551</v>
      </c>
      <c r="Y405">
        <v>347</v>
      </c>
      <c r="Z405">
        <v>0</v>
      </c>
      <c r="AA405">
        <v>347</v>
      </c>
      <c r="AB405">
        <v>0</v>
      </c>
      <c r="AC405">
        <v>108</v>
      </c>
      <c r="AD405">
        <v>57</v>
      </c>
      <c r="AE405">
        <v>30</v>
      </c>
      <c r="AF405">
        <v>0</v>
      </c>
      <c r="AG405">
        <v>0</v>
      </c>
      <c r="AH405" t="s">
        <v>267</v>
      </c>
      <c r="AI405" s="1">
        <v>44200.547002314815</v>
      </c>
      <c r="AJ405">
        <v>1213</v>
      </c>
      <c r="AK405">
        <v>2</v>
      </c>
      <c r="AL405">
        <v>0</v>
      </c>
      <c r="AM405">
        <v>2</v>
      </c>
      <c r="AN405">
        <v>0</v>
      </c>
      <c r="AO405">
        <v>1</v>
      </c>
      <c r="AP405">
        <v>55</v>
      </c>
      <c r="AQ405">
        <v>0</v>
      </c>
      <c r="AR405">
        <v>0</v>
      </c>
      <c r="AS405">
        <v>0</v>
      </c>
      <c r="AT405" t="s">
        <v>90</v>
      </c>
      <c r="AU405" s="1">
        <v>44200.55196759259</v>
      </c>
      <c r="AV405">
        <v>198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55</v>
      </c>
      <c r="BC405">
        <v>0</v>
      </c>
      <c r="BD405">
        <v>0</v>
      </c>
      <c r="BE405">
        <v>0</v>
      </c>
    </row>
    <row r="406" spans="1:57" hidden="1" x14ac:dyDescent="0.45">
      <c r="A406" t="s">
        <v>1145</v>
      </c>
      <c r="B406" t="s">
        <v>79</v>
      </c>
      <c r="C406" t="s">
        <v>1146</v>
      </c>
      <c r="D406" t="s">
        <v>81</v>
      </c>
      <c r="E406" s="2" t="str">
        <f>HYPERLINK("capsilon://?command=openfolder&amp;siteaddress=FAM.docvelocity-na8.net&amp;folderid=FX96B74A85-F537-4008-A20E-9722E2379440","FX21011074")</f>
        <v>FX21011074</v>
      </c>
      <c r="F406" t="s">
        <v>19</v>
      </c>
      <c r="G406" t="s">
        <v>19</v>
      </c>
      <c r="H406" t="s">
        <v>82</v>
      </c>
      <c r="I406" t="s">
        <v>1147</v>
      </c>
      <c r="J406">
        <v>337</v>
      </c>
      <c r="K406" t="s">
        <v>84</v>
      </c>
      <c r="L406" t="s">
        <v>85</v>
      </c>
      <c r="M406" t="s">
        <v>86</v>
      </c>
      <c r="N406">
        <v>1</v>
      </c>
      <c r="O406" s="1">
        <v>44203.521122685182</v>
      </c>
      <c r="P406" s="1">
        <v>44203.567743055559</v>
      </c>
      <c r="Q406">
        <v>103</v>
      </c>
      <c r="R406">
        <v>3925</v>
      </c>
      <c r="S406" t="b">
        <v>0</v>
      </c>
      <c r="T406" t="s">
        <v>87</v>
      </c>
      <c r="U406" t="b">
        <v>0</v>
      </c>
      <c r="V406" t="s">
        <v>242</v>
      </c>
      <c r="W406" s="1">
        <v>44203.567743055559</v>
      </c>
      <c r="X406">
        <v>2016</v>
      </c>
      <c r="Y406">
        <v>118</v>
      </c>
      <c r="Z406">
        <v>0</v>
      </c>
      <c r="AA406">
        <v>118</v>
      </c>
      <c r="AB406">
        <v>0</v>
      </c>
      <c r="AC406">
        <v>0</v>
      </c>
      <c r="AD406">
        <v>219</v>
      </c>
      <c r="AE406">
        <v>177</v>
      </c>
      <c r="AF406">
        <v>1</v>
      </c>
      <c r="AG406">
        <v>14</v>
      </c>
      <c r="AH406" t="s">
        <v>87</v>
      </c>
      <c r="AI406" t="s">
        <v>87</v>
      </c>
      <c r="AJ406" t="s">
        <v>87</v>
      </c>
      <c r="AK406" t="s">
        <v>87</v>
      </c>
      <c r="AL406" t="s">
        <v>87</v>
      </c>
      <c r="AM406" t="s">
        <v>87</v>
      </c>
      <c r="AN406" t="s">
        <v>87</v>
      </c>
      <c r="AO406" t="s">
        <v>87</v>
      </c>
      <c r="AP406" t="s">
        <v>87</v>
      </c>
      <c r="AQ406" t="s">
        <v>87</v>
      </c>
      <c r="AR406" t="s">
        <v>87</v>
      </c>
      <c r="AS406" t="s">
        <v>87</v>
      </c>
      <c r="AT406" t="s">
        <v>87</v>
      </c>
      <c r="AU406" t="s">
        <v>87</v>
      </c>
      <c r="AV406" t="s">
        <v>87</v>
      </c>
      <c r="AW406" t="s">
        <v>87</v>
      </c>
      <c r="AX406" t="s">
        <v>87</v>
      </c>
      <c r="AY406" t="s">
        <v>87</v>
      </c>
      <c r="AZ406" t="s">
        <v>87</v>
      </c>
      <c r="BA406" t="s">
        <v>87</v>
      </c>
      <c r="BB406" t="s">
        <v>87</v>
      </c>
      <c r="BC406" t="s">
        <v>87</v>
      </c>
      <c r="BD406" t="s">
        <v>87</v>
      </c>
      <c r="BE406" t="s">
        <v>87</v>
      </c>
    </row>
    <row r="407" spans="1:57" x14ac:dyDescent="0.45">
      <c r="A407" t="s">
        <v>1148</v>
      </c>
      <c r="B407" t="s">
        <v>79</v>
      </c>
      <c r="C407" t="s">
        <v>1149</v>
      </c>
      <c r="D407" t="s">
        <v>81</v>
      </c>
      <c r="E407" s="2" t="str">
        <f>HYPERLINK("capsilon://?command=openfolder&amp;siteaddress=FAM.docvelocity-na8.net&amp;folderid=FXF5CA5CD7-5FC7-2730-9CFE-0F9165670136","FX201116794")</f>
        <v>FX201116794</v>
      </c>
      <c r="F407" t="s">
        <v>19</v>
      </c>
      <c r="G407" t="s">
        <v>19</v>
      </c>
      <c r="H407" t="s">
        <v>82</v>
      </c>
      <c r="I407" t="s">
        <v>1150</v>
      </c>
      <c r="J407">
        <v>189</v>
      </c>
      <c r="K407" t="s">
        <v>84</v>
      </c>
      <c r="L407" t="s">
        <v>85</v>
      </c>
      <c r="M407" t="s">
        <v>86</v>
      </c>
      <c r="N407">
        <v>3</v>
      </c>
      <c r="O407" s="1">
        <v>44203.527037037034</v>
      </c>
      <c r="P407" s="1">
        <v>44204.349108796298</v>
      </c>
      <c r="Q407">
        <v>68391</v>
      </c>
      <c r="R407">
        <v>2636</v>
      </c>
      <c r="S407" t="b">
        <v>0</v>
      </c>
      <c r="T407" t="s">
        <v>87</v>
      </c>
      <c r="U407" t="b">
        <v>0</v>
      </c>
      <c r="V407" t="s">
        <v>171</v>
      </c>
      <c r="W407" s="1">
        <v>44203.550439814811</v>
      </c>
      <c r="X407">
        <v>2018</v>
      </c>
      <c r="Y407">
        <v>154</v>
      </c>
      <c r="Z407">
        <v>0</v>
      </c>
      <c r="AA407">
        <v>154</v>
      </c>
      <c r="AB407">
        <v>0</v>
      </c>
      <c r="AC407">
        <v>37</v>
      </c>
      <c r="AD407">
        <v>35</v>
      </c>
      <c r="AE407">
        <v>0</v>
      </c>
      <c r="AF407">
        <v>0</v>
      </c>
      <c r="AG407">
        <v>0</v>
      </c>
      <c r="AH407" t="s">
        <v>128</v>
      </c>
      <c r="AI407" s="1">
        <v>44203.568784722222</v>
      </c>
      <c r="AJ407">
        <v>456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35</v>
      </c>
      <c r="AQ407">
        <v>0</v>
      </c>
      <c r="AR407">
        <v>0</v>
      </c>
      <c r="AS407">
        <v>0</v>
      </c>
      <c r="AT407" t="s">
        <v>90</v>
      </c>
      <c r="AU407" s="1">
        <v>44204.349108796298</v>
      </c>
      <c r="AV407">
        <v>162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35</v>
      </c>
      <c r="BC407">
        <v>0</v>
      </c>
      <c r="BD407">
        <v>0</v>
      </c>
      <c r="BE407">
        <v>0</v>
      </c>
    </row>
    <row r="408" spans="1:57" hidden="1" x14ac:dyDescent="0.45">
      <c r="A408" t="s">
        <v>1151</v>
      </c>
      <c r="B408" t="s">
        <v>79</v>
      </c>
      <c r="C408" t="s">
        <v>1152</v>
      </c>
      <c r="D408" t="s">
        <v>81</v>
      </c>
      <c r="E408" s="2" t="str">
        <f>HYPERLINK("capsilon://?command=openfolder&amp;siteaddress=FAM.docvelocity-na8.net&amp;folderid=FX5FF37D06-A8C4-ACDD-5877-026F612C7B00","FX201115982")</f>
        <v>FX201115982</v>
      </c>
      <c r="F408" t="s">
        <v>19</v>
      </c>
      <c r="G408" t="s">
        <v>19</v>
      </c>
      <c r="H408" t="s">
        <v>82</v>
      </c>
      <c r="I408" t="s">
        <v>1153</v>
      </c>
      <c r="J408">
        <v>66</v>
      </c>
      <c r="K408" t="s">
        <v>84</v>
      </c>
      <c r="L408" t="s">
        <v>85</v>
      </c>
      <c r="M408" t="s">
        <v>86</v>
      </c>
      <c r="N408">
        <v>3</v>
      </c>
      <c r="O408" s="1">
        <v>44200.449212962965</v>
      </c>
      <c r="P408" s="1">
        <v>44200.488564814812</v>
      </c>
      <c r="Q408">
        <v>3261</v>
      </c>
      <c r="R408">
        <v>139</v>
      </c>
      <c r="S408" t="b">
        <v>0</v>
      </c>
      <c r="T408" t="s">
        <v>87</v>
      </c>
      <c r="U408" t="b">
        <v>0</v>
      </c>
      <c r="V408" t="s">
        <v>98</v>
      </c>
      <c r="W408" s="1">
        <v>44200.483657407407</v>
      </c>
      <c r="X408">
        <v>82</v>
      </c>
      <c r="Y408">
        <v>0</v>
      </c>
      <c r="Z408">
        <v>0</v>
      </c>
      <c r="AA408">
        <v>0</v>
      </c>
      <c r="AB408">
        <v>52</v>
      </c>
      <c r="AC408">
        <v>0</v>
      </c>
      <c r="AD408">
        <v>66</v>
      </c>
      <c r="AE408">
        <v>0</v>
      </c>
      <c r="AF408">
        <v>0</v>
      </c>
      <c r="AG408">
        <v>0</v>
      </c>
      <c r="AH408" t="s">
        <v>89</v>
      </c>
      <c r="AI408" s="1">
        <v>44200.48505787037</v>
      </c>
      <c r="AJ408">
        <v>52</v>
      </c>
      <c r="AK408">
        <v>0</v>
      </c>
      <c r="AL408">
        <v>0</v>
      </c>
      <c r="AM408">
        <v>0</v>
      </c>
      <c r="AN408">
        <v>52</v>
      </c>
      <c r="AO408">
        <v>0</v>
      </c>
      <c r="AP408">
        <v>66</v>
      </c>
      <c r="AQ408">
        <v>0</v>
      </c>
      <c r="AR408">
        <v>0</v>
      </c>
      <c r="AS408">
        <v>0</v>
      </c>
      <c r="AT408" t="s">
        <v>90</v>
      </c>
      <c r="AU408" s="1">
        <v>44200.488564814812</v>
      </c>
      <c r="AV408">
        <v>5</v>
      </c>
      <c r="AW408">
        <v>0</v>
      </c>
      <c r="AX408">
        <v>0</v>
      </c>
      <c r="AY408">
        <v>0</v>
      </c>
      <c r="AZ408">
        <v>52</v>
      </c>
      <c r="BA408">
        <v>0</v>
      </c>
      <c r="BB408">
        <v>66</v>
      </c>
      <c r="BC408">
        <v>0</v>
      </c>
      <c r="BD408">
        <v>0</v>
      </c>
      <c r="BE408">
        <v>0</v>
      </c>
    </row>
    <row r="409" spans="1:57" x14ac:dyDescent="0.45">
      <c r="A409" t="s">
        <v>1154</v>
      </c>
      <c r="B409" t="s">
        <v>79</v>
      </c>
      <c r="C409" t="s">
        <v>970</v>
      </c>
      <c r="D409" t="s">
        <v>81</v>
      </c>
      <c r="E409" s="2" t="str">
        <f>HYPERLINK("capsilon://?command=openfolder&amp;siteaddress=FAM.docvelocity-na8.net&amp;folderid=FX0DD13C16-E5AA-3CBF-1FD7-C1DD7C07967B","FX20122255")</f>
        <v>FX20122255</v>
      </c>
      <c r="F409" t="s">
        <v>19</v>
      </c>
      <c r="G409" t="s">
        <v>19</v>
      </c>
      <c r="H409" t="s">
        <v>82</v>
      </c>
      <c r="I409" t="s">
        <v>1155</v>
      </c>
      <c r="J409">
        <v>50</v>
      </c>
      <c r="K409" t="s">
        <v>84</v>
      </c>
      <c r="L409" t="s">
        <v>85</v>
      </c>
      <c r="M409" t="s">
        <v>86</v>
      </c>
      <c r="N409">
        <v>3</v>
      </c>
      <c r="O409" s="1">
        <v>44203.534270833334</v>
      </c>
      <c r="P409" s="1">
        <v>44204.349374999998</v>
      </c>
      <c r="Q409">
        <v>69458</v>
      </c>
      <c r="R409">
        <v>967</v>
      </c>
      <c r="S409" t="b">
        <v>0</v>
      </c>
      <c r="T409" t="s">
        <v>87</v>
      </c>
      <c r="U409" t="b">
        <v>0</v>
      </c>
      <c r="V409" t="s">
        <v>179</v>
      </c>
      <c r="W409" s="1">
        <v>44203.543182870373</v>
      </c>
      <c r="X409">
        <v>770</v>
      </c>
      <c r="Y409">
        <v>46</v>
      </c>
      <c r="Z409">
        <v>0</v>
      </c>
      <c r="AA409">
        <v>46</v>
      </c>
      <c r="AB409">
        <v>0</v>
      </c>
      <c r="AC409">
        <v>14</v>
      </c>
      <c r="AD409">
        <v>4</v>
      </c>
      <c r="AE409">
        <v>0</v>
      </c>
      <c r="AF409">
        <v>0</v>
      </c>
      <c r="AG409">
        <v>0</v>
      </c>
      <c r="AH409" t="s">
        <v>128</v>
      </c>
      <c r="AI409" s="1">
        <v>44203.570810185185</v>
      </c>
      <c r="AJ409">
        <v>174</v>
      </c>
      <c r="AK409">
        <v>1</v>
      </c>
      <c r="AL409">
        <v>0</v>
      </c>
      <c r="AM409">
        <v>1</v>
      </c>
      <c r="AN409">
        <v>0</v>
      </c>
      <c r="AO409">
        <v>1</v>
      </c>
      <c r="AP409">
        <v>3</v>
      </c>
      <c r="AQ409">
        <v>0</v>
      </c>
      <c r="AR409">
        <v>0</v>
      </c>
      <c r="AS409">
        <v>0</v>
      </c>
      <c r="AT409" t="s">
        <v>90</v>
      </c>
      <c r="AU409" s="1">
        <v>44204.349374999998</v>
      </c>
      <c r="AV409">
        <v>23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3</v>
      </c>
      <c r="BC409">
        <v>0</v>
      </c>
      <c r="BD409">
        <v>0</v>
      </c>
      <c r="BE409">
        <v>0</v>
      </c>
    </row>
    <row r="410" spans="1:57" x14ac:dyDescent="0.45">
      <c r="A410" t="s">
        <v>1156</v>
      </c>
      <c r="B410" t="s">
        <v>79</v>
      </c>
      <c r="C410" t="s">
        <v>970</v>
      </c>
      <c r="D410" t="s">
        <v>81</v>
      </c>
      <c r="E410" s="2" t="str">
        <f>HYPERLINK("capsilon://?command=openfolder&amp;siteaddress=FAM.docvelocity-na8.net&amp;folderid=FX0DD13C16-E5AA-3CBF-1FD7-C1DD7C07967B","FX20122255")</f>
        <v>FX20122255</v>
      </c>
      <c r="F410" t="s">
        <v>19</v>
      </c>
      <c r="G410" t="s">
        <v>19</v>
      </c>
      <c r="H410" t="s">
        <v>82</v>
      </c>
      <c r="I410" t="s">
        <v>1157</v>
      </c>
      <c r="J410">
        <v>45</v>
      </c>
      <c r="K410" t="s">
        <v>84</v>
      </c>
      <c r="L410" t="s">
        <v>85</v>
      </c>
      <c r="M410" t="s">
        <v>86</v>
      </c>
      <c r="N410">
        <v>3</v>
      </c>
      <c r="O410" s="1">
        <v>44203.534351851849</v>
      </c>
      <c r="P410" s="1">
        <v>44204.349421296298</v>
      </c>
      <c r="Q410">
        <v>69467</v>
      </c>
      <c r="R410">
        <v>955</v>
      </c>
      <c r="S410" t="b">
        <v>0</v>
      </c>
      <c r="T410" t="s">
        <v>87</v>
      </c>
      <c r="U410" t="b">
        <v>0</v>
      </c>
      <c r="V410" t="s">
        <v>242</v>
      </c>
      <c r="W410" s="1">
        <v>44203.543206018519</v>
      </c>
      <c r="X410">
        <v>757</v>
      </c>
      <c r="Y410">
        <v>41</v>
      </c>
      <c r="Z410">
        <v>0</v>
      </c>
      <c r="AA410">
        <v>41</v>
      </c>
      <c r="AB410">
        <v>0</v>
      </c>
      <c r="AC410">
        <v>13</v>
      </c>
      <c r="AD410">
        <v>4</v>
      </c>
      <c r="AE410">
        <v>0</v>
      </c>
      <c r="AF410">
        <v>0</v>
      </c>
      <c r="AG410">
        <v>0</v>
      </c>
      <c r="AH410" t="s">
        <v>128</v>
      </c>
      <c r="AI410" s="1">
        <v>44203.573067129626</v>
      </c>
      <c r="AJ410">
        <v>194</v>
      </c>
      <c r="AK410">
        <v>1</v>
      </c>
      <c r="AL410">
        <v>0</v>
      </c>
      <c r="AM410">
        <v>1</v>
      </c>
      <c r="AN410">
        <v>0</v>
      </c>
      <c r="AO410">
        <v>1</v>
      </c>
      <c r="AP410">
        <v>3</v>
      </c>
      <c r="AQ410">
        <v>0</v>
      </c>
      <c r="AR410">
        <v>0</v>
      </c>
      <c r="AS410">
        <v>0</v>
      </c>
      <c r="AT410" t="s">
        <v>90</v>
      </c>
      <c r="AU410" s="1">
        <v>44204.349421296298</v>
      </c>
      <c r="AV410">
        <v>4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3</v>
      </c>
      <c r="BC410">
        <v>0</v>
      </c>
      <c r="BD410">
        <v>0</v>
      </c>
      <c r="BE410">
        <v>0</v>
      </c>
    </row>
    <row r="411" spans="1:57" x14ac:dyDescent="0.45">
      <c r="A411" t="s">
        <v>1158</v>
      </c>
      <c r="B411" t="s">
        <v>79</v>
      </c>
      <c r="C411" t="s">
        <v>697</v>
      </c>
      <c r="D411" t="s">
        <v>81</v>
      </c>
      <c r="E411" s="2" t="str">
        <f>HYPERLINK("capsilon://?command=openfolder&amp;siteaddress=FAM.docvelocity-na8.net&amp;folderid=FXF93B3EBC-A865-19C6-1675-08432132100C","FX201220654")</f>
        <v>FX201220654</v>
      </c>
      <c r="F411" t="s">
        <v>19</v>
      </c>
      <c r="G411" t="s">
        <v>19</v>
      </c>
      <c r="H411" t="s">
        <v>82</v>
      </c>
      <c r="I411" t="s">
        <v>1159</v>
      </c>
      <c r="J411">
        <v>62</v>
      </c>
      <c r="K411" t="s">
        <v>84</v>
      </c>
      <c r="L411" t="s">
        <v>85</v>
      </c>
      <c r="M411" t="s">
        <v>86</v>
      </c>
      <c r="N411">
        <v>3</v>
      </c>
      <c r="O411" s="1">
        <v>44203.538310185184</v>
      </c>
      <c r="P411" s="1">
        <v>44204.350300925929</v>
      </c>
      <c r="Q411">
        <v>66428</v>
      </c>
      <c r="R411">
        <v>3728</v>
      </c>
      <c r="S411" t="b">
        <v>0</v>
      </c>
      <c r="T411" t="s">
        <v>87</v>
      </c>
      <c r="U411" t="b">
        <v>0</v>
      </c>
      <c r="V411" t="s">
        <v>146</v>
      </c>
      <c r="W411" s="1">
        <v>44203.577337962961</v>
      </c>
      <c r="X411">
        <v>3363</v>
      </c>
      <c r="Y411">
        <v>75</v>
      </c>
      <c r="Z411">
        <v>0</v>
      </c>
      <c r="AA411">
        <v>75</v>
      </c>
      <c r="AB411">
        <v>0</v>
      </c>
      <c r="AC411">
        <v>92</v>
      </c>
      <c r="AD411">
        <v>-13</v>
      </c>
      <c r="AE411">
        <v>0</v>
      </c>
      <c r="AF411">
        <v>0</v>
      </c>
      <c r="AG411">
        <v>0</v>
      </c>
      <c r="AH411" t="s">
        <v>128</v>
      </c>
      <c r="AI411" s="1">
        <v>44203.585405092592</v>
      </c>
      <c r="AJ411">
        <v>289</v>
      </c>
      <c r="AK411">
        <v>2</v>
      </c>
      <c r="AL411">
        <v>0</v>
      </c>
      <c r="AM411">
        <v>2</v>
      </c>
      <c r="AN411">
        <v>0</v>
      </c>
      <c r="AO411">
        <v>2</v>
      </c>
      <c r="AP411">
        <v>-15</v>
      </c>
      <c r="AQ411">
        <v>0</v>
      </c>
      <c r="AR411">
        <v>0</v>
      </c>
      <c r="AS411">
        <v>0</v>
      </c>
      <c r="AT411" t="s">
        <v>90</v>
      </c>
      <c r="AU411" s="1">
        <v>44204.350300925929</v>
      </c>
      <c r="AV411">
        <v>76</v>
      </c>
      <c r="AW411">
        <v>2</v>
      </c>
      <c r="AX411">
        <v>0</v>
      </c>
      <c r="AY411">
        <v>2</v>
      </c>
      <c r="AZ411">
        <v>0</v>
      </c>
      <c r="BA411">
        <v>2</v>
      </c>
      <c r="BB411">
        <v>-17</v>
      </c>
      <c r="BC411">
        <v>0</v>
      </c>
      <c r="BD411">
        <v>0</v>
      </c>
      <c r="BE411">
        <v>0</v>
      </c>
    </row>
    <row r="412" spans="1:57" x14ac:dyDescent="0.45">
      <c r="A412" t="s">
        <v>1160</v>
      </c>
      <c r="B412" t="s">
        <v>79</v>
      </c>
      <c r="C412" t="s">
        <v>1161</v>
      </c>
      <c r="D412" t="s">
        <v>81</v>
      </c>
      <c r="E412" s="2" t="str">
        <f>HYPERLINK("capsilon://?command=openfolder&amp;siteaddress=FAM.docvelocity-na8.net&amp;folderid=FX6CCFBD19-103D-1D15-FD42-BB641ABD9435","FX201227388")</f>
        <v>FX201227388</v>
      </c>
      <c r="F412" t="s">
        <v>19</v>
      </c>
      <c r="G412" t="s">
        <v>19</v>
      </c>
      <c r="H412" t="s">
        <v>82</v>
      </c>
      <c r="I412" t="s">
        <v>1162</v>
      </c>
      <c r="J412">
        <v>829</v>
      </c>
      <c r="K412" t="s">
        <v>84</v>
      </c>
      <c r="L412" t="s">
        <v>85</v>
      </c>
      <c r="M412" t="s">
        <v>86</v>
      </c>
      <c r="N412">
        <v>3</v>
      </c>
      <c r="O412" s="1">
        <v>44200.45212962963</v>
      </c>
      <c r="P412" s="1">
        <v>44200.576006944444</v>
      </c>
      <c r="Q412">
        <v>3892</v>
      </c>
      <c r="R412">
        <v>6811</v>
      </c>
      <c r="S412" t="b">
        <v>0</v>
      </c>
      <c r="T412" t="s">
        <v>87</v>
      </c>
      <c r="U412" t="b">
        <v>0</v>
      </c>
      <c r="V412" t="s">
        <v>132</v>
      </c>
      <c r="W412" s="1">
        <v>44200.544861111113</v>
      </c>
      <c r="X412">
        <v>5364</v>
      </c>
      <c r="Y412">
        <v>571</v>
      </c>
      <c r="Z412">
        <v>0</v>
      </c>
      <c r="AA412">
        <v>571</v>
      </c>
      <c r="AB412">
        <v>0</v>
      </c>
      <c r="AC412">
        <v>313</v>
      </c>
      <c r="AD412">
        <v>258</v>
      </c>
      <c r="AE412">
        <v>0</v>
      </c>
      <c r="AF412">
        <v>0</v>
      </c>
      <c r="AG412">
        <v>0</v>
      </c>
      <c r="AH412" t="s">
        <v>267</v>
      </c>
      <c r="AI412" s="1">
        <v>44200.562789351854</v>
      </c>
      <c r="AJ412">
        <v>1363</v>
      </c>
      <c r="AK412">
        <v>4</v>
      </c>
      <c r="AL412">
        <v>0</v>
      </c>
      <c r="AM412">
        <v>4</v>
      </c>
      <c r="AN412">
        <v>79</v>
      </c>
      <c r="AO412">
        <v>3</v>
      </c>
      <c r="AP412">
        <v>254</v>
      </c>
      <c r="AQ412">
        <v>0</v>
      </c>
      <c r="AR412">
        <v>0</v>
      </c>
      <c r="AS412">
        <v>0</v>
      </c>
      <c r="AT412" t="s">
        <v>90</v>
      </c>
      <c r="AU412" s="1">
        <v>44200.576006944444</v>
      </c>
      <c r="AV412">
        <v>84</v>
      </c>
      <c r="AW412">
        <v>0</v>
      </c>
      <c r="AX412">
        <v>0</v>
      </c>
      <c r="AY412">
        <v>0</v>
      </c>
      <c r="AZ412">
        <v>79</v>
      </c>
      <c r="BA412">
        <v>0</v>
      </c>
      <c r="BB412">
        <v>254</v>
      </c>
      <c r="BC412">
        <v>0</v>
      </c>
      <c r="BD412">
        <v>0</v>
      </c>
      <c r="BE412">
        <v>0</v>
      </c>
    </row>
    <row r="413" spans="1:57" x14ac:dyDescent="0.45">
      <c r="A413" t="s">
        <v>1163</v>
      </c>
      <c r="B413" t="s">
        <v>79</v>
      </c>
      <c r="C413" t="s">
        <v>1164</v>
      </c>
      <c r="D413" t="s">
        <v>81</v>
      </c>
      <c r="E413" s="2" t="str">
        <f>HYPERLINK("capsilon://?command=openfolder&amp;siteaddress=FAM.docvelocity-na8.net&amp;folderid=FX57074E1C-B2DB-B3D3-77A3-D797A639B30D","FX21013062")</f>
        <v>FX21013062</v>
      </c>
      <c r="F413" t="s">
        <v>19</v>
      </c>
      <c r="G413" t="s">
        <v>19</v>
      </c>
      <c r="H413" t="s">
        <v>82</v>
      </c>
      <c r="I413" t="s">
        <v>1165</v>
      </c>
      <c r="J413">
        <v>267</v>
      </c>
      <c r="K413" t="s">
        <v>84</v>
      </c>
      <c r="L413" t="s">
        <v>85</v>
      </c>
      <c r="M413" t="s">
        <v>86</v>
      </c>
      <c r="N413">
        <v>3</v>
      </c>
      <c r="O413" s="1">
        <v>44203.555393518516</v>
      </c>
      <c r="P413" s="1">
        <v>44204.350555555553</v>
      </c>
      <c r="Q413">
        <v>65658</v>
      </c>
      <c r="R413">
        <v>3044</v>
      </c>
      <c r="S413" t="b">
        <v>0</v>
      </c>
      <c r="T413" t="s">
        <v>87</v>
      </c>
      <c r="U413" t="b">
        <v>0</v>
      </c>
      <c r="V413" t="s">
        <v>168</v>
      </c>
      <c r="W413" s="1">
        <v>44203.587118055555</v>
      </c>
      <c r="X413">
        <v>2740</v>
      </c>
      <c r="Y413">
        <v>219</v>
      </c>
      <c r="Z413">
        <v>0</v>
      </c>
      <c r="AA413">
        <v>219</v>
      </c>
      <c r="AB413">
        <v>0</v>
      </c>
      <c r="AC413">
        <v>71</v>
      </c>
      <c r="AD413">
        <v>48</v>
      </c>
      <c r="AE413">
        <v>0</v>
      </c>
      <c r="AF413">
        <v>0</v>
      </c>
      <c r="AG413">
        <v>0</v>
      </c>
      <c r="AH413" t="s">
        <v>267</v>
      </c>
      <c r="AI413" s="1">
        <v>44203.592905092592</v>
      </c>
      <c r="AJ413">
        <v>282</v>
      </c>
      <c r="AK413">
        <v>3</v>
      </c>
      <c r="AL413">
        <v>0</v>
      </c>
      <c r="AM413">
        <v>3</v>
      </c>
      <c r="AN413">
        <v>0</v>
      </c>
      <c r="AO413">
        <v>2</v>
      </c>
      <c r="AP413">
        <v>45</v>
      </c>
      <c r="AQ413">
        <v>0</v>
      </c>
      <c r="AR413">
        <v>0</v>
      </c>
      <c r="AS413">
        <v>0</v>
      </c>
      <c r="AT413" t="s">
        <v>90</v>
      </c>
      <c r="AU413" s="1">
        <v>44204.350555555553</v>
      </c>
      <c r="AV413">
        <v>22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45</v>
      </c>
      <c r="BC413">
        <v>0</v>
      </c>
      <c r="BD413">
        <v>0</v>
      </c>
      <c r="BE413">
        <v>0</v>
      </c>
    </row>
    <row r="414" spans="1:57" x14ac:dyDescent="0.45">
      <c r="A414" t="s">
        <v>1166</v>
      </c>
      <c r="B414" t="s">
        <v>79</v>
      </c>
      <c r="C414" t="s">
        <v>1164</v>
      </c>
      <c r="D414" t="s">
        <v>81</v>
      </c>
      <c r="E414" s="2" t="str">
        <f>HYPERLINK("capsilon://?command=openfolder&amp;siteaddress=FAM.docvelocity-na8.net&amp;folderid=FX57074E1C-B2DB-B3D3-77A3-D797A639B30D","FX21013062")</f>
        <v>FX21013062</v>
      </c>
      <c r="F414" t="s">
        <v>19</v>
      </c>
      <c r="G414" t="s">
        <v>19</v>
      </c>
      <c r="H414" t="s">
        <v>82</v>
      </c>
      <c r="I414" t="s">
        <v>1167</v>
      </c>
      <c r="J414">
        <v>97</v>
      </c>
      <c r="K414" t="s">
        <v>84</v>
      </c>
      <c r="L414" t="s">
        <v>85</v>
      </c>
      <c r="M414" t="s">
        <v>86</v>
      </c>
      <c r="N414">
        <v>3</v>
      </c>
      <c r="O414" s="1">
        <v>44203.558692129627</v>
      </c>
      <c r="P414" s="1">
        <v>44204.350648148145</v>
      </c>
      <c r="Q414">
        <v>67404</v>
      </c>
      <c r="R414">
        <v>1021</v>
      </c>
      <c r="S414" t="b">
        <v>0</v>
      </c>
      <c r="T414" t="s">
        <v>87</v>
      </c>
      <c r="U414" t="b">
        <v>0</v>
      </c>
      <c r="V414" t="s">
        <v>171</v>
      </c>
      <c r="W414" s="1">
        <v>44203.567361111112</v>
      </c>
      <c r="X414">
        <v>708</v>
      </c>
      <c r="Y414">
        <v>81</v>
      </c>
      <c r="Z414">
        <v>0</v>
      </c>
      <c r="AA414">
        <v>81</v>
      </c>
      <c r="AB414">
        <v>0</v>
      </c>
      <c r="AC414">
        <v>27</v>
      </c>
      <c r="AD414">
        <v>16</v>
      </c>
      <c r="AE414">
        <v>0</v>
      </c>
      <c r="AF414">
        <v>0</v>
      </c>
      <c r="AG414">
        <v>0</v>
      </c>
      <c r="AH414" t="s">
        <v>128</v>
      </c>
      <c r="AI414" s="1">
        <v>44203.576608796298</v>
      </c>
      <c r="AJ414">
        <v>305</v>
      </c>
      <c r="AK414">
        <v>1</v>
      </c>
      <c r="AL414">
        <v>0</v>
      </c>
      <c r="AM414">
        <v>1</v>
      </c>
      <c r="AN414">
        <v>0</v>
      </c>
      <c r="AO414">
        <v>1</v>
      </c>
      <c r="AP414">
        <v>15</v>
      </c>
      <c r="AQ414">
        <v>0</v>
      </c>
      <c r="AR414">
        <v>0</v>
      </c>
      <c r="AS414">
        <v>0</v>
      </c>
      <c r="AT414" t="s">
        <v>90</v>
      </c>
      <c r="AU414" s="1">
        <v>44204.350648148145</v>
      </c>
      <c r="AV414">
        <v>8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15</v>
      </c>
      <c r="BC414">
        <v>0</v>
      </c>
      <c r="BD414">
        <v>0</v>
      </c>
      <c r="BE414">
        <v>0</v>
      </c>
    </row>
    <row r="415" spans="1:57" x14ac:dyDescent="0.45">
      <c r="A415" t="s">
        <v>1168</v>
      </c>
      <c r="B415" t="s">
        <v>79</v>
      </c>
      <c r="C415" t="s">
        <v>1169</v>
      </c>
      <c r="D415" t="s">
        <v>81</v>
      </c>
      <c r="E415" s="2" t="str">
        <f>HYPERLINK("capsilon://?command=openfolder&amp;siteaddress=FAM.docvelocity-na8.net&amp;folderid=FXB8CB39EE-4A6A-966D-F58E-F02011514007","FX21012220")</f>
        <v>FX21012220</v>
      </c>
      <c r="F415" t="s">
        <v>19</v>
      </c>
      <c r="G415" t="s">
        <v>19</v>
      </c>
      <c r="H415" t="s">
        <v>82</v>
      </c>
      <c r="I415" t="s">
        <v>1170</v>
      </c>
      <c r="J415">
        <v>380</v>
      </c>
      <c r="K415" t="s">
        <v>84</v>
      </c>
      <c r="L415" t="s">
        <v>85</v>
      </c>
      <c r="M415" t="s">
        <v>86</v>
      </c>
      <c r="N415">
        <v>3</v>
      </c>
      <c r="O415" s="1">
        <v>44203.562557870369</v>
      </c>
      <c r="P415" s="1">
        <v>44204.351655092592</v>
      </c>
      <c r="Q415">
        <v>64418</v>
      </c>
      <c r="R415">
        <v>3760</v>
      </c>
      <c r="S415" t="b">
        <v>0</v>
      </c>
      <c r="T415" t="s">
        <v>87</v>
      </c>
      <c r="U415" t="b">
        <v>0</v>
      </c>
      <c r="V415" t="s">
        <v>259</v>
      </c>
      <c r="W415" s="1">
        <v>44203.595902777779</v>
      </c>
      <c r="X415">
        <v>2799</v>
      </c>
      <c r="Y415">
        <v>353</v>
      </c>
      <c r="Z415">
        <v>0</v>
      </c>
      <c r="AA415">
        <v>353</v>
      </c>
      <c r="AB415">
        <v>0</v>
      </c>
      <c r="AC415">
        <v>137</v>
      </c>
      <c r="AD415">
        <v>27</v>
      </c>
      <c r="AE415">
        <v>0</v>
      </c>
      <c r="AF415">
        <v>0</v>
      </c>
      <c r="AG415">
        <v>0</v>
      </c>
      <c r="AH415" t="s">
        <v>128</v>
      </c>
      <c r="AI415" s="1">
        <v>44203.608969907407</v>
      </c>
      <c r="AJ415">
        <v>824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27</v>
      </c>
      <c r="AQ415">
        <v>0</v>
      </c>
      <c r="AR415">
        <v>0</v>
      </c>
      <c r="AS415">
        <v>0</v>
      </c>
      <c r="AT415" t="s">
        <v>90</v>
      </c>
      <c r="AU415" s="1">
        <v>44204.351655092592</v>
      </c>
      <c r="AV415">
        <v>86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27</v>
      </c>
      <c r="BC415">
        <v>0</v>
      </c>
      <c r="BD415">
        <v>0</v>
      </c>
      <c r="BE415">
        <v>0</v>
      </c>
    </row>
    <row r="416" spans="1:57" x14ac:dyDescent="0.45">
      <c r="A416" t="s">
        <v>1171</v>
      </c>
      <c r="B416" t="s">
        <v>79</v>
      </c>
      <c r="C416" t="s">
        <v>1146</v>
      </c>
      <c r="D416" t="s">
        <v>81</v>
      </c>
      <c r="E416" s="2" t="str">
        <f>HYPERLINK("capsilon://?command=openfolder&amp;siteaddress=FAM.docvelocity-na8.net&amp;folderid=FX96B74A85-F537-4008-A20E-9722E2379440","FX21011074")</f>
        <v>FX21011074</v>
      </c>
      <c r="F416" t="s">
        <v>19</v>
      </c>
      <c r="G416" t="s">
        <v>19</v>
      </c>
      <c r="H416" t="s">
        <v>82</v>
      </c>
      <c r="I416" t="s">
        <v>1147</v>
      </c>
      <c r="J416">
        <v>366</v>
      </c>
      <c r="K416" t="s">
        <v>84</v>
      </c>
      <c r="L416" t="s">
        <v>85</v>
      </c>
      <c r="M416" t="s">
        <v>86</v>
      </c>
      <c r="N416">
        <v>3</v>
      </c>
      <c r="O416" s="1">
        <v>44203.569201388891</v>
      </c>
      <c r="P416" s="1">
        <v>44203.648888888885</v>
      </c>
      <c r="Q416">
        <v>418</v>
      </c>
      <c r="R416">
        <v>6467</v>
      </c>
      <c r="S416" t="b">
        <v>0</v>
      </c>
      <c r="T416" t="s">
        <v>87</v>
      </c>
      <c r="U416" t="b">
        <v>1</v>
      </c>
      <c r="V416" t="s">
        <v>262</v>
      </c>
      <c r="W416" s="1">
        <v>44203.620405092595</v>
      </c>
      <c r="X416">
        <v>4317</v>
      </c>
      <c r="Y416">
        <v>371</v>
      </c>
      <c r="Z416">
        <v>0</v>
      </c>
      <c r="AA416">
        <v>371</v>
      </c>
      <c r="AB416">
        <v>0</v>
      </c>
      <c r="AC416">
        <v>157</v>
      </c>
      <c r="AD416">
        <v>-5</v>
      </c>
      <c r="AE416">
        <v>0</v>
      </c>
      <c r="AF416">
        <v>0</v>
      </c>
      <c r="AG416">
        <v>0</v>
      </c>
      <c r="AH416" t="s">
        <v>128</v>
      </c>
      <c r="AI416" s="1">
        <v>44203.637638888889</v>
      </c>
      <c r="AJ416">
        <v>1373</v>
      </c>
      <c r="AK416">
        <v>1</v>
      </c>
      <c r="AL416">
        <v>0</v>
      </c>
      <c r="AM416">
        <v>1</v>
      </c>
      <c r="AN416">
        <v>0</v>
      </c>
      <c r="AO416">
        <v>1</v>
      </c>
      <c r="AP416">
        <v>-6</v>
      </c>
      <c r="AQ416">
        <v>0</v>
      </c>
      <c r="AR416">
        <v>0</v>
      </c>
      <c r="AS416">
        <v>0</v>
      </c>
      <c r="AT416" t="s">
        <v>90</v>
      </c>
      <c r="AU416" s="1">
        <v>44203.648888888885</v>
      </c>
      <c r="AV416">
        <v>753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-6</v>
      </c>
      <c r="BC416">
        <v>0</v>
      </c>
      <c r="BD416">
        <v>0</v>
      </c>
      <c r="BE416">
        <v>0</v>
      </c>
    </row>
    <row r="417" spans="1:57" hidden="1" x14ac:dyDescent="0.45">
      <c r="A417" t="s">
        <v>1172</v>
      </c>
      <c r="B417" t="s">
        <v>79</v>
      </c>
      <c r="C417" t="s">
        <v>1173</v>
      </c>
      <c r="D417" t="s">
        <v>81</v>
      </c>
      <c r="E417" s="2" t="str">
        <f>HYPERLINK("capsilon://?command=openfolder&amp;siteaddress=FAM.docvelocity-na8.net&amp;folderid=FX8FF02391-432D-7903-7F8B-32F2A2E9D535","FX21012166")</f>
        <v>FX21012166</v>
      </c>
      <c r="F417" t="s">
        <v>19</v>
      </c>
      <c r="G417" t="s">
        <v>19</v>
      </c>
      <c r="H417" t="s">
        <v>82</v>
      </c>
      <c r="I417" t="s">
        <v>1174</v>
      </c>
      <c r="J417">
        <v>153</v>
      </c>
      <c r="K417" t="s">
        <v>84</v>
      </c>
      <c r="L417" t="s">
        <v>85</v>
      </c>
      <c r="M417" t="s">
        <v>86</v>
      </c>
      <c r="N417">
        <v>1</v>
      </c>
      <c r="O417" s="1">
        <v>44203.574490740742</v>
      </c>
      <c r="P417" s="1">
        <v>44203.598067129627</v>
      </c>
      <c r="Q417">
        <v>1437</v>
      </c>
      <c r="R417">
        <v>600</v>
      </c>
      <c r="S417" t="b">
        <v>0</v>
      </c>
      <c r="T417" t="s">
        <v>87</v>
      </c>
      <c r="U417" t="b">
        <v>0</v>
      </c>
      <c r="V417" t="s">
        <v>171</v>
      </c>
      <c r="W417" s="1">
        <v>44203.598067129627</v>
      </c>
      <c r="X417">
        <v>585</v>
      </c>
      <c r="Y417">
        <v>42</v>
      </c>
      <c r="Z417">
        <v>0</v>
      </c>
      <c r="AA417">
        <v>42</v>
      </c>
      <c r="AB417">
        <v>37</v>
      </c>
      <c r="AC417">
        <v>16</v>
      </c>
      <c r="AD417">
        <v>111</v>
      </c>
      <c r="AE417">
        <v>0</v>
      </c>
      <c r="AF417">
        <v>0</v>
      </c>
      <c r="AG417">
        <v>2</v>
      </c>
      <c r="AH417" t="s">
        <v>87</v>
      </c>
      <c r="AI417" t="s">
        <v>87</v>
      </c>
      <c r="AJ417" t="s">
        <v>87</v>
      </c>
      <c r="AK417" t="s">
        <v>87</v>
      </c>
      <c r="AL417" t="s">
        <v>87</v>
      </c>
      <c r="AM417" t="s">
        <v>87</v>
      </c>
      <c r="AN417" t="s">
        <v>87</v>
      </c>
      <c r="AO417" t="s">
        <v>87</v>
      </c>
      <c r="AP417" t="s">
        <v>87</v>
      </c>
      <c r="AQ417" t="s">
        <v>87</v>
      </c>
      <c r="AR417" t="s">
        <v>87</v>
      </c>
      <c r="AS417" t="s">
        <v>87</v>
      </c>
      <c r="AT417" t="s">
        <v>87</v>
      </c>
      <c r="AU417" t="s">
        <v>87</v>
      </c>
      <c r="AV417" t="s">
        <v>87</v>
      </c>
      <c r="AW417" t="s">
        <v>87</v>
      </c>
      <c r="AX417" t="s">
        <v>87</v>
      </c>
      <c r="AY417" t="s">
        <v>87</v>
      </c>
      <c r="AZ417" t="s">
        <v>87</v>
      </c>
      <c r="BA417" t="s">
        <v>87</v>
      </c>
      <c r="BB417" t="s">
        <v>87</v>
      </c>
      <c r="BC417" t="s">
        <v>87</v>
      </c>
      <c r="BD417" t="s">
        <v>87</v>
      </c>
      <c r="BE417" t="s">
        <v>87</v>
      </c>
    </row>
    <row r="418" spans="1:57" x14ac:dyDescent="0.45">
      <c r="A418" t="s">
        <v>1175</v>
      </c>
      <c r="B418" t="s">
        <v>79</v>
      </c>
      <c r="C418" t="s">
        <v>1176</v>
      </c>
      <c r="D418" t="s">
        <v>81</v>
      </c>
      <c r="E418" s="2" t="str">
        <f>HYPERLINK("capsilon://?command=openfolder&amp;siteaddress=FAM.docvelocity-na8.net&amp;folderid=FX91B59C8C-7156-28F2-7CAA-0398D9407AC1","FX2101507")</f>
        <v>FX2101507</v>
      </c>
      <c r="F418" t="s">
        <v>19</v>
      </c>
      <c r="G418" t="s">
        <v>19</v>
      </c>
      <c r="H418" t="s">
        <v>82</v>
      </c>
      <c r="I418" t="s">
        <v>1177</v>
      </c>
      <c r="J418">
        <v>186</v>
      </c>
      <c r="K418" t="s">
        <v>84</v>
      </c>
      <c r="L418" t="s">
        <v>85</v>
      </c>
      <c r="M418" t="s">
        <v>86</v>
      </c>
      <c r="N418">
        <v>3</v>
      </c>
      <c r="O418" s="1">
        <v>44203.575370370374</v>
      </c>
      <c r="P418" s="1">
        <v>44204.353495370371</v>
      </c>
      <c r="Q418">
        <v>65291</v>
      </c>
      <c r="R418">
        <v>1939</v>
      </c>
      <c r="S418" t="b">
        <v>0</v>
      </c>
      <c r="T418" t="s">
        <v>87</v>
      </c>
      <c r="U418" t="b">
        <v>0</v>
      </c>
      <c r="V418" t="s">
        <v>242</v>
      </c>
      <c r="W418" s="1">
        <v>44203.590405092589</v>
      </c>
      <c r="X418">
        <v>972</v>
      </c>
      <c r="Y418">
        <v>154</v>
      </c>
      <c r="Z418">
        <v>0</v>
      </c>
      <c r="AA418">
        <v>154</v>
      </c>
      <c r="AB418">
        <v>0</v>
      </c>
      <c r="AC418">
        <v>89</v>
      </c>
      <c r="AD418">
        <v>32</v>
      </c>
      <c r="AE418">
        <v>0</v>
      </c>
      <c r="AF418">
        <v>0</v>
      </c>
      <c r="AG418">
        <v>0</v>
      </c>
      <c r="AH418" t="s">
        <v>128</v>
      </c>
      <c r="AI418" s="1">
        <v>44203.596585648149</v>
      </c>
      <c r="AJ418">
        <v>530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32</v>
      </c>
      <c r="AQ418">
        <v>0</v>
      </c>
      <c r="AR418">
        <v>0</v>
      </c>
      <c r="AS418">
        <v>0</v>
      </c>
      <c r="AT418" t="s">
        <v>90</v>
      </c>
      <c r="AU418" s="1">
        <v>44204.353495370371</v>
      </c>
      <c r="AV418">
        <v>158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32</v>
      </c>
      <c r="BC418">
        <v>0</v>
      </c>
      <c r="BD418">
        <v>0</v>
      </c>
      <c r="BE418">
        <v>0</v>
      </c>
    </row>
    <row r="419" spans="1:57" x14ac:dyDescent="0.45">
      <c r="A419" t="s">
        <v>1178</v>
      </c>
      <c r="B419" t="s">
        <v>79</v>
      </c>
      <c r="C419" t="s">
        <v>1179</v>
      </c>
      <c r="D419" t="s">
        <v>81</v>
      </c>
      <c r="E419" s="2" t="str">
        <f>HYPERLINK("capsilon://?command=openfolder&amp;siteaddress=FAM.docvelocity-na8.net&amp;folderid=FX28F9FA78-4F86-20CE-84A4-E0225A1B8006","FX201228743")</f>
        <v>FX201228743</v>
      </c>
      <c r="F419" t="s">
        <v>19</v>
      </c>
      <c r="G419" t="s">
        <v>19</v>
      </c>
      <c r="H419" t="s">
        <v>82</v>
      </c>
      <c r="I419" t="s">
        <v>1180</v>
      </c>
      <c r="J419">
        <v>276</v>
      </c>
      <c r="K419" t="s">
        <v>84</v>
      </c>
      <c r="L419" t="s">
        <v>85</v>
      </c>
      <c r="M419" t="s">
        <v>86</v>
      </c>
      <c r="N419">
        <v>3</v>
      </c>
      <c r="O419" s="1">
        <v>44200.45784722222</v>
      </c>
      <c r="P419" s="1">
        <v>44200.577916666669</v>
      </c>
      <c r="Q419">
        <v>5157</v>
      </c>
      <c r="R419">
        <v>5217</v>
      </c>
      <c r="S419" t="b">
        <v>0</v>
      </c>
      <c r="T419" t="s">
        <v>87</v>
      </c>
      <c r="U419" t="b">
        <v>0</v>
      </c>
      <c r="V419" t="s">
        <v>262</v>
      </c>
      <c r="W419" s="1">
        <v>44200.534884259258</v>
      </c>
      <c r="X419">
        <v>4448</v>
      </c>
      <c r="Y419">
        <v>374</v>
      </c>
      <c r="Z419">
        <v>0</v>
      </c>
      <c r="AA419">
        <v>374</v>
      </c>
      <c r="AB419">
        <v>0</v>
      </c>
      <c r="AC419">
        <v>253</v>
      </c>
      <c r="AD419">
        <v>-98</v>
      </c>
      <c r="AE419">
        <v>0</v>
      </c>
      <c r="AF419">
        <v>0</v>
      </c>
      <c r="AG419">
        <v>0</v>
      </c>
      <c r="AH419" t="s">
        <v>267</v>
      </c>
      <c r="AI419" s="1">
        <v>44200.57371527778</v>
      </c>
      <c r="AJ419">
        <v>584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-98</v>
      </c>
      <c r="AQ419">
        <v>0</v>
      </c>
      <c r="AR419">
        <v>0</v>
      </c>
      <c r="AS419">
        <v>0</v>
      </c>
      <c r="AT419" t="s">
        <v>90</v>
      </c>
      <c r="AU419" s="1">
        <v>44200.577916666669</v>
      </c>
      <c r="AV419">
        <v>164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-98</v>
      </c>
      <c r="BC419">
        <v>0</v>
      </c>
      <c r="BD419">
        <v>0</v>
      </c>
      <c r="BE419">
        <v>0</v>
      </c>
    </row>
    <row r="420" spans="1:57" hidden="1" x14ac:dyDescent="0.45">
      <c r="A420" t="s">
        <v>1181</v>
      </c>
      <c r="B420" t="s">
        <v>79</v>
      </c>
      <c r="C420" t="s">
        <v>1182</v>
      </c>
      <c r="D420" t="s">
        <v>81</v>
      </c>
      <c r="E420" s="2" t="str">
        <f>HYPERLINK("capsilon://?command=openfolder&amp;siteaddress=FAM.docvelocity-na8.net&amp;folderid=FX78729419-D15C-44C3-F26D-44F0BF5DE1D7","FX20115191")</f>
        <v>FX20115191</v>
      </c>
      <c r="F420" t="s">
        <v>19</v>
      </c>
      <c r="G420" t="s">
        <v>19</v>
      </c>
      <c r="H420" t="s">
        <v>82</v>
      </c>
      <c r="I420" t="s">
        <v>1183</v>
      </c>
      <c r="J420">
        <v>31</v>
      </c>
      <c r="K420" t="s">
        <v>84</v>
      </c>
      <c r="L420" t="s">
        <v>85</v>
      </c>
      <c r="M420" t="s">
        <v>86</v>
      </c>
      <c r="N420">
        <v>1</v>
      </c>
      <c r="O420" s="1">
        <v>44203.579363425924</v>
      </c>
      <c r="P420" s="1">
        <v>44203.588993055557</v>
      </c>
      <c r="Q420">
        <v>120</v>
      </c>
      <c r="R420">
        <v>712</v>
      </c>
      <c r="S420" t="b">
        <v>0</v>
      </c>
      <c r="T420" t="s">
        <v>87</v>
      </c>
      <c r="U420" t="b">
        <v>0</v>
      </c>
      <c r="V420" t="s">
        <v>266</v>
      </c>
      <c r="W420" s="1">
        <v>44203.588993055557</v>
      </c>
      <c r="X420">
        <v>712</v>
      </c>
      <c r="Y420">
        <v>13</v>
      </c>
      <c r="Z420">
        <v>0</v>
      </c>
      <c r="AA420">
        <v>13</v>
      </c>
      <c r="AB420">
        <v>0</v>
      </c>
      <c r="AC420">
        <v>12</v>
      </c>
      <c r="AD420">
        <v>18</v>
      </c>
      <c r="AE420">
        <v>27</v>
      </c>
      <c r="AF420">
        <v>0</v>
      </c>
      <c r="AG420">
        <v>2</v>
      </c>
      <c r="AH420" t="s">
        <v>87</v>
      </c>
      <c r="AI420" t="s">
        <v>87</v>
      </c>
      <c r="AJ420" t="s">
        <v>87</v>
      </c>
      <c r="AK420" t="s">
        <v>87</v>
      </c>
      <c r="AL420" t="s">
        <v>87</v>
      </c>
      <c r="AM420" t="s">
        <v>87</v>
      </c>
      <c r="AN420" t="s">
        <v>87</v>
      </c>
      <c r="AO420" t="s">
        <v>87</v>
      </c>
      <c r="AP420" t="s">
        <v>87</v>
      </c>
      <c r="AQ420" t="s">
        <v>87</v>
      </c>
      <c r="AR420" t="s">
        <v>87</v>
      </c>
      <c r="AS420" t="s">
        <v>87</v>
      </c>
      <c r="AT420" t="s">
        <v>87</v>
      </c>
      <c r="AU420" t="s">
        <v>87</v>
      </c>
      <c r="AV420" t="s">
        <v>87</v>
      </c>
      <c r="AW420" t="s">
        <v>87</v>
      </c>
      <c r="AX420" t="s">
        <v>87</v>
      </c>
      <c r="AY420" t="s">
        <v>87</v>
      </c>
      <c r="AZ420" t="s">
        <v>87</v>
      </c>
      <c r="BA420" t="s">
        <v>87</v>
      </c>
      <c r="BB420" t="s">
        <v>87</v>
      </c>
      <c r="BC420" t="s">
        <v>87</v>
      </c>
      <c r="BD420" t="s">
        <v>87</v>
      </c>
      <c r="BE420" t="s">
        <v>87</v>
      </c>
    </row>
    <row r="421" spans="1:57" hidden="1" x14ac:dyDescent="0.45">
      <c r="A421" t="s">
        <v>1184</v>
      </c>
      <c r="B421" t="s">
        <v>79</v>
      </c>
      <c r="C421" t="s">
        <v>1185</v>
      </c>
      <c r="D421" t="s">
        <v>81</v>
      </c>
      <c r="E421" s="2" t="str">
        <f>HYPERLINK("capsilon://?command=openfolder&amp;siteaddress=FAM.docvelocity-na8.net&amp;folderid=FXFAC3B060-3364-D168-1DE1-C58FB9CE43B7","FX20113630")</f>
        <v>FX20113630</v>
      </c>
      <c r="F421" t="s">
        <v>19</v>
      </c>
      <c r="G421" t="s">
        <v>19</v>
      </c>
      <c r="H421" t="s">
        <v>82</v>
      </c>
      <c r="I421" t="s">
        <v>1186</v>
      </c>
      <c r="J421">
        <v>66</v>
      </c>
      <c r="K421" t="s">
        <v>84</v>
      </c>
      <c r="L421" t="s">
        <v>85</v>
      </c>
      <c r="M421" t="s">
        <v>86</v>
      </c>
      <c r="N421">
        <v>1</v>
      </c>
      <c r="O421" s="1">
        <v>44203.581122685187</v>
      </c>
      <c r="P421" s="1">
        <v>44203.58388888889</v>
      </c>
      <c r="Q421">
        <v>19</v>
      </c>
      <c r="R421">
        <v>220</v>
      </c>
      <c r="S421" t="b">
        <v>0</v>
      </c>
      <c r="T421" t="s">
        <v>87</v>
      </c>
      <c r="U421" t="b">
        <v>0</v>
      </c>
      <c r="V421" t="s">
        <v>160</v>
      </c>
      <c r="W421" s="1">
        <v>44203.58388888889</v>
      </c>
      <c r="X421">
        <v>220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66</v>
      </c>
      <c r="AE421">
        <v>52</v>
      </c>
      <c r="AF421">
        <v>0</v>
      </c>
      <c r="AG421">
        <v>1</v>
      </c>
      <c r="AH421" t="s">
        <v>87</v>
      </c>
      <c r="AI421" t="s">
        <v>87</v>
      </c>
      <c r="AJ421" t="s">
        <v>87</v>
      </c>
      <c r="AK421" t="s">
        <v>87</v>
      </c>
      <c r="AL421" t="s">
        <v>87</v>
      </c>
      <c r="AM421" t="s">
        <v>87</v>
      </c>
      <c r="AN421" t="s">
        <v>87</v>
      </c>
      <c r="AO421" t="s">
        <v>87</v>
      </c>
      <c r="AP421" t="s">
        <v>87</v>
      </c>
      <c r="AQ421" t="s">
        <v>87</v>
      </c>
      <c r="AR421" t="s">
        <v>87</v>
      </c>
      <c r="AS421" t="s">
        <v>87</v>
      </c>
      <c r="AT421" t="s">
        <v>87</v>
      </c>
      <c r="AU421" t="s">
        <v>87</v>
      </c>
      <c r="AV421" t="s">
        <v>87</v>
      </c>
      <c r="AW421" t="s">
        <v>87</v>
      </c>
      <c r="AX421" t="s">
        <v>87</v>
      </c>
      <c r="AY421" t="s">
        <v>87</v>
      </c>
      <c r="AZ421" t="s">
        <v>87</v>
      </c>
      <c r="BA421" t="s">
        <v>87</v>
      </c>
      <c r="BB421" t="s">
        <v>87</v>
      </c>
      <c r="BC421" t="s">
        <v>87</v>
      </c>
      <c r="BD421" t="s">
        <v>87</v>
      </c>
      <c r="BE421" t="s">
        <v>87</v>
      </c>
    </row>
    <row r="422" spans="1:57" x14ac:dyDescent="0.45">
      <c r="A422" t="s">
        <v>1187</v>
      </c>
      <c r="B422" t="s">
        <v>79</v>
      </c>
      <c r="C422" t="s">
        <v>1188</v>
      </c>
      <c r="D422" t="s">
        <v>81</v>
      </c>
      <c r="E422" s="2" t="str">
        <f>HYPERLINK("capsilon://?command=openfolder&amp;siteaddress=FAM.docvelocity-na8.net&amp;folderid=FX0E4B5596-A7F9-8AF5-2E21-D87B73D01DD8","FX201220548")</f>
        <v>FX201220548</v>
      </c>
      <c r="F422" t="s">
        <v>19</v>
      </c>
      <c r="G422" t="s">
        <v>19</v>
      </c>
      <c r="H422" t="s">
        <v>82</v>
      </c>
      <c r="I422" t="s">
        <v>1189</v>
      </c>
      <c r="J422">
        <v>66</v>
      </c>
      <c r="K422" t="s">
        <v>84</v>
      </c>
      <c r="L422" t="s">
        <v>85</v>
      </c>
      <c r="M422" t="s">
        <v>86</v>
      </c>
      <c r="N422">
        <v>3</v>
      </c>
      <c r="O422" s="1">
        <v>44203.581620370373</v>
      </c>
      <c r="P422" s="1">
        <v>44204.35628472222</v>
      </c>
      <c r="Q422">
        <v>65000</v>
      </c>
      <c r="R422">
        <v>1931</v>
      </c>
      <c r="S422" t="b">
        <v>0</v>
      </c>
      <c r="T422" t="s">
        <v>87</v>
      </c>
      <c r="U422" t="b">
        <v>0</v>
      </c>
      <c r="V422" t="s">
        <v>146</v>
      </c>
      <c r="W422" s="1">
        <v>44203.600046296298</v>
      </c>
      <c r="X422">
        <v>1578</v>
      </c>
      <c r="Y422">
        <v>52</v>
      </c>
      <c r="Z422">
        <v>0</v>
      </c>
      <c r="AA422">
        <v>52</v>
      </c>
      <c r="AB422">
        <v>0</v>
      </c>
      <c r="AC422">
        <v>38</v>
      </c>
      <c r="AD422">
        <v>14</v>
      </c>
      <c r="AE422">
        <v>0</v>
      </c>
      <c r="AF422">
        <v>0</v>
      </c>
      <c r="AG422">
        <v>0</v>
      </c>
      <c r="AH422" t="s">
        <v>267</v>
      </c>
      <c r="AI422" s="1">
        <v>44203.601446759261</v>
      </c>
      <c r="AJ422">
        <v>113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14</v>
      </c>
      <c r="AQ422">
        <v>0</v>
      </c>
      <c r="AR422">
        <v>0</v>
      </c>
      <c r="AS422">
        <v>0</v>
      </c>
      <c r="AT422" t="s">
        <v>90</v>
      </c>
      <c r="AU422" s="1">
        <v>44204.35628472222</v>
      </c>
      <c r="AV422">
        <v>240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14</v>
      </c>
      <c r="BC422">
        <v>0</v>
      </c>
      <c r="BD422">
        <v>0</v>
      </c>
      <c r="BE422">
        <v>0</v>
      </c>
    </row>
    <row r="423" spans="1:57" hidden="1" x14ac:dyDescent="0.45">
      <c r="A423" t="s">
        <v>1190</v>
      </c>
      <c r="B423" t="s">
        <v>79</v>
      </c>
      <c r="C423" t="s">
        <v>1185</v>
      </c>
      <c r="D423" t="s">
        <v>81</v>
      </c>
      <c r="E423" s="2" t="str">
        <f>HYPERLINK("capsilon://?command=openfolder&amp;siteaddress=FAM.docvelocity-na8.net&amp;folderid=FXFAC3B060-3364-D168-1DE1-C58FB9CE43B7","FX20113630")</f>
        <v>FX20113630</v>
      </c>
      <c r="F423" t="s">
        <v>19</v>
      </c>
      <c r="G423" t="s">
        <v>19</v>
      </c>
      <c r="H423" t="s">
        <v>82</v>
      </c>
      <c r="I423" t="s">
        <v>1191</v>
      </c>
      <c r="J423">
        <v>66</v>
      </c>
      <c r="K423" t="s">
        <v>84</v>
      </c>
      <c r="L423" t="s">
        <v>85</v>
      </c>
      <c r="M423" t="s">
        <v>86</v>
      </c>
      <c r="N423">
        <v>1</v>
      </c>
      <c r="O423" s="1">
        <v>44203.583182870374</v>
      </c>
      <c r="P423" s="1">
        <v>44203.584270833337</v>
      </c>
      <c r="Q423">
        <v>62</v>
      </c>
      <c r="R423">
        <v>32</v>
      </c>
      <c r="S423" t="b">
        <v>0</v>
      </c>
      <c r="T423" t="s">
        <v>87</v>
      </c>
      <c r="U423" t="b">
        <v>0</v>
      </c>
      <c r="V423" t="s">
        <v>160</v>
      </c>
      <c r="W423" s="1">
        <v>44203.584270833337</v>
      </c>
      <c r="X423">
        <v>32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66</v>
      </c>
      <c r="AE423">
        <v>52</v>
      </c>
      <c r="AF423">
        <v>0</v>
      </c>
      <c r="AG423">
        <v>1</v>
      </c>
      <c r="AH423" t="s">
        <v>87</v>
      </c>
      <c r="AI423" t="s">
        <v>87</v>
      </c>
      <c r="AJ423" t="s">
        <v>87</v>
      </c>
      <c r="AK423" t="s">
        <v>87</v>
      </c>
      <c r="AL423" t="s">
        <v>87</v>
      </c>
      <c r="AM423" t="s">
        <v>87</v>
      </c>
      <c r="AN423" t="s">
        <v>87</v>
      </c>
      <c r="AO423" t="s">
        <v>87</v>
      </c>
      <c r="AP423" t="s">
        <v>87</v>
      </c>
      <c r="AQ423" t="s">
        <v>87</v>
      </c>
      <c r="AR423" t="s">
        <v>87</v>
      </c>
      <c r="AS423" t="s">
        <v>87</v>
      </c>
      <c r="AT423" t="s">
        <v>87</v>
      </c>
      <c r="AU423" t="s">
        <v>87</v>
      </c>
      <c r="AV423" t="s">
        <v>87</v>
      </c>
      <c r="AW423" t="s">
        <v>87</v>
      </c>
      <c r="AX423" t="s">
        <v>87</v>
      </c>
      <c r="AY423" t="s">
        <v>87</v>
      </c>
      <c r="AZ423" t="s">
        <v>87</v>
      </c>
      <c r="BA423" t="s">
        <v>87</v>
      </c>
      <c r="BB423" t="s">
        <v>87</v>
      </c>
      <c r="BC423" t="s">
        <v>87</v>
      </c>
      <c r="BD423" t="s">
        <v>87</v>
      </c>
      <c r="BE423" t="s">
        <v>87</v>
      </c>
    </row>
    <row r="424" spans="1:57" x14ac:dyDescent="0.45">
      <c r="A424" t="s">
        <v>1192</v>
      </c>
      <c r="B424" t="s">
        <v>79</v>
      </c>
      <c r="C424" t="s">
        <v>1185</v>
      </c>
      <c r="D424" t="s">
        <v>81</v>
      </c>
      <c r="E424" s="2" t="str">
        <f>HYPERLINK("capsilon://?command=openfolder&amp;siteaddress=FAM.docvelocity-na8.net&amp;folderid=FXFAC3B060-3364-D168-1DE1-C58FB9CE43B7","FX20113630")</f>
        <v>FX20113630</v>
      </c>
      <c r="F424" t="s">
        <v>19</v>
      </c>
      <c r="G424" t="s">
        <v>19</v>
      </c>
      <c r="H424" t="s">
        <v>82</v>
      </c>
      <c r="I424" t="s">
        <v>1186</v>
      </c>
      <c r="J424">
        <v>38</v>
      </c>
      <c r="K424" t="s">
        <v>84</v>
      </c>
      <c r="L424" t="s">
        <v>85</v>
      </c>
      <c r="M424" t="s">
        <v>86</v>
      </c>
      <c r="N424">
        <v>3</v>
      </c>
      <c r="O424" s="1">
        <v>44203.58425925926</v>
      </c>
      <c r="P424" s="1">
        <v>44203.590949074074</v>
      </c>
      <c r="Q424">
        <v>194</v>
      </c>
      <c r="R424">
        <v>384</v>
      </c>
      <c r="S424" t="b">
        <v>0</v>
      </c>
      <c r="T424" t="s">
        <v>87</v>
      </c>
      <c r="U424" t="b">
        <v>1</v>
      </c>
      <c r="V424" t="s">
        <v>160</v>
      </c>
      <c r="W424" s="1">
        <v>44203.588391203702</v>
      </c>
      <c r="X424">
        <v>356</v>
      </c>
      <c r="Y424">
        <v>2</v>
      </c>
      <c r="Z424">
        <v>0</v>
      </c>
      <c r="AA424">
        <v>2</v>
      </c>
      <c r="AB424">
        <v>37</v>
      </c>
      <c r="AC424">
        <v>5</v>
      </c>
      <c r="AD424">
        <v>36</v>
      </c>
      <c r="AE424">
        <v>0</v>
      </c>
      <c r="AF424">
        <v>0</v>
      </c>
      <c r="AG424">
        <v>0</v>
      </c>
      <c r="AH424" t="s">
        <v>267</v>
      </c>
      <c r="AI424" s="1">
        <v>44203.589155092595</v>
      </c>
      <c r="AJ424">
        <v>25</v>
      </c>
      <c r="AK424">
        <v>0</v>
      </c>
      <c r="AL424">
        <v>0</v>
      </c>
      <c r="AM424">
        <v>0</v>
      </c>
      <c r="AN424">
        <v>37</v>
      </c>
      <c r="AO424">
        <v>0</v>
      </c>
      <c r="AP424">
        <v>36</v>
      </c>
      <c r="AQ424">
        <v>0</v>
      </c>
      <c r="AR424">
        <v>0</v>
      </c>
      <c r="AS424">
        <v>0</v>
      </c>
      <c r="AT424" t="s">
        <v>90</v>
      </c>
      <c r="AU424" s="1">
        <v>44203.590949074074</v>
      </c>
      <c r="AV424">
        <v>3</v>
      </c>
      <c r="AW424">
        <v>0</v>
      </c>
      <c r="AX424">
        <v>0</v>
      </c>
      <c r="AY424">
        <v>0</v>
      </c>
      <c r="AZ424">
        <v>37</v>
      </c>
      <c r="BA424">
        <v>0</v>
      </c>
      <c r="BB424">
        <v>36</v>
      </c>
      <c r="BC424">
        <v>0</v>
      </c>
      <c r="BD424">
        <v>0</v>
      </c>
      <c r="BE424">
        <v>0</v>
      </c>
    </row>
    <row r="425" spans="1:57" hidden="1" x14ac:dyDescent="0.45">
      <c r="A425" t="s">
        <v>1193</v>
      </c>
      <c r="B425" t="s">
        <v>79</v>
      </c>
      <c r="C425" t="s">
        <v>1194</v>
      </c>
      <c r="D425" t="s">
        <v>81</v>
      </c>
      <c r="E425" s="2" t="str">
        <f>HYPERLINK("capsilon://?command=openfolder&amp;siteaddress=FAM.docvelocity-na8.net&amp;folderid=FXC2D4CCB9-B638-8922-C2F2-97DDD7EDBE35","FX2012794")</f>
        <v>FX2012794</v>
      </c>
      <c r="F425" t="s">
        <v>19</v>
      </c>
      <c r="G425" t="s">
        <v>19</v>
      </c>
      <c r="H425" t="s">
        <v>82</v>
      </c>
      <c r="I425" t="s">
        <v>1195</v>
      </c>
      <c r="J425">
        <v>66</v>
      </c>
      <c r="K425" t="s">
        <v>84</v>
      </c>
      <c r="L425" t="s">
        <v>85</v>
      </c>
      <c r="M425" t="s">
        <v>86</v>
      </c>
      <c r="N425">
        <v>1</v>
      </c>
      <c r="O425" s="1">
        <v>44203.584293981483</v>
      </c>
      <c r="P425" s="1">
        <v>44203.589745370373</v>
      </c>
      <c r="Q425">
        <v>245</v>
      </c>
      <c r="R425">
        <v>226</v>
      </c>
      <c r="S425" t="b">
        <v>0</v>
      </c>
      <c r="T425" t="s">
        <v>87</v>
      </c>
      <c r="U425" t="b">
        <v>0</v>
      </c>
      <c r="V425" t="s">
        <v>168</v>
      </c>
      <c r="W425" s="1">
        <v>44203.589745370373</v>
      </c>
      <c r="X425">
        <v>226</v>
      </c>
      <c r="Y425">
        <v>3</v>
      </c>
      <c r="Z425">
        <v>0</v>
      </c>
      <c r="AA425">
        <v>3</v>
      </c>
      <c r="AB425">
        <v>0</v>
      </c>
      <c r="AC425">
        <v>4</v>
      </c>
      <c r="AD425">
        <v>63</v>
      </c>
      <c r="AE425">
        <v>52</v>
      </c>
      <c r="AF425">
        <v>0</v>
      </c>
      <c r="AG425">
        <v>1</v>
      </c>
      <c r="AH425" t="s">
        <v>87</v>
      </c>
      <c r="AI425" t="s">
        <v>87</v>
      </c>
      <c r="AJ425" t="s">
        <v>87</v>
      </c>
      <c r="AK425" t="s">
        <v>87</v>
      </c>
      <c r="AL425" t="s">
        <v>87</v>
      </c>
      <c r="AM425" t="s">
        <v>87</v>
      </c>
      <c r="AN425" t="s">
        <v>87</v>
      </c>
      <c r="AO425" t="s">
        <v>87</v>
      </c>
      <c r="AP425" t="s">
        <v>87</v>
      </c>
      <c r="AQ425" t="s">
        <v>87</v>
      </c>
      <c r="AR425" t="s">
        <v>87</v>
      </c>
      <c r="AS425" t="s">
        <v>87</v>
      </c>
      <c r="AT425" t="s">
        <v>87</v>
      </c>
      <c r="AU425" t="s">
        <v>87</v>
      </c>
      <c r="AV425" t="s">
        <v>87</v>
      </c>
      <c r="AW425" t="s">
        <v>87</v>
      </c>
      <c r="AX425" t="s">
        <v>87</v>
      </c>
      <c r="AY425" t="s">
        <v>87</v>
      </c>
      <c r="AZ425" t="s">
        <v>87</v>
      </c>
      <c r="BA425" t="s">
        <v>87</v>
      </c>
      <c r="BB425" t="s">
        <v>87</v>
      </c>
      <c r="BC425" t="s">
        <v>87</v>
      </c>
      <c r="BD425" t="s">
        <v>87</v>
      </c>
      <c r="BE425" t="s">
        <v>87</v>
      </c>
    </row>
    <row r="426" spans="1:57" x14ac:dyDescent="0.45">
      <c r="A426" t="s">
        <v>1196</v>
      </c>
      <c r="B426" t="s">
        <v>79</v>
      </c>
      <c r="C426" t="s">
        <v>1185</v>
      </c>
      <c r="D426" t="s">
        <v>81</v>
      </c>
      <c r="E426" s="2" t="str">
        <f>HYPERLINK("capsilon://?command=openfolder&amp;siteaddress=FAM.docvelocity-na8.net&amp;folderid=FXFAC3B060-3364-D168-1DE1-C58FB9CE43B7","FX20113630")</f>
        <v>FX20113630</v>
      </c>
      <c r="F426" t="s">
        <v>19</v>
      </c>
      <c r="G426" t="s">
        <v>19</v>
      </c>
      <c r="H426" t="s">
        <v>82</v>
      </c>
      <c r="I426" t="s">
        <v>1191</v>
      </c>
      <c r="J426">
        <v>38</v>
      </c>
      <c r="K426" t="s">
        <v>84</v>
      </c>
      <c r="L426" t="s">
        <v>85</v>
      </c>
      <c r="M426" t="s">
        <v>86</v>
      </c>
      <c r="N426">
        <v>3</v>
      </c>
      <c r="O426" s="1">
        <v>44203.584756944445</v>
      </c>
      <c r="P426" s="1">
        <v>44203.590995370374</v>
      </c>
      <c r="Q426">
        <v>246</v>
      </c>
      <c r="R426">
        <v>293</v>
      </c>
      <c r="S426" t="b">
        <v>0</v>
      </c>
      <c r="T426" t="s">
        <v>87</v>
      </c>
      <c r="U426" t="b">
        <v>1</v>
      </c>
      <c r="V426" t="s">
        <v>179</v>
      </c>
      <c r="W426" s="1">
        <v>44203.588634259257</v>
      </c>
      <c r="X426">
        <v>250</v>
      </c>
      <c r="Y426">
        <v>2</v>
      </c>
      <c r="Z426">
        <v>0</v>
      </c>
      <c r="AA426">
        <v>2</v>
      </c>
      <c r="AB426">
        <v>37</v>
      </c>
      <c r="AC426">
        <v>2</v>
      </c>
      <c r="AD426">
        <v>36</v>
      </c>
      <c r="AE426">
        <v>0</v>
      </c>
      <c r="AF426">
        <v>0</v>
      </c>
      <c r="AG426">
        <v>0</v>
      </c>
      <c r="AH426" t="s">
        <v>267</v>
      </c>
      <c r="AI426" s="1">
        <v>44203.589629629627</v>
      </c>
      <c r="AJ426">
        <v>40</v>
      </c>
      <c r="AK426">
        <v>0</v>
      </c>
      <c r="AL426">
        <v>0</v>
      </c>
      <c r="AM426">
        <v>0</v>
      </c>
      <c r="AN426">
        <v>37</v>
      </c>
      <c r="AO426">
        <v>0</v>
      </c>
      <c r="AP426">
        <v>36</v>
      </c>
      <c r="AQ426">
        <v>0</v>
      </c>
      <c r="AR426">
        <v>0</v>
      </c>
      <c r="AS426">
        <v>0</v>
      </c>
      <c r="AT426" t="s">
        <v>90</v>
      </c>
      <c r="AU426" s="1">
        <v>44203.590995370374</v>
      </c>
      <c r="AV426">
        <v>3</v>
      </c>
      <c r="AW426">
        <v>0</v>
      </c>
      <c r="AX426">
        <v>0</v>
      </c>
      <c r="AY426">
        <v>0</v>
      </c>
      <c r="AZ426">
        <v>37</v>
      </c>
      <c r="BA426">
        <v>0</v>
      </c>
      <c r="BB426">
        <v>36</v>
      </c>
      <c r="BC426">
        <v>0</v>
      </c>
      <c r="BD426">
        <v>0</v>
      </c>
      <c r="BE426">
        <v>0</v>
      </c>
    </row>
    <row r="427" spans="1:57" x14ac:dyDescent="0.45">
      <c r="A427" t="s">
        <v>1197</v>
      </c>
      <c r="B427" t="s">
        <v>79</v>
      </c>
      <c r="C427" t="s">
        <v>1198</v>
      </c>
      <c r="D427" t="s">
        <v>81</v>
      </c>
      <c r="E427" s="2" t="str">
        <f>HYPERLINK("capsilon://?command=openfolder&amp;siteaddress=FAM.docvelocity-na8.net&amp;folderid=FX595922C5-1F83-EFE9-830F-8B03DC1DB643","FX201228218")</f>
        <v>FX201228218</v>
      </c>
      <c r="F427" t="s">
        <v>19</v>
      </c>
      <c r="G427" t="s">
        <v>19</v>
      </c>
      <c r="H427" t="s">
        <v>82</v>
      </c>
      <c r="I427" t="s">
        <v>1199</v>
      </c>
      <c r="J427">
        <v>303</v>
      </c>
      <c r="K427" t="s">
        <v>84</v>
      </c>
      <c r="L427" t="s">
        <v>85</v>
      </c>
      <c r="M427" t="s">
        <v>86</v>
      </c>
      <c r="N427">
        <v>3</v>
      </c>
      <c r="O427" s="1">
        <v>44200.459930555553</v>
      </c>
      <c r="P427" s="1">
        <v>44200.579930555556</v>
      </c>
      <c r="Q427">
        <v>5839</v>
      </c>
      <c r="R427">
        <v>4529</v>
      </c>
      <c r="S427" t="b">
        <v>0</v>
      </c>
      <c r="T427" t="s">
        <v>87</v>
      </c>
      <c r="U427" t="b">
        <v>0</v>
      </c>
      <c r="V427" t="s">
        <v>98</v>
      </c>
      <c r="W427" s="1">
        <v>44200.514479166668</v>
      </c>
      <c r="X427">
        <v>2662</v>
      </c>
      <c r="Y427">
        <v>215</v>
      </c>
      <c r="Z427">
        <v>0</v>
      </c>
      <c r="AA427">
        <v>215</v>
      </c>
      <c r="AB427">
        <v>0</v>
      </c>
      <c r="AC427">
        <v>108</v>
      </c>
      <c r="AD427">
        <v>88</v>
      </c>
      <c r="AE427">
        <v>0</v>
      </c>
      <c r="AF427">
        <v>0</v>
      </c>
      <c r="AG427">
        <v>0</v>
      </c>
      <c r="AH427" t="s">
        <v>128</v>
      </c>
      <c r="AI427" s="1">
        <v>44200.563020833331</v>
      </c>
      <c r="AJ427">
        <v>1694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88</v>
      </c>
      <c r="AQ427">
        <v>0</v>
      </c>
      <c r="AR427">
        <v>0</v>
      </c>
      <c r="AS427">
        <v>0</v>
      </c>
      <c r="AT427" t="s">
        <v>90</v>
      </c>
      <c r="AU427" s="1">
        <v>44200.579930555556</v>
      </c>
      <c r="AV427">
        <v>173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88</v>
      </c>
      <c r="BC427">
        <v>0</v>
      </c>
      <c r="BD427">
        <v>0</v>
      </c>
      <c r="BE427">
        <v>0</v>
      </c>
    </row>
    <row r="428" spans="1:57" x14ac:dyDescent="0.45">
      <c r="A428" t="s">
        <v>1200</v>
      </c>
      <c r="B428" t="s">
        <v>79</v>
      </c>
      <c r="C428" t="s">
        <v>1201</v>
      </c>
      <c r="D428" t="s">
        <v>81</v>
      </c>
      <c r="E428" s="2" t="str">
        <f>HYPERLINK("capsilon://?command=openfolder&amp;siteaddress=FAM.docvelocity-na8.net&amp;folderid=FXEDB9F45D-094C-F1DE-C1C5-1F92A3DDD649","FX201224424")</f>
        <v>FX201224424</v>
      </c>
      <c r="F428" t="s">
        <v>19</v>
      </c>
      <c r="G428" t="s">
        <v>19</v>
      </c>
      <c r="H428" t="s">
        <v>82</v>
      </c>
      <c r="I428" t="s">
        <v>1202</v>
      </c>
      <c r="J428">
        <v>66</v>
      </c>
      <c r="K428" t="s">
        <v>84</v>
      </c>
      <c r="L428" t="s">
        <v>85</v>
      </c>
      <c r="M428" t="s">
        <v>86</v>
      </c>
      <c r="N428">
        <v>3</v>
      </c>
      <c r="O428" s="1">
        <v>44200.461435185185</v>
      </c>
      <c r="P428" s="1">
        <v>44200.580439814818</v>
      </c>
      <c r="Q428">
        <v>8552</v>
      </c>
      <c r="R428">
        <v>1730</v>
      </c>
      <c r="S428" t="b">
        <v>0</v>
      </c>
      <c r="T428" t="s">
        <v>87</v>
      </c>
      <c r="U428" t="b">
        <v>0</v>
      </c>
      <c r="V428" t="s">
        <v>255</v>
      </c>
      <c r="W428" s="1">
        <v>44200.503483796296</v>
      </c>
      <c r="X428">
        <v>961</v>
      </c>
      <c r="Y428">
        <v>52</v>
      </c>
      <c r="Z428">
        <v>0</v>
      </c>
      <c r="AA428">
        <v>52</v>
      </c>
      <c r="AB428">
        <v>0</v>
      </c>
      <c r="AC428">
        <v>41</v>
      </c>
      <c r="AD428">
        <v>14</v>
      </c>
      <c r="AE428">
        <v>0</v>
      </c>
      <c r="AF428">
        <v>0</v>
      </c>
      <c r="AG428">
        <v>0</v>
      </c>
      <c r="AH428" t="s">
        <v>128</v>
      </c>
      <c r="AI428" s="1">
        <v>44200.571423611109</v>
      </c>
      <c r="AJ428">
        <v>725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14</v>
      </c>
      <c r="AQ428">
        <v>0</v>
      </c>
      <c r="AR428">
        <v>0</v>
      </c>
      <c r="AS428">
        <v>0</v>
      </c>
      <c r="AT428" t="s">
        <v>90</v>
      </c>
      <c r="AU428" s="1">
        <v>44200.580439814818</v>
      </c>
      <c r="AV428">
        <v>44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14</v>
      </c>
      <c r="BC428">
        <v>0</v>
      </c>
      <c r="BD428">
        <v>0</v>
      </c>
      <c r="BE428">
        <v>0</v>
      </c>
    </row>
    <row r="429" spans="1:57" x14ac:dyDescent="0.45">
      <c r="A429" t="s">
        <v>1203</v>
      </c>
      <c r="B429" t="s">
        <v>79</v>
      </c>
      <c r="C429" t="s">
        <v>1204</v>
      </c>
      <c r="D429" t="s">
        <v>81</v>
      </c>
      <c r="E429" s="2" t="str">
        <f>HYPERLINK("capsilon://?command=openfolder&amp;siteaddress=FAM.docvelocity-na8.net&amp;folderid=FX7D477892-1D36-31D3-BEBA-89A53F97A62F","FX2101980")</f>
        <v>FX2101980</v>
      </c>
      <c r="F429" t="s">
        <v>19</v>
      </c>
      <c r="G429" t="s">
        <v>19</v>
      </c>
      <c r="H429" t="s">
        <v>82</v>
      </c>
      <c r="I429" t="s">
        <v>1205</v>
      </c>
      <c r="J429">
        <v>38</v>
      </c>
      <c r="K429" t="s">
        <v>84</v>
      </c>
      <c r="L429" t="s">
        <v>85</v>
      </c>
      <c r="M429" t="s">
        <v>86</v>
      </c>
      <c r="N429">
        <v>3</v>
      </c>
      <c r="O429" s="1">
        <v>44203.586944444447</v>
      </c>
      <c r="P429" s="1">
        <v>44204.356377314813</v>
      </c>
      <c r="Q429">
        <v>65233</v>
      </c>
      <c r="R429">
        <v>1246</v>
      </c>
      <c r="S429" t="b">
        <v>0</v>
      </c>
      <c r="T429" t="s">
        <v>87</v>
      </c>
      <c r="U429" t="b">
        <v>0</v>
      </c>
      <c r="V429" t="s">
        <v>160</v>
      </c>
      <c r="W429" s="1">
        <v>44203.602118055554</v>
      </c>
      <c r="X429">
        <v>1185</v>
      </c>
      <c r="Y429">
        <v>37</v>
      </c>
      <c r="Z429">
        <v>0</v>
      </c>
      <c r="AA429">
        <v>37</v>
      </c>
      <c r="AB429">
        <v>0</v>
      </c>
      <c r="AC429">
        <v>21</v>
      </c>
      <c r="AD429">
        <v>1</v>
      </c>
      <c r="AE429">
        <v>0</v>
      </c>
      <c r="AF429">
        <v>0</v>
      </c>
      <c r="AG429">
        <v>0</v>
      </c>
      <c r="AH429" t="s">
        <v>267</v>
      </c>
      <c r="AI429" s="1">
        <v>44203.603807870371</v>
      </c>
      <c r="AJ429">
        <v>54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 t="s">
        <v>90</v>
      </c>
      <c r="AU429" s="1">
        <v>44204.356377314813</v>
      </c>
      <c r="AV429">
        <v>7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</row>
    <row r="430" spans="1:57" x14ac:dyDescent="0.45">
      <c r="A430" t="s">
        <v>1206</v>
      </c>
      <c r="B430" t="s">
        <v>79</v>
      </c>
      <c r="C430" t="s">
        <v>1207</v>
      </c>
      <c r="D430" t="s">
        <v>81</v>
      </c>
      <c r="E430" s="2" t="str">
        <f>HYPERLINK("capsilon://?command=openfolder&amp;siteaddress=FAM.docvelocity-na8.net&amp;folderid=FXF871DE58-1835-D24F-0CD1-F959D57599FB","FX201224075")</f>
        <v>FX201224075</v>
      </c>
      <c r="F430" t="s">
        <v>19</v>
      </c>
      <c r="G430" t="s">
        <v>19</v>
      </c>
      <c r="H430" t="s">
        <v>82</v>
      </c>
      <c r="I430" t="s">
        <v>1208</v>
      </c>
      <c r="J430">
        <v>66</v>
      </c>
      <c r="K430" t="s">
        <v>84</v>
      </c>
      <c r="L430" t="s">
        <v>85</v>
      </c>
      <c r="M430" t="s">
        <v>86</v>
      </c>
      <c r="N430">
        <v>3</v>
      </c>
      <c r="O430" s="1">
        <v>44200.46166666667</v>
      </c>
      <c r="P430" s="1">
        <v>44200.584189814814</v>
      </c>
      <c r="Q430">
        <v>7535</v>
      </c>
      <c r="R430">
        <v>3051</v>
      </c>
      <c r="S430" t="b">
        <v>0</v>
      </c>
      <c r="T430" t="s">
        <v>87</v>
      </c>
      <c r="U430" t="b">
        <v>0</v>
      </c>
      <c r="V430" t="s">
        <v>419</v>
      </c>
      <c r="W430" s="1">
        <v>44200.516608796293</v>
      </c>
      <c r="X430">
        <v>1952</v>
      </c>
      <c r="Y430">
        <v>52</v>
      </c>
      <c r="Z430">
        <v>0</v>
      </c>
      <c r="AA430">
        <v>52</v>
      </c>
      <c r="AB430">
        <v>0</v>
      </c>
      <c r="AC430">
        <v>41</v>
      </c>
      <c r="AD430">
        <v>14</v>
      </c>
      <c r="AE430">
        <v>0</v>
      </c>
      <c r="AF430">
        <v>0</v>
      </c>
      <c r="AG430">
        <v>0</v>
      </c>
      <c r="AH430" t="s">
        <v>128</v>
      </c>
      <c r="AI430" s="1">
        <v>44200.582326388889</v>
      </c>
      <c r="AJ430">
        <v>941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14</v>
      </c>
      <c r="AQ430">
        <v>0</v>
      </c>
      <c r="AR430">
        <v>0</v>
      </c>
      <c r="AS430">
        <v>0</v>
      </c>
      <c r="AT430" t="s">
        <v>90</v>
      </c>
      <c r="AU430" s="1">
        <v>44200.584189814814</v>
      </c>
      <c r="AV430">
        <v>158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14</v>
      </c>
      <c r="BC430">
        <v>0</v>
      </c>
      <c r="BD430">
        <v>0</v>
      </c>
      <c r="BE430">
        <v>0</v>
      </c>
    </row>
    <row r="431" spans="1:57" x14ac:dyDescent="0.45">
      <c r="A431" t="s">
        <v>1209</v>
      </c>
      <c r="B431" t="s">
        <v>79</v>
      </c>
      <c r="C431" t="s">
        <v>1210</v>
      </c>
      <c r="D431" t="s">
        <v>81</v>
      </c>
      <c r="E431" s="2" t="str">
        <f>HYPERLINK("capsilon://?command=openfolder&amp;siteaddress=FAM.docvelocity-na8.net&amp;folderid=FX80A22950-1FE3-53DE-64A1-5C9CB772F41F","FX20125562")</f>
        <v>FX20125562</v>
      </c>
      <c r="F431" t="s">
        <v>19</v>
      </c>
      <c r="G431" t="s">
        <v>19</v>
      </c>
      <c r="H431" t="s">
        <v>82</v>
      </c>
      <c r="I431" t="s">
        <v>1211</v>
      </c>
      <c r="J431">
        <v>99</v>
      </c>
      <c r="K431" t="s">
        <v>84</v>
      </c>
      <c r="L431" t="s">
        <v>85</v>
      </c>
      <c r="M431" t="s">
        <v>86</v>
      </c>
      <c r="N431">
        <v>3</v>
      </c>
      <c r="O431" s="1">
        <v>44203.587962962964</v>
      </c>
      <c r="P431" s="1">
        <v>44204.360254629632</v>
      </c>
      <c r="Q431">
        <v>65576</v>
      </c>
      <c r="R431">
        <v>1150</v>
      </c>
      <c r="S431" t="b">
        <v>0</v>
      </c>
      <c r="T431" t="s">
        <v>87</v>
      </c>
      <c r="U431" t="b">
        <v>0</v>
      </c>
      <c r="V431" t="s">
        <v>179</v>
      </c>
      <c r="W431" s="1">
        <v>44203.596365740741</v>
      </c>
      <c r="X431">
        <v>667</v>
      </c>
      <c r="Y431">
        <v>96</v>
      </c>
      <c r="Z431">
        <v>0</v>
      </c>
      <c r="AA431">
        <v>96</v>
      </c>
      <c r="AB431">
        <v>0</v>
      </c>
      <c r="AC431">
        <v>33</v>
      </c>
      <c r="AD431">
        <v>3</v>
      </c>
      <c r="AE431">
        <v>0</v>
      </c>
      <c r="AF431">
        <v>0</v>
      </c>
      <c r="AG431">
        <v>0</v>
      </c>
      <c r="AH431" t="s">
        <v>267</v>
      </c>
      <c r="AI431" s="1">
        <v>44203.603171296294</v>
      </c>
      <c r="AJ431">
        <v>148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3</v>
      </c>
      <c r="AQ431">
        <v>0</v>
      </c>
      <c r="AR431">
        <v>0</v>
      </c>
      <c r="AS431">
        <v>0</v>
      </c>
      <c r="AT431" t="s">
        <v>90</v>
      </c>
      <c r="AU431" s="1">
        <v>44204.360254629632</v>
      </c>
      <c r="AV431">
        <v>335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3</v>
      </c>
      <c r="BC431">
        <v>0</v>
      </c>
      <c r="BD431">
        <v>0</v>
      </c>
      <c r="BE431">
        <v>0</v>
      </c>
    </row>
    <row r="432" spans="1:57" x14ac:dyDescent="0.45">
      <c r="A432" t="s">
        <v>1212</v>
      </c>
      <c r="B432" t="s">
        <v>79</v>
      </c>
      <c r="C432" t="s">
        <v>1210</v>
      </c>
      <c r="D432" t="s">
        <v>81</v>
      </c>
      <c r="E432" s="2" t="str">
        <f>HYPERLINK("capsilon://?command=openfolder&amp;siteaddress=FAM.docvelocity-na8.net&amp;folderid=FX80A22950-1FE3-53DE-64A1-5C9CB772F41F","FX20125562")</f>
        <v>FX20125562</v>
      </c>
      <c r="F432" t="s">
        <v>19</v>
      </c>
      <c r="G432" t="s">
        <v>19</v>
      </c>
      <c r="H432" t="s">
        <v>82</v>
      </c>
      <c r="I432" t="s">
        <v>1213</v>
      </c>
      <c r="J432">
        <v>92</v>
      </c>
      <c r="K432" t="s">
        <v>84</v>
      </c>
      <c r="L432" t="s">
        <v>85</v>
      </c>
      <c r="M432" t="s">
        <v>86</v>
      </c>
      <c r="N432">
        <v>3</v>
      </c>
      <c r="O432" s="1">
        <v>44203.589317129627</v>
      </c>
      <c r="P432" s="1">
        <v>44204.361157407409</v>
      </c>
      <c r="Q432">
        <v>61576</v>
      </c>
      <c r="R432">
        <v>5111</v>
      </c>
      <c r="S432" t="b">
        <v>0</v>
      </c>
      <c r="T432" t="s">
        <v>87</v>
      </c>
      <c r="U432" t="b">
        <v>0</v>
      </c>
      <c r="V432" t="s">
        <v>266</v>
      </c>
      <c r="W432" s="1">
        <v>44203.638993055552</v>
      </c>
      <c r="X432">
        <v>4262</v>
      </c>
      <c r="Y432">
        <v>176</v>
      </c>
      <c r="Z432">
        <v>0</v>
      </c>
      <c r="AA432">
        <v>176</v>
      </c>
      <c r="AB432">
        <v>0</v>
      </c>
      <c r="AC432">
        <v>150</v>
      </c>
      <c r="AD432">
        <v>-84</v>
      </c>
      <c r="AE432">
        <v>0</v>
      </c>
      <c r="AF432">
        <v>0</v>
      </c>
      <c r="AG432">
        <v>0</v>
      </c>
      <c r="AH432" t="s">
        <v>267</v>
      </c>
      <c r="AI432" s="1">
        <v>44203.649571759262</v>
      </c>
      <c r="AJ432">
        <v>772</v>
      </c>
      <c r="AK432">
        <v>4</v>
      </c>
      <c r="AL432">
        <v>0</v>
      </c>
      <c r="AM432">
        <v>4</v>
      </c>
      <c r="AN432">
        <v>0</v>
      </c>
      <c r="AO432">
        <v>4</v>
      </c>
      <c r="AP432">
        <v>-88</v>
      </c>
      <c r="AQ432">
        <v>0</v>
      </c>
      <c r="AR432">
        <v>0</v>
      </c>
      <c r="AS432">
        <v>0</v>
      </c>
      <c r="AT432" t="s">
        <v>90</v>
      </c>
      <c r="AU432" s="1">
        <v>44204.361157407409</v>
      </c>
      <c r="AV432">
        <v>77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-88</v>
      </c>
      <c r="BC432">
        <v>0</v>
      </c>
      <c r="BD432">
        <v>0</v>
      </c>
      <c r="BE432">
        <v>0</v>
      </c>
    </row>
    <row r="433" spans="1:57" x14ac:dyDescent="0.45">
      <c r="A433" t="s">
        <v>1214</v>
      </c>
      <c r="B433" t="s">
        <v>79</v>
      </c>
      <c r="C433" t="s">
        <v>1215</v>
      </c>
      <c r="D433" t="s">
        <v>81</v>
      </c>
      <c r="E433" s="2" t="str">
        <f>HYPERLINK("capsilon://?command=openfolder&amp;siteaddress=FAM.docvelocity-na8.net&amp;folderid=FXD8181A86-F316-D5ED-EEDB-8FFA68C6C7F1","FX20128712")</f>
        <v>FX20128712</v>
      </c>
      <c r="F433" t="s">
        <v>19</v>
      </c>
      <c r="G433" t="s">
        <v>19</v>
      </c>
      <c r="H433" t="s">
        <v>82</v>
      </c>
      <c r="I433" t="s">
        <v>1216</v>
      </c>
      <c r="J433">
        <v>157</v>
      </c>
      <c r="K433" t="s">
        <v>84</v>
      </c>
      <c r="L433" t="s">
        <v>85</v>
      </c>
      <c r="M433" t="s">
        <v>86</v>
      </c>
      <c r="N433">
        <v>3</v>
      </c>
      <c r="O433" s="1">
        <v>44200.46234953704</v>
      </c>
      <c r="P433" s="1">
        <v>44200.580497685187</v>
      </c>
      <c r="Q433">
        <v>9032</v>
      </c>
      <c r="R433">
        <v>1176</v>
      </c>
      <c r="S433" t="b">
        <v>0</v>
      </c>
      <c r="T433" t="s">
        <v>87</v>
      </c>
      <c r="U433" t="b">
        <v>0</v>
      </c>
      <c r="V433" t="s">
        <v>255</v>
      </c>
      <c r="W433" s="1">
        <v>44200.515081018515</v>
      </c>
      <c r="X433">
        <v>1001</v>
      </c>
      <c r="Y433">
        <v>21</v>
      </c>
      <c r="Z433">
        <v>0</v>
      </c>
      <c r="AA433">
        <v>21</v>
      </c>
      <c r="AB433">
        <v>118</v>
      </c>
      <c r="AC433">
        <v>10</v>
      </c>
      <c r="AD433">
        <v>136</v>
      </c>
      <c r="AE433">
        <v>0</v>
      </c>
      <c r="AF433">
        <v>0</v>
      </c>
      <c r="AG433">
        <v>0</v>
      </c>
      <c r="AH433" t="s">
        <v>267</v>
      </c>
      <c r="AI433" s="1">
        <v>44200.575138888889</v>
      </c>
      <c r="AJ433">
        <v>122</v>
      </c>
      <c r="AK433">
        <v>0</v>
      </c>
      <c r="AL433">
        <v>0</v>
      </c>
      <c r="AM433">
        <v>0</v>
      </c>
      <c r="AN433">
        <v>118</v>
      </c>
      <c r="AO433">
        <v>0</v>
      </c>
      <c r="AP433">
        <v>136</v>
      </c>
      <c r="AQ433">
        <v>0</v>
      </c>
      <c r="AR433">
        <v>0</v>
      </c>
      <c r="AS433">
        <v>0</v>
      </c>
      <c r="AT433" t="s">
        <v>90</v>
      </c>
      <c r="AU433" s="1">
        <v>44200.580497685187</v>
      </c>
      <c r="AV433">
        <v>5</v>
      </c>
      <c r="AW433">
        <v>0</v>
      </c>
      <c r="AX433">
        <v>0</v>
      </c>
      <c r="AY433">
        <v>0</v>
      </c>
      <c r="AZ433">
        <v>118</v>
      </c>
      <c r="BA433">
        <v>0</v>
      </c>
      <c r="BB433">
        <v>136</v>
      </c>
      <c r="BC433">
        <v>0</v>
      </c>
      <c r="BD433">
        <v>0</v>
      </c>
      <c r="BE433">
        <v>0</v>
      </c>
    </row>
    <row r="434" spans="1:57" x14ac:dyDescent="0.45">
      <c r="A434" t="s">
        <v>1217</v>
      </c>
      <c r="B434" t="s">
        <v>79</v>
      </c>
      <c r="C434" t="s">
        <v>1194</v>
      </c>
      <c r="D434" t="s">
        <v>81</v>
      </c>
      <c r="E434" s="2" t="str">
        <f>HYPERLINK("capsilon://?command=openfolder&amp;siteaddress=FAM.docvelocity-na8.net&amp;folderid=FXC2D4CCB9-B638-8922-C2F2-97DDD7EDBE35","FX2012794")</f>
        <v>FX2012794</v>
      </c>
      <c r="F434" t="s">
        <v>19</v>
      </c>
      <c r="G434" t="s">
        <v>19</v>
      </c>
      <c r="H434" t="s">
        <v>82</v>
      </c>
      <c r="I434" t="s">
        <v>1195</v>
      </c>
      <c r="J434">
        <v>38</v>
      </c>
      <c r="K434" t="s">
        <v>84</v>
      </c>
      <c r="L434" t="s">
        <v>85</v>
      </c>
      <c r="M434" t="s">
        <v>86</v>
      </c>
      <c r="N434">
        <v>3</v>
      </c>
      <c r="O434" s="1">
        <v>44203.590648148151</v>
      </c>
      <c r="P434" s="1">
        <v>44203.621620370373</v>
      </c>
      <c r="Q434">
        <v>1968</v>
      </c>
      <c r="R434">
        <v>708</v>
      </c>
      <c r="S434" t="b">
        <v>0</v>
      </c>
      <c r="T434" t="s">
        <v>87</v>
      </c>
      <c r="U434" t="b">
        <v>1</v>
      </c>
      <c r="V434" t="s">
        <v>168</v>
      </c>
      <c r="W434" s="1">
        <v>44203.597407407404</v>
      </c>
      <c r="X434">
        <v>580</v>
      </c>
      <c r="Y434">
        <v>37</v>
      </c>
      <c r="Z434">
        <v>0</v>
      </c>
      <c r="AA434">
        <v>37</v>
      </c>
      <c r="AB434">
        <v>0</v>
      </c>
      <c r="AC434">
        <v>34</v>
      </c>
      <c r="AD434">
        <v>1</v>
      </c>
      <c r="AE434">
        <v>0</v>
      </c>
      <c r="AF434">
        <v>0</v>
      </c>
      <c r="AG434">
        <v>0</v>
      </c>
      <c r="AH434" t="s">
        <v>128</v>
      </c>
      <c r="AI434" s="1">
        <v>44203.599421296298</v>
      </c>
      <c r="AJ434">
        <v>122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 t="s">
        <v>90</v>
      </c>
      <c r="AU434" s="1">
        <v>44203.621620370373</v>
      </c>
      <c r="AV434">
        <v>6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</row>
    <row r="435" spans="1:57" x14ac:dyDescent="0.45">
      <c r="A435" t="s">
        <v>1218</v>
      </c>
      <c r="B435" t="s">
        <v>79</v>
      </c>
      <c r="C435" t="s">
        <v>1182</v>
      </c>
      <c r="D435" t="s">
        <v>81</v>
      </c>
      <c r="E435" s="2" t="str">
        <f>HYPERLINK("capsilon://?command=openfolder&amp;siteaddress=FAM.docvelocity-na8.net&amp;folderid=FX78729419-D15C-44C3-F26D-44F0BF5DE1D7","FX20115191")</f>
        <v>FX20115191</v>
      </c>
      <c r="F435" t="s">
        <v>19</v>
      </c>
      <c r="G435" t="s">
        <v>19</v>
      </c>
      <c r="H435" t="s">
        <v>82</v>
      </c>
      <c r="I435" t="s">
        <v>1183</v>
      </c>
      <c r="J435">
        <v>62</v>
      </c>
      <c r="K435" t="s">
        <v>84</v>
      </c>
      <c r="L435" t="s">
        <v>85</v>
      </c>
      <c r="M435" t="s">
        <v>86</v>
      </c>
      <c r="N435">
        <v>3</v>
      </c>
      <c r="O435" s="1">
        <v>44203.590671296297</v>
      </c>
      <c r="P435" s="1">
        <v>44203.624305555553</v>
      </c>
      <c r="Q435">
        <v>461</v>
      </c>
      <c r="R435">
        <v>2445</v>
      </c>
      <c r="S435" t="b">
        <v>0</v>
      </c>
      <c r="T435" t="s">
        <v>87</v>
      </c>
      <c r="U435" t="b">
        <v>1</v>
      </c>
      <c r="V435" t="s">
        <v>343</v>
      </c>
      <c r="W435" s="1">
        <v>44203.613171296296</v>
      </c>
      <c r="X435">
        <v>1908</v>
      </c>
      <c r="Y435">
        <v>184</v>
      </c>
      <c r="Z435">
        <v>0</v>
      </c>
      <c r="AA435">
        <v>184</v>
      </c>
      <c r="AB435">
        <v>0</v>
      </c>
      <c r="AC435">
        <v>142</v>
      </c>
      <c r="AD435">
        <v>-122</v>
      </c>
      <c r="AE435">
        <v>0</v>
      </c>
      <c r="AF435">
        <v>0</v>
      </c>
      <c r="AG435">
        <v>0</v>
      </c>
      <c r="AH435" t="s">
        <v>267</v>
      </c>
      <c r="AI435" s="1">
        <v>44203.61755787037</v>
      </c>
      <c r="AJ435">
        <v>306</v>
      </c>
      <c r="AK435">
        <v>5</v>
      </c>
      <c r="AL435">
        <v>0</v>
      </c>
      <c r="AM435">
        <v>5</v>
      </c>
      <c r="AN435">
        <v>0</v>
      </c>
      <c r="AO435">
        <v>4</v>
      </c>
      <c r="AP435">
        <v>-127</v>
      </c>
      <c r="AQ435">
        <v>0</v>
      </c>
      <c r="AR435">
        <v>0</v>
      </c>
      <c r="AS435">
        <v>0</v>
      </c>
      <c r="AT435" t="s">
        <v>90</v>
      </c>
      <c r="AU435" s="1">
        <v>44203.624305555553</v>
      </c>
      <c r="AV435">
        <v>231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-127</v>
      </c>
      <c r="BC435">
        <v>0</v>
      </c>
      <c r="BD435">
        <v>0</v>
      </c>
      <c r="BE435">
        <v>0</v>
      </c>
    </row>
    <row r="436" spans="1:57" hidden="1" x14ac:dyDescent="0.45">
      <c r="A436" t="s">
        <v>1219</v>
      </c>
      <c r="B436" t="s">
        <v>79</v>
      </c>
      <c r="C436" t="s">
        <v>1220</v>
      </c>
      <c r="D436" t="s">
        <v>81</v>
      </c>
      <c r="E436" s="2" t="str">
        <f>HYPERLINK("capsilon://?command=openfolder&amp;siteaddress=FAM.docvelocity-na8.net&amp;folderid=FX68476497-1A07-2542-3773-3C7E47CB44FA","FX201111788")</f>
        <v>FX201111788</v>
      </c>
      <c r="F436" t="s">
        <v>19</v>
      </c>
      <c r="G436" t="s">
        <v>19</v>
      </c>
      <c r="H436" t="s">
        <v>82</v>
      </c>
      <c r="I436" t="s">
        <v>1221</v>
      </c>
      <c r="J436">
        <v>66</v>
      </c>
      <c r="K436" t="s">
        <v>84</v>
      </c>
      <c r="L436" t="s">
        <v>85</v>
      </c>
      <c r="M436" t="s">
        <v>86</v>
      </c>
      <c r="N436">
        <v>1</v>
      </c>
      <c r="O436" s="1">
        <v>44203.590891203705</v>
      </c>
      <c r="P436" s="1">
        <v>44203.592465277776</v>
      </c>
      <c r="Q436">
        <v>88</v>
      </c>
      <c r="R436">
        <v>48</v>
      </c>
      <c r="S436" t="b">
        <v>0</v>
      </c>
      <c r="T436" t="s">
        <v>87</v>
      </c>
      <c r="U436" t="b">
        <v>0</v>
      </c>
      <c r="V436" t="s">
        <v>242</v>
      </c>
      <c r="W436" s="1">
        <v>44203.592465277776</v>
      </c>
      <c r="X436">
        <v>48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66</v>
      </c>
      <c r="AE436">
        <v>52</v>
      </c>
      <c r="AF436">
        <v>0</v>
      </c>
      <c r="AG436">
        <v>1</v>
      </c>
      <c r="AH436" t="s">
        <v>87</v>
      </c>
      <c r="AI436" t="s">
        <v>87</v>
      </c>
      <c r="AJ436" t="s">
        <v>87</v>
      </c>
      <c r="AK436" t="s">
        <v>87</v>
      </c>
      <c r="AL436" t="s">
        <v>87</v>
      </c>
      <c r="AM436" t="s">
        <v>87</v>
      </c>
      <c r="AN436" t="s">
        <v>87</v>
      </c>
      <c r="AO436" t="s">
        <v>87</v>
      </c>
      <c r="AP436" t="s">
        <v>87</v>
      </c>
      <c r="AQ436" t="s">
        <v>87</v>
      </c>
      <c r="AR436" t="s">
        <v>87</v>
      </c>
      <c r="AS436" t="s">
        <v>87</v>
      </c>
      <c r="AT436" t="s">
        <v>87</v>
      </c>
      <c r="AU436" t="s">
        <v>87</v>
      </c>
      <c r="AV436" t="s">
        <v>87</v>
      </c>
      <c r="AW436" t="s">
        <v>87</v>
      </c>
      <c r="AX436" t="s">
        <v>87</v>
      </c>
      <c r="AY436" t="s">
        <v>87</v>
      </c>
      <c r="AZ436" t="s">
        <v>87</v>
      </c>
      <c r="BA436" t="s">
        <v>87</v>
      </c>
      <c r="BB436" t="s">
        <v>87</v>
      </c>
      <c r="BC436" t="s">
        <v>87</v>
      </c>
      <c r="BD436" t="s">
        <v>87</v>
      </c>
      <c r="BE436" t="s">
        <v>87</v>
      </c>
    </row>
    <row r="437" spans="1:57" x14ac:dyDescent="0.45">
      <c r="A437" t="s">
        <v>1222</v>
      </c>
      <c r="B437" t="s">
        <v>79</v>
      </c>
      <c r="C437" t="s">
        <v>1220</v>
      </c>
      <c r="D437" t="s">
        <v>81</v>
      </c>
      <c r="E437" s="2" t="str">
        <f>HYPERLINK("capsilon://?command=openfolder&amp;siteaddress=FAM.docvelocity-na8.net&amp;folderid=FX68476497-1A07-2542-3773-3C7E47CB44FA","FX201111788")</f>
        <v>FX201111788</v>
      </c>
      <c r="F437" t="s">
        <v>19</v>
      </c>
      <c r="G437" t="s">
        <v>19</v>
      </c>
      <c r="H437" t="s">
        <v>82</v>
      </c>
      <c r="I437" t="s">
        <v>1221</v>
      </c>
      <c r="J437">
        <v>38</v>
      </c>
      <c r="K437" t="s">
        <v>84</v>
      </c>
      <c r="L437" t="s">
        <v>85</v>
      </c>
      <c r="M437" t="s">
        <v>86</v>
      </c>
      <c r="N437">
        <v>3</v>
      </c>
      <c r="O437" s="1">
        <v>44203.592743055553</v>
      </c>
      <c r="P437" s="1">
        <v>44203.598946759259</v>
      </c>
      <c r="Q437">
        <v>155</v>
      </c>
      <c r="R437">
        <v>381</v>
      </c>
      <c r="S437" t="b">
        <v>0</v>
      </c>
      <c r="T437" t="s">
        <v>87</v>
      </c>
      <c r="U437" t="b">
        <v>1</v>
      </c>
      <c r="V437" t="s">
        <v>242</v>
      </c>
      <c r="W437" s="1">
        <v>44203.595706018517</v>
      </c>
      <c r="X437">
        <v>253</v>
      </c>
      <c r="Y437">
        <v>37</v>
      </c>
      <c r="Z437">
        <v>0</v>
      </c>
      <c r="AA437">
        <v>37</v>
      </c>
      <c r="AB437">
        <v>0</v>
      </c>
      <c r="AC437">
        <v>28</v>
      </c>
      <c r="AD437">
        <v>1</v>
      </c>
      <c r="AE437">
        <v>0</v>
      </c>
      <c r="AF437">
        <v>0</v>
      </c>
      <c r="AG437">
        <v>0</v>
      </c>
      <c r="AH437" t="s">
        <v>128</v>
      </c>
      <c r="AI437" s="1">
        <v>44203.597997685189</v>
      </c>
      <c r="AJ437">
        <v>121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 t="s">
        <v>90</v>
      </c>
      <c r="AU437" s="1">
        <v>44203.598946759259</v>
      </c>
      <c r="AV437">
        <v>7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</row>
    <row r="438" spans="1:57" hidden="1" x14ac:dyDescent="0.45">
      <c r="A438" t="s">
        <v>1223</v>
      </c>
      <c r="B438" t="s">
        <v>79</v>
      </c>
      <c r="C438" t="s">
        <v>917</v>
      </c>
      <c r="D438" t="s">
        <v>81</v>
      </c>
      <c r="E438" s="2" t="str">
        <f>HYPERLINK("capsilon://?command=openfolder&amp;siteaddress=FAM.docvelocity-na8.net&amp;folderid=FX3BEA5B04-50F9-E3E1-D680-32B040EE7278","FX20125642")</f>
        <v>FX20125642</v>
      </c>
      <c r="F438" t="s">
        <v>19</v>
      </c>
      <c r="G438" t="s">
        <v>19</v>
      </c>
      <c r="H438" t="s">
        <v>82</v>
      </c>
      <c r="I438" t="s">
        <v>1224</v>
      </c>
      <c r="J438">
        <v>66</v>
      </c>
      <c r="K438" t="s">
        <v>84</v>
      </c>
      <c r="L438" t="s">
        <v>85</v>
      </c>
      <c r="M438" t="s">
        <v>86</v>
      </c>
      <c r="N438">
        <v>3</v>
      </c>
      <c r="O438" s="1">
        <v>44203.595868055556</v>
      </c>
      <c r="P438" s="1">
        <v>44204.361215277779</v>
      </c>
      <c r="Q438">
        <v>66043</v>
      </c>
      <c r="R438">
        <v>83</v>
      </c>
      <c r="S438" t="b">
        <v>0</v>
      </c>
      <c r="T438" t="s">
        <v>87</v>
      </c>
      <c r="U438" t="b">
        <v>0</v>
      </c>
      <c r="V438" t="s">
        <v>242</v>
      </c>
      <c r="W438" s="1">
        <v>44203.596736111111</v>
      </c>
      <c r="X438">
        <v>46</v>
      </c>
      <c r="Y438">
        <v>0</v>
      </c>
      <c r="Z438">
        <v>0</v>
      </c>
      <c r="AA438">
        <v>0</v>
      </c>
      <c r="AB438">
        <v>52</v>
      </c>
      <c r="AC438">
        <v>0</v>
      </c>
      <c r="AD438">
        <v>66</v>
      </c>
      <c r="AE438">
        <v>0</v>
      </c>
      <c r="AF438">
        <v>0</v>
      </c>
      <c r="AG438">
        <v>0</v>
      </c>
      <c r="AH438" t="s">
        <v>267</v>
      </c>
      <c r="AI438" s="1">
        <v>44203.604074074072</v>
      </c>
      <c r="AJ438">
        <v>22</v>
      </c>
      <c r="AK438">
        <v>0</v>
      </c>
      <c r="AL438">
        <v>0</v>
      </c>
      <c r="AM438">
        <v>0</v>
      </c>
      <c r="AN438">
        <v>52</v>
      </c>
      <c r="AO438">
        <v>0</v>
      </c>
      <c r="AP438">
        <v>66</v>
      </c>
      <c r="AQ438">
        <v>0</v>
      </c>
      <c r="AR438">
        <v>0</v>
      </c>
      <c r="AS438">
        <v>0</v>
      </c>
      <c r="AT438" t="s">
        <v>90</v>
      </c>
      <c r="AU438" s="1">
        <v>44204.361215277779</v>
      </c>
      <c r="AV438">
        <v>4</v>
      </c>
      <c r="AW438">
        <v>0</v>
      </c>
      <c r="AX438">
        <v>0</v>
      </c>
      <c r="AY438">
        <v>0</v>
      </c>
      <c r="AZ438">
        <v>52</v>
      </c>
      <c r="BA438">
        <v>0</v>
      </c>
      <c r="BB438">
        <v>66</v>
      </c>
      <c r="BC438">
        <v>0</v>
      </c>
      <c r="BD438">
        <v>0</v>
      </c>
      <c r="BE438">
        <v>0</v>
      </c>
    </row>
    <row r="439" spans="1:57" hidden="1" x14ac:dyDescent="0.45">
      <c r="A439" t="s">
        <v>1225</v>
      </c>
      <c r="B439" t="s">
        <v>79</v>
      </c>
      <c r="C439" t="s">
        <v>1226</v>
      </c>
      <c r="D439" t="s">
        <v>81</v>
      </c>
      <c r="E439" s="2" t="str">
        <f>HYPERLINK("capsilon://?command=openfolder&amp;siteaddress=FAM.docvelocity-na8.net&amp;folderid=FX20638E3F-DC65-E459-B4A6-8522D3961AA9","FX20126938")</f>
        <v>FX20126938</v>
      </c>
      <c r="F439" t="s">
        <v>19</v>
      </c>
      <c r="G439" t="s">
        <v>19</v>
      </c>
      <c r="H439" t="s">
        <v>82</v>
      </c>
      <c r="I439" t="s">
        <v>1227</v>
      </c>
      <c r="J439">
        <v>233</v>
      </c>
      <c r="K439" t="s">
        <v>84</v>
      </c>
      <c r="L439" t="s">
        <v>85</v>
      </c>
      <c r="M439" t="s">
        <v>86</v>
      </c>
      <c r="N439">
        <v>1</v>
      </c>
      <c r="O439" s="1">
        <v>44203.596041666664</v>
      </c>
      <c r="P439" s="1">
        <v>44203.599224537036</v>
      </c>
      <c r="Q439">
        <v>37</v>
      </c>
      <c r="R439">
        <v>238</v>
      </c>
      <c r="S439" t="b">
        <v>0</v>
      </c>
      <c r="T439" t="s">
        <v>87</v>
      </c>
      <c r="U439" t="b">
        <v>0</v>
      </c>
      <c r="V439" t="s">
        <v>242</v>
      </c>
      <c r="W439" s="1">
        <v>44203.599224537036</v>
      </c>
      <c r="X439">
        <v>215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233</v>
      </c>
      <c r="AE439">
        <v>217</v>
      </c>
      <c r="AF439">
        <v>0</v>
      </c>
      <c r="AG439">
        <v>4</v>
      </c>
      <c r="AH439" t="s">
        <v>87</v>
      </c>
      <c r="AI439" t="s">
        <v>87</v>
      </c>
      <c r="AJ439" t="s">
        <v>87</v>
      </c>
      <c r="AK439" t="s">
        <v>87</v>
      </c>
      <c r="AL439" t="s">
        <v>87</v>
      </c>
      <c r="AM439" t="s">
        <v>87</v>
      </c>
      <c r="AN439" t="s">
        <v>87</v>
      </c>
      <c r="AO439" t="s">
        <v>87</v>
      </c>
      <c r="AP439" t="s">
        <v>87</v>
      </c>
      <c r="AQ439" t="s">
        <v>87</v>
      </c>
      <c r="AR439" t="s">
        <v>87</v>
      </c>
      <c r="AS439" t="s">
        <v>87</v>
      </c>
      <c r="AT439" t="s">
        <v>87</v>
      </c>
      <c r="AU439" t="s">
        <v>87</v>
      </c>
      <c r="AV439" t="s">
        <v>87</v>
      </c>
      <c r="AW439" t="s">
        <v>87</v>
      </c>
      <c r="AX439" t="s">
        <v>87</v>
      </c>
      <c r="AY439" t="s">
        <v>87</v>
      </c>
      <c r="AZ439" t="s">
        <v>87</v>
      </c>
      <c r="BA439" t="s">
        <v>87</v>
      </c>
      <c r="BB439" t="s">
        <v>87</v>
      </c>
      <c r="BC439" t="s">
        <v>87</v>
      </c>
      <c r="BD439" t="s">
        <v>87</v>
      </c>
      <c r="BE439" t="s">
        <v>87</v>
      </c>
    </row>
    <row r="440" spans="1:57" x14ac:dyDescent="0.45">
      <c r="A440" t="s">
        <v>1228</v>
      </c>
      <c r="B440" t="s">
        <v>79</v>
      </c>
      <c r="C440" t="s">
        <v>1173</v>
      </c>
      <c r="D440" t="s">
        <v>81</v>
      </c>
      <c r="E440" s="2" t="str">
        <f>HYPERLINK("capsilon://?command=openfolder&amp;siteaddress=FAM.docvelocity-na8.net&amp;folderid=FX8FF02391-432D-7903-7F8B-32F2A2E9D535","FX21012166")</f>
        <v>FX21012166</v>
      </c>
      <c r="F440" t="s">
        <v>19</v>
      </c>
      <c r="G440" t="s">
        <v>19</v>
      </c>
      <c r="H440" t="s">
        <v>82</v>
      </c>
      <c r="I440" t="s">
        <v>1174</v>
      </c>
      <c r="J440">
        <v>121</v>
      </c>
      <c r="K440" t="s">
        <v>84</v>
      </c>
      <c r="L440" t="s">
        <v>85</v>
      </c>
      <c r="M440" t="s">
        <v>86</v>
      </c>
      <c r="N440">
        <v>3</v>
      </c>
      <c r="O440" s="1">
        <v>44203.600034722222</v>
      </c>
      <c r="P440" s="1">
        <v>44203.648634259262</v>
      </c>
      <c r="Q440">
        <v>1672</v>
      </c>
      <c r="R440">
        <v>2527</v>
      </c>
      <c r="S440" t="b">
        <v>0</v>
      </c>
      <c r="T440" t="s">
        <v>87</v>
      </c>
      <c r="U440" t="b">
        <v>1</v>
      </c>
      <c r="V440" t="s">
        <v>160</v>
      </c>
      <c r="W440" s="1">
        <v>44203.634768518517</v>
      </c>
      <c r="X440">
        <v>1894</v>
      </c>
      <c r="Y440">
        <v>154</v>
      </c>
      <c r="Z440">
        <v>0</v>
      </c>
      <c r="AA440">
        <v>154</v>
      </c>
      <c r="AB440">
        <v>37</v>
      </c>
      <c r="AC440">
        <v>72</v>
      </c>
      <c r="AD440">
        <v>-33</v>
      </c>
      <c r="AE440">
        <v>0</v>
      </c>
      <c r="AF440">
        <v>0</v>
      </c>
      <c r="AG440">
        <v>0</v>
      </c>
      <c r="AH440" t="s">
        <v>128</v>
      </c>
      <c r="AI440" s="1">
        <v>44203.644444444442</v>
      </c>
      <c r="AJ440">
        <v>588</v>
      </c>
      <c r="AK440">
        <v>1</v>
      </c>
      <c r="AL440">
        <v>0</v>
      </c>
      <c r="AM440">
        <v>1</v>
      </c>
      <c r="AN440">
        <v>37</v>
      </c>
      <c r="AO440">
        <v>1</v>
      </c>
      <c r="AP440">
        <v>-34</v>
      </c>
      <c r="AQ440">
        <v>0</v>
      </c>
      <c r="AR440">
        <v>0</v>
      </c>
      <c r="AS440">
        <v>0</v>
      </c>
      <c r="AT440" t="s">
        <v>549</v>
      </c>
      <c r="AU440" s="1">
        <v>44203.648634259262</v>
      </c>
      <c r="AV440">
        <v>45</v>
      </c>
      <c r="AW440">
        <v>0</v>
      </c>
      <c r="AX440">
        <v>0</v>
      </c>
      <c r="AY440">
        <v>0</v>
      </c>
      <c r="AZ440">
        <v>37</v>
      </c>
      <c r="BA440">
        <v>0</v>
      </c>
      <c r="BB440">
        <v>-34</v>
      </c>
      <c r="BC440">
        <v>0</v>
      </c>
      <c r="BD440">
        <v>0</v>
      </c>
      <c r="BE440">
        <v>0</v>
      </c>
    </row>
    <row r="441" spans="1:57" x14ac:dyDescent="0.45">
      <c r="A441" t="s">
        <v>1229</v>
      </c>
      <c r="B441" t="s">
        <v>79</v>
      </c>
      <c r="C441" t="s">
        <v>1226</v>
      </c>
      <c r="D441" t="s">
        <v>81</v>
      </c>
      <c r="E441" s="2" t="str">
        <f>HYPERLINK("capsilon://?command=openfolder&amp;siteaddress=FAM.docvelocity-na8.net&amp;folderid=FX20638E3F-DC65-E459-B4A6-8522D3961AA9","FX20126938")</f>
        <v>FX20126938</v>
      </c>
      <c r="F441" t="s">
        <v>19</v>
      </c>
      <c r="G441" t="s">
        <v>19</v>
      </c>
      <c r="H441" t="s">
        <v>82</v>
      </c>
      <c r="I441" t="s">
        <v>1227</v>
      </c>
      <c r="J441">
        <v>233</v>
      </c>
      <c r="K441" t="s">
        <v>84</v>
      </c>
      <c r="L441" t="s">
        <v>85</v>
      </c>
      <c r="M441" t="s">
        <v>86</v>
      </c>
      <c r="N441">
        <v>3</v>
      </c>
      <c r="O441" s="1">
        <v>44203.601168981484</v>
      </c>
      <c r="P441" s="1">
        <v>44203.656215277777</v>
      </c>
      <c r="Q441">
        <v>1456</v>
      </c>
      <c r="R441">
        <v>3300</v>
      </c>
      <c r="S441" t="b">
        <v>0</v>
      </c>
      <c r="T441" t="s">
        <v>87</v>
      </c>
      <c r="U441" t="b">
        <v>1</v>
      </c>
      <c r="V441" t="s">
        <v>142</v>
      </c>
      <c r="W441" s="1">
        <v>44203.626782407409</v>
      </c>
      <c r="X441">
        <v>2096</v>
      </c>
      <c r="Y441">
        <v>281</v>
      </c>
      <c r="Z441">
        <v>0</v>
      </c>
      <c r="AA441">
        <v>281</v>
      </c>
      <c r="AB441">
        <v>0</v>
      </c>
      <c r="AC441">
        <v>180</v>
      </c>
      <c r="AD441">
        <v>-48</v>
      </c>
      <c r="AE441">
        <v>0</v>
      </c>
      <c r="AF441">
        <v>0</v>
      </c>
      <c r="AG441">
        <v>0</v>
      </c>
      <c r="AH441" t="s">
        <v>267</v>
      </c>
      <c r="AI441" s="1">
        <v>44203.640625</v>
      </c>
      <c r="AJ441">
        <v>550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-48</v>
      </c>
      <c r="AQ441">
        <v>0</v>
      </c>
      <c r="AR441">
        <v>0</v>
      </c>
      <c r="AS441">
        <v>0</v>
      </c>
      <c r="AT441" t="s">
        <v>549</v>
      </c>
      <c r="AU441" s="1">
        <v>44203.656215277777</v>
      </c>
      <c r="AV441">
        <v>654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-48</v>
      </c>
      <c r="BC441">
        <v>0</v>
      </c>
      <c r="BD441">
        <v>0</v>
      </c>
      <c r="BE441">
        <v>0</v>
      </c>
    </row>
    <row r="442" spans="1:57" hidden="1" x14ac:dyDescent="0.45">
      <c r="A442" t="s">
        <v>1230</v>
      </c>
      <c r="B442" t="s">
        <v>79</v>
      </c>
      <c r="C442" t="s">
        <v>1231</v>
      </c>
      <c r="D442" t="s">
        <v>81</v>
      </c>
      <c r="E442" s="2" t="str">
        <f>HYPERLINK("capsilon://?command=openfolder&amp;siteaddress=FAM.docvelocity-na8.net&amp;folderid=FX71ED44C4-444A-1D3C-1044-EF027071D396","FX2101439")</f>
        <v>FX2101439</v>
      </c>
      <c r="F442" t="s">
        <v>19</v>
      </c>
      <c r="G442" t="s">
        <v>19</v>
      </c>
      <c r="H442" t="s">
        <v>82</v>
      </c>
      <c r="I442" t="s">
        <v>1232</v>
      </c>
      <c r="J442">
        <v>364</v>
      </c>
      <c r="K442" t="s">
        <v>84</v>
      </c>
      <c r="L442" t="s">
        <v>85</v>
      </c>
      <c r="M442" t="s">
        <v>86</v>
      </c>
      <c r="N442">
        <v>1</v>
      </c>
      <c r="O442" s="1">
        <v>44203.601643518516</v>
      </c>
      <c r="P442" s="1">
        <v>44203.619606481479</v>
      </c>
      <c r="Q442">
        <v>138</v>
      </c>
      <c r="R442">
        <v>1414</v>
      </c>
      <c r="S442" t="b">
        <v>0</v>
      </c>
      <c r="T442" t="s">
        <v>87</v>
      </c>
      <c r="U442" t="b">
        <v>0</v>
      </c>
      <c r="V442" t="s">
        <v>242</v>
      </c>
      <c r="W442" s="1">
        <v>44203.619606481479</v>
      </c>
      <c r="X442">
        <v>1068</v>
      </c>
      <c r="Y442">
        <v>128</v>
      </c>
      <c r="Z442">
        <v>0</v>
      </c>
      <c r="AA442">
        <v>128</v>
      </c>
      <c r="AB442">
        <v>0</v>
      </c>
      <c r="AC442">
        <v>0</v>
      </c>
      <c r="AD442">
        <v>236</v>
      </c>
      <c r="AE442">
        <v>203</v>
      </c>
      <c r="AF442">
        <v>0</v>
      </c>
      <c r="AG442">
        <v>7</v>
      </c>
      <c r="AH442" t="s">
        <v>87</v>
      </c>
      <c r="AI442" t="s">
        <v>87</v>
      </c>
      <c r="AJ442" t="s">
        <v>87</v>
      </c>
      <c r="AK442" t="s">
        <v>87</v>
      </c>
      <c r="AL442" t="s">
        <v>87</v>
      </c>
      <c r="AM442" t="s">
        <v>87</v>
      </c>
      <c r="AN442" t="s">
        <v>87</v>
      </c>
      <c r="AO442" t="s">
        <v>87</v>
      </c>
      <c r="AP442" t="s">
        <v>87</v>
      </c>
      <c r="AQ442" t="s">
        <v>87</v>
      </c>
      <c r="AR442" t="s">
        <v>87</v>
      </c>
      <c r="AS442" t="s">
        <v>87</v>
      </c>
      <c r="AT442" t="s">
        <v>87</v>
      </c>
      <c r="AU442" t="s">
        <v>87</v>
      </c>
      <c r="AV442" t="s">
        <v>87</v>
      </c>
      <c r="AW442" t="s">
        <v>87</v>
      </c>
      <c r="AX442" t="s">
        <v>87</v>
      </c>
      <c r="AY442" t="s">
        <v>87</v>
      </c>
      <c r="AZ442" t="s">
        <v>87</v>
      </c>
      <c r="BA442" t="s">
        <v>87</v>
      </c>
      <c r="BB442" t="s">
        <v>87</v>
      </c>
      <c r="BC442" t="s">
        <v>87</v>
      </c>
      <c r="BD442" t="s">
        <v>87</v>
      </c>
      <c r="BE442" t="s">
        <v>87</v>
      </c>
    </row>
    <row r="443" spans="1:57" x14ac:dyDescent="0.45">
      <c r="A443" t="s">
        <v>1233</v>
      </c>
      <c r="B443" t="s">
        <v>79</v>
      </c>
      <c r="C443" t="s">
        <v>576</v>
      </c>
      <c r="D443" t="s">
        <v>81</v>
      </c>
      <c r="E443" s="2" t="str">
        <f>HYPERLINK("capsilon://?command=openfolder&amp;siteaddress=FAM.docvelocity-na8.net&amp;folderid=FXDC0CEFC5-67DF-85ED-52B0-FC31D16F403A","FX2101988")</f>
        <v>FX2101988</v>
      </c>
      <c r="F443" t="s">
        <v>19</v>
      </c>
      <c r="G443" t="s">
        <v>19</v>
      </c>
      <c r="H443" t="s">
        <v>82</v>
      </c>
      <c r="I443" t="s">
        <v>1234</v>
      </c>
      <c r="J443">
        <v>66</v>
      </c>
      <c r="K443" t="s">
        <v>84</v>
      </c>
      <c r="L443" t="s">
        <v>85</v>
      </c>
      <c r="M443" t="s">
        <v>86</v>
      </c>
      <c r="N443">
        <v>3</v>
      </c>
      <c r="O443" s="1">
        <v>44203.606076388889</v>
      </c>
      <c r="P443" s="1">
        <v>44204.363449074073</v>
      </c>
      <c r="Q443">
        <v>64815</v>
      </c>
      <c r="R443">
        <v>622</v>
      </c>
      <c r="S443" t="b">
        <v>0</v>
      </c>
      <c r="T443" t="s">
        <v>87</v>
      </c>
      <c r="U443" t="b">
        <v>0</v>
      </c>
      <c r="V443" t="s">
        <v>142</v>
      </c>
      <c r="W443" s="1">
        <v>44203.609375</v>
      </c>
      <c r="X443">
        <v>277</v>
      </c>
      <c r="Y443">
        <v>52</v>
      </c>
      <c r="Z443">
        <v>0</v>
      </c>
      <c r="AA443">
        <v>52</v>
      </c>
      <c r="AB443">
        <v>0</v>
      </c>
      <c r="AC443">
        <v>31</v>
      </c>
      <c r="AD443">
        <v>14</v>
      </c>
      <c r="AE443">
        <v>0</v>
      </c>
      <c r="AF443">
        <v>0</v>
      </c>
      <c r="AG443">
        <v>0</v>
      </c>
      <c r="AH443" t="s">
        <v>128</v>
      </c>
      <c r="AI443" s="1">
        <v>44203.611689814818</v>
      </c>
      <c r="AJ443">
        <v>152</v>
      </c>
      <c r="AK443">
        <v>1</v>
      </c>
      <c r="AL443">
        <v>0</v>
      </c>
      <c r="AM443">
        <v>1</v>
      </c>
      <c r="AN443">
        <v>0</v>
      </c>
      <c r="AO443">
        <v>1</v>
      </c>
      <c r="AP443">
        <v>13</v>
      </c>
      <c r="AQ443">
        <v>0</v>
      </c>
      <c r="AR443">
        <v>0</v>
      </c>
      <c r="AS443">
        <v>0</v>
      </c>
      <c r="AT443" t="s">
        <v>90</v>
      </c>
      <c r="AU443" s="1">
        <v>44204.363449074073</v>
      </c>
      <c r="AV443">
        <v>193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13</v>
      </c>
      <c r="BC443">
        <v>0</v>
      </c>
      <c r="BD443">
        <v>0</v>
      </c>
      <c r="BE443">
        <v>0</v>
      </c>
    </row>
    <row r="444" spans="1:57" x14ac:dyDescent="0.45">
      <c r="A444" t="s">
        <v>1235</v>
      </c>
      <c r="B444" t="s">
        <v>79</v>
      </c>
      <c r="C444" t="s">
        <v>1236</v>
      </c>
      <c r="D444" t="s">
        <v>81</v>
      </c>
      <c r="E444" s="2" t="str">
        <f>HYPERLINK("capsilon://?command=openfolder&amp;siteaddress=FAM.docvelocity-na8.net&amp;folderid=FXD6964E4E-52DF-6929-931D-2881725D54B3","FX201228603")</f>
        <v>FX201228603</v>
      </c>
      <c r="F444" t="s">
        <v>19</v>
      </c>
      <c r="G444" t="s">
        <v>19</v>
      </c>
      <c r="H444" t="s">
        <v>82</v>
      </c>
      <c r="I444" t="s">
        <v>1237</v>
      </c>
      <c r="J444">
        <v>51</v>
      </c>
      <c r="K444" t="s">
        <v>84</v>
      </c>
      <c r="L444" t="s">
        <v>85</v>
      </c>
      <c r="M444" t="s">
        <v>86</v>
      </c>
      <c r="N444">
        <v>3</v>
      </c>
      <c r="O444" s="1">
        <v>44203.616365740738</v>
      </c>
      <c r="P444" s="1">
        <v>44204.364259259259</v>
      </c>
      <c r="Q444">
        <v>63563</v>
      </c>
      <c r="R444">
        <v>1055</v>
      </c>
      <c r="S444" t="b">
        <v>0</v>
      </c>
      <c r="T444" t="s">
        <v>87</v>
      </c>
      <c r="U444" t="b">
        <v>0</v>
      </c>
      <c r="V444" t="s">
        <v>179</v>
      </c>
      <c r="W444" s="1">
        <v>44203.624965277777</v>
      </c>
      <c r="X444">
        <v>742</v>
      </c>
      <c r="Y444">
        <v>46</v>
      </c>
      <c r="Z444">
        <v>0</v>
      </c>
      <c r="AA444">
        <v>46</v>
      </c>
      <c r="AB444">
        <v>0</v>
      </c>
      <c r="AC444">
        <v>19</v>
      </c>
      <c r="AD444">
        <v>5</v>
      </c>
      <c r="AE444">
        <v>0</v>
      </c>
      <c r="AF444">
        <v>0</v>
      </c>
      <c r="AG444">
        <v>0</v>
      </c>
      <c r="AH444" t="s">
        <v>128</v>
      </c>
      <c r="AI444" s="1">
        <v>44203.647268518522</v>
      </c>
      <c r="AJ444">
        <v>243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5</v>
      </c>
      <c r="AQ444">
        <v>0</v>
      </c>
      <c r="AR444">
        <v>0</v>
      </c>
      <c r="AS444">
        <v>0</v>
      </c>
      <c r="AT444" t="s">
        <v>90</v>
      </c>
      <c r="AU444" s="1">
        <v>44204.364259259259</v>
      </c>
      <c r="AV444">
        <v>70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5</v>
      </c>
      <c r="BC444">
        <v>0</v>
      </c>
      <c r="BD444">
        <v>0</v>
      </c>
      <c r="BE444">
        <v>0</v>
      </c>
    </row>
    <row r="445" spans="1:57" x14ac:dyDescent="0.45">
      <c r="A445" t="s">
        <v>1238</v>
      </c>
      <c r="B445" t="s">
        <v>79</v>
      </c>
      <c r="C445" t="s">
        <v>1236</v>
      </c>
      <c r="D445" t="s">
        <v>81</v>
      </c>
      <c r="E445" s="2" t="str">
        <f>HYPERLINK("capsilon://?command=openfolder&amp;siteaddress=FAM.docvelocity-na8.net&amp;folderid=FXD6964E4E-52DF-6929-931D-2881725D54B3","FX201228603")</f>
        <v>FX201228603</v>
      </c>
      <c r="F445" t="s">
        <v>19</v>
      </c>
      <c r="G445" t="s">
        <v>19</v>
      </c>
      <c r="H445" t="s">
        <v>82</v>
      </c>
      <c r="I445" t="s">
        <v>1239</v>
      </c>
      <c r="J445">
        <v>59</v>
      </c>
      <c r="K445" t="s">
        <v>84</v>
      </c>
      <c r="L445" t="s">
        <v>85</v>
      </c>
      <c r="M445" t="s">
        <v>86</v>
      </c>
      <c r="N445">
        <v>3</v>
      </c>
      <c r="O445" s="1">
        <v>44203.616574074076</v>
      </c>
      <c r="P445" s="1">
        <v>44204.364305555559</v>
      </c>
      <c r="Q445">
        <v>64139</v>
      </c>
      <c r="R445">
        <v>465</v>
      </c>
      <c r="S445" t="b">
        <v>0</v>
      </c>
      <c r="T445" t="s">
        <v>87</v>
      </c>
      <c r="U445" t="b">
        <v>0</v>
      </c>
      <c r="V445" t="s">
        <v>343</v>
      </c>
      <c r="W445" s="1">
        <v>44203.620856481481</v>
      </c>
      <c r="X445">
        <v>362</v>
      </c>
      <c r="Y445">
        <v>46</v>
      </c>
      <c r="Z445">
        <v>0</v>
      </c>
      <c r="AA445">
        <v>46</v>
      </c>
      <c r="AB445">
        <v>0</v>
      </c>
      <c r="AC445">
        <v>11</v>
      </c>
      <c r="AD445">
        <v>13</v>
      </c>
      <c r="AE445">
        <v>0</v>
      </c>
      <c r="AF445">
        <v>0</v>
      </c>
      <c r="AG445">
        <v>0</v>
      </c>
      <c r="AH445" t="s">
        <v>267</v>
      </c>
      <c r="AI445" s="1">
        <v>44203.623113425929</v>
      </c>
      <c r="AJ445">
        <v>99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13</v>
      </c>
      <c r="AQ445">
        <v>0</v>
      </c>
      <c r="AR445">
        <v>0</v>
      </c>
      <c r="AS445">
        <v>0</v>
      </c>
      <c r="AT445" t="s">
        <v>90</v>
      </c>
      <c r="AU445" s="1">
        <v>44204.364305555559</v>
      </c>
      <c r="AV445">
        <v>4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13</v>
      </c>
      <c r="BC445">
        <v>0</v>
      </c>
      <c r="BD445">
        <v>0</v>
      </c>
      <c r="BE445">
        <v>0</v>
      </c>
    </row>
    <row r="446" spans="1:57" x14ac:dyDescent="0.45">
      <c r="A446" t="s">
        <v>1240</v>
      </c>
      <c r="B446" t="s">
        <v>79</v>
      </c>
      <c r="C446" t="s">
        <v>1236</v>
      </c>
      <c r="D446" t="s">
        <v>81</v>
      </c>
      <c r="E446" s="2" t="str">
        <f>HYPERLINK("capsilon://?command=openfolder&amp;siteaddress=FAM.docvelocity-na8.net&amp;folderid=FXD6964E4E-52DF-6929-931D-2881725D54B3","FX201228603")</f>
        <v>FX201228603</v>
      </c>
      <c r="F446" t="s">
        <v>19</v>
      </c>
      <c r="G446" t="s">
        <v>19</v>
      </c>
      <c r="H446" t="s">
        <v>82</v>
      </c>
      <c r="I446" t="s">
        <v>1241</v>
      </c>
      <c r="J446">
        <v>31</v>
      </c>
      <c r="K446" t="s">
        <v>84</v>
      </c>
      <c r="L446" t="s">
        <v>85</v>
      </c>
      <c r="M446" t="s">
        <v>86</v>
      </c>
      <c r="N446">
        <v>3</v>
      </c>
      <c r="O446" s="1">
        <v>44203.616944444446</v>
      </c>
      <c r="P446" s="1">
        <v>44204.364432870374</v>
      </c>
      <c r="Q446">
        <v>63771</v>
      </c>
      <c r="R446">
        <v>812</v>
      </c>
      <c r="S446" t="b">
        <v>0</v>
      </c>
      <c r="T446" t="s">
        <v>87</v>
      </c>
      <c r="U446" t="b">
        <v>0</v>
      </c>
      <c r="V446" t="s">
        <v>259</v>
      </c>
      <c r="W446" s="1">
        <v>44203.623518518521</v>
      </c>
      <c r="X446">
        <v>543</v>
      </c>
      <c r="Y446">
        <v>64</v>
      </c>
      <c r="Z446">
        <v>0</v>
      </c>
      <c r="AA446">
        <v>64</v>
      </c>
      <c r="AB446">
        <v>0</v>
      </c>
      <c r="AC446">
        <v>40</v>
      </c>
      <c r="AD446">
        <v>-33</v>
      </c>
      <c r="AE446">
        <v>0</v>
      </c>
      <c r="AF446">
        <v>0</v>
      </c>
      <c r="AG446">
        <v>0</v>
      </c>
      <c r="AH446" t="s">
        <v>128</v>
      </c>
      <c r="AI446" s="1">
        <v>44203.650277777779</v>
      </c>
      <c r="AJ446">
        <v>259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-33</v>
      </c>
      <c r="AQ446">
        <v>0</v>
      </c>
      <c r="AR446">
        <v>0</v>
      </c>
      <c r="AS446">
        <v>0</v>
      </c>
      <c r="AT446" t="s">
        <v>90</v>
      </c>
      <c r="AU446" s="1">
        <v>44204.364432870374</v>
      </c>
      <c r="AV446">
        <v>10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-33</v>
      </c>
      <c r="BC446">
        <v>0</v>
      </c>
      <c r="BD446">
        <v>0</v>
      </c>
      <c r="BE446">
        <v>0</v>
      </c>
    </row>
    <row r="447" spans="1:57" x14ac:dyDescent="0.45">
      <c r="A447" t="s">
        <v>1242</v>
      </c>
      <c r="B447" t="s">
        <v>79</v>
      </c>
      <c r="C447" t="s">
        <v>1236</v>
      </c>
      <c r="D447" t="s">
        <v>81</v>
      </c>
      <c r="E447" s="2" t="str">
        <f>HYPERLINK("capsilon://?command=openfolder&amp;siteaddress=FAM.docvelocity-na8.net&amp;folderid=FXD6964E4E-52DF-6929-931D-2881725D54B3","FX201228603")</f>
        <v>FX201228603</v>
      </c>
      <c r="F447" t="s">
        <v>19</v>
      </c>
      <c r="G447" t="s">
        <v>19</v>
      </c>
      <c r="H447" t="s">
        <v>82</v>
      </c>
      <c r="I447" t="s">
        <v>1243</v>
      </c>
      <c r="J447">
        <v>31</v>
      </c>
      <c r="K447" t="s">
        <v>84</v>
      </c>
      <c r="L447" t="s">
        <v>85</v>
      </c>
      <c r="M447" t="s">
        <v>86</v>
      </c>
      <c r="N447">
        <v>3</v>
      </c>
      <c r="O447" s="1">
        <v>44203.6171875</v>
      </c>
      <c r="P447" s="1">
        <v>44204.364490740743</v>
      </c>
      <c r="Q447">
        <v>64091</v>
      </c>
      <c r="R447">
        <v>476</v>
      </c>
      <c r="S447" t="b">
        <v>0</v>
      </c>
      <c r="T447" t="s">
        <v>87</v>
      </c>
      <c r="U447" t="b">
        <v>0</v>
      </c>
      <c r="V447" t="s">
        <v>242</v>
      </c>
      <c r="W447" s="1">
        <v>44203.623831018522</v>
      </c>
      <c r="X447">
        <v>359</v>
      </c>
      <c r="Y447">
        <v>64</v>
      </c>
      <c r="Z447">
        <v>0</v>
      </c>
      <c r="AA447">
        <v>64</v>
      </c>
      <c r="AB447">
        <v>0</v>
      </c>
      <c r="AC447">
        <v>53</v>
      </c>
      <c r="AD447">
        <v>-33</v>
      </c>
      <c r="AE447">
        <v>0</v>
      </c>
      <c r="AF447">
        <v>0</v>
      </c>
      <c r="AG447">
        <v>0</v>
      </c>
      <c r="AH447" t="s">
        <v>267</v>
      </c>
      <c r="AI447" s="1">
        <v>44203.651377314818</v>
      </c>
      <c r="AJ447">
        <v>113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-33</v>
      </c>
      <c r="AQ447">
        <v>0</v>
      </c>
      <c r="AR447">
        <v>0</v>
      </c>
      <c r="AS447">
        <v>0</v>
      </c>
      <c r="AT447" t="s">
        <v>90</v>
      </c>
      <c r="AU447" s="1">
        <v>44204.364490740743</v>
      </c>
      <c r="AV447">
        <v>4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-33</v>
      </c>
      <c r="BC447">
        <v>0</v>
      </c>
      <c r="BD447">
        <v>0</v>
      </c>
      <c r="BE447">
        <v>0</v>
      </c>
    </row>
    <row r="448" spans="1:57" x14ac:dyDescent="0.45">
      <c r="A448" t="s">
        <v>1244</v>
      </c>
      <c r="B448" t="s">
        <v>79</v>
      </c>
      <c r="C448" t="s">
        <v>1231</v>
      </c>
      <c r="D448" t="s">
        <v>81</v>
      </c>
      <c r="E448" s="2" t="str">
        <f>HYPERLINK("capsilon://?command=openfolder&amp;siteaddress=FAM.docvelocity-na8.net&amp;folderid=FX71ED44C4-444A-1D3C-1044-EF027071D396","FX2101439")</f>
        <v>FX2101439</v>
      </c>
      <c r="F448" t="s">
        <v>19</v>
      </c>
      <c r="G448" t="s">
        <v>19</v>
      </c>
      <c r="H448" t="s">
        <v>82</v>
      </c>
      <c r="I448" t="s">
        <v>1232</v>
      </c>
      <c r="J448">
        <v>278</v>
      </c>
      <c r="K448" t="s">
        <v>84</v>
      </c>
      <c r="L448" t="s">
        <v>85</v>
      </c>
      <c r="M448" t="s">
        <v>86</v>
      </c>
      <c r="N448">
        <v>3</v>
      </c>
      <c r="O448" s="1">
        <v>44203.621018518519</v>
      </c>
      <c r="P448" s="1">
        <v>44204.337175925924</v>
      </c>
      <c r="Q448">
        <v>54790</v>
      </c>
      <c r="R448">
        <v>7086</v>
      </c>
      <c r="S448" t="b">
        <v>0</v>
      </c>
      <c r="T448" t="s">
        <v>87</v>
      </c>
      <c r="U448" t="b">
        <v>1</v>
      </c>
      <c r="V448" t="s">
        <v>262</v>
      </c>
      <c r="W448" s="1">
        <v>44203.679409722223</v>
      </c>
      <c r="X448">
        <v>5003</v>
      </c>
      <c r="Y448">
        <v>344</v>
      </c>
      <c r="Z448">
        <v>0</v>
      </c>
      <c r="AA448">
        <v>344</v>
      </c>
      <c r="AB448">
        <v>58</v>
      </c>
      <c r="AC448">
        <v>219</v>
      </c>
      <c r="AD448">
        <v>-66</v>
      </c>
      <c r="AE448">
        <v>0</v>
      </c>
      <c r="AF448">
        <v>0</v>
      </c>
      <c r="AG448">
        <v>0</v>
      </c>
      <c r="AH448" t="s">
        <v>128</v>
      </c>
      <c r="AI448" s="1">
        <v>44203.705520833333</v>
      </c>
      <c r="AJ448">
        <v>1689</v>
      </c>
      <c r="AK448">
        <v>1</v>
      </c>
      <c r="AL448">
        <v>0</v>
      </c>
      <c r="AM448">
        <v>1</v>
      </c>
      <c r="AN448">
        <v>58</v>
      </c>
      <c r="AO448">
        <v>1</v>
      </c>
      <c r="AP448">
        <v>-67</v>
      </c>
      <c r="AQ448">
        <v>0</v>
      </c>
      <c r="AR448">
        <v>0</v>
      </c>
      <c r="AS448">
        <v>0</v>
      </c>
      <c r="AT448" t="s">
        <v>90</v>
      </c>
      <c r="AU448" s="1">
        <v>44204.337175925924</v>
      </c>
      <c r="AV448">
        <v>379</v>
      </c>
      <c r="AW448">
        <v>2</v>
      </c>
      <c r="AX448">
        <v>0</v>
      </c>
      <c r="AY448">
        <v>2</v>
      </c>
      <c r="AZ448">
        <v>58</v>
      </c>
      <c r="BA448">
        <v>2</v>
      </c>
      <c r="BB448">
        <v>-69</v>
      </c>
      <c r="BC448">
        <v>0</v>
      </c>
      <c r="BD448">
        <v>0</v>
      </c>
      <c r="BE448">
        <v>0</v>
      </c>
    </row>
    <row r="449" spans="1:57" x14ac:dyDescent="0.45">
      <c r="A449" t="s">
        <v>1245</v>
      </c>
      <c r="B449" t="s">
        <v>79</v>
      </c>
      <c r="C449" t="s">
        <v>1123</v>
      </c>
      <c r="D449" t="s">
        <v>81</v>
      </c>
      <c r="E449" s="2" t="str">
        <f>HYPERLINK("capsilon://?command=openfolder&amp;siteaddress=FAM.docvelocity-na8.net&amp;folderid=FX03EDF288-8D13-870D-F236-F48AD0681CBD","FX201228670")</f>
        <v>FX201228670</v>
      </c>
      <c r="F449" t="s">
        <v>19</v>
      </c>
      <c r="G449" t="s">
        <v>19</v>
      </c>
      <c r="H449" t="s">
        <v>82</v>
      </c>
      <c r="I449" t="s">
        <v>1246</v>
      </c>
      <c r="J449">
        <v>120</v>
      </c>
      <c r="K449" t="s">
        <v>84</v>
      </c>
      <c r="L449" t="s">
        <v>85</v>
      </c>
      <c r="M449" t="s">
        <v>86</v>
      </c>
      <c r="N449">
        <v>3</v>
      </c>
      <c r="O449" s="1">
        <v>44200.468506944446</v>
      </c>
      <c r="P449" s="1">
        <v>44200.581458333334</v>
      </c>
      <c r="Q449">
        <v>8999</v>
      </c>
      <c r="R449">
        <v>760</v>
      </c>
      <c r="S449" t="b">
        <v>0</v>
      </c>
      <c r="T449" t="s">
        <v>87</v>
      </c>
      <c r="U449" t="b">
        <v>0</v>
      </c>
      <c r="V449" t="s">
        <v>266</v>
      </c>
      <c r="W449" s="1">
        <v>44200.509375000001</v>
      </c>
      <c r="X449">
        <v>506</v>
      </c>
      <c r="Y449">
        <v>74</v>
      </c>
      <c r="Z449">
        <v>0</v>
      </c>
      <c r="AA449">
        <v>74</v>
      </c>
      <c r="AB449">
        <v>0</v>
      </c>
      <c r="AC449">
        <v>20</v>
      </c>
      <c r="AD449">
        <v>46</v>
      </c>
      <c r="AE449">
        <v>0</v>
      </c>
      <c r="AF449">
        <v>0</v>
      </c>
      <c r="AG449">
        <v>0</v>
      </c>
      <c r="AH449" t="s">
        <v>267</v>
      </c>
      <c r="AI449" s="1">
        <v>44200.577141203707</v>
      </c>
      <c r="AJ449">
        <v>172</v>
      </c>
      <c r="AK449">
        <v>0</v>
      </c>
      <c r="AL449">
        <v>0</v>
      </c>
      <c r="AM449">
        <v>0</v>
      </c>
      <c r="AN449">
        <v>0</v>
      </c>
      <c r="AO449">
        <v>3</v>
      </c>
      <c r="AP449">
        <v>46</v>
      </c>
      <c r="AQ449">
        <v>0</v>
      </c>
      <c r="AR449">
        <v>0</v>
      </c>
      <c r="AS449">
        <v>0</v>
      </c>
      <c r="AT449" t="s">
        <v>90</v>
      </c>
      <c r="AU449" s="1">
        <v>44200.581458333334</v>
      </c>
      <c r="AV449">
        <v>82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46</v>
      </c>
      <c r="BC449">
        <v>0</v>
      </c>
      <c r="BD449">
        <v>0</v>
      </c>
      <c r="BE449">
        <v>0</v>
      </c>
    </row>
    <row r="450" spans="1:57" hidden="1" x14ac:dyDescent="0.45">
      <c r="A450" t="s">
        <v>1247</v>
      </c>
      <c r="B450" t="s">
        <v>79</v>
      </c>
      <c r="C450" t="s">
        <v>1248</v>
      </c>
      <c r="D450" t="s">
        <v>81</v>
      </c>
      <c r="E450" s="2" t="str">
        <f>HYPERLINK("capsilon://?command=openfolder&amp;siteaddress=FAM.docvelocity-na8.net&amp;folderid=FXF3216ABF-F6CA-1DD7-E9B1-715CD23B6636","FX201228677")</f>
        <v>FX201228677</v>
      </c>
      <c r="F450" t="s">
        <v>19</v>
      </c>
      <c r="G450" t="s">
        <v>19</v>
      </c>
      <c r="H450" t="s">
        <v>82</v>
      </c>
      <c r="I450" t="s">
        <v>1249</v>
      </c>
      <c r="J450">
        <v>215</v>
      </c>
      <c r="K450" t="s">
        <v>84</v>
      </c>
      <c r="L450" t="s">
        <v>85</v>
      </c>
      <c r="M450" t="s">
        <v>86</v>
      </c>
      <c r="N450">
        <v>1</v>
      </c>
      <c r="O450" s="1">
        <v>44200.469502314816</v>
      </c>
      <c r="P450" s="1">
        <v>44200.526539351849</v>
      </c>
      <c r="Q450">
        <v>3020</v>
      </c>
      <c r="R450">
        <v>1908</v>
      </c>
      <c r="S450" t="b">
        <v>0</v>
      </c>
      <c r="T450" t="s">
        <v>87</v>
      </c>
      <c r="U450" t="b">
        <v>0</v>
      </c>
      <c r="V450" t="s">
        <v>88</v>
      </c>
      <c r="W450" s="1">
        <v>44200.526539351849</v>
      </c>
      <c r="X450">
        <v>1253</v>
      </c>
      <c r="Y450">
        <v>172</v>
      </c>
      <c r="Z450">
        <v>0</v>
      </c>
      <c r="AA450">
        <v>172</v>
      </c>
      <c r="AB450">
        <v>0</v>
      </c>
      <c r="AC450">
        <v>18</v>
      </c>
      <c r="AD450">
        <v>43</v>
      </c>
      <c r="AE450">
        <v>21</v>
      </c>
      <c r="AF450">
        <v>0</v>
      </c>
      <c r="AG450">
        <v>2</v>
      </c>
      <c r="AH450" t="s">
        <v>87</v>
      </c>
      <c r="AI450" t="s">
        <v>87</v>
      </c>
      <c r="AJ450" t="s">
        <v>87</v>
      </c>
      <c r="AK450" t="s">
        <v>87</v>
      </c>
      <c r="AL450" t="s">
        <v>87</v>
      </c>
      <c r="AM450" t="s">
        <v>87</v>
      </c>
      <c r="AN450" t="s">
        <v>87</v>
      </c>
      <c r="AO450" t="s">
        <v>87</v>
      </c>
      <c r="AP450" t="s">
        <v>87</v>
      </c>
      <c r="AQ450" t="s">
        <v>87</v>
      </c>
      <c r="AR450" t="s">
        <v>87</v>
      </c>
      <c r="AS450" t="s">
        <v>87</v>
      </c>
      <c r="AT450" t="s">
        <v>87</v>
      </c>
      <c r="AU450" t="s">
        <v>87</v>
      </c>
      <c r="AV450" t="s">
        <v>87</v>
      </c>
      <c r="AW450" t="s">
        <v>87</v>
      </c>
      <c r="AX450" t="s">
        <v>87</v>
      </c>
      <c r="AY450" t="s">
        <v>87</v>
      </c>
      <c r="AZ450" t="s">
        <v>87</v>
      </c>
      <c r="BA450" t="s">
        <v>87</v>
      </c>
      <c r="BB450" t="s">
        <v>87</v>
      </c>
      <c r="BC450" t="s">
        <v>87</v>
      </c>
      <c r="BD450" t="s">
        <v>87</v>
      </c>
      <c r="BE450" t="s">
        <v>87</v>
      </c>
    </row>
    <row r="451" spans="1:57" hidden="1" x14ac:dyDescent="0.45">
      <c r="A451" t="s">
        <v>1250</v>
      </c>
      <c r="B451" t="s">
        <v>79</v>
      </c>
      <c r="C451" t="s">
        <v>1251</v>
      </c>
      <c r="D451" t="s">
        <v>81</v>
      </c>
      <c r="E451" s="2" t="str">
        <f>HYPERLINK("capsilon://?command=openfolder&amp;siteaddress=FAM.docvelocity-na8.net&amp;folderid=FX4E2EDD63-8723-E959-06F6-8602C2ABFC90","FX20124835")</f>
        <v>FX20124835</v>
      </c>
      <c r="F451" t="s">
        <v>19</v>
      </c>
      <c r="G451" t="s">
        <v>19</v>
      </c>
      <c r="H451" t="s">
        <v>82</v>
      </c>
      <c r="I451" t="s">
        <v>1252</v>
      </c>
      <c r="J451">
        <v>66</v>
      </c>
      <c r="K451" t="s">
        <v>84</v>
      </c>
      <c r="L451" t="s">
        <v>85</v>
      </c>
      <c r="M451" t="s">
        <v>86</v>
      </c>
      <c r="N451">
        <v>1</v>
      </c>
      <c r="O451" s="1">
        <v>44203.638206018521</v>
      </c>
      <c r="P451" s="1">
        <v>44203.640451388892</v>
      </c>
      <c r="Q451">
        <v>99</v>
      </c>
      <c r="R451">
        <v>95</v>
      </c>
      <c r="S451" t="b">
        <v>0</v>
      </c>
      <c r="T451" t="s">
        <v>87</v>
      </c>
      <c r="U451" t="b">
        <v>0</v>
      </c>
      <c r="V451" t="s">
        <v>179</v>
      </c>
      <c r="W451" s="1">
        <v>44203.640451388892</v>
      </c>
      <c r="X451">
        <v>33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66</v>
      </c>
      <c r="AE451">
        <v>0</v>
      </c>
      <c r="AF451">
        <v>0</v>
      </c>
      <c r="AG451">
        <v>1</v>
      </c>
      <c r="AH451" t="s">
        <v>87</v>
      </c>
      <c r="AI451" t="s">
        <v>87</v>
      </c>
      <c r="AJ451" t="s">
        <v>87</v>
      </c>
      <c r="AK451" t="s">
        <v>87</v>
      </c>
      <c r="AL451" t="s">
        <v>87</v>
      </c>
      <c r="AM451" t="s">
        <v>87</v>
      </c>
      <c r="AN451" t="s">
        <v>87</v>
      </c>
      <c r="AO451" t="s">
        <v>87</v>
      </c>
      <c r="AP451" t="s">
        <v>87</v>
      </c>
      <c r="AQ451" t="s">
        <v>87</v>
      </c>
      <c r="AR451" t="s">
        <v>87</v>
      </c>
      <c r="AS451" t="s">
        <v>87</v>
      </c>
      <c r="AT451" t="s">
        <v>87</v>
      </c>
      <c r="AU451" t="s">
        <v>87</v>
      </c>
      <c r="AV451" t="s">
        <v>87</v>
      </c>
      <c r="AW451" t="s">
        <v>87</v>
      </c>
      <c r="AX451" t="s">
        <v>87</v>
      </c>
      <c r="AY451" t="s">
        <v>87</v>
      </c>
      <c r="AZ451" t="s">
        <v>87</v>
      </c>
      <c r="BA451" t="s">
        <v>87</v>
      </c>
      <c r="BB451" t="s">
        <v>87</v>
      </c>
      <c r="BC451" t="s">
        <v>87</v>
      </c>
      <c r="BD451" t="s">
        <v>87</v>
      </c>
      <c r="BE451" t="s">
        <v>87</v>
      </c>
    </row>
    <row r="452" spans="1:57" x14ac:dyDescent="0.45">
      <c r="A452" t="s">
        <v>1253</v>
      </c>
      <c r="B452" t="s">
        <v>79</v>
      </c>
      <c r="C452" t="s">
        <v>1251</v>
      </c>
      <c r="D452" t="s">
        <v>81</v>
      </c>
      <c r="E452" s="2" t="str">
        <f>HYPERLINK("capsilon://?command=openfolder&amp;siteaddress=FAM.docvelocity-na8.net&amp;folderid=FX4E2EDD63-8723-E959-06F6-8602C2ABFC90","FX20124835")</f>
        <v>FX20124835</v>
      </c>
      <c r="F452" t="s">
        <v>19</v>
      </c>
      <c r="G452" t="s">
        <v>19</v>
      </c>
      <c r="H452" t="s">
        <v>82</v>
      </c>
      <c r="I452" t="s">
        <v>1252</v>
      </c>
      <c r="J452">
        <v>38</v>
      </c>
      <c r="K452" t="s">
        <v>84</v>
      </c>
      <c r="L452" t="s">
        <v>85</v>
      </c>
      <c r="M452" t="s">
        <v>86</v>
      </c>
      <c r="N452">
        <v>3</v>
      </c>
      <c r="O452" s="1">
        <v>44203.641180555554</v>
      </c>
      <c r="P452" s="1">
        <v>44203.655219907407</v>
      </c>
      <c r="Q452">
        <v>674</v>
      </c>
      <c r="R452">
        <v>539</v>
      </c>
      <c r="S452" t="b">
        <v>0</v>
      </c>
      <c r="T452" t="s">
        <v>87</v>
      </c>
      <c r="U452" t="b">
        <v>1</v>
      </c>
      <c r="V452" t="s">
        <v>142</v>
      </c>
      <c r="W452" s="1">
        <v>44203.6481712963</v>
      </c>
      <c r="X452">
        <v>418</v>
      </c>
      <c r="Y452">
        <v>38</v>
      </c>
      <c r="Z452">
        <v>0</v>
      </c>
      <c r="AA452">
        <v>38</v>
      </c>
      <c r="AB452">
        <v>37</v>
      </c>
      <c r="AC452">
        <v>1</v>
      </c>
      <c r="AD452">
        <v>0</v>
      </c>
      <c r="AE452">
        <v>0</v>
      </c>
      <c r="AF452">
        <v>0</v>
      </c>
      <c r="AG452">
        <v>0</v>
      </c>
      <c r="AH452" t="s">
        <v>267</v>
      </c>
      <c r="AI452" s="1">
        <v>44203.650057870371</v>
      </c>
      <c r="AJ452">
        <v>41</v>
      </c>
      <c r="AK452">
        <v>0</v>
      </c>
      <c r="AL452">
        <v>0</v>
      </c>
      <c r="AM452">
        <v>0</v>
      </c>
      <c r="AN452">
        <v>37</v>
      </c>
      <c r="AO452">
        <v>0</v>
      </c>
      <c r="AP452">
        <v>0</v>
      </c>
      <c r="AQ452">
        <v>0</v>
      </c>
      <c r="AR452">
        <v>0</v>
      </c>
      <c r="AS452">
        <v>0</v>
      </c>
      <c r="AT452" t="s">
        <v>90</v>
      </c>
      <c r="AU452" s="1">
        <v>44203.655219907407</v>
      </c>
      <c r="AV452">
        <v>3</v>
      </c>
      <c r="AW452">
        <v>0</v>
      </c>
      <c r="AX452">
        <v>0</v>
      </c>
      <c r="AY452">
        <v>0</v>
      </c>
      <c r="AZ452">
        <v>37</v>
      </c>
      <c r="BA452">
        <v>0</v>
      </c>
      <c r="BB452">
        <v>0</v>
      </c>
      <c r="BC452">
        <v>0</v>
      </c>
      <c r="BD452">
        <v>0</v>
      </c>
      <c r="BE452">
        <v>0</v>
      </c>
    </row>
    <row r="453" spans="1:57" x14ac:dyDescent="0.45">
      <c r="A453" t="s">
        <v>1254</v>
      </c>
      <c r="B453" t="s">
        <v>79</v>
      </c>
      <c r="C453" t="s">
        <v>1255</v>
      </c>
      <c r="D453" t="s">
        <v>81</v>
      </c>
      <c r="E453" s="2" t="str">
        <f>HYPERLINK("capsilon://?command=openfolder&amp;siteaddress=FAM.docvelocity-na8.net&amp;folderid=FX1AD5FBFA-CC8F-1585-A9A2-F7F6F0E108B6","FX21013185")</f>
        <v>FX21013185</v>
      </c>
      <c r="F453" t="s">
        <v>19</v>
      </c>
      <c r="G453" t="s">
        <v>19</v>
      </c>
      <c r="H453" t="s">
        <v>82</v>
      </c>
      <c r="I453" t="s">
        <v>1256</v>
      </c>
      <c r="J453">
        <v>346</v>
      </c>
      <c r="K453" t="s">
        <v>84</v>
      </c>
      <c r="L453" t="s">
        <v>85</v>
      </c>
      <c r="M453" t="s">
        <v>86</v>
      </c>
      <c r="N453">
        <v>3</v>
      </c>
      <c r="O453" s="1">
        <v>44203.643310185187</v>
      </c>
      <c r="P453" s="1">
        <v>44204.366249999999</v>
      </c>
      <c r="Q453">
        <v>59703</v>
      </c>
      <c r="R453">
        <v>2759</v>
      </c>
      <c r="S453" t="b">
        <v>0</v>
      </c>
      <c r="T453" t="s">
        <v>87</v>
      </c>
      <c r="U453" t="b">
        <v>0</v>
      </c>
      <c r="V453" t="s">
        <v>343</v>
      </c>
      <c r="W453" s="1">
        <v>44203.660243055558</v>
      </c>
      <c r="X453">
        <v>1456</v>
      </c>
      <c r="Y453">
        <v>240</v>
      </c>
      <c r="Z453">
        <v>0</v>
      </c>
      <c r="AA453">
        <v>240</v>
      </c>
      <c r="AB453">
        <v>74</v>
      </c>
      <c r="AC453">
        <v>61</v>
      </c>
      <c r="AD453">
        <v>106</v>
      </c>
      <c r="AE453">
        <v>0</v>
      </c>
      <c r="AF453">
        <v>0</v>
      </c>
      <c r="AG453">
        <v>0</v>
      </c>
      <c r="AH453" t="s">
        <v>128</v>
      </c>
      <c r="AI453" s="1">
        <v>44203.681898148148</v>
      </c>
      <c r="AJ453">
        <v>1152</v>
      </c>
      <c r="AK453">
        <v>1</v>
      </c>
      <c r="AL453">
        <v>0</v>
      </c>
      <c r="AM453">
        <v>1</v>
      </c>
      <c r="AN453">
        <v>74</v>
      </c>
      <c r="AO453">
        <v>1</v>
      </c>
      <c r="AP453">
        <v>105</v>
      </c>
      <c r="AQ453">
        <v>0</v>
      </c>
      <c r="AR453">
        <v>0</v>
      </c>
      <c r="AS453">
        <v>0</v>
      </c>
      <c r="AT453" t="s">
        <v>90</v>
      </c>
      <c r="AU453" s="1">
        <v>44204.366249999999</v>
      </c>
      <c r="AV453">
        <v>151</v>
      </c>
      <c r="AW453">
        <v>0</v>
      </c>
      <c r="AX453">
        <v>0</v>
      </c>
      <c r="AY453">
        <v>0</v>
      </c>
      <c r="AZ453">
        <v>74</v>
      </c>
      <c r="BA453">
        <v>0</v>
      </c>
      <c r="BB453">
        <v>105</v>
      </c>
      <c r="BC453">
        <v>0</v>
      </c>
      <c r="BD453">
        <v>0</v>
      </c>
      <c r="BE453">
        <v>0</v>
      </c>
    </row>
    <row r="454" spans="1:57" hidden="1" x14ac:dyDescent="0.45">
      <c r="A454" t="s">
        <v>1257</v>
      </c>
      <c r="B454" t="s">
        <v>79</v>
      </c>
      <c r="C454" t="s">
        <v>842</v>
      </c>
      <c r="D454" t="s">
        <v>81</v>
      </c>
      <c r="E454" s="2" t="str">
        <f>HYPERLINK("capsilon://?command=openfolder&amp;siteaddress=FAM.docvelocity-na8.net&amp;folderid=FXE6D94563-3F7F-43DE-8205-45C247BB7786","FX2012404")</f>
        <v>FX2012404</v>
      </c>
      <c r="F454" t="s">
        <v>19</v>
      </c>
      <c r="G454" t="s">
        <v>19</v>
      </c>
      <c r="H454" t="s">
        <v>82</v>
      </c>
      <c r="I454" t="s">
        <v>1258</v>
      </c>
      <c r="J454">
        <v>66</v>
      </c>
      <c r="K454" t="s">
        <v>84</v>
      </c>
      <c r="L454" t="s">
        <v>85</v>
      </c>
      <c r="M454" t="s">
        <v>86</v>
      </c>
      <c r="N454">
        <v>3</v>
      </c>
      <c r="O454" s="1">
        <v>44200.470868055556</v>
      </c>
      <c r="P454" s="1">
        <v>44200.581504629627</v>
      </c>
      <c r="Q454">
        <v>9435</v>
      </c>
      <c r="R454">
        <v>124</v>
      </c>
      <c r="S454" t="b">
        <v>0</v>
      </c>
      <c r="T454" t="s">
        <v>87</v>
      </c>
      <c r="U454" t="b">
        <v>0</v>
      </c>
      <c r="V454" t="s">
        <v>736</v>
      </c>
      <c r="W454" s="1">
        <v>44200.50990740741</v>
      </c>
      <c r="X454">
        <v>83</v>
      </c>
      <c r="Y454">
        <v>0</v>
      </c>
      <c r="Z454">
        <v>0</v>
      </c>
      <c r="AA454">
        <v>0</v>
      </c>
      <c r="AB454">
        <v>52</v>
      </c>
      <c r="AC454">
        <v>0</v>
      </c>
      <c r="AD454">
        <v>66</v>
      </c>
      <c r="AE454">
        <v>0</v>
      </c>
      <c r="AF454">
        <v>0</v>
      </c>
      <c r="AG454">
        <v>0</v>
      </c>
      <c r="AH454" t="s">
        <v>267</v>
      </c>
      <c r="AI454" s="1">
        <v>44200.577592592592</v>
      </c>
      <c r="AJ454">
        <v>38</v>
      </c>
      <c r="AK454">
        <v>0</v>
      </c>
      <c r="AL454">
        <v>0</v>
      </c>
      <c r="AM454">
        <v>0</v>
      </c>
      <c r="AN454">
        <v>52</v>
      </c>
      <c r="AO454">
        <v>0</v>
      </c>
      <c r="AP454">
        <v>66</v>
      </c>
      <c r="AQ454">
        <v>0</v>
      </c>
      <c r="AR454">
        <v>0</v>
      </c>
      <c r="AS454">
        <v>0</v>
      </c>
      <c r="AT454" t="s">
        <v>90</v>
      </c>
      <c r="AU454" s="1">
        <v>44200.581504629627</v>
      </c>
      <c r="AV454">
        <v>3</v>
      </c>
      <c r="AW454">
        <v>0</v>
      </c>
      <c r="AX454">
        <v>0</v>
      </c>
      <c r="AY454">
        <v>0</v>
      </c>
      <c r="AZ454">
        <v>52</v>
      </c>
      <c r="BA454">
        <v>0</v>
      </c>
      <c r="BB454">
        <v>66</v>
      </c>
      <c r="BC454">
        <v>0</v>
      </c>
      <c r="BD454">
        <v>0</v>
      </c>
      <c r="BE454">
        <v>0</v>
      </c>
    </row>
    <row r="455" spans="1:57" x14ac:dyDescent="0.45">
      <c r="A455" t="s">
        <v>1259</v>
      </c>
      <c r="B455" t="s">
        <v>79</v>
      </c>
      <c r="C455" t="s">
        <v>1260</v>
      </c>
      <c r="D455" t="s">
        <v>81</v>
      </c>
      <c r="E455" s="2" t="str">
        <f>HYPERLINK("capsilon://?command=openfolder&amp;siteaddress=FAM.docvelocity-na8.net&amp;folderid=FX60A00A5D-FB53-5A48-CD14-6CACCCA9CE50","FX201226533")</f>
        <v>FX201226533</v>
      </c>
      <c r="F455" t="s">
        <v>19</v>
      </c>
      <c r="G455" t="s">
        <v>19</v>
      </c>
      <c r="H455" t="s">
        <v>82</v>
      </c>
      <c r="I455" t="s">
        <v>1261</v>
      </c>
      <c r="J455">
        <v>140</v>
      </c>
      <c r="K455" t="s">
        <v>84</v>
      </c>
      <c r="L455" t="s">
        <v>85</v>
      </c>
      <c r="M455" t="s">
        <v>86</v>
      </c>
      <c r="N455">
        <v>3</v>
      </c>
      <c r="O455" s="1">
        <v>44200.47556712963</v>
      </c>
      <c r="P455" s="1">
        <v>44200.602384259262</v>
      </c>
      <c r="Q455">
        <v>7698</v>
      </c>
      <c r="R455">
        <v>3259</v>
      </c>
      <c r="S455" t="b">
        <v>0</v>
      </c>
      <c r="T455" t="s">
        <v>87</v>
      </c>
      <c r="U455" t="b">
        <v>0</v>
      </c>
      <c r="V455" t="s">
        <v>266</v>
      </c>
      <c r="W455" s="1">
        <v>44200.523356481484</v>
      </c>
      <c r="X455">
        <v>1207</v>
      </c>
      <c r="Y455">
        <v>145</v>
      </c>
      <c r="Z455">
        <v>0</v>
      </c>
      <c r="AA455">
        <v>145</v>
      </c>
      <c r="AB455">
        <v>0</v>
      </c>
      <c r="AC455">
        <v>40</v>
      </c>
      <c r="AD455">
        <v>-5</v>
      </c>
      <c r="AE455">
        <v>0</v>
      </c>
      <c r="AF455">
        <v>0</v>
      </c>
      <c r="AG455">
        <v>0</v>
      </c>
      <c r="AH455" t="s">
        <v>267</v>
      </c>
      <c r="AI455" s="1">
        <v>44200.58315972222</v>
      </c>
      <c r="AJ455">
        <v>480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-5</v>
      </c>
      <c r="AQ455">
        <v>0</v>
      </c>
      <c r="AR455">
        <v>0</v>
      </c>
      <c r="AS455">
        <v>0</v>
      </c>
      <c r="AT455" t="s">
        <v>90</v>
      </c>
      <c r="AU455" s="1">
        <v>44200.602384259262</v>
      </c>
      <c r="AV455">
        <v>1572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-5</v>
      </c>
      <c r="BC455">
        <v>0</v>
      </c>
      <c r="BD455">
        <v>0</v>
      </c>
      <c r="BE455">
        <v>0</v>
      </c>
    </row>
    <row r="456" spans="1:57" hidden="1" x14ac:dyDescent="0.45">
      <c r="A456" t="s">
        <v>1262</v>
      </c>
      <c r="B456" t="s">
        <v>79</v>
      </c>
      <c r="C456" t="s">
        <v>744</v>
      </c>
      <c r="D456" t="s">
        <v>81</v>
      </c>
      <c r="E456" s="2" t="str">
        <f>HYPERLINK("capsilon://?command=openfolder&amp;siteaddress=FAM.docvelocity-na8.net&amp;folderid=FXF67839EE-65BE-C26C-A065-7A9023FF44E6","FX201015247")</f>
        <v>FX201015247</v>
      </c>
      <c r="F456" t="s">
        <v>19</v>
      </c>
      <c r="G456" t="s">
        <v>19</v>
      </c>
      <c r="H456" t="s">
        <v>82</v>
      </c>
      <c r="I456" t="s">
        <v>1263</v>
      </c>
      <c r="J456">
        <v>66</v>
      </c>
      <c r="K456" t="s">
        <v>84</v>
      </c>
      <c r="L456" t="s">
        <v>85</v>
      </c>
      <c r="M456" t="s">
        <v>86</v>
      </c>
      <c r="N456">
        <v>3</v>
      </c>
      <c r="O456" s="1">
        <v>44203.668217592596</v>
      </c>
      <c r="P456" s="1">
        <v>44204.366307870368</v>
      </c>
      <c r="Q456">
        <v>60086</v>
      </c>
      <c r="R456">
        <v>229</v>
      </c>
      <c r="S456" t="b">
        <v>0</v>
      </c>
      <c r="T456" t="s">
        <v>87</v>
      </c>
      <c r="U456" t="b">
        <v>0</v>
      </c>
      <c r="V456" t="s">
        <v>160</v>
      </c>
      <c r="W456" s="1">
        <v>44203.670787037037</v>
      </c>
      <c r="X456">
        <v>196</v>
      </c>
      <c r="Y456">
        <v>0</v>
      </c>
      <c r="Z456">
        <v>0</v>
      </c>
      <c r="AA456">
        <v>0</v>
      </c>
      <c r="AB456">
        <v>52</v>
      </c>
      <c r="AC456">
        <v>0</v>
      </c>
      <c r="AD456">
        <v>66</v>
      </c>
      <c r="AE456">
        <v>0</v>
      </c>
      <c r="AF456">
        <v>0</v>
      </c>
      <c r="AG456">
        <v>0</v>
      </c>
      <c r="AH456" t="s">
        <v>267</v>
      </c>
      <c r="AI456" s="1">
        <v>44203.678240740737</v>
      </c>
      <c r="AJ456">
        <v>29</v>
      </c>
      <c r="AK456">
        <v>0</v>
      </c>
      <c r="AL456">
        <v>0</v>
      </c>
      <c r="AM456">
        <v>0</v>
      </c>
      <c r="AN456">
        <v>52</v>
      </c>
      <c r="AO456">
        <v>0</v>
      </c>
      <c r="AP456">
        <v>66</v>
      </c>
      <c r="AQ456">
        <v>0</v>
      </c>
      <c r="AR456">
        <v>0</v>
      </c>
      <c r="AS456">
        <v>0</v>
      </c>
      <c r="AT456" t="s">
        <v>90</v>
      </c>
      <c r="AU456" s="1">
        <v>44204.366307870368</v>
      </c>
      <c r="AV456">
        <v>4</v>
      </c>
      <c r="AW456">
        <v>0</v>
      </c>
      <c r="AX456">
        <v>0</v>
      </c>
      <c r="AY456">
        <v>0</v>
      </c>
      <c r="AZ456">
        <v>52</v>
      </c>
      <c r="BA456">
        <v>0</v>
      </c>
      <c r="BB456">
        <v>66</v>
      </c>
      <c r="BC456">
        <v>0</v>
      </c>
      <c r="BD456">
        <v>0</v>
      </c>
      <c r="BE456">
        <v>0</v>
      </c>
    </row>
    <row r="457" spans="1:57" hidden="1" x14ac:dyDescent="0.45">
      <c r="A457" t="s">
        <v>1264</v>
      </c>
      <c r="B457" t="s">
        <v>79</v>
      </c>
      <c r="C457" t="s">
        <v>1265</v>
      </c>
      <c r="D457" t="s">
        <v>81</v>
      </c>
      <c r="E457" s="2" t="str">
        <f>HYPERLINK("capsilon://?command=openfolder&amp;siteaddress=FAM.docvelocity-na8.net&amp;folderid=FX933AF181-914C-14FC-6994-D48768C4C8D6","FX21012562")</f>
        <v>FX21012562</v>
      </c>
      <c r="F457" t="s">
        <v>19</v>
      </c>
      <c r="G457" t="s">
        <v>19</v>
      </c>
      <c r="H457" t="s">
        <v>82</v>
      </c>
      <c r="I457" t="s">
        <v>1266</v>
      </c>
      <c r="J457">
        <v>299</v>
      </c>
      <c r="K457" t="s">
        <v>84</v>
      </c>
      <c r="L457" t="s">
        <v>85</v>
      </c>
      <c r="M457" t="s">
        <v>86</v>
      </c>
      <c r="N457">
        <v>1</v>
      </c>
      <c r="O457" s="1">
        <v>44203.670856481483</v>
      </c>
      <c r="P457" s="1">
        <v>44203.698414351849</v>
      </c>
      <c r="Q457">
        <v>1</v>
      </c>
      <c r="R457">
        <v>2380</v>
      </c>
      <c r="S457" t="b">
        <v>0</v>
      </c>
      <c r="T457" t="s">
        <v>87</v>
      </c>
      <c r="U457" t="b">
        <v>0</v>
      </c>
      <c r="V457" t="s">
        <v>179</v>
      </c>
      <c r="W457" s="1">
        <v>44203.698414351849</v>
      </c>
      <c r="X457">
        <v>2380</v>
      </c>
      <c r="Y457">
        <v>180</v>
      </c>
      <c r="Z457">
        <v>0</v>
      </c>
      <c r="AA457">
        <v>180</v>
      </c>
      <c r="AB457">
        <v>74</v>
      </c>
      <c r="AC457">
        <v>43</v>
      </c>
      <c r="AD457">
        <v>119</v>
      </c>
      <c r="AE457">
        <v>69</v>
      </c>
      <c r="AF457">
        <v>0</v>
      </c>
      <c r="AG457">
        <v>2</v>
      </c>
      <c r="AH457" t="s">
        <v>87</v>
      </c>
      <c r="AI457" t="s">
        <v>87</v>
      </c>
      <c r="AJ457" t="s">
        <v>87</v>
      </c>
      <c r="AK457" t="s">
        <v>87</v>
      </c>
      <c r="AL457" t="s">
        <v>87</v>
      </c>
      <c r="AM457" t="s">
        <v>87</v>
      </c>
      <c r="AN457" t="s">
        <v>87</v>
      </c>
      <c r="AO457" t="s">
        <v>87</v>
      </c>
      <c r="AP457" t="s">
        <v>87</v>
      </c>
      <c r="AQ457" t="s">
        <v>87</v>
      </c>
      <c r="AR457" t="s">
        <v>87</v>
      </c>
      <c r="AS457" t="s">
        <v>87</v>
      </c>
      <c r="AT457" t="s">
        <v>87</v>
      </c>
      <c r="AU457" t="s">
        <v>87</v>
      </c>
      <c r="AV457" t="s">
        <v>87</v>
      </c>
      <c r="AW457" t="s">
        <v>87</v>
      </c>
      <c r="AX457" t="s">
        <v>87</v>
      </c>
      <c r="AY457" t="s">
        <v>87</v>
      </c>
      <c r="AZ457" t="s">
        <v>87</v>
      </c>
      <c r="BA457" t="s">
        <v>87</v>
      </c>
      <c r="BB457" t="s">
        <v>87</v>
      </c>
      <c r="BC457" t="s">
        <v>87</v>
      </c>
      <c r="BD457" t="s">
        <v>87</v>
      </c>
      <c r="BE457" t="s">
        <v>87</v>
      </c>
    </row>
    <row r="458" spans="1:57" x14ac:dyDescent="0.45">
      <c r="A458" t="s">
        <v>1267</v>
      </c>
      <c r="B458" t="s">
        <v>79</v>
      </c>
      <c r="C458" t="s">
        <v>1268</v>
      </c>
      <c r="D458" t="s">
        <v>81</v>
      </c>
      <c r="E458" s="2" t="str">
        <f>HYPERLINK("capsilon://?command=openfolder&amp;siteaddress=FAM.docvelocity-na8.net&amp;folderid=FX20BE17E6-5E72-E8D2-16EF-12AA14EE5B44","FX21011316")</f>
        <v>FX21011316</v>
      </c>
      <c r="F458" t="s">
        <v>19</v>
      </c>
      <c r="G458" t="s">
        <v>19</v>
      </c>
      <c r="H458" t="s">
        <v>82</v>
      </c>
      <c r="I458" t="s">
        <v>1269</v>
      </c>
      <c r="J458">
        <v>238</v>
      </c>
      <c r="K458" t="s">
        <v>84</v>
      </c>
      <c r="L458" t="s">
        <v>85</v>
      </c>
      <c r="M458" t="s">
        <v>86</v>
      </c>
      <c r="N458">
        <v>3</v>
      </c>
      <c r="O458" s="1">
        <v>44203.672997685186</v>
      </c>
      <c r="P458" s="1">
        <v>44204.370115740741</v>
      </c>
      <c r="Q458">
        <v>57496</v>
      </c>
      <c r="R458">
        <v>2735</v>
      </c>
      <c r="S458" t="b">
        <v>0</v>
      </c>
      <c r="T458" t="s">
        <v>87</v>
      </c>
      <c r="U458" t="b">
        <v>0</v>
      </c>
      <c r="V458" t="s">
        <v>160</v>
      </c>
      <c r="W458" s="1">
        <v>44203.693402777775</v>
      </c>
      <c r="X458">
        <v>1762</v>
      </c>
      <c r="Y458">
        <v>140</v>
      </c>
      <c r="Z458">
        <v>0</v>
      </c>
      <c r="AA458">
        <v>140</v>
      </c>
      <c r="AB458">
        <v>0</v>
      </c>
      <c r="AC458">
        <v>33</v>
      </c>
      <c r="AD458">
        <v>98</v>
      </c>
      <c r="AE458">
        <v>0</v>
      </c>
      <c r="AF458">
        <v>0</v>
      </c>
      <c r="AG458">
        <v>0</v>
      </c>
      <c r="AH458" t="s">
        <v>128</v>
      </c>
      <c r="AI458" s="1">
        <v>44203.71298611111</v>
      </c>
      <c r="AJ458">
        <v>644</v>
      </c>
      <c r="AK458">
        <v>2</v>
      </c>
      <c r="AL458">
        <v>0</v>
      </c>
      <c r="AM458">
        <v>2</v>
      </c>
      <c r="AN458">
        <v>0</v>
      </c>
      <c r="AO458">
        <v>2</v>
      </c>
      <c r="AP458">
        <v>96</v>
      </c>
      <c r="AQ458">
        <v>0</v>
      </c>
      <c r="AR458">
        <v>0</v>
      </c>
      <c r="AS458">
        <v>0</v>
      </c>
      <c r="AT458" t="s">
        <v>90</v>
      </c>
      <c r="AU458" s="1">
        <v>44204.370115740741</v>
      </c>
      <c r="AV458">
        <v>329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96</v>
      </c>
      <c r="BC458">
        <v>0</v>
      </c>
      <c r="BD458">
        <v>0</v>
      </c>
      <c r="BE458">
        <v>0</v>
      </c>
    </row>
    <row r="459" spans="1:57" x14ac:dyDescent="0.45">
      <c r="A459" t="s">
        <v>1270</v>
      </c>
      <c r="B459" t="s">
        <v>79</v>
      </c>
      <c r="C459" t="s">
        <v>1271</v>
      </c>
      <c r="D459" t="s">
        <v>81</v>
      </c>
      <c r="E459" s="2" t="str">
        <f>HYPERLINK("capsilon://?command=openfolder&amp;siteaddress=FAM.docvelocity-na8.net&amp;folderid=FXEB100953-954C-E035-F422-120EC357077D","FX21013405")</f>
        <v>FX21013405</v>
      </c>
      <c r="F459" t="s">
        <v>19</v>
      </c>
      <c r="G459" t="s">
        <v>19</v>
      </c>
      <c r="H459" t="s">
        <v>82</v>
      </c>
      <c r="I459" t="s">
        <v>1272</v>
      </c>
      <c r="J459">
        <v>529</v>
      </c>
      <c r="K459" t="s">
        <v>84</v>
      </c>
      <c r="L459" t="s">
        <v>85</v>
      </c>
      <c r="M459" t="s">
        <v>86</v>
      </c>
      <c r="N459">
        <v>3</v>
      </c>
      <c r="O459" s="1">
        <v>44203.679918981485</v>
      </c>
      <c r="P459" s="1">
        <v>44204.398958333331</v>
      </c>
      <c r="Q459">
        <v>46497</v>
      </c>
      <c r="R459">
        <v>15628</v>
      </c>
      <c r="S459" t="b">
        <v>0</v>
      </c>
      <c r="T459" t="s">
        <v>87</v>
      </c>
      <c r="U459" t="b">
        <v>0</v>
      </c>
      <c r="V459" t="s">
        <v>146</v>
      </c>
      <c r="W459" s="1">
        <v>44203.816319444442</v>
      </c>
      <c r="X459">
        <v>11781</v>
      </c>
      <c r="Y459">
        <v>575</v>
      </c>
      <c r="Z459">
        <v>0</v>
      </c>
      <c r="AA459">
        <v>575</v>
      </c>
      <c r="AB459">
        <v>0</v>
      </c>
      <c r="AC459">
        <v>447</v>
      </c>
      <c r="AD459">
        <v>-46</v>
      </c>
      <c r="AE459">
        <v>0</v>
      </c>
      <c r="AF459">
        <v>0</v>
      </c>
      <c r="AG459">
        <v>0</v>
      </c>
      <c r="AH459" t="s">
        <v>128</v>
      </c>
      <c r="AI459" s="1">
        <v>44203.834085648145</v>
      </c>
      <c r="AJ459">
        <v>1356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-46</v>
      </c>
      <c r="AQ459">
        <v>0</v>
      </c>
      <c r="AR459">
        <v>0</v>
      </c>
      <c r="AS459">
        <v>0</v>
      </c>
      <c r="AT459" t="s">
        <v>90</v>
      </c>
      <c r="AU459" s="1">
        <v>44204.398958333331</v>
      </c>
      <c r="AV459">
        <v>2491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-46</v>
      </c>
      <c r="BC459">
        <v>0</v>
      </c>
      <c r="BD459">
        <v>0</v>
      </c>
      <c r="BE459">
        <v>0</v>
      </c>
    </row>
    <row r="460" spans="1:57" x14ac:dyDescent="0.45">
      <c r="A460" t="s">
        <v>1273</v>
      </c>
      <c r="B460" t="s">
        <v>79</v>
      </c>
      <c r="C460" t="s">
        <v>1274</v>
      </c>
      <c r="D460" t="s">
        <v>81</v>
      </c>
      <c r="E460" s="2" t="str">
        <f>HYPERLINK("capsilon://?command=openfolder&amp;siteaddress=FAM.docvelocity-na8.net&amp;folderid=FXCA43879A-2B4A-DEC9-5553-6BE802F3D38F","FX21011288")</f>
        <v>FX21011288</v>
      </c>
      <c r="F460" t="s">
        <v>19</v>
      </c>
      <c r="G460" t="s">
        <v>19</v>
      </c>
      <c r="H460" t="s">
        <v>82</v>
      </c>
      <c r="I460" t="s">
        <v>1275</v>
      </c>
      <c r="J460">
        <v>268</v>
      </c>
      <c r="K460" t="s">
        <v>84</v>
      </c>
      <c r="L460" t="s">
        <v>85</v>
      </c>
      <c r="M460" t="s">
        <v>86</v>
      </c>
      <c r="N460">
        <v>3</v>
      </c>
      <c r="O460" s="1">
        <v>44203.680567129632</v>
      </c>
      <c r="P460" s="1">
        <v>44204.407488425924</v>
      </c>
      <c r="Q460">
        <v>55271</v>
      </c>
      <c r="R460">
        <v>7535</v>
      </c>
      <c r="S460" t="b">
        <v>0</v>
      </c>
      <c r="T460" t="s">
        <v>87</v>
      </c>
      <c r="U460" t="b">
        <v>0</v>
      </c>
      <c r="V460" t="s">
        <v>168</v>
      </c>
      <c r="W460" s="1">
        <v>44203.770949074074</v>
      </c>
      <c r="X460">
        <v>5556</v>
      </c>
      <c r="Y460">
        <v>317</v>
      </c>
      <c r="Z460">
        <v>0</v>
      </c>
      <c r="AA460">
        <v>317</v>
      </c>
      <c r="AB460">
        <v>0</v>
      </c>
      <c r="AC460">
        <v>236</v>
      </c>
      <c r="AD460">
        <v>-49</v>
      </c>
      <c r="AE460">
        <v>0</v>
      </c>
      <c r="AF460">
        <v>0</v>
      </c>
      <c r="AG460">
        <v>0</v>
      </c>
      <c r="AH460" t="s">
        <v>267</v>
      </c>
      <c r="AI460" s="1">
        <v>44203.780578703707</v>
      </c>
      <c r="AJ460">
        <v>792</v>
      </c>
      <c r="AK460">
        <v>26</v>
      </c>
      <c r="AL460">
        <v>0</v>
      </c>
      <c r="AM460">
        <v>26</v>
      </c>
      <c r="AN460">
        <v>0</v>
      </c>
      <c r="AO460">
        <v>16</v>
      </c>
      <c r="AP460">
        <v>-75</v>
      </c>
      <c r="AQ460">
        <v>0</v>
      </c>
      <c r="AR460">
        <v>0</v>
      </c>
      <c r="AS460">
        <v>0</v>
      </c>
      <c r="AT460" t="s">
        <v>549</v>
      </c>
      <c r="AU460" s="1">
        <v>44204.407488425924</v>
      </c>
      <c r="AV460">
        <v>822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-75</v>
      </c>
      <c r="BC460">
        <v>0</v>
      </c>
      <c r="BD460">
        <v>0</v>
      </c>
      <c r="BE460">
        <v>0</v>
      </c>
    </row>
    <row r="461" spans="1:57" x14ac:dyDescent="0.45">
      <c r="A461" t="s">
        <v>1276</v>
      </c>
      <c r="B461" t="s">
        <v>79</v>
      </c>
      <c r="C461" t="s">
        <v>1179</v>
      </c>
      <c r="D461" t="s">
        <v>81</v>
      </c>
      <c r="E461" s="2" t="str">
        <f>HYPERLINK("capsilon://?command=openfolder&amp;siteaddress=FAM.docvelocity-na8.net&amp;folderid=FX28F9FA78-4F86-20CE-84A4-E0225A1B8006","FX201228743")</f>
        <v>FX201228743</v>
      </c>
      <c r="F461" t="s">
        <v>19</v>
      </c>
      <c r="G461" t="s">
        <v>19</v>
      </c>
      <c r="H461" t="s">
        <v>82</v>
      </c>
      <c r="I461" t="s">
        <v>1277</v>
      </c>
      <c r="J461">
        <v>40</v>
      </c>
      <c r="K461" t="s">
        <v>84</v>
      </c>
      <c r="L461" t="s">
        <v>85</v>
      </c>
      <c r="M461" t="s">
        <v>86</v>
      </c>
      <c r="N461">
        <v>3</v>
      </c>
      <c r="O461" s="1">
        <v>44200.479479166665</v>
      </c>
      <c r="P461" s="1">
        <v>44200.60527777778</v>
      </c>
      <c r="Q461">
        <v>9641</v>
      </c>
      <c r="R461">
        <v>1228</v>
      </c>
      <c r="S461" t="b">
        <v>0</v>
      </c>
      <c r="T461" t="s">
        <v>87</v>
      </c>
      <c r="U461" t="b">
        <v>0</v>
      </c>
      <c r="V461" t="s">
        <v>736</v>
      </c>
      <c r="W461" s="1">
        <v>44200.516562500001</v>
      </c>
      <c r="X461">
        <v>574</v>
      </c>
      <c r="Y461">
        <v>66</v>
      </c>
      <c r="Z461">
        <v>0</v>
      </c>
      <c r="AA461">
        <v>66</v>
      </c>
      <c r="AB461">
        <v>0</v>
      </c>
      <c r="AC461">
        <v>44</v>
      </c>
      <c r="AD461">
        <v>-26</v>
      </c>
      <c r="AE461">
        <v>0</v>
      </c>
      <c r="AF461">
        <v>0</v>
      </c>
      <c r="AG461">
        <v>0</v>
      </c>
      <c r="AH461" t="s">
        <v>128</v>
      </c>
      <c r="AI461" s="1">
        <v>44200.587025462963</v>
      </c>
      <c r="AJ461">
        <v>405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-26</v>
      </c>
      <c r="AQ461">
        <v>0</v>
      </c>
      <c r="AR461">
        <v>0</v>
      </c>
      <c r="AS461">
        <v>0</v>
      </c>
      <c r="AT461" t="s">
        <v>90</v>
      </c>
      <c r="AU461" s="1">
        <v>44200.60527777778</v>
      </c>
      <c r="AV461">
        <v>249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-26</v>
      </c>
      <c r="BC461">
        <v>0</v>
      </c>
      <c r="BD461">
        <v>0</v>
      </c>
      <c r="BE461">
        <v>0</v>
      </c>
    </row>
    <row r="462" spans="1:57" hidden="1" x14ac:dyDescent="0.45">
      <c r="A462" t="s">
        <v>1278</v>
      </c>
      <c r="B462" t="s">
        <v>79</v>
      </c>
      <c r="C462" t="s">
        <v>1279</v>
      </c>
      <c r="D462" t="s">
        <v>81</v>
      </c>
      <c r="E462" s="2" t="str">
        <f>HYPERLINK("capsilon://?command=openfolder&amp;siteaddress=FAM.docvelocity-na8.net&amp;folderid=FXBAF44389-6C6A-AE82-504B-F9635C0F4C6C","FX201110221")</f>
        <v>FX201110221</v>
      </c>
      <c r="F462" t="s">
        <v>19</v>
      </c>
      <c r="G462" t="s">
        <v>19</v>
      </c>
      <c r="H462" t="s">
        <v>82</v>
      </c>
      <c r="I462" t="s">
        <v>1280</v>
      </c>
      <c r="J462">
        <v>66</v>
      </c>
      <c r="K462" t="s">
        <v>84</v>
      </c>
      <c r="L462" t="s">
        <v>85</v>
      </c>
      <c r="M462" t="s">
        <v>86</v>
      </c>
      <c r="N462">
        <v>3</v>
      </c>
      <c r="O462" s="1">
        <v>44203.694398148145</v>
      </c>
      <c r="P462" s="1">
        <v>44204.399004629631</v>
      </c>
      <c r="Q462">
        <v>60721</v>
      </c>
      <c r="R462">
        <v>157</v>
      </c>
      <c r="S462" t="b">
        <v>0</v>
      </c>
      <c r="T462" t="s">
        <v>87</v>
      </c>
      <c r="U462" t="b">
        <v>0</v>
      </c>
      <c r="V462" t="s">
        <v>160</v>
      </c>
      <c r="W462" s="1">
        <v>44203.695937500001</v>
      </c>
      <c r="X462">
        <v>114</v>
      </c>
      <c r="Y462">
        <v>0</v>
      </c>
      <c r="Z462">
        <v>0</v>
      </c>
      <c r="AA462">
        <v>0</v>
      </c>
      <c r="AB462">
        <v>52</v>
      </c>
      <c r="AC462">
        <v>0</v>
      </c>
      <c r="AD462">
        <v>66</v>
      </c>
      <c r="AE462">
        <v>0</v>
      </c>
      <c r="AF462">
        <v>0</v>
      </c>
      <c r="AG462">
        <v>0</v>
      </c>
      <c r="AH462" t="s">
        <v>128</v>
      </c>
      <c r="AI462" s="1">
        <v>44203.713460648149</v>
      </c>
      <c r="AJ462">
        <v>40</v>
      </c>
      <c r="AK462">
        <v>0</v>
      </c>
      <c r="AL462">
        <v>0</v>
      </c>
      <c r="AM462">
        <v>0</v>
      </c>
      <c r="AN462">
        <v>52</v>
      </c>
      <c r="AO462">
        <v>0</v>
      </c>
      <c r="AP462">
        <v>66</v>
      </c>
      <c r="AQ462">
        <v>0</v>
      </c>
      <c r="AR462">
        <v>0</v>
      </c>
      <c r="AS462">
        <v>0</v>
      </c>
      <c r="AT462" t="s">
        <v>90</v>
      </c>
      <c r="AU462" s="1">
        <v>44204.399004629631</v>
      </c>
      <c r="AV462">
        <v>3</v>
      </c>
      <c r="AW462">
        <v>0</v>
      </c>
      <c r="AX462">
        <v>0</v>
      </c>
      <c r="AY462">
        <v>0</v>
      </c>
      <c r="AZ462">
        <v>52</v>
      </c>
      <c r="BA462">
        <v>0</v>
      </c>
      <c r="BB462">
        <v>66</v>
      </c>
      <c r="BC462">
        <v>0</v>
      </c>
      <c r="BD462">
        <v>0</v>
      </c>
      <c r="BE462">
        <v>0</v>
      </c>
    </row>
    <row r="463" spans="1:57" hidden="1" x14ac:dyDescent="0.45">
      <c r="A463" t="s">
        <v>1281</v>
      </c>
      <c r="B463" t="s">
        <v>79</v>
      </c>
      <c r="C463" t="s">
        <v>1279</v>
      </c>
      <c r="D463" t="s">
        <v>81</v>
      </c>
      <c r="E463" s="2" t="str">
        <f>HYPERLINK("capsilon://?command=openfolder&amp;siteaddress=FAM.docvelocity-na8.net&amp;folderid=FXBAF44389-6C6A-AE82-504B-F9635C0F4C6C","FX201110221")</f>
        <v>FX201110221</v>
      </c>
      <c r="F463" t="s">
        <v>19</v>
      </c>
      <c r="G463" t="s">
        <v>19</v>
      </c>
      <c r="H463" t="s">
        <v>82</v>
      </c>
      <c r="I463" t="s">
        <v>1282</v>
      </c>
      <c r="J463">
        <v>66</v>
      </c>
      <c r="K463" t="s">
        <v>84</v>
      </c>
      <c r="L463" t="s">
        <v>85</v>
      </c>
      <c r="M463" t="s">
        <v>86</v>
      </c>
      <c r="N463">
        <v>3</v>
      </c>
      <c r="O463" s="1">
        <v>44203.695590277777</v>
      </c>
      <c r="P463" s="1">
        <v>44204.399039351854</v>
      </c>
      <c r="Q463">
        <v>60369</v>
      </c>
      <c r="R463">
        <v>409</v>
      </c>
      <c r="S463" t="b">
        <v>0</v>
      </c>
      <c r="T463" t="s">
        <v>87</v>
      </c>
      <c r="U463" t="b">
        <v>0</v>
      </c>
      <c r="V463" t="s">
        <v>171</v>
      </c>
      <c r="W463" s="1">
        <v>44203.699664351851</v>
      </c>
      <c r="X463">
        <v>351</v>
      </c>
      <c r="Y463">
        <v>0</v>
      </c>
      <c r="Z463">
        <v>0</v>
      </c>
      <c r="AA463">
        <v>0</v>
      </c>
      <c r="AB463">
        <v>52</v>
      </c>
      <c r="AC463">
        <v>0</v>
      </c>
      <c r="AD463">
        <v>66</v>
      </c>
      <c r="AE463">
        <v>0</v>
      </c>
      <c r="AF463">
        <v>0</v>
      </c>
      <c r="AG463">
        <v>0</v>
      </c>
      <c r="AH463" t="s">
        <v>128</v>
      </c>
      <c r="AI463" s="1">
        <v>44203.714108796295</v>
      </c>
      <c r="AJ463">
        <v>55</v>
      </c>
      <c r="AK463">
        <v>0</v>
      </c>
      <c r="AL463">
        <v>0</v>
      </c>
      <c r="AM463">
        <v>0</v>
      </c>
      <c r="AN463">
        <v>52</v>
      </c>
      <c r="AO463">
        <v>0</v>
      </c>
      <c r="AP463">
        <v>66</v>
      </c>
      <c r="AQ463">
        <v>0</v>
      </c>
      <c r="AR463">
        <v>0</v>
      </c>
      <c r="AS463">
        <v>0</v>
      </c>
      <c r="AT463" t="s">
        <v>90</v>
      </c>
      <c r="AU463" s="1">
        <v>44204.399039351854</v>
      </c>
      <c r="AV463">
        <v>3</v>
      </c>
      <c r="AW463">
        <v>0</v>
      </c>
      <c r="AX463">
        <v>0</v>
      </c>
      <c r="AY463">
        <v>0</v>
      </c>
      <c r="AZ463">
        <v>52</v>
      </c>
      <c r="BA463">
        <v>0</v>
      </c>
      <c r="BB463">
        <v>66</v>
      </c>
      <c r="BC463">
        <v>0</v>
      </c>
      <c r="BD463">
        <v>0</v>
      </c>
      <c r="BE463">
        <v>0</v>
      </c>
    </row>
    <row r="464" spans="1:57" x14ac:dyDescent="0.45">
      <c r="A464" t="s">
        <v>1283</v>
      </c>
      <c r="B464" t="s">
        <v>79</v>
      </c>
      <c r="C464" t="s">
        <v>1265</v>
      </c>
      <c r="D464" t="s">
        <v>81</v>
      </c>
      <c r="E464" s="2" t="str">
        <f>HYPERLINK("capsilon://?command=openfolder&amp;siteaddress=FAM.docvelocity-na8.net&amp;folderid=FX933AF181-914C-14FC-6994-D48768C4C8D6","FX21012562")</f>
        <v>FX21012562</v>
      </c>
      <c r="F464" t="s">
        <v>19</v>
      </c>
      <c r="G464" t="s">
        <v>19</v>
      </c>
      <c r="H464" t="s">
        <v>82</v>
      </c>
      <c r="I464" t="s">
        <v>1266</v>
      </c>
      <c r="J464">
        <v>141</v>
      </c>
      <c r="K464" t="s">
        <v>84</v>
      </c>
      <c r="L464" t="s">
        <v>85</v>
      </c>
      <c r="M464" t="s">
        <v>86</v>
      </c>
      <c r="N464">
        <v>3</v>
      </c>
      <c r="O464" s="1">
        <v>44203.700150462966</v>
      </c>
      <c r="P464" s="1">
        <v>44204.33965277778</v>
      </c>
      <c r="Q464">
        <v>52711</v>
      </c>
      <c r="R464">
        <v>2542</v>
      </c>
      <c r="S464" t="b">
        <v>0</v>
      </c>
      <c r="T464" t="s">
        <v>87</v>
      </c>
      <c r="U464" t="b">
        <v>1</v>
      </c>
      <c r="V464" t="s">
        <v>160</v>
      </c>
      <c r="W464" s="1">
        <v>44203.722557870373</v>
      </c>
      <c r="X464">
        <v>1935</v>
      </c>
      <c r="Y464">
        <v>135</v>
      </c>
      <c r="Z464">
        <v>0</v>
      </c>
      <c r="AA464">
        <v>135</v>
      </c>
      <c r="AB464">
        <v>37</v>
      </c>
      <c r="AC464">
        <v>35</v>
      </c>
      <c r="AD464">
        <v>6</v>
      </c>
      <c r="AE464">
        <v>0</v>
      </c>
      <c r="AF464">
        <v>0</v>
      </c>
      <c r="AG464">
        <v>0</v>
      </c>
      <c r="AH464" t="s">
        <v>267</v>
      </c>
      <c r="AI464" s="1">
        <v>44203.732766203706</v>
      </c>
      <c r="AJ464">
        <v>363</v>
      </c>
      <c r="AK464">
        <v>0</v>
      </c>
      <c r="AL464">
        <v>0</v>
      </c>
      <c r="AM464">
        <v>0</v>
      </c>
      <c r="AN464">
        <v>37</v>
      </c>
      <c r="AO464">
        <v>0</v>
      </c>
      <c r="AP464">
        <v>6</v>
      </c>
      <c r="AQ464">
        <v>0</v>
      </c>
      <c r="AR464">
        <v>0</v>
      </c>
      <c r="AS464">
        <v>0</v>
      </c>
      <c r="AT464" t="s">
        <v>90</v>
      </c>
      <c r="AU464" s="1">
        <v>44204.33965277778</v>
      </c>
      <c r="AV464">
        <v>213</v>
      </c>
      <c r="AW464">
        <v>0</v>
      </c>
      <c r="AX464">
        <v>0</v>
      </c>
      <c r="AY464">
        <v>0</v>
      </c>
      <c r="AZ464">
        <v>37</v>
      </c>
      <c r="BA464">
        <v>0</v>
      </c>
      <c r="BB464">
        <v>6</v>
      </c>
      <c r="BC464">
        <v>0</v>
      </c>
      <c r="BD464">
        <v>0</v>
      </c>
      <c r="BE464">
        <v>0</v>
      </c>
    </row>
    <row r="465" spans="1:57" x14ac:dyDescent="0.45">
      <c r="A465" t="s">
        <v>1284</v>
      </c>
      <c r="B465" t="s">
        <v>79</v>
      </c>
      <c r="C465" t="s">
        <v>1285</v>
      </c>
      <c r="D465" t="s">
        <v>81</v>
      </c>
      <c r="E465" s="2" t="str">
        <f>HYPERLINK("capsilon://?command=openfolder&amp;siteaddress=FAM.docvelocity-na8.net&amp;folderid=FX9867633D-524E-48D1-9337-871330B745EB","FX201227024")</f>
        <v>FX201227024</v>
      </c>
      <c r="F465" t="s">
        <v>19</v>
      </c>
      <c r="G465" t="s">
        <v>19</v>
      </c>
      <c r="H465" t="s">
        <v>82</v>
      </c>
      <c r="I465" t="s">
        <v>1286</v>
      </c>
      <c r="J465">
        <v>500</v>
      </c>
      <c r="K465" t="s">
        <v>84</v>
      </c>
      <c r="L465" t="s">
        <v>85</v>
      </c>
      <c r="M465" t="s">
        <v>86</v>
      </c>
      <c r="N465">
        <v>3</v>
      </c>
      <c r="O465" s="1">
        <v>44200.482627314814</v>
      </c>
      <c r="P465" s="1">
        <v>44201.349675925929</v>
      </c>
      <c r="Q465">
        <v>63122</v>
      </c>
      <c r="R465">
        <v>11791</v>
      </c>
      <c r="S465" t="b">
        <v>0</v>
      </c>
      <c r="T465" t="s">
        <v>87</v>
      </c>
      <c r="U465" t="b">
        <v>0</v>
      </c>
      <c r="V465" t="s">
        <v>142</v>
      </c>
      <c r="W465" s="1">
        <v>44200.611458333333</v>
      </c>
      <c r="X465">
        <v>7285</v>
      </c>
      <c r="Y465">
        <v>460</v>
      </c>
      <c r="Z465">
        <v>0</v>
      </c>
      <c r="AA465">
        <v>460</v>
      </c>
      <c r="AB465">
        <v>37</v>
      </c>
      <c r="AC465">
        <v>261</v>
      </c>
      <c r="AD465">
        <v>40</v>
      </c>
      <c r="AE465">
        <v>0</v>
      </c>
      <c r="AF465">
        <v>0</v>
      </c>
      <c r="AG465">
        <v>0</v>
      </c>
      <c r="AH465" t="s">
        <v>128</v>
      </c>
      <c r="AI465" s="1">
        <v>44200.657986111109</v>
      </c>
      <c r="AJ465">
        <v>3930</v>
      </c>
      <c r="AK465">
        <v>3</v>
      </c>
      <c r="AL465">
        <v>0</v>
      </c>
      <c r="AM465">
        <v>3</v>
      </c>
      <c r="AN465">
        <v>37</v>
      </c>
      <c r="AO465">
        <v>3</v>
      </c>
      <c r="AP465">
        <v>37</v>
      </c>
      <c r="AQ465">
        <v>0</v>
      </c>
      <c r="AR465">
        <v>0</v>
      </c>
      <c r="AS465">
        <v>0</v>
      </c>
      <c r="AT465" t="s">
        <v>90</v>
      </c>
      <c r="AU465" s="1">
        <v>44201.349675925929</v>
      </c>
      <c r="AV465">
        <v>275</v>
      </c>
      <c r="AW465">
        <v>0</v>
      </c>
      <c r="AX465">
        <v>0</v>
      </c>
      <c r="AY465">
        <v>0</v>
      </c>
      <c r="AZ465">
        <v>37</v>
      </c>
      <c r="BA465">
        <v>0</v>
      </c>
      <c r="BB465">
        <v>37</v>
      </c>
      <c r="BC465">
        <v>0</v>
      </c>
      <c r="BD465">
        <v>0</v>
      </c>
      <c r="BE465">
        <v>0</v>
      </c>
    </row>
    <row r="466" spans="1:57" hidden="1" x14ac:dyDescent="0.45">
      <c r="A466" t="s">
        <v>1287</v>
      </c>
      <c r="B466" t="s">
        <v>79</v>
      </c>
      <c r="C466" t="s">
        <v>1288</v>
      </c>
      <c r="D466" t="s">
        <v>81</v>
      </c>
      <c r="E466" s="2" t="str">
        <f>HYPERLINK("capsilon://?command=openfolder&amp;siteaddress=FAM.docvelocity-na8.net&amp;folderid=FX39D4DD75-0E21-69FE-0E5B-BFBB80759240","FX201225989")</f>
        <v>FX201225989</v>
      </c>
      <c r="F466" t="s">
        <v>19</v>
      </c>
      <c r="G466" t="s">
        <v>19</v>
      </c>
      <c r="H466" t="s">
        <v>82</v>
      </c>
      <c r="I466" t="s">
        <v>1289</v>
      </c>
      <c r="J466">
        <v>560</v>
      </c>
      <c r="K466" t="s">
        <v>84</v>
      </c>
      <c r="L466" t="s">
        <v>85</v>
      </c>
      <c r="M466" t="s">
        <v>86</v>
      </c>
      <c r="N466">
        <v>1</v>
      </c>
      <c r="O466" s="1">
        <v>44200.483530092592</v>
      </c>
      <c r="P466" s="1">
        <v>44200.527465277781</v>
      </c>
      <c r="Q466">
        <v>3434</v>
      </c>
      <c r="R466">
        <v>362</v>
      </c>
      <c r="S466" t="b">
        <v>0</v>
      </c>
      <c r="T466" t="s">
        <v>87</v>
      </c>
      <c r="U466" t="b">
        <v>0</v>
      </c>
      <c r="V466" t="s">
        <v>266</v>
      </c>
      <c r="W466" s="1">
        <v>44200.527465277781</v>
      </c>
      <c r="X466">
        <v>354</v>
      </c>
      <c r="Y466">
        <v>508</v>
      </c>
      <c r="Z466">
        <v>0</v>
      </c>
      <c r="AA466">
        <v>508</v>
      </c>
      <c r="AB466">
        <v>0</v>
      </c>
      <c r="AC466">
        <v>0</v>
      </c>
      <c r="AD466">
        <v>52</v>
      </c>
      <c r="AE466">
        <v>21</v>
      </c>
      <c r="AF466">
        <v>0</v>
      </c>
      <c r="AG466">
        <v>2</v>
      </c>
      <c r="AH466" t="s">
        <v>87</v>
      </c>
      <c r="AI466" t="s">
        <v>87</v>
      </c>
      <c r="AJ466" t="s">
        <v>87</v>
      </c>
      <c r="AK466" t="s">
        <v>87</v>
      </c>
      <c r="AL466" t="s">
        <v>87</v>
      </c>
      <c r="AM466" t="s">
        <v>87</v>
      </c>
      <c r="AN466" t="s">
        <v>87</v>
      </c>
      <c r="AO466" t="s">
        <v>87</v>
      </c>
      <c r="AP466" t="s">
        <v>87</v>
      </c>
      <c r="AQ466" t="s">
        <v>87</v>
      </c>
      <c r="AR466" t="s">
        <v>87</v>
      </c>
      <c r="AS466" t="s">
        <v>87</v>
      </c>
      <c r="AT466" t="s">
        <v>87</v>
      </c>
      <c r="AU466" t="s">
        <v>87</v>
      </c>
      <c r="AV466" t="s">
        <v>87</v>
      </c>
      <c r="AW466" t="s">
        <v>87</v>
      </c>
      <c r="AX466" t="s">
        <v>87</v>
      </c>
      <c r="AY466" t="s">
        <v>87</v>
      </c>
      <c r="AZ466" t="s">
        <v>87</v>
      </c>
      <c r="BA466" t="s">
        <v>87</v>
      </c>
      <c r="BB466" t="s">
        <v>87</v>
      </c>
      <c r="BC466" t="s">
        <v>87</v>
      </c>
      <c r="BD466" t="s">
        <v>87</v>
      </c>
      <c r="BE466" t="s">
        <v>87</v>
      </c>
    </row>
    <row r="467" spans="1:57" hidden="1" x14ac:dyDescent="0.45">
      <c r="A467" t="s">
        <v>1290</v>
      </c>
      <c r="B467" t="s">
        <v>79</v>
      </c>
      <c r="C467" t="s">
        <v>1291</v>
      </c>
      <c r="D467" t="s">
        <v>81</v>
      </c>
      <c r="E467" s="2" t="str">
        <f>HYPERLINK("capsilon://?command=openfolder&amp;siteaddress=FAM.docvelocity-na8.net&amp;folderid=FX2EA5AFEA-C908-0F2E-4F48-0D89C3ABF5FE","FX20126763")</f>
        <v>FX20126763</v>
      </c>
      <c r="F467" t="s">
        <v>19</v>
      </c>
      <c r="G467" t="s">
        <v>19</v>
      </c>
      <c r="H467" t="s">
        <v>82</v>
      </c>
      <c r="I467" t="s">
        <v>1292</v>
      </c>
      <c r="J467">
        <v>66</v>
      </c>
      <c r="K467" t="s">
        <v>84</v>
      </c>
      <c r="L467" t="s">
        <v>85</v>
      </c>
      <c r="M467" t="s">
        <v>86</v>
      </c>
      <c r="N467">
        <v>1</v>
      </c>
      <c r="O467" s="1">
        <v>44203.709768518522</v>
      </c>
      <c r="P467" s="1">
        <v>44203.712395833332</v>
      </c>
      <c r="Q467">
        <v>1</v>
      </c>
      <c r="R467">
        <v>226</v>
      </c>
      <c r="S467" t="b">
        <v>0</v>
      </c>
      <c r="T467" t="s">
        <v>87</v>
      </c>
      <c r="U467" t="b">
        <v>0</v>
      </c>
      <c r="V467" t="s">
        <v>179</v>
      </c>
      <c r="W467" s="1">
        <v>44203.712395833332</v>
      </c>
      <c r="X467">
        <v>226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66</v>
      </c>
      <c r="AE467">
        <v>52</v>
      </c>
      <c r="AF467">
        <v>0</v>
      </c>
      <c r="AG467">
        <v>1</v>
      </c>
      <c r="AH467" t="s">
        <v>87</v>
      </c>
      <c r="AI467" t="s">
        <v>87</v>
      </c>
      <c r="AJ467" t="s">
        <v>87</v>
      </c>
      <c r="AK467" t="s">
        <v>87</v>
      </c>
      <c r="AL467" t="s">
        <v>87</v>
      </c>
      <c r="AM467" t="s">
        <v>87</v>
      </c>
      <c r="AN467" t="s">
        <v>87</v>
      </c>
      <c r="AO467" t="s">
        <v>87</v>
      </c>
      <c r="AP467" t="s">
        <v>87</v>
      </c>
      <c r="AQ467" t="s">
        <v>87</v>
      </c>
      <c r="AR467" t="s">
        <v>87</v>
      </c>
      <c r="AS467" t="s">
        <v>87</v>
      </c>
      <c r="AT467" t="s">
        <v>87</v>
      </c>
      <c r="AU467" t="s">
        <v>87</v>
      </c>
      <c r="AV467" t="s">
        <v>87</v>
      </c>
      <c r="AW467" t="s">
        <v>87</v>
      </c>
      <c r="AX467" t="s">
        <v>87</v>
      </c>
      <c r="AY467" t="s">
        <v>87</v>
      </c>
      <c r="AZ467" t="s">
        <v>87</v>
      </c>
      <c r="BA467" t="s">
        <v>87</v>
      </c>
      <c r="BB467" t="s">
        <v>87</v>
      </c>
      <c r="BC467" t="s">
        <v>87</v>
      </c>
      <c r="BD467" t="s">
        <v>87</v>
      </c>
      <c r="BE467" t="s">
        <v>87</v>
      </c>
    </row>
    <row r="468" spans="1:57" x14ac:dyDescent="0.45">
      <c r="A468" t="s">
        <v>1293</v>
      </c>
      <c r="B468" t="s">
        <v>79</v>
      </c>
      <c r="C468" t="s">
        <v>1291</v>
      </c>
      <c r="D468" t="s">
        <v>81</v>
      </c>
      <c r="E468" s="2" t="str">
        <f>HYPERLINK("capsilon://?command=openfolder&amp;siteaddress=FAM.docvelocity-na8.net&amp;folderid=FX2EA5AFEA-C908-0F2E-4F48-0D89C3ABF5FE","FX20126763")</f>
        <v>FX20126763</v>
      </c>
      <c r="F468" t="s">
        <v>19</v>
      </c>
      <c r="G468" t="s">
        <v>19</v>
      </c>
      <c r="H468" t="s">
        <v>82</v>
      </c>
      <c r="I468" t="s">
        <v>1292</v>
      </c>
      <c r="J468">
        <v>38</v>
      </c>
      <c r="K468" t="s">
        <v>84</v>
      </c>
      <c r="L468" t="s">
        <v>85</v>
      </c>
      <c r="M468" t="s">
        <v>86</v>
      </c>
      <c r="N468">
        <v>3</v>
      </c>
      <c r="O468" s="1">
        <v>44203.712638888886</v>
      </c>
      <c r="P468" s="1">
        <v>44204.339722222219</v>
      </c>
      <c r="Q468">
        <v>52885</v>
      </c>
      <c r="R468">
        <v>1295</v>
      </c>
      <c r="S468" t="b">
        <v>0</v>
      </c>
      <c r="T468" t="s">
        <v>87</v>
      </c>
      <c r="U468" t="b">
        <v>1</v>
      </c>
      <c r="V468" t="s">
        <v>179</v>
      </c>
      <c r="W468" s="1">
        <v>44203.725636574076</v>
      </c>
      <c r="X468">
        <v>1122</v>
      </c>
      <c r="Y468">
        <v>37</v>
      </c>
      <c r="Z468">
        <v>0</v>
      </c>
      <c r="AA468">
        <v>37</v>
      </c>
      <c r="AB468">
        <v>0</v>
      </c>
      <c r="AC468">
        <v>35</v>
      </c>
      <c r="AD468">
        <v>1</v>
      </c>
      <c r="AE468">
        <v>0</v>
      </c>
      <c r="AF468">
        <v>0</v>
      </c>
      <c r="AG468">
        <v>0</v>
      </c>
      <c r="AH468" t="s">
        <v>128</v>
      </c>
      <c r="AI468" s="1">
        <v>44203.733055555553</v>
      </c>
      <c r="AJ468">
        <v>168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 t="s">
        <v>90</v>
      </c>
      <c r="AU468" s="1">
        <v>44204.339722222219</v>
      </c>
      <c r="AV468">
        <v>5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</row>
    <row r="469" spans="1:57" x14ac:dyDescent="0.45">
      <c r="A469" t="s">
        <v>1294</v>
      </c>
      <c r="B469" t="s">
        <v>79</v>
      </c>
      <c r="C469" t="s">
        <v>1295</v>
      </c>
      <c r="D469" t="s">
        <v>81</v>
      </c>
      <c r="E469" s="2" t="str">
        <f>HYPERLINK("capsilon://?command=openfolder&amp;siteaddress=FAM.docvelocity-na8.net&amp;folderid=FX3037A0EC-3579-89C7-194D-5B77E7A1309F","FX201227552")</f>
        <v>FX201227552</v>
      </c>
      <c r="F469" t="s">
        <v>19</v>
      </c>
      <c r="G469" t="s">
        <v>19</v>
      </c>
      <c r="H469" t="s">
        <v>82</v>
      </c>
      <c r="I469" t="s">
        <v>1296</v>
      </c>
      <c r="J469">
        <v>384</v>
      </c>
      <c r="K469" t="s">
        <v>84</v>
      </c>
      <c r="L469" t="s">
        <v>85</v>
      </c>
      <c r="M469" t="s">
        <v>86</v>
      </c>
      <c r="N469">
        <v>3</v>
      </c>
      <c r="O469" s="1">
        <v>44200.484803240739</v>
      </c>
      <c r="P469" s="1">
        <v>44200.622662037036</v>
      </c>
      <c r="Q469">
        <v>7071</v>
      </c>
      <c r="R469">
        <v>4840</v>
      </c>
      <c r="S469" t="b">
        <v>0</v>
      </c>
      <c r="T469" t="s">
        <v>87</v>
      </c>
      <c r="U469" t="b">
        <v>0</v>
      </c>
      <c r="V469" t="s">
        <v>88</v>
      </c>
      <c r="W469" s="1">
        <v>44200.558946759258</v>
      </c>
      <c r="X469">
        <v>2799</v>
      </c>
      <c r="Y469">
        <v>323</v>
      </c>
      <c r="Z469">
        <v>0</v>
      </c>
      <c r="AA469">
        <v>323</v>
      </c>
      <c r="AB469">
        <v>37</v>
      </c>
      <c r="AC469">
        <v>135</v>
      </c>
      <c r="AD469">
        <v>61</v>
      </c>
      <c r="AE469">
        <v>0</v>
      </c>
      <c r="AF469">
        <v>0</v>
      </c>
      <c r="AG469">
        <v>0</v>
      </c>
      <c r="AH469" t="s">
        <v>267</v>
      </c>
      <c r="AI469" s="1">
        <v>44200.589421296296</v>
      </c>
      <c r="AJ469">
        <v>540</v>
      </c>
      <c r="AK469">
        <v>0</v>
      </c>
      <c r="AL469">
        <v>0</v>
      </c>
      <c r="AM469">
        <v>0</v>
      </c>
      <c r="AN469">
        <v>37</v>
      </c>
      <c r="AO469">
        <v>0</v>
      </c>
      <c r="AP469">
        <v>61</v>
      </c>
      <c r="AQ469">
        <v>0</v>
      </c>
      <c r="AR469">
        <v>0</v>
      </c>
      <c r="AS469">
        <v>0</v>
      </c>
      <c r="AT469" t="s">
        <v>90</v>
      </c>
      <c r="AU469" s="1">
        <v>44200.622662037036</v>
      </c>
      <c r="AV469">
        <v>1501</v>
      </c>
      <c r="AW469">
        <v>1</v>
      </c>
      <c r="AX469">
        <v>0</v>
      </c>
      <c r="AY469">
        <v>1</v>
      </c>
      <c r="AZ469">
        <v>37</v>
      </c>
      <c r="BA469">
        <v>1</v>
      </c>
      <c r="BB469">
        <v>60</v>
      </c>
      <c r="BC469">
        <v>0</v>
      </c>
      <c r="BD469">
        <v>0</v>
      </c>
      <c r="BE469">
        <v>0</v>
      </c>
    </row>
    <row r="470" spans="1:57" x14ac:dyDescent="0.45">
      <c r="A470" t="s">
        <v>1297</v>
      </c>
      <c r="B470" t="s">
        <v>79</v>
      </c>
      <c r="C470" t="s">
        <v>1298</v>
      </c>
      <c r="D470" t="s">
        <v>81</v>
      </c>
      <c r="E470" s="2" t="str">
        <f>HYPERLINK("capsilon://?command=openfolder&amp;siteaddress=FAM.docvelocity-na8.net&amp;folderid=FXA3EB6CED-2872-C7DB-03FF-9A26D21DCA65","FX21012290")</f>
        <v>FX21012290</v>
      </c>
      <c r="F470" t="s">
        <v>19</v>
      </c>
      <c r="G470" t="s">
        <v>19</v>
      </c>
      <c r="H470" t="s">
        <v>82</v>
      </c>
      <c r="I470" t="s">
        <v>1299</v>
      </c>
      <c r="J470">
        <v>466</v>
      </c>
      <c r="K470" t="s">
        <v>84</v>
      </c>
      <c r="L470" t="s">
        <v>85</v>
      </c>
      <c r="M470" t="s">
        <v>86</v>
      </c>
      <c r="N470">
        <v>3</v>
      </c>
      <c r="O470" s="1">
        <v>44203.723854166667</v>
      </c>
      <c r="P470" s="1">
        <v>44204.409618055557</v>
      </c>
      <c r="Q470">
        <v>53093</v>
      </c>
      <c r="R470">
        <v>6157</v>
      </c>
      <c r="S470" t="b">
        <v>0</v>
      </c>
      <c r="T470" t="s">
        <v>87</v>
      </c>
      <c r="U470" t="b">
        <v>0</v>
      </c>
      <c r="V470" t="s">
        <v>171</v>
      </c>
      <c r="W470" s="1">
        <v>44203.77957175926</v>
      </c>
      <c r="X470">
        <v>4800</v>
      </c>
      <c r="Y470">
        <v>427</v>
      </c>
      <c r="Z470">
        <v>0</v>
      </c>
      <c r="AA470">
        <v>427</v>
      </c>
      <c r="AB470">
        <v>37</v>
      </c>
      <c r="AC470">
        <v>129</v>
      </c>
      <c r="AD470">
        <v>39</v>
      </c>
      <c r="AE470">
        <v>0</v>
      </c>
      <c r="AF470">
        <v>0</v>
      </c>
      <c r="AG470">
        <v>0</v>
      </c>
      <c r="AH470" t="s">
        <v>267</v>
      </c>
      <c r="AI470" s="1">
        <v>44203.785717592589</v>
      </c>
      <c r="AJ470">
        <v>443</v>
      </c>
      <c r="AK470">
        <v>0</v>
      </c>
      <c r="AL470">
        <v>0</v>
      </c>
      <c r="AM470">
        <v>0</v>
      </c>
      <c r="AN470">
        <v>37</v>
      </c>
      <c r="AO470">
        <v>0</v>
      </c>
      <c r="AP470">
        <v>39</v>
      </c>
      <c r="AQ470">
        <v>0</v>
      </c>
      <c r="AR470">
        <v>0</v>
      </c>
      <c r="AS470">
        <v>0</v>
      </c>
      <c r="AT470" t="s">
        <v>90</v>
      </c>
      <c r="AU470" s="1">
        <v>44204.409618055557</v>
      </c>
      <c r="AV470">
        <v>914</v>
      </c>
      <c r="AW470">
        <v>2</v>
      </c>
      <c r="AX470">
        <v>0</v>
      </c>
      <c r="AY470">
        <v>2</v>
      </c>
      <c r="AZ470">
        <v>37</v>
      </c>
      <c r="BA470">
        <v>2</v>
      </c>
      <c r="BB470">
        <v>37</v>
      </c>
      <c r="BC470">
        <v>0</v>
      </c>
      <c r="BD470">
        <v>0</v>
      </c>
      <c r="BE470">
        <v>0</v>
      </c>
    </row>
    <row r="471" spans="1:57" x14ac:dyDescent="0.45">
      <c r="A471" t="s">
        <v>1300</v>
      </c>
      <c r="B471" t="s">
        <v>79</v>
      </c>
      <c r="C471" t="s">
        <v>625</v>
      </c>
      <c r="D471" t="s">
        <v>81</v>
      </c>
      <c r="E471" s="2" t="str">
        <f>HYPERLINK("capsilon://?command=openfolder&amp;siteaddress=FAM.docvelocity-na8.net&amp;folderid=FX5C57F058-895C-485D-BDD6-4594D033D31B","FX201110601")</f>
        <v>FX201110601</v>
      </c>
      <c r="F471" t="s">
        <v>19</v>
      </c>
      <c r="G471" t="s">
        <v>19</v>
      </c>
      <c r="H471" t="s">
        <v>82</v>
      </c>
      <c r="I471" t="s">
        <v>1301</v>
      </c>
      <c r="J471">
        <v>66</v>
      </c>
      <c r="K471" t="s">
        <v>84</v>
      </c>
      <c r="L471" t="s">
        <v>85</v>
      </c>
      <c r="M471" t="s">
        <v>86</v>
      </c>
      <c r="N471">
        <v>3</v>
      </c>
      <c r="O471" s="1">
        <v>44200.487407407411</v>
      </c>
      <c r="P471" s="1">
        <v>44200.624016203707</v>
      </c>
      <c r="Q471">
        <v>11379</v>
      </c>
      <c r="R471">
        <v>424</v>
      </c>
      <c r="S471" t="b">
        <v>0</v>
      </c>
      <c r="T471" t="s">
        <v>87</v>
      </c>
      <c r="U471" t="b">
        <v>0</v>
      </c>
      <c r="V471" t="s">
        <v>266</v>
      </c>
      <c r="W471" s="1">
        <v>44200.560532407406</v>
      </c>
      <c r="X471">
        <v>285</v>
      </c>
      <c r="Y471">
        <v>52</v>
      </c>
      <c r="Z471">
        <v>0</v>
      </c>
      <c r="AA471">
        <v>52</v>
      </c>
      <c r="AB471">
        <v>0</v>
      </c>
      <c r="AC471">
        <v>14</v>
      </c>
      <c r="AD471">
        <v>14</v>
      </c>
      <c r="AE471">
        <v>0</v>
      </c>
      <c r="AF471">
        <v>0</v>
      </c>
      <c r="AG471">
        <v>0</v>
      </c>
      <c r="AH471" t="s">
        <v>267</v>
      </c>
      <c r="AI471" s="1">
        <v>44200.590949074074</v>
      </c>
      <c r="AJ471">
        <v>131</v>
      </c>
      <c r="AK471">
        <v>2</v>
      </c>
      <c r="AL471">
        <v>0</v>
      </c>
      <c r="AM471">
        <v>2</v>
      </c>
      <c r="AN471">
        <v>0</v>
      </c>
      <c r="AO471">
        <v>1</v>
      </c>
      <c r="AP471">
        <v>12</v>
      </c>
      <c r="AQ471">
        <v>0</v>
      </c>
      <c r="AR471">
        <v>0</v>
      </c>
      <c r="AS471">
        <v>0</v>
      </c>
      <c r="AT471" t="s">
        <v>90</v>
      </c>
      <c r="AU471" s="1">
        <v>44200.624016203707</v>
      </c>
      <c r="AV471">
        <v>8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12</v>
      </c>
      <c r="BC471">
        <v>0</v>
      </c>
      <c r="BD471">
        <v>0</v>
      </c>
      <c r="BE471">
        <v>0</v>
      </c>
    </row>
    <row r="472" spans="1:57" hidden="1" x14ac:dyDescent="0.45">
      <c r="A472" t="s">
        <v>1302</v>
      </c>
      <c r="B472" t="s">
        <v>79</v>
      </c>
      <c r="C472" t="s">
        <v>625</v>
      </c>
      <c r="D472" t="s">
        <v>81</v>
      </c>
      <c r="E472" s="2" t="str">
        <f>HYPERLINK("capsilon://?command=openfolder&amp;siteaddress=FAM.docvelocity-na8.net&amp;folderid=FX5C57F058-895C-485D-BDD6-4594D033D31B","FX201110601")</f>
        <v>FX201110601</v>
      </c>
      <c r="F472" t="s">
        <v>19</v>
      </c>
      <c r="G472" t="s">
        <v>19</v>
      </c>
      <c r="H472" t="s">
        <v>82</v>
      </c>
      <c r="I472" t="s">
        <v>1303</v>
      </c>
      <c r="J472">
        <v>66</v>
      </c>
      <c r="K472" t="s">
        <v>84</v>
      </c>
      <c r="L472" t="s">
        <v>85</v>
      </c>
      <c r="M472" t="s">
        <v>86</v>
      </c>
      <c r="N472">
        <v>3</v>
      </c>
      <c r="O472" s="1">
        <v>44200.488321759258</v>
      </c>
      <c r="P472" s="1">
        <v>44200.624062499999</v>
      </c>
      <c r="Q472">
        <v>11535</v>
      </c>
      <c r="R472">
        <v>193</v>
      </c>
      <c r="S472" t="b">
        <v>0</v>
      </c>
      <c r="T472" t="s">
        <v>87</v>
      </c>
      <c r="U472" t="b">
        <v>0</v>
      </c>
      <c r="V472" t="s">
        <v>88</v>
      </c>
      <c r="W472" s="1">
        <v>44200.560752314814</v>
      </c>
      <c r="X472">
        <v>155</v>
      </c>
      <c r="Y472">
        <v>0</v>
      </c>
      <c r="Z472">
        <v>0</v>
      </c>
      <c r="AA472">
        <v>0</v>
      </c>
      <c r="AB472">
        <v>52</v>
      </c>
      <c r="AC472">
        <v>0</v>
      </c>
      <c r="AD472">
        <v>66</v>
      </c>
      <c r="AE472">
        <v>0</v>
      </c>
      <c r="AF472">
        <v>0</v>
      </c>
      <c r="AG472">
        <v>0</v>
      </c>
      <c r="AH472" t="s">
        <v>267</v>
      </c>
      <c r="AI472" s="1">
        <v>44200.591365740744</v>
      </c>
      <c r="AJ472">
        <v>35</v>
      </c>
      <c r="AK472">
        <v>0</v>
      </c>
      <c r="AL472">
        <v>0</v>
      </c>
      <c r="AM472">
        <v>0</v>
      </c>
      <c r="AN472">
        <v>52</v>
      </c>
      <c r="AO472">
        <v>0</v>
      </c>
      <c r="AP472">
        <v>66</v>
      </c>
      <c r="AQ472">
        <v>0</v>
      </c>
      <c r="AR472">
        <v>0</v>
      </c>
      <c r="AS472">
        <v>0</v>
      </c>
      <c r="AT472" t="s">
        <v>90</v>
      </c>
      <c r="AU472" s="1">
        <v>44200.624062499999</v>
      </c>
      <c r="AV472">
        <v>3</v>
      </c>
      <c r="AW472">
        <v>0</v>
      </c>
      <c r="AX472">
        <v>0</v>
      </c>
      <c r="AY472">
        <v>0</v>
      </c>
      <c r="AZ472">
        <v>52</v>
      </c>
      <c r="BA472">
        <v>0</v>
      </c>
      <c r="BB472">
        <v>66</v>
      </c>
      <c r="BC472">
        <v>0</v>
      </c>
      <c r="BD472">
        <v>0</v>
      </c>
      <c r="BE472">
        <v>0</v>
      </c>
    </row>
    <row r="473" spans="1:57" hidden="1" x14ac:dyDescent="0.45">
      <c r="A473" t="s">
        <v>1304</v>
      </c>
      <c r="B473" t="s">
        <v>79</v>
      </c>
      <c r="C473" t="s">
        <v>1305</v>
      </c>
      <c r="D473" t="s">
        <v>81</v>
      </c>
      <c r="E473" s="2" t="str">
        <f>HYPERLINK("capsilon://?command=openfolder&amp;siteaddress=FAM.docvelocity-na8.net&amp;folderid=FXA055200C-CCA5-48A9-3061-7C52518C62F9","FX21012021")</f>
        <v>FX21012021</v>
      </c>
      <c r="F473" t="s">
        <v>19</v>
      </c>
      <c r="G473" t="s">
        <v>19</v>
      </c>
      <c r="H473" t="s">
        <v>82</v>
      </c>
      <c r="I473" t="s">
        <v>1306</v>
      </c>
      <c r="J473">
        <v>288</v>
      </c>
      <c r="K473" t="s">
        <v>84</v>
      </c>
      <c r="L473" t="s">
        <v>85</v>
      </c>
      <c r="M473" t="s">
        <v>86</v>
      </c>
      <c r="N473">
        <v>1</v>
      </c>
      <c r="O473" s="1">
        <v>44203.733680555553</v>
      </c>
      <c r="P473" s="1">
        <v>44203.744016203702</v>
      </c>
      <c r="Q473">
        <v>618</v>
      </c>
      <c r="R473">
        <v>275</v>
      </c>
      <c r="S473" t="b">
        <v>0</v>
      </c>
      <c r="T473" t="s">
        <v>87</v>
      </c>
      <c r="U473" t="b">
        <v>0</v>
      </c>
      <c r="V473" t="s">
        <v>266</v>
      </c>
      <c r="W473" s="1">
        <v>44203.744016203702</v>
      </c>
      <c r="X473">
        <v>266</v>
      </c>
      <c r="Y473">
        <v>243</v>
      </c>
      <c r="Z473">
        <v>0</v>
      </c>
      <c r="AA473">
        <v>243</v>
      </c>
      <c r="AB473">
        <v>0</v>
      </c>
      <c r="AC473">
        <v>0</v>
      </c>
      <c r="AD473">
        <v>45</v>
      </c>
      <c r="AE473">
        <v>21</v>
      </c>
      <c r="AF473">
        <v>0</v>
      </c>
      <c r="AG473">
        <v>2</v>
      </c>
      <c r="AH473" t="s">
        <v>87</v>
      </c>
      <c r="AI473" t="s">
        <v>87</v>
      </c>
      <c r="AJ473" t="s">
        <v>87</v>
      </c>
      <c r="AK473" t="s">
        <v>87</v>
      </c>
      <c r="AL473" t="s">
        <v>87</v>
      </c>
      <c r="AM473" t="s">
        <v>87</v>
      </c>
      <c r="AN473" t="s">
        <v>87</v>
      </c>
      <c r="AO473" t="s">
        <v>87</v>
      </c>
      <c r="AP473" t="s">
        <v>87</v>
      </c>
      <c r="AQ473" t="s">
        <v>87</v>
      </c>
      <c r="AR473" t="s">
        <v>87</v>
      </c>
      <c r="AS473" t="s">
        <v>87</v>
      </c>
      <c r="AT473" t="s">
        <v>87</v>
      </c>
      <c r="AU473" t="s">
        <v>87</v>
      </c>
      <c r="AV473" t="s">
        <v>87</v>
      </c>
      <c r="AW473" t="s">
        <v>87</v>
      </c>
      <c r="AX473" t="s">
        <v>87</v>
      </c>
      <c r="AY473" t="s">
        <v>87</v>
      </c>
      <c r="AZ473" t="s">
        <v>87</v>
      </c>
      <c r="BA473" t="s">
        <v>87</v>
      </c>
      <c r="BB473" t="s">
        <v>87</v>
      </c>
      <c r="BC473" t="s">
        <v>87</v>
      </c>
      <c r="BD473" t="s">
        <v>87</v>
      </c>
      <c r="BE473" t="s">
        <v>87</v>
      </c>
    </row>
    <row r="474" spans="1:57" x14ac:dyDescent="0.45">
      <c r="A474" t="s">
        <v>1307</v>
      </c>
      <c r="B474" t="s">
        <v>79</v>
      </c>
      <c r="C474" t="s">
        <v>1308</v>
      </c>
      <c r="D474" t="s">
        <v>81</v>
      </c>
      <c r="E474" s="2" t="str">
        <f>HYPERLINK("capsilon://?command=openfolder&amp;siteaddress=FAM.docvelocity-na8.net&amp;folderid=FX35D8438A-7A32-28B4-7F63-4652EAF5E604","FX201227383")</f>
        <v>FX201227383</v>
      </c>
      <c r="F474" t="s">
        <v>19</v>
      </c>
      <c r="G474" t="s">
        <v>19</v>
      </c>
      <c r="H474" t="s">
        <v>82</v>
      </c>
      <c r="I474" t="s">
        <v>1309</v>
      </c>
      <c r="J474">
        <v>124</v>
      </c>
      <c r="K474" t="s">
        <v>84</v>
      </c>
      <c r="L474" t="s">
        <v>85</v>
      </c>
      <c r="M474" t="s">
        <v>86</v>
      </c>
      <c r="N474">
        <v>3</v>
      </c>
      <c r="O474" s="1">
        <v>44200.48877314815</v>
      </c>
      <c r="P474" s="1">
        <v>44200.625555555554</v>
      </c>
      <c r="Q474">
        <v>9288</v>
      </c>
      <c r="R474">
        <v>2530</v>
      </c>
      <c r="S474" t="b">
        <v>0</v>
      </c>
      <c r="T474" t="s">
        <v>87</v>
      </c>
      <c r="U474" t="b">
        <v>0</v>
      </c>
      <c r="V474" t="s">
        <v>266</v>
      </c>
      <c r="W474" s="1">
        <v>44200.584652777776</v>
      </c>
      <c r="X474">
        <v>2083</v>
      </c>
      <c r="Y474">
        <v>128</v>
      </c>
      <c r="Z474">
        <v>0</v>
      </c>
      <c r="AA474">
        <v>128</v>
      </c>
      <c r="AB474">
        <v>0</v>
      </c>
      <c r="AC474">
        <v>87</v>
      </c>
      <c r="AD474">
        <v>-4</v>
      </c>
      <c r="AE474">
        <v>0</v>
      </c>
      <c r="AF474">
        <v>0</v>
      </c>
      <c r="AG474">
        <v>0</v>
      </c>
      <c r="AH474" t="s">
        <v>267</v>
      </c>
      <c r="AI474" s="1">
        <v>44200.595057870371</v>
      </c>
      <c r="AJ474">
        <v>318</v>
      </c>
      <c r="AK474">
        <v>2</v>
      </c>
      <c r="AL474">
        <v>0</v>
      </c>
      <c r="AM474">
        <v>2</v>
      </c>
      <c r="AN474">
        <v>0</v>
      </c>
      <c r="AO474">
        <v>1</v>
      </c>
      <c r="AP474">
        <v>-6</v>
      </c>
      <c r="AQ474">
        <v>0</v>
      </c>
      <c r="AR474">
        <v>0</v>
      </c>
      <c r="AS474">
        <v>0</v>
      </c>
      <c r="AT474" t="s">
        <v>90</v>
      </c>
      <c r="AU474" s="1">
        <v>44200.625555555554</v>
      </c>
      <c r="AV474">
        <v>129</v>
      </c>
      <c r="AW474">
        <v>2</v>
      </c>
      <c r="AX474">
        <v>0</v>
      </c>
      <c r="AY474">
        <v>2</v>
      </c>
      <c r="AZ474">
        <v>0</v>
      </c>
      <c r="BA474">
        <v>2</v>
      </c>
      <c r="BB474">
        <v>-8</v>
      </c>
      <c r="BC474">
        <v>0</v>
      </c>
      <c r="BD474">
        <v>0</v>
      </c>
      <c r="BE474">
        <v>0</v>
      </c>
    </row>
    <row r="475" spans="1:57" x14ac:dyDescent="0.45">
      <c r="A475" t="s">
        <v>1310</v>
      </c>
      <c r="B475" t="s">
        <v>79</v>
      </c>
      <c r="C475" t="s">
        <v>1248</v>
      </c>
      <c r="D475" t="s">
        <v>81</v>
      </c>
      <c r="E475" s="2" t="str">
        <f>HYPERLINK("capsilon://?command=openfolder&amp;siteaddress=FAM.docvelocity-na8.net&amp;folderid=FXF3216ABF-F6CA-1DD7-E9B1-715CD23B6636","FX201228677")</f>
        <v>FX201228677</v>
      </c>
      <c r="F475" t="s">
        <v>19</v>
      </c>
      <c r="G475" t="s">
        <v>19</v>
      </c>
      <c r="H475" t="s">
        <v>82</v>
      </c>
      <c r="I475" t="s">
        <v>1311</v>
      </c>
      <c r="J475">
        <v>66</v>
      </c>
      <c r="K475" t="s">
        <v>84</v>
      </c>
      <c r="L475" t="s">
        <v>85</v>
      </c>
      <c r="M475" t="s">
        <v>86</v>
      </c>
      <c r="N475">
        <v>3</v>
      </c>
      <c r="O475" s="1">
        <v>44203.738310185188</v>
      </c>
      <c r="P475" s="1">
        <v>44204.426192129627</v>
      </c>
      <c r="Q475">
        <v>57325</v>
      </c>
      <c r="R475">
        <v>2108</v>
      </c>
      <c r="S475" t="b">
        <v>0</v>
      </c>
      <c r="T475" t="s">
        <v>87</v>
      </c>
      <c r="U475" t="b">
        <v>0</v>
      </c>
      <c r="V475" t="s">
        <v>266</v>
      </c>
      <c r="W475" s="1">
        <v>44203.74726851852</v>
      </c>
      <c r="X475">
        <v>280</v>
      </c>
      <c r="Y475">
        <v>52</v>
      </c>
      <c r="Z475">
        <v>0</v>
      </c>
      <c r="AA475">
        <v>52</v>
      </c>
      <c r="AB475">
        <v>0</v>
      </c>
      <c r="AC475">
        <v>27</v>
      </c>
      <c r="AD475">
        <v>14</v>
      </c>
      <c r="AE475">
        <v>0</v>
      </c>
      <c r="AF475">
        <v>0</v>
      </c>
      <c r="AG475">
        <v>0</v>
      </c>
      <c r="AH475" t="s">
        <v>128</v>
      </c>
      <c r="AI475" s="1">
        <v>44203.750057870369</v>
      </c>
      <c r="AJ475">
        <v>213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14</v>
      </c>
      <c r="AQ475">
        <v>0</v>
      </c>
      <c r="AR475">
        <v>0</v>
      </c>
      <c r="AS475">
        <v>0</v>
      </c>
      <c r="AT475" t="s">
        <v>549</v>
      </c>
      <c r="AU475" s="1">
        <v>44204.426192129627</v>
      </c>
      <c r="AV475">
        <v>1615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14</v>
      </c>
      <c r="BC475">
        <v>0</v>
      </c>
      <c r="BD475">
        <v>0</v>
      </c>
      <c r="BE475">
        <v>0</v>
      </c>
    </row>
    <row r="476" spans="1:57" x14ac:dyDescent="0.45">
      <c r="A476" t="s">
        <v>1312</v>
      </c>
      <c r="B476" t="s">
        <v>79</v>
      </c>
      <c r="C476" t="s">
        <v>1305</v>
      </c>
      <c r="D476" t="s">
        <v>81</v>
      </c>
      <c r="E476" s="2" t="str">
        <f>HYPERLINK("capsilon://?command=openfolder&amp;siteaddress=FAM.docvelocity-na8.net&amp;folderid=FXA055200C-CCA5-48A9-3061-7C52518C62F9","FX21012021")</f>
        <v>FX21012021</v>
      </c>
      <c r="F476" t="s">
        <v>19</v>
      </c>
      <c r="G476" t="s">
        <v>19</v>
      </c>
      <c r="H476" t="s">
        <v>82</v>
      </c>
      <c r="I476" t="s">
        <v>1306</v>
      </c>
      <c r="J476">
        <v>52</v>
      </c>
      <c r="K476" t="s">
        <v>84</v>
      </c>
      <c r="L476" t="s">
        <v>85</v>
      </c>
      <c r="M476" t="s">
        <v>86</v>
      </c>
      <c r="N476">
        <v>3</v>
      </c>
      <c r="O476" s="1">
        <v>44203.744479166664</v>
      </c>
      <c r="P476" s="1">
        <v>44204.342615740738</v>
      </c>
      <c r="Q476">
        <v>49882</v>
      </c>
      <c r="R476">
        <v>1797</v>
      </c>
      <c r="S476" t="b">
        <v>0</v>
      </c>
      <c r="T476" t="s">
        <v>87</v>
      </c>
      <c r="U476" t="b">
        <v>1</v>
      </c>
      <c r="V476" t="s">
        <v>242</v>
      </c>
      <c r="W476" s="1">
        <v>44203.79896990741</v>
      </c>
      <c r="X476">
        <v>1159</v>
      </c>
      <c r="Y476">
        <v>105</v>
      </c>
      <c r="Z476">
        <v>0</v>
      </c>
      <c r="AA476">
        <v>105</v>
      </c>
      <c r="AB476">
        <v>37</v>
      </c>
      <c r="AC476">
        <v>94</v>
      </c>
      <c r="AD476">
        <v>-53</v>
      </c>
      <c r="AE476">
        <v>0</v>
      </c>
      <c r="AF476">
        <v>0</v>
      </c>
      <c r="AG476">
        <v>0</v>
      </c>
      <c r="AH476" t="s">
        <v>267</v>
      </c>
      <c r="AI476" s="1">
        <v>44203.802777777775</v>
      </c>
      <c r="AJ476">
        <v>314</v>
      </c>
      <c r="AK476">
        <v>0</v>
      </c>
      <c r="AL476">
        <v>0</v>
      </c>
      <c r="AM476">
        <v>0</v>
      </c>
      <c r="AN476">
        <v>37</v>
      </c>
      <c r="AO476">
        <v>0</v>
      </c>
      <c r="AP476">
        <v>-53</v>
      </c>
      <c r="AQ476">
        <v>0</v>
      </c>
      <c r="AR476">
        <v>0</v>
      </c>
      <c r="AS476">
        <v>0</v>
      </c>
      <c r="AT476" t="s">
        <v>90</v>
      </c>
      <c r="AU476" s="1">
        <v>44204.342615740738</v>
      </c>
      <c r="AV476">
        <v>249</v>
      </c>
      <c r="AW476">
        <v>0</v>
      </c>
      <c r="AX476">
        <v>0</v>
      </c>
      <c r="AY476">
        <v>0</v>
      </c>
      <c r="AZ476">
        <v>37</v>
      </c>
      <c r="BA476">
        <v>0</v>
      </c>
      <c r="BB476">
        <v>-53</v>
      </c>
      <c r="BC476">
        <v>0</v>
      </c>
      <c r="BD476">
        <v>0</v>
      </c>
      <c r="BE476">
        <v>0</v>
      </c>
    </row>
    <row r="477" spans="1:57" x14ac:dyDescent="0.45">
      <c r="A477" t="s">
        <v>1313</v>
      </c>
      <c r="B477" t="s">
        <v>79</v>
      </c>
      <c r="C477" t="s">
        <v>1314</v>
      </c>
      <c r="D477" t="s">
        <v>81</v>
      </c>
      <c r="E477" s="2" t="str">
        <f>HYPERLINK("capsilon://?command=openfolder&amp;siteaddress=FAM.docvelocity-na8.net&amp;folderid=FX74C01234-D2A5-5D96-7A5F-060B54C601EE","FX201228493")</f>
        <v>FX201228493</v>
      </c>
      <c r="F477" t="s">
        <v>19</v>
      </c>
      <c r="G477" t="s">
        <v>19</v>
      </c>
      <c r="H477" t="s">
        <v>82</v>
      </c>
      <c r="I477" t="s">
        <v>1315</v>
      </c>
      <c r="J477">
        <v>208</v>
      </c>
      <c r="K477" t="s">
        <v>84</v>
      </c>
      <c r="L477" t="s">
        <v>85</v>
      </c>
      <c r="M477" t="s">
        <v>86</v>
      </c>
      <c r="N477">
        <v>3</v>
      </c>
      <c r="O477" s="1">
        <v>44200.490057870367</v>
      </c>
      <c r="P477" s="1">
        <v>44200.627928240741</v>
      </c>
      <c r="Q477">
        <v>9286</v>
      </c>
      <c r="R477">
        <v>2626</v>
      </c>
      <c r="S477" t="b">
        <v>0</v>
      </c>
      <c r="T477" t="s">
        <v>87</v>
      </c>
      <c r="U477" t="b">
        <v>0</v>
      </c>
      <c r="V477" t="s">
        <v>88</v>
      </c>
      <c r="W477" s="1">
        <v>44200.586076388892</v>
      </c>
      <c r="X477">
        <v>2187</v>
      </c>
      <c r="Y477">
        <v>159</v>
      </c>
      <c r="Z477">
        <v>0</v>
      </c>
      <c r="AA477">
        <v>159</v>
      </c>
      <c r="AB477">
        <v>0</v>
      </c>
      <c r="AC477">
        <v>75</v>
      </c>
      <c r="AD477">
        <v>49</v>
      </c>
      <c r="AE477">
        <v>0</v>
      </c>
      <c r="AF477">
        <v>0</v>
      </c>
      <c r="AG477">
        <v>0</v>
      </c>
      <c r="AH477" t="s">
        <v>267</v>
      </c>
      <c r="AI477" s="1">
        <v>44200.59778935185</v>
      </c>
      <c r="AJ477">
        <v>235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49</v>
      </c>
      <c r="AQ477">
        <v>0</v>
      </c>
      <c r="AR477">
        <v>0</v>
      </c>
      <c r="AS477">
        <v>0</v>
      </c>
      <c r="AT477" t="s">
        <v>90</v>
      </c>
      <c r="AU477" s="1">
        <v>44200.627928240741</v>
      </c>
      <c r="AV477">
        <v>204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49</v>
      </c>
      <c r="BC477">
        <v>0</v>
      </c>
      <c r="BD477">
        <v>0</v>
      </c>
      <c r="BE477">
        <v>0</v>
      </c>
    </row>
    <row r="478" spans="1:57" x14ac:dyDescent="0.45">
      <c r="A478" t="s">
        <v>1316</v>
      </c>
      <c r="B478" t="s">
        <v>79</v>
      </c>
      <c r="C478" t="s">
        <v>1317</v>
      </c>
      <c r="D478" t="s">
        <v>81</v>
      </c>
      <c r="E478" s="2" t="str">
        <f>HYPERLINK("capsilon://?command=openfolder&amp;siteaddress=FAM.docvelocity-na8.net&amp;folderid=FXB116B044-2931-863F-54C9-8462069A5A4A","FX20128681")</f>
        <v>FX20128681</v>
      </c>
      <c r="F478" t="s">
        <v>19</v>
      </c>
      <c r="G478" t="s">
        <v>19</v>
      </c>
      <c r="H478" t="s">
        <v>82</v>
      </c>
      <c r="I478" t="s">
        <v>1318</v>
      </c>
      <c r="J478">
        <v>69</v>
      </c>
      <c r="K478" t="s">
        <v>84</v>
      </c>
      <c r="L478" t="s">
        <v>85</v>
      </c>
      <c r="M478" t="s">
        <v>86</v>
      </c>
      <c r="N478">
        <v>3</v>
      </c>
      <c r="O478" s="1">
        <v>44203.748252314814</v>
      </c>
      <c r="P478" s="1">
        <v>44204.427662037036</v>
      </c>
      <c r="Q478">
        <v>56606</v>
      </c>
      <c r="R478">
        <v>2095</v>
      </c>
      <c r="S478" t="b">
        <v>0</v>
      </c>
      <c r="T478" t="s">
        <v>87</v>
      </c>
      <c r="U478" t="b">
        <v>0</v>
      </c>
      <c r="V478" t="s">
        <v>266</v>
      </c>
      <c r="W478" s="1">
        <v>44203.752939814818</v>
      </c>
      <c r="X478">
        <v>366</v>
      </c>
      <c r="Y478">
        <v>51</v>
      </c>
      <c r="Z478">
        <v>0</v>
      </c>
      <c r="AA478">
        <v>51</v>
      </c>
      <c r="AB478">
        <v>0</v>
      </c>
      <c r="AC478">
        <v>25</v>
      </c>
      <c r="AD478">
        <v>18</v>
      </c>
      <c r="AE478">
        <v>0</v>
      </c>
      <c r="AF478">
        <v>0</v>
      </c>
      <c r="AG478">
        <v>0</v>
      </c>
      <c r="AH478" t="s">
        <v>128</v>
      </c>
      <c r="AI478" s="1">
        <v>44203.754976851851</v>
      </c>
      <c r="AJ478">
        <v>171</v>
      </c>
      <c r="AK478">
        <v>1</v>
      </c>
      <c r="AL478">
        <v>0</v>
      </c>
      <c r="AM478">
        <v>1</v>
      </c>
      <c r="AN478">
        <v>0</v>
      </c>
      <c r="AO478">
        <v>1</v>
      </c>
      <c r="AP478">
        <v>17</v>
      </c>
      <c r="AQ478">
        <v>0</v>
      </c>
      <c r="AR478">
        <v>0</v>
      </c>
      <c r="AS478">
        <v>0</v>
      </c>
      <c r="AT478" t="s">
        <v>90</v>
      </c>
      <c r="AU478" s="1">
        <v>44204.427662037036</v>
      </c>
      <c r="AV478">
        <v>1558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17</v>
      </c>
      <c r="BC478">
        <v>0</v>
      </c>
      <c r="BD478">
        <v>0</v>
      </c>
      <c r="BE478">
        <v>0</v>
      </c>
    </row>
    <row r="479" spans="1:57" x14ac:dyDescent="0.45">
      <c r="A479" t="s">
        <v>1319</v>
      </c>
      <c r="B479" t="s">
        <v>79</v>
      </c>
      <c r="C479" t="s">
        <v>1317</v>
      </c>
      <c r="D479" t="s">
        <v>81</v>
      </c>
      <c r="E479" s="2" t="str">
        <f>HYPERLINK("capsilon://?command=openfolder&amp;siteaddress=FAM.docvelocity-na8.net&amp;folderid=FXB116B044-2931-863F-54C9-8462069A5A4A","FX20128681")</f>
        <v>FX20128681</v>
      </c>
      <c r="F479" t="s">
        <v>19</v>
      </c>
      <c r="G479" t="s">
        <v>19</v>
      </c>
      <c r="H479" t="s">
        <v>82</v>
      </c>
      <c r="I479" t="s">
        <v>1320</v>
      </c>
      <c r="J479">
        <v>92</v>
      </c>
      <c r="K479" t="s">
        <v>84</v>
      </c>
      <c r="L479" t="s">
        <v>85</v>
      </c>
      <c r="M479" t="s">
        <v>86</v>
      </c>
      <c r="N479">
        <v>3</v>
      </c>
      <c r="O479" s="1">
        <v>44203.750162037039</v>
      </c>
      <c r="P479" s="1">
        <v>44204.462372685186</v>
      </c>
      <c r="Q479">
        <v>57999</v>
      </c>
      <c r="R479">
        <v>3536</v>
      </c>
      <c r="S479" t="b">
        <v>0</v>
      </c>
      <c r="T479" t="s">
        <v>87</v>
      </c>
      <c r="U479" t="b">
        <v>0</v>
      </c>
      <c r="V479" t="s">
        <v>266</v>
      </c>
      <c r="W479" s="1">
        <v>44203.755659722221</v>
      </c>
      <c r="X479">
        <v>235</v>
      </c>
      <c r="Y479">
        <v>61</v>
      </c>
      <c r="Z479">
        <v>0</v>
      </c>
      <c r="AA479">
        <v>61</v>
      </c>
      <c r="AB479">
        <v>0</v>
      </c>
      <c r="AC479">
        <v>1</v>
      </c>
      <c r="AD479">
        <v>31</v>
      </c>
      <c r="AE479">
        <v>0</v>
      </c>
      <c r="AF479">
        <v>0</v>
      </c>
      <c r="AG479">
        <v>0</v>
      </c>
      <c r="AH479" t="s">
        <v>128</v>
      </c>
      <c r="AI479" s="1">
        <v>44203.758784722224</v>
      </c>
      <c r="AJ479">
        <v>175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31</v>
      </c>
      <c r="AQ479">
        <v>0</v>
      </c>
      <c r="AR479">
        <v>0</v>
      </c>
      <c r="AS479">
        <v>0</v>
      </c>
      <c r="AT479" t="s">
        <v>549</v>
      </c>
      <c r="AU479" s="1">
        <v>44204.462372685186</v>
      </c>
      <c r="AV479">
        <v>3126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31</v>
      </c>
      <c r="BC479">
        <v>0</v>
      </c>
      <c r="BD479">
        <v>0</v>
      </c>
      <c r="BE479">
        <v>0</v>
      </c>
    </row>
    <row r="480" spans="1:57" x14ac:dyDescent="0.45">
      <c r="A480" t="s">
        <v>1321</v>
      </c>
      <c r="B480" t="s">
        <v>79</v>
      </c>
      <c r="C480" t="s">
        <v>1322</v>
      </c>
      <c r="D480" t="s">
        <v>81</v>
      </c>
      <c r="E480" s="2" t="str">
        <f>HYPERLINK("capsilon://?command=openfolder&amp;siteaddress=FAM.docvelocity-na8.net&amp;folderid=FX42114041-3AE2-E6F1-3B6D-09CC14DCD385","FX20126175")</f>
        <v>FX20126175</v>
      </c>
      <c r="F480" t="s">
        <v>19</v>
      </c>
      <c r="G480" t="s">
        <v>19</v>
      </c>
      <c r="H480" t="s">
        <v>82</v>
      </c>
      <c r="I480" t="s">
        <v>1323</v>
      </c>
      <c r="J480">
        <v>71</v>
      </c>
      <c r="K480" t="s">
        <v>84</v>
      </c>
      <c r="L480" t="s">
        <v>85</v>
      </c>
      <c r="M480" t="s">
        <v>86</v>
      </c>
      <c r="N480">
        <v>3</v>
      </c>
      <c r="O480" s="1">
        <v>44203.751828703702</v>
      </c>
      <c r="P480" s="1">
        <v>44204.428530092591</v>
      </c>
      <c r="Q480">
        <v>58021</v>
      </c>
      <c r="R480">
        <v>446</v>
      </c>
      <c r="S480" t="b">
        <v>0</v>
      </c>
      <c r="T480" t="s">
        <v>87</v>
      </c>
      <c r="U480" t="b">
        <v>0</v>
      </c>
      <c r="V480" t="s">
        <v>266</v>
      </c>
      <c r="W480" s="1">
        <v>44203.758391203701</v>
      </c>
      <c r="X480">
        <v>235</v>
      </c>
      <c r="Y480">
        <v>46</v>
      </c>
      <c r="Z480">
        <v>0</v>
      </c>
      <c r="AA480">
        <v>46</v>
      </c>
      <c r="AB480">
        <v>0</v>
      </c>
      <c r="AC480">
        <v>6</v>
      </c>
      <c r="AD480">
        <v>25</v>
      </c>
      <c r="AE480">
        <v>0</v>
      </c>
      <c r="AF480">
        <v>0</v>
      </c>
      <c r="AG480">
        <v>0</v>
      </c>
      <c r="AH480" t="s">
        <v>128</v>
      </c>
      <c r="AI480" s="1">
        <v>44203.760370370372</v>
      </c>
      <c r="AJ480">
        <v>136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25</v>
      </c>
      <c r="AQ480">
        <v>0</v>
      </c>
      <c r="AR480">
        <v>0</v>
      </c>
      <c r="AS480">
        <v>0</v>
      </c>
      <c r="AT480" t="s">
        <v>90</v>
      </c>
      <c r="AU480" s="1">
        <v>44204.428530092591</v>
      </c>
      <c r="AV480">
        <v>75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25</v>
      </c>
      <c r="BC480">
        <v>0</v>
      </c>
      <c r="BD480">
        <v>0</v>
      </c>
      <c r="BE480">
        <v>0</v>
      </c>
    </row>
    <row r="481" spans="1:57" x14ac:dyDescent="0.45">
      <c r="A481" t="s">
        <v>1324</v>
      </c>
      <c r="B481" t="s">
        <v>79</v>
      </c>
      <c r="C481" t="s">
        <v>1322</v>
      </c>
      <c r="D481" t="s">
        <v>81</v>
      </c>
      <c r="E481" s="2" t="str">
        <f>HYPERLINK("capsilon://?command=openfolder&amp;siteaddress=FAM.docvelocity-na8.net&amp;folderid=FX42114041-3AE2-E6F1-3B6D-09CC14DCD385","FX20126175")</f>
        <v>FX20126175</v>
      </c>
      <c r="F481" t="s">
        <v>19</v>
      </c>
      <c r="G481" t="s">
        <v>19</v>
      </c>
      <c r="H481" t="s">
        <v>82</v>
      </c>
      <c r="I481" t="s">
        <v>1325</v>
      </c>
      <c r="J481">
        <v>81</v>
      </c>
      <c r="K481" t="s">
        <v>84</v>
      </c>
      <c r="L481" t="s">
        <v>85</v>
      </c>
      <c r="M481" t="s">
        <v>86</v>
      </c>
      <c r="N481">
        <v>3</v>
      </c>
      <c r="O481" s="1">
        <v>44203.753148148149</v>
      </c>
      <c r="P481" s="1">
        <v>44204.428587962961</v>
      </c>
      <c r="Q481">
        <v>57936</v>
      </c>
      <c r="R481">
        <v>422</v>
      </c>
      <c r="S481" t="b">
        <v>0</v>
      </c>
      <c r="T481" t="s">
        <v>87</v>
      </c>
      <c r="U481" t="b">
        <v>0</v>
      </c>
      <c r="V481" t="s">
        <v>259</v>
      </c>
      <c r="W481" s="1">
        <v>44203.760636574072</v>
      </c>
      <c r="X481">
        <v>331</v>
      </c>
      <c r="Y481">
        <v>56</v>
      </c>
      <c r="Z481">
        <v>0</v>
      </c>
      <c r="AA481">
        <v>56</v>
      </c>
      <c r="AB481">
        <v>0</v>
      </c>
      <c r="AC481">
        <v>18</v>
      </c>
      <c r="AD481">
        <v>25</v>
      </c>
      <c r="AE481">
        <v>0</v>
      </c>
      <c r="AF481">
        <v>0</v>
      </c>
      <c r="AG481">
        <v>0</v>
      </c>
      <c r="AH481" t="s">
        <v>267</v>
      </c>
      <c r="AI481" s="1">
        <v>44203.762395833335</v>
      </c>
      <c r="AJ481">
        <v>87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25</v>
      </c>
      <c r="AQ481">
        <v>0</v>
      </c>
      <c r="AR481">
        <v>0</v>
      </c>
      <c r="AS481">
        <v>0</v>
      </c>
      <c r="AT481" t="s">
        <v>90</v>
      </c>
      <c r="AU481" s="1">
        <v>44204.428587962961</v>
      </c>
      <c r="AV481">
        <v>4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25</v>
      </c>
      <c r="BC481">
        <v>0</v>
      </c>
      <c r="BD481">
        <v>0</v>
      </c>
      <c r="BE481">
        <v>0</v>
      </c>
    </row>
    <row r="482" spans="1:57" x14ac:dyDescent="0.45">
      <c r="A482" t="s">
        <v>1326</v>
      </c>
      <c r="B482" t="s">
        <v>79</v>
      </c>
      <c r="C482" t="s">
        <v>1322</v>
      </c>
      <c r="D482" t="s">
        <v>81</v>
      </c>
      <c r="E482" s="2" t="str">
        <f>HYPERLINK("capsilon://?command=openfolder&amp;siteaddress=FAM.docvelocity-na8.net&amp;folderid=FX42114041-3AE2-E6F1-3B6D-09CC14DCD385","FX20126175")</f>
        <v>FX20126175</v>
      </c>
      <c r="F482" t="s">
        <v>19</v>
      </c>
      <c r="G482" t="s">
        <v>19</v>
      </c>
      <c r="H482" t="s">
        <v>82</v>
      </c>
      <c r="I482" t="s">
        <v>1327</v>
      </c>
      <c r="J482">
        <v>76</v>
      </c>
      <c r="K482" t="s">
        <v>84</v>
      </c>
      <c r="L482" t="s">
        <v>85</v>
      </c>
      <c r="M482" t="s">
        <v>86</v>
      </c>
      <c r="N482">
        <v>3</v>
      </c>
      <c r="O482" s="1">
        <v>44203.753159722219</v>
      </c>
      <c r="P482" s="1">
        <v>44204.42863425926</v>
      </c>
      <c r="Q482">
        <v>58053</v>
      </c>
      <c r="R482">
        <v>308</v>
      </c>
      <c r="S482" t="b">
        <v>0</v>
      </c>
      <c r="T482" t="s">
        <v>87</v>
      </c>
      <c r="U482" t="b">
        <v>0</v>
      </c>
      <c r="V482" t="s">
        <v>266</v>
      </c>
      <c r="W482" s="1">
        <v>44203.760335648149</v>
      </c>
      <c r="X482">
        <v>167</v>
      </c>
      <c r="Y482">
        <v>46</v>
      </c>
      <c r="Z482">
        <v>0</v>
      </c>
      <c r="AA482">
        <v>46</v>
      </c>
      <c r="AB482">
        <v>0</v>
      </c>
      <c r="AC482">
        <v>5</v>
      </c>
      <c r="AD482">
        <v>30</v>
      </c>
      <c r="AE482">
        <v>0</v>
      </c>
      <c r="AF482">
        <v>0</v>
      </c>
      <c r="AG482">
        <v>0</v>
      </c>
      <c r="AH482" t="s">
        <v>128</v>
      </c>
      <c r="AI482" s="1">
        <v>44203.761967592596</v>
      </c>
      <c r="AJ482">
        <v>137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30</v>
      </c>
      <c r="AQ482">
        <v>0</v>
      </c>
      <c r="AR482">
        <v>0</v>
      </c>
      <c r="AS482">
        <v>0</v>
      </c>
      <c r="AT482" t="s">
        <v>90</v>
      </c>
      <c r="AU482" s="1">
        <v>44204.42863425926</v>
      </c>
      <c r="AV482">
        <v>4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30</v>
      </c>
      <c r="BC482">
        <v>0</v>
      </c>
      <c r="BD482">
        <v>0</v>
      </c>
      <c r="BE482">
        <v>0</v>
      </c>
    </row>
    <row r="483" spans="1:57" x14ac:dyDescent="0.45">
      <c r="A483" t="s">
        <v>1328</v>
      </c>
      <c r="B483" t="s">
        <v>79</v>
      </c>
      <c r="C483" t="s">
        <v>1317</v>
      </c>
      <c r="D483" t="s">
        <v>81</v>
      </c>
      <c r="E483" s="2" t="str">
        <f>HYPERLINK("capsilon://?command=openfolder&amp;siteaddress=FAM.docvelocity-na8.net&amp;folderid=FXB116B044-2931-863F-54C9-8462069A5A4A","FX20128681")</f>
        <v>FX20128681</v>
      </c>
      <c r="F483" t="s">
        <v>19</v>
      </c>
      <c r="G483" t="s">
        <v>19</v>
      </c>
      <c r="H483" t="s">
        <v>82</v>
      </c>
      <c r="I483" t="s">
        <v>1329</v>
      </c>
      <c r="J483">
        <v>92</v>
      </c>
      <c r="K483" t="s">
        <v>84</v>
      </c>
      <c r="L483" t="s">
        <v>85</v>
      </c>
      <c r="M483" t="s">
        <v>86</v>
      </c>
      <c r="N483">
        <v>3</v>
      </c>
      <c r="O483" s="1">
        <v>44203.754340277781</v>
      </c>
      <c r="P483" s="1">
        <v>44204.429780092592</v>
      </c>
      <c r="Q483">
        <v>57849</v>
      </c>
      <c r="R483">
        <v>509</v>
      </c>
      <c r="S483" t="b">
        <v>0</v>
      </c>
      <c r="T483" t="s">
        <v>87</v>
      </c>
      <c r="U483" t="b">
        <v>0</v>
      </c>
      <c r="V483" t="s">
        <v>266</v>
      </c>
      <c r="W483" s="1">
        <v>44203.762986111113</v>
      </c>
      <c r="X483">
        <v>229</v>
      </c>
      <c r="Y483">
        <v>61</v>
      </c>
      <c r="Z483">
        <v>0</v>
      </c>
      <c r="AA483">
        <v>61</v>
      </c>
      <c r="AB483">
        <v>0</v>
      </c>
      <c r="AC483">
        <v>1</v>
      </c>
      <c r="AD483">
        <v>31</v>
      </c>
      <c r="AE483">
        <v>0</v>
      </c>
      <c r="AF483">
        <v>0</v>
      </c>
      <c r="AG483">
        <v>0</v>
      </c>
      <c r="AH483" t="s">
        <v>128</v>
      </c>
      <c r="AI483" s="1">
        <v>44203.765405092592</v>
      </c>
      <c r="AJ483">
        <v>182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31</v>
      </c>
      <c r="AQ483">
        <v>0</v>
      </c>
      <c r="AR483">
        <v>0</v>
      </c>
      <c r="AS483">
        <v>0</v>
      </c>
      <c r="AT483" t="s">
        <v>90</v>
      </c>
      <c r="AU483" s="1">
        <v>44204.429780092592</v>
      </c>
      <c r="AV483">
        <v>98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31</v>
      </c>
      <c r="BC483">
        <v>0</v>
      </c>
      <c r="BD483">
        <v>0</v>
      </c>
      <c r="BE483">
        <v>0</v>
      </c>
    </row>
    <row r="484" spans="1:57" x14ac:dyDescent="0.45">
      <c r="A484" t="s">
        <v>1330</v>
      </c>
      <c r="B484" t="s">
        <v>79</v>
      </c>
      <c r="C484" t="s">
        <v>1317</v>
      </c>
      <c r="D484" t="s">
        <v>81</v>
      </c>
      <c r="E484" s="2" t="str">
        <f>HYPERLINK("capsilon://?command=openfolder&amp;siteaddress=FAM.docvelocity-na8.net&amp;folderid=FXB116B044-2931-863F-54C9-8462069A5A4A","FX20128681")</f>
        <v>FX20128681</v>
      </c>
      <c r="F484" t="s">
        <v>19</v>
      </c>
      <c r="G484" t="s">
        <v>19</v>
      </c>
      <c r="H484" t="s">
        <v>82</v>
      </c>
      <c r="I484" t="s">
        <v>1331</v>
      </c>
      <c r="J484">
        <v>92</v>
      </c>
      <c r="K484" t="s">
        <v>84</v>
      </c>
      <c r="L484" t="s">
        <v>85</v>
      </c>
      <c r="M484" t="s">
        <v>86</v>
      </c>
      <c r="N484">
        <v>3</v>
      </c>
      <c r="O484" s="1">
        <v>44203.754374999997</v>
      </c>
      <c r="P484" s="1">
        <v>44204.429826388892</v>
      </c>
      <c r="Q484">
        <v>57917</v>
      </c>
      <c r="R484">
        <v>442</v>
      </c>
      <c r="S484" t="b">
        <v>0</v>
      </c>
      <c r="T484" t="s">
        <v>87</v>
      </c>
      <c r="U484" t="b">
        <v>0</v>
      </c>
      <c r="V484" t="s">
        <v>259</v>
      </c>
      <c r="W484" s="1">
        <v>44203.763668981483</v>
      </c>
      <c r="X484">
        <v>261</v>
      </c>
      <c r="Y484">
        <v>61</v>
      </c>
      <c r="Z484">
        <v>0</v>
      </c>
      <c r="AA484">
        <v>61</v>
      </c>
      <c r="AB484">
        <v>0</v>
      </c>
      <c r="AC484">
        <v>13</v>
      </c>
      <c r="AD484">
        <v>31</v>
      </c>
      <c r="AE484">
        <v>0</v>
      </c>
      <c r="AF484">
        <v>0</v>
      </c>
      <c r="AG484">
        <v>0</v>
      </c>
      <c r="AH484" t="s">
        <v>128</v>
      </c>
      <c r="AI484" s="1">
        <v>44203.767476851855</v>
      </c>
      <c r="AJ484">
        <v>178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31</v>
      </c>
      <c r="AQ484">
        <v>0</v>
      </c>
      <c r="AR484">
        <v>0</v>
      </c>
      <c r="AS484">
        <v>0</v>
      </c>
      <c r="AT484" t="s">
        <v>90</v>
      </c>
      <c r="AU484" s="1">
        <v>44204.429826388892</v>
      </c>
      <c r="AV484">
        <v>3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31</v>
      </c>
      <c r="BC484">
        <v>0</v>
      </c>
      <c r="BD484">
        <v>0</v>
      </c>
      <c r="BE484">
        <v>0</v>
      </c>
    </row>
    <row r="485" spans="1:57" x14ac:dyDescent="0.45">
      <c r="A485" t="s">
        <v>1332</v>
      </c>
      <c r="B485" t="s">
        <v>79</v>
      </c>
      <c r="C485" t="s">
        <v>1333</v>
      </c>
      <c r="D485" t="s">
        <v>81</v>
      </c>
      <c r="E485" s="2" t="str">
        <f>HYPERLINK("capsilon://?command=openfolder&amp;siteaddress=FAM.docvelocity-na8.net&amp;folderid=FX7C866C75-630B-597D-2E1E-27DAA1EE5981","FX21013068")</f>
        <v>FX21013068</v>
      </c>
      <c r="F485" t="s">
        <v>19</v>
      </c>
      <c r="G485" t="s">
        <v>19</v>
      </c>
      <c r="H485" t="s">
        <v>82</v>
      </c>
      <c r="I485" t="s">
        <v>1334</v>
      </c>
      <c r="J485">
        <v>435</v>
      </c>
      <c r="K485" t="s">
        <v>84</v>
      </c>
      <c r="L485" t="s">
        <v>85</v>
      </c>
      <c r="M485" t="s">
        <v>86</v>
      </c>
      <c r="N485">
        <v>3</v>
      </c>
      <c r="O485" s="1">
        <v>44203.755844907406</v>
      </c>
      <c r="P485" s="1">
        <v>44204.430590277778</v>
      </c>
      <c r="Q485">
        <v>56167</v>
      </c>
      <c r="R485">
        <v>2131</v>
      </c>
      <c r="S485" t="b">
        <v>0</v>
      </c>
      <c r="T485" t="s">
        <v>87</v>
      </c>
      <c r="U485" t="b">
        <v>0</v>
      </c>
      <c r="V485" t="s">
        <v>242</v>
      </c>
      <c r="W485" s="1">
        <v>44203.782349537039</v>
      </c>
      <c r="X485">
        <v>1723</v>
      </c>
      <c r="Y485">
        <v>339</v>
      </c>
      <c r="Z485">
        <v>0</v>
      </c>
      <c r="AA485">
        <v>339</v>
      </c>
      <c r="AB485">
        <v>37</v>
      </c>
      <c r="AC485">
        <v>213</v>
      </c>
      <c r="AD485">
        <v>96</v>
      </c>
      <c r="AE485">
        <v>0</v>
      </c>
      <c r="AF485">
        <v>0</v>
      </c>
      <c r="AG485">
        <v>0</v>
      </c>
      <c r="AH485" t="s">
        <v>267</v>
      </c>
      <c r="AI485" s="1">
        <v>44203.789699074077</v>
      </c>
      <c r="AJ485">
        <v>343</v>
      </c>
      <c r="AK485">
        <v>0</v>
      </c>
      <c r="AL485">
        <v>0</v>
      </c>
      <c r="AM485">
        <v>0</v>
      </c>
      <c r="AN485">
        <v>37</v>
      </c>
      <c r="AO485">
        <v>0</v>
      </c>
      <c r="AP485">
        <v>96</v>
      </c>
      <c r="AQ485">
        <v>0</v>
      </c>
      <c r="AR485">
        <v>0</v>
      </c>
      <c r="AS485">
        <v>0</v>
      </c>
      <c r="AT485" t="s">
        <v>90</v>
      </c>
      <c r="AU485" s="1">
        <v>44204.430590277778</v>
      </c>
      <c r="AV485">
        <v>65</v>
      </c>
      <c r="AW485">
        <v>0</v>
      </c>
      <c r="AX485">
        <v>0</v>
      </c>
      <c r="AY485">
        <v>0</v>
      </c>
      <c r="AZ485">
        <v>37</v>
      </c>
      <c r="BA485">
        <v>0</v>
      </c>
      <c r="BB485">
        <v>96</v>
      </c>
      <c r="BC485">
        <v>0</v>
      </c>
      <c r="BD485">
        <v>0</v>
      </c>
      <c r="BE485">
        <v>0</v>
      </c>
    </row>
    <row r="486" spans="1:57" x14ac:dyDescent="0.45">
      <c r="A486" t="s">
        <v>1335</v>
      </c>
      <c r="B486" t="s">
        <v>79</v>
      </c>
      <c r="C486" t="s">
        <v>1322</v>
      </c>
      <c r="D486" t="s">
        <v>81</v>
      </c>
      <c r="E486" s="2" t="str">
        <f>HYPERLINK("capsilon://?command=openfolder&amp;siteaddress=FAM.docvelocity-na8.net&amp;folderid=FX42114041-3AE2-E6F1-3B6D-09CC14DCD385","FX20126175")</f>
        <v>FX20126175</v>
      </c>
      <c r="F486" t="s">
        <v>19</v>
      </c>
      <c r="G486" t="s">
        <v>19</v>
      </c>
      <c r="H486" t="s">
        <v>82</v>
      </c>
      <c r="I486" t="s">
        <v>1336</v>
      </c>
      <c r="J486">
        <v>72</v>
      </c>
      <c r="K486" t="s">
        <v>84</v>
      </c>
      <c r="L486" t="s">
        <v>85</v>
      </c>
      <c r="M486" t="s">
        <v>86</v>
      </c>
      <c r="N486">
        <v>3</v>
      </c>
      <c r="O486" s="1">
        <v>44203.757060185184</v>
      </c>
      <c r="P486" s="1">
        <v>44204.43482638889</v>
      </c>
      <c r="Q486">
        <v>57685</v>
      </c>
      <c r="R486">
        <v>874</v>
      </c>
      <c r="S486" t="b">
        <v>0</v>
      </c>
      <c r="T486" t="s">
        <v>87</v>
      </c>
      <c r="U486" t="b">
        <v>0</v>
      </c>
      <c r="V486" t="s">
        <v>266</v>
      </c>
      <c r="W486" s="1">
        <v>44203.767766203702</v>
      </c>
      <c r="X486">
        <v>412</v>
      </c>
      <c r="Y486">
        <v>59</v>
      </c>
      <c r="Z486">
        <v>0</v>
      </c>
      <c r="AA486">
        <v>59</v>
      </c>
      <c r="AB486">
        <v>0</v>
      </c>
      <c r="AC486">
        <v>26</v>
      </c>
      <c r="AD486">
        <v>13</v>
      </c>
      <c r="AE486">
        <v>0</v>
      </c>
      <c r="AF486">
        <v>0</v>
      </c>
      <c r="AG486">
        <v>0</v>
      </c>
      <c r="AH486" t="s">
        <v>267</v>
      </c>
      <c r="AI486" s="1">
        <v>44203.768935185188</v>
      </c>
      <c r="AJ486">
        <v>97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13</v>
      </c>
      <c r="AQ486">
        <v>0</v>
      </c>
      <c r="AR486">
        <v>0</v>
      </c>
      <c r="AS486">
        <v>0</v>
      </c>
      <c r="AT486" t="s">
        <v>90</v>
      </c>
      <c r="AU486" s="1">
        <v>44204.43482638889</v>
      </c>
      <c r="AV486">
        <v>365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13</v>
      </c>
      <c r="BC486">
        <v>0</v>
      </c>
      <c r="BD486">
        <v>0</v>
      </c>
      <c r="BE486">
        <v>0</v>
      </c>
    </row>
    <row r="487" spans="1:57" x14ac:dyDescent="0.45">
      <c r="A487" t="s">
        <v>1337</v>
      </c>
      <c r="B487" t="s">
        <v>79</v>
      </c>
      <c r="C487" t="s">
        <v>1322</v>
      </c>
      <c r="D487" t="s">
        <v>81</v>
      </c>
      <c r="E487" s="2" t="str">
        <f>HYPERLINK("capsilon://?command=openfolder&amp;siteaddress=FAM.docvelocity-na8.net&amp;folderid=FX42114041-3AE2-E6F1-3B6D-09CC14DCD385","FX20126175")</f>
        <v>FX20126175</v>
      </c>
      <c r="F487" t="s">
        <v>19</v>
      </c>
      <c r="G487" t="s">
        <v>19</v>
      </c>
      <c r="H487" t="s">
        <v>82</v>
      </c>
      <c r="I487" t="s">
        <v>1338</v>
      </c>
      <c r="J487">
        <v>72</v>
      </c>
      <c r="K487" t="s">
        <v>84</v>
      </c>
      <c r="L487" t="s">
        <v>85</v>
      </c>
      <c r="M487" t="s">
        <v>86</v>
      </c>
      <c r="N487">
        <v>3</v>
      </c>
      <c r="O487" s="1">
        <v>44203.757430555554</v>
      </c>
      <c r="P487" s="1">
        <v>44204.436076388891</v>
      </c>
      <c r="Q487">
        <v>57911</v>
      </c>
      <c r="R487">
        <v>724</v>
      </c>
      <c r="S487" t="b">
        <v>0</v>
      </c>
      <c r="T487" t="s">
        <v>87</v>
      </c>
      <c r="U487" t="b">
        <v>0</v>
      </c>
      <c r="V487" t="s">
        <v>259</v>
      </c>
      <c r="W487" s="1">
        <v>44203.770289351851</v>
      </c>
      <c r="X487">
        <v>571</v>
      </c>
      <c r="Y487">
        <v>59</v>
      </c>
      <c r="Z487">
        <v>0</v>
      </c>
      <c r="AA487">
        <v>59</v>
      </c>
      <c r="AB487">
        <v>0</v>
      </c>
      <c r="AC487">
        <v>26</v>
      </c>
      <c r="AD487">
        <v>13</v>
      </c>
      <c r="AE487">
        <v>0</v>
      </c>
      <c r="AF487">
        <v>0</v>
      </c>
      <c r="AG487">
        <v>0</v>
      </c>
      <c r="AH487" t="s">
        <v>267</v>
      </c>
      <c r="AI487" s="1">
        <v>44203.77140046296</v>
      </c>
      <c r="AJ487">
        <v>93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13</v>
      </c>
      <c r="AQ487">
        <v>0</v>
      </c>
      <c r="AR487">
        <v>0</v>
      </c>
      <c r="AS487">
        <v>0</v>
      </c>
      <c r="AT487" t="s">
        <v>90</v>
      </c>
      <c r="AU487" s="1">
        <v>44204.436076388891</v>
      </c>
      <c r="AV487">
        <v>60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13</v>
      </c>
      <c r="BC487">
        <v>0</v>
      </c>
      <c r="BD487">
        <v>0</v>
      </c>
      <c r="BE487">
        <v>0</v>
      </c>
    </row>
    <row r="488" spans="1:57" x14ac:dyDescent="0.45">
      <c r="A488" t="s">
        <v>1339</v>
      </c>
      <c r="B488" t="s">
        <v>79</v>
      </c>
      <c r="C488" t="s">
        <v>1322</v>
      </c>
      <c r="D488" t="s">
        <v>81</v>
      </c>
      <c r="E488" s="2" t="str">
        <f>HYPERLINK("capsilon://?command=openfolder&amp;siteaddress=FAM.docvelocity-na8.net&amp;folderid=FX42114041-3AE2-E6F1-3B6D-09CC14DCD385","FX20126175")</f>
        <v>FX20126175</v>
      </c>
      <c r="F488" t="s">
        <v>19</v>
      </c>
      <c r="G488" t="s">
        <v>19</v>
      </c>
      <c r="H488" t="s">
        <v>82</v>
      </c>
      <c r="I488" t="s">
        <v>1340</v>
      </c>
      <c r="J488">
        <v>72</v>
      </c>
      <c r="K488" t="s">
        <v>84</v>
      </c>
      <c r="L488" t="s">
        <v>85</v>
      </c>
      <c r="M488" t="s">
        <v>86</v>
      </c>
      <c r="N488">
        <v>3</v>
      </c>
      <c r="O488" s="1">
        <v>44203.758298611108</v>
      </c>
      <c r="P488" s="1">
        <v>44204.436157407406</v>
      </c>
      <c r="Q488">
        <v>57481</v>
      </c>
      <c r="R488">
        <v>1086</v>
      </c>
      <c r="S488" t="b">
        <v>0</v>
      </c>
      <c r="T488" t="s">
        <v>87</v>
      </c>
      <c r="U488" t="b">
        <v>0</v>
      </c>
      <c r="V488" t="s">
        <v>259</v>
      </c>
      <c r="W488" s="1">
        <v>44203.779189814813</v>
      </c>
      <c r="X488">
        <v>961</v>
      </c>
      <c r="Y488">
        <v>60</v>
      </c>
      <c r="Z488">
        <v>0</v>
      </c>
      <c r="AA488">
        <v>60</v>
      </c>
      <c r="AB488">
        <v>0</v>
      </c>
      <c r="AC488">
        <v>26</v>
      </c>
      <c r="AD488">
        <v>12</v>
      </c>
      <c r="AE488">
        <v>0</v>
      </c>
      <c r="AF488">
        <v>0</v>
      </c>
      <c r="AG488">
        <v>0</v>
      </c>
      <c r="AH488" t="s">
        <v>267</v>
      </c>
      <c r="AI488" s="1">
        <v>44203.790844907409</v>
      </c>
      <c r="AJ488">
        <v>99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12</v>
      </c>
      <c r="AQ488">
        <v>0</v>
      </c>
      <c r="AR488">
        <v>0</v>
      </c>
      <c r="AS488">
        <v>0</v>
      </c>
      <c r="AT488" t="s">
        <v>90</v>
      </c>
      <c r="AU488" s="1">
        <v>44204.436157407406</v>
      </c>
      <c r="AV488">
        <v>6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12</v>
      </c>
      <c r="BC488">
        <v>0</v>
      </c>
      <c r="BD488">
        <v>0</v>
      </c>
      <c r="BE488">
        <v>0</v>
      </c>
    </row>
    <row r="489" spans="1:57" x14ac:dyDescent="0.45">
      <c r="A489" t="s">
        <v>1341</v>
      </c>
      <c r="B489" t="s">
        <v>79</v>
      </c>
      <c r="C489" t="s">
        <v>1322</v>
      </c>
      <c r="D489" t="s">
        <v>81</v>
      </c>
      <c r="E489" s="2" t="str">
        <f>HYPERLINK("capsilon://?command=openfolder&amp;siteaddress=FAM.docvelocity-na8.net&amp;folderid=FX42114041-3AE2-E6F1-3B6D-09CC14DCD385","FX20126175")</f>
        <v>FX20126175</v>
      </c>
      <c r="F489" t="s">
        <v>19</v>
      </c>
      <c r="G489" t="s">
        <v>19</v>
      </c>
      <c r="H489" t="s">
        <v>82</v>
      </c>
      <c r="I489" t="s">
        <v>1342</v>
      </c>
      <c r="J489">
        <v>72</v>
      </c>
      <c r="K489" t="s">
        <v>84</v>
      </c>
      <c r="L489" t="s">
        <v>85</v>
      </c>
      <c r="M489" t="s">
        <v>86</v>
      </c>
      <c r="N489">
        <v>3</v>
      </c>
      <c r="O489" s="1">
        <v>44203.758483796293</v>
      </c>
      <c r="P489" s="1">
        <v>44204.436215277776</v>
      </c>
      <c r="Q489">
        <v>57970</v>
      </c>
      <c r="R489">
        <v>586</v>
      </c>
      <c r="S489" t="b">
        <v>0</v>
      </c>
      <c r="T489" t="s">
        <v>87</v>
      </c>
      <c r="U489" t="b">
        <v>0</v>
      </c>
      <c r="V489" t="s">
        <v>259</v>
      </c>
      <c r="W489" s="1">
        <v>44203.77616898148</v>
      </c>
      <c r="X489">
        <v>507</v>
      </c>
      <c r="Y489">
        <v>59</v>
      </c>
      <c r="Z489">
        <v>0</v>
      </c>
      <c r="AA489">
        <v>59</v>
      </c>
      <c r="AB489">
        <v>0</v>
      </c>
      <c r="AC489">
        <v>26</v>
      </c>
      <c r="AD489">
        <v>13</v>
      </c>
      <c r="AE489">
        <v>0</v>
      </c>
      <c r="AF489">
        <v>0</v>
      </c>
      <c r="AG489">
        <v>0</v>
      </c>
      <c r="AH489" t="s">
        <v>267</v>
      </c>
      <c r="AI489" s="1">
        <v>44203.791701388887</v>
      </c>
      <c r="AJ489">
        <v>74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13</v>
      </c>
      <c r="AQ489">
        <v>0</v>
      </c>
      <c r="AR489">
        <v>0</v>
      </c>
      <c r="AS489">
        <v>0</v>
      </c>
      <c r="AT489" t="s">
        <v>90</v>
      </c>
      <c r="AU489" s="1">
        <v>44204.436215277776</v>
      </c>
      <c r="AV489">
        <v>5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13</v>
      </c>
      <c r="BC489">
        <v>0</v>
      </c>
      <c r="BD489">
        <v>0</v>
      </c>
      <c r="BE489">
        <v>0</v>
      </c>
    </row>
    <row r="490" spans="1:57" x14ac:dyDescent="0.45">
      <c r="A490" t="s">
        <v>1343</v>
      </c>
      <c r="B490" t="s">
        <v>79</v>
      </c>
      <c r="C490" t="s">
        <v>1344</v>
      </c>
      <c r="D490" t="s">
        <v>81</v>
      </c>
      <c r="E490" s="2" t="str">
        <f>HYPERLINK("capsilon://?command=openfolder&amp;siteaddress=FAM.docvelocity-na8.net&amp;folderid=FX11F340E9-1C21-9082-404F-4DA5F68BE667","FX21012778")</f>
        <v>FX21012778</v>
      </c>
      <c r="F490" t="s">
        <v>19</v>
      </c>
      <c r="G490" t="s">
        <v>19</v>
      </c>
      <c r="H490" t="s">
        <v>82</v>
      </c>
      <c r="I490" t="s">
        <v>1345</v>
      </c>
      <c r="J490">
        <v>200</v>
      </c>
      <c r="K490" t="s">
        <v>84</v>
      </c>
      <c r="L490" t="s">
        <v>85</v>
      </c>
      <c r="M490" t="s">
        <v>86</v>
      </c>
      <c r="N490">
        <v>3</v>
      </c>
      <c r="O490" s="1">
        <v>44203.760578703703</v>
      </c>
      <c r="P490" s="1">
        <v>44204.437789351854</v>
      </c>
      <c r="Q490">
        <v>53787</v>
      </c>
      <c r="R490">
        <v>4724</v>
      </c>
      <c r="S490" t="b">
        <v>0</v>
      </c>
      <c r="T490" t="s">
        <v>87</v>
      </c>
      <c r="U490" t="b">
        <v>0</v>
      </c>
      <c r="V490" t="s">
        <v>168</v>
      </c>
      <c r="W490" s="1">
        <v>44203.820937500001</v>
      </c>
      <c r="X490">
        <v>4318</v>
      </c>
      <c r="Y490">
        <v>186</v>
      </c>
      <c r="Z490">
        <v>0</v>
      </c>
      <c r="AA490">
        <v>186</v>
      </c>
      <c r="AB490">
        <v>0</v>
      </c>
      <c r="AC490">
        <v>116</v>
      </c>
      <c r="AD490">
        <v>14</v>
      </c>
      <c r="AE490">
        <v>0</v>
      </c>
      <c r="AF490">
        <v>0</v>
      </c>
      <c r="AG490">
        <v>0</v>
      </c>
      <c r="AH490" t="s">
        <v>267</v>
      </c>
      <c r="AI490" s="1">
        <v>44203.830763888887</v>
      </c>
      <c r="AJ490">
        <v>270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14</v>
      </c>
      <c r="AQ490">
        <v>0</v>
      </c>
      <c r="AR490">
        <v>0</v>
      </c>
      <c r="AS490">
        <v>0</v>
      </c>
      <c r="AT490" t="s">
        <v>90</v>
      </c>
      <c r="AU490" s="1">
        <v>44204.437789351854</v>
      </c>
      <c r="AV490">
        <v>136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14</v>
      </c>
      <c r="BC490">
        <v>0</v>
      </c>
      <c r="BD490">
        <v>0</v>
      </c>
      <c r="BE490">
        <v>0</v>
      </c>
    </row>
    <row r="491" spans="1:57" x14ac:dyDescent="0.45">
      <c r="A491" t="s">
        <v>1346</v>
      </c>
      <c r="B491" t="s">
        <v>79</v>
      </c>
      <c r="C491" t="s">
        <v>1347</v>
      </c>
      <c r="D491" t="s">
        <v>81</v>
      </c>
      <c r="E491" s="2" t="str">
        <f>HYPERLINK("capsilon://?command=openfolder&amp;siteaddress=FAM.docvelocity-na8.net&amp;folderid=FX7A55613F-4EA0-5783-D604-BCD870B00FC0","FX201226309")</f>
        <v>FX201226309</v>
      </c>
      <c r="F491" t="s">
        <v>19</v>
      </c>
      <c r="G491" t="s">
        <v>19</v>
      </c>
      <c r="H491" t="s">
        <v>82</v>
      </c>
      <c r="I491" t="s">
        <v>1348</v>
      </c>
      <c r="J491">
        <v>181</v>
      </c>
      <c r="K491" t="s">
        <v>84</v>
      </c>
      <c r="L491" t="s">
        <v>85</v>
      </c>
      <c r="M491" t="s">
        <v>86</v>
      </c>
      <c r="N491">
        <v>3</v>
      </c>
      <c r="O491" s="1">
        <v>44200.492905092593</v>
      </c>
      <c r="P491" s="1">
        <v>44200.628854166665</v>
      </c>
      <c r="Q491">
        <v>9850</v>
      </c>
      <c r="R491">
        <v>1896</v>
      </c>
      <c r="S491" t="b">
        <v>0</v>
      </c>
      <c r="T491" t="s">
        <v>87</v>
      </c>
      <c r="U491" t="b">
        <v>0</v>
      </c>
      <c r="V491" t="s">
        <v>266</v>
      </c>
      <c r="W491" s="1">
        <v>44200.599594907406</v>
      </c>
      <c r="X491">
        <v>1290</v>
      </c>
      <c r="Y491">
        <v>168</v>
      </c>
      <c r="Z491">
        <v>0</v>
      </c>
      <c r="AA491">
        <v>168</v>
      </c>
      <c r="AB491">
        <v>0</v>
      </c>
      <c r="AC491">
        <v>57</v>
      </c>
      <c r="AD491">
        <v>13</v>
      </c>
      <c r="AE491">
        <v>0</v>
      </c>
      <c r="AF491">
        <v>0</v>
      </c>
      <c r="AG491">
        <v>0</v>
      </c>
      <c r="AH491" t="s">
        <v>267</v>
      </c>
      <c r="AI491" s="1">
        <v>44200.608935185184</v>
      </c>
      <c r="AJ491">
        <v>527</v>
      </c>
      <c r="AK491">
        <v>2</v>
      </c>
      <c r="AL491">
        <v>0</v>
      </c>
      <c r="AM491">
        <v>2</v>
      </c>
      <c r="AN491">
        <v>0</v>
      </c>
      <c r="AO491">
        <v>2</v>
      </c>
      <c r="AP491">
        <v>11</v>
      </c>
      <c r="AQ491">
        <v>0</v>
      </c>
      <c r="AR491">
        <v>0</v>
      </c>
      <c r="AS491">
        <v>0</v>
      </c>
      <c r="AT491" t="s">
        <v>90</v>
      </c>
      <c r="AU491" s="1">
        <v>44200.628854166665</v>
      </c>
      <c r="AV491">
        <v>79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11</v>
      </c>
      <c r="BC491">
        <v>0</v>
      </c>
      <c r="BD491">
        <v>0</v>
      </c>
      <c r="BE491">
        <v>0</v>
      </c>
    </row>
    <row r="492" spans="1:57" x14ac:dyDescent="0.45">
      <c r="A492" t="s">
        <v>1349</v>
      </c>
      <c r="B492" t="s">
        <v>79</v>
      </c>
      <c r="C492" t="s">
        <v>1350</v>
      </c>
      <c r="D492" t="s">
        <v>81</v>
      </c>
      <c r="E492" s="2" t="str">
        <f>HYPERLINK("capsilon://?command=openfolder&amp;siteaddress=FAM.docvelocity-na8.net&amp;folderid=FXE046705D-DCFA-628C-7A4F-997E98F2F9AF","FX201228631")</f>
        <v>FX201228631</v>
      </c>
      <c r="F492" t="s">
        <v>19</v>
      </c>
      <c r="G492" t="s">
        <v>19</v>
      </c>
      <c r="H492" t="s">
        <v>82</v>
      </c>
      <c r="I492" t="s">
        <v>1351</v>
      </c>
      <c r="J492">
        <v>272</v>
      </c>
      <c r="K492" t="s">
        <v>84</v>
      </c>
      <c r="L492" t="s">
        <v>85</v>
      </c>
      <c r="M492" t="s">
        <v>86</v>
      </c>
      <c r="N492">
        <v>3</v>
      </c>
      <c r="O492" s="1">
        <v>44200.493796296294</v>
      </c>
      <c r="P492" s="1">
        <v>44200.645972222221</v>
      </c>
      <c r="Q492">
        <v>9244</v>
      </c>
      <c r="R492">
        <v>3904</v>
      </c>
      <c r="S492" t="b">
        <v>0</v>
      </c>
      <c r="T492" t="s">
        <v>87</v>
      </c>
      <c r="U492" t="b">
        <v>0</v>
      </c>
      <c r="V492" t="s">
        <v>88</v>
      </c>
      <c r="W492" s="1">
        <v>44200.623761574076</v>
      </c>
      <c r="X492">
        <v>3255</v>
      </c>
      <c r="Y492">
        <v>215</v>
      </c>
      <c r="Z492">
        <v>0</v>
      </c>
      <c r="AA492">
        <v>215</v>
      </c>
      <c r="AB492">
        <v>0</v>
      </c>
      <c r="AC492">
        <v>108</v>
      </c>
      <c r="AD492">
        <v>57</v>
      </c>
      <c r="AE492">
        <v>0</v>
      </c>
      <c r="AF492">
        <v>0</v>
      </c>
      <c r="AG492">
        <v>0</v>
      </c>
      <c r="AH492" t="s">
        <v>267</v>
      </c>
      <c r="AI492" s="1">
        <v>44200.632696759261</v>
      </c>
      <c r="AJ492">
        <v>614</v>
      </c>
      <c r="AK492">
        <v>3</v>
      </c>
      <c r="AL492">
        <v>0</v>
      </c>
      <c r="AM492">
        <v>3</v>
      </c>
      <c r="AN492">
        <v>0</v>
      </c>
      <c r="AO492">
        <v>2</v>
      </c>
      <c r="AP492">
        <v>54</v>
      </c>
      <c r="AQ492">
        <v>0</v>
      </c>
      <c r="AR492">
        <v>0</v>
      </c>
      <c r="AS492">
        <v>0</v>
      </c>
      <c r="AT492" t="s">
        <v>90</v>
      </c>
      <c r="AU492" s="1">
        <v>44200.645972222221</v>
      </c>
      <c r="AV492">
        <v>35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54</v>
      </c>
      <c r="BC492">
        <v>0</v>
      </c>
      <c r="BD492">
        <v>0</v>
      </c>
      <c r="BE492">
        <v>0</v>
      </c>
    </row>
    <row r="493" spans="1:57" hidden="1" x14ac:dyDescent="0.45">
      <c r="A493" t="s">
        <v>1352</v>
      </c>
      <c r="B493" t="s">
        <v>79</v>
      </c>
      <c r="C493" t="s">
        <v>1353</v>
      </c>
      <c r="D493" t="s">
        <v>81</v>
      </c>
      <c r="E493" s="2" t="str">
        <f>HYPERLINK("capsilon://?command=openfolder&amp;siteaddress=FAM.docvelocity-na8.net&amp;folderid=FX54240897-8DF8-18E6-2F7C-FFA4419B50A0","FX201221431")</f>
        <v>FX201221431</v>
      </c>
      <c r="F493" t="s">
        <v>19</v>
      </c>
      <c r="G493" t="s">
        <v>19</v>
      </c>
      <c r="H493" t="s">
        <v>82</v>
      </c>
      <c r="I493" t="s">
        <v>1354</v>
      </c>
      <c r="J493">
        <v>66</v>
      </c>
      <c r="K493" t="s">
        <v>84</v>
      </c>
      <c r="L493" t="s">
        <v>85</v>
      </c>
      <c r="M493" t="s">
        <v>86</v>
      </c>
      <c r="N493">
        <v>1</v>
      </c>
      <c r="O493" s="1">
        <v>44203.793310185189</v>
      </c>
      <c r="P493" s="1">
        <v>44203.796296296299</v>
      </c>
      <c r="Q493">
        <v>84</v>
      </c>
      <c r="R493">
        <v>174</v>
      </c>
      <c r="S493" t="b">
        <v>0</v>
      </c>
      <c r="T493" t="s">
        <v>87</v>
      </c>
      <c r="U493" t="b">
        <v>0</v>
      </c>
      <c r="V493" t="s">
        <v>259</v>
      </c>
      <c r="W493" s="1">
        <v>44203.796296296299</v>
      </c>
      <c r="X493">
        <v>174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66</v>
      </c>
      <c r="AE493">
        <v>52</v>
      </c>
      <c r="AF493">
        <v>0</v>
      </c>
      <c r="AG493">
        <v>1</v>
      </c>
      <c r="AH493" t="s">
        <v>87</v>
      </c>
      <c r="AI493" t="s">
        <v>87</v>
      </c>
      <c r="AJ493" t="s">
        <v>87</v>
      </c>
      <c r="AK493" t="s">
        <v>87</v>
      </c>
      <c r="AL493" t="s">
        <v>87</v>
      </c>
      <c r="AM493" t="s">
        <v>87</v>
      </c>
      <c r="AN493" t="s">
        <v>87</v>
      </c>
      <c r="AO493" t="s">
        <v>87</v>
      </c>
      <c r="AP493" t="s">
        <v>87</v>
      </c>
      <c r="AQ493" t="s">
        <v>87</v>
      </c>
      <c r="AR493" t="s">
        <v>87</v>
      </c>
      <c r="AS493" t="s">
        <v>87</v>
      </c>
      <c r="AT493" t="s">
        <v>87</v>
      </c>
      <c r="AU493" t="s">
        <v>87</v>
      </c>
      <c r="AV493" t="s">
        <v>87</v>
      </c>
      <c r="AW493" t="s">
        <v>87</v>
      </c>
      <c r="AX493" t="s">
        <v>87</v>
      </c>
      <c r="AY493" t="s">
        <v>87</v>
      </c>
      <c r="AZ493" t="s">
        <v>87</v>
      </c>
      <c r="BA493" t="s">
        <v>87</v>
      </c>
      <c r="BB493" t="s">
        <v>87</v>
      </c>
      <c r="BC493" t="s">
        <v>87</v>
      </c>
      <c r="BD493" t="s">
        <v>87</v>
      </c>
      <c r="BE493" t="s">
        <v>87</v>
      </c>
    </row>
    <row r="494" spans="1:57" x14ac:dyDescent="0.45">
      <c r="A494" t="s">
        <v>1355</v>
      </c>
      <c r="B494" t="s">
        <v>79</v>
      </c>
      <c r="C494" t="s">
        <v>1353</v>
      </c>
      <c r="D494" t="s">
        <v>81</v>
      </c>
      <c r="E494" s="2" t="str">
        <f>HYPERLINK("capsilon://?command=openfolder&amp;siteaddress=FAM.docvelocity-na8.net&amp;folderid=FX54240897-8DF8-18E6-2F7C-FFA4419B50A0","FX201221431")</f>
        <v>FX201221431</v>
      </c>
      <c r="F494" t="s">
        <v>19</v>
      </c>
      <c r="G494" t="s">
        <v>19</v>
      </c>
      <c r="H494" t="s">
        <v>82</v>
      </c>
      <c r="I494" t="s">
        <v>1354</v>
      </c>
      <c r="J494">
        <v>38</v>
      </c>
      <c r="K494" t="s">
        <v>84</v>
      </c>
      <c r="L494" t="s">
        <v>85</v>
      </c>
      <c r="M494" t="s">
        <v>86</v>
      </c>
      <c r="N494">
        <v>3</v>
      </c>
      <c r="O494" s="1">
        <v>44203.797060185185</v>
      </c>
      <c r="P494" s="1">
        <v>44204.342673611114</v>
      </c>
      <c r="Q494">
        <v>46657</v>
      </c>
      <c r="R494">
        <v>484</v>
      </c>
      <c r="S494" t="b">
        <v>0</v>
      </c>
      <c r="T494" t="s">
        <v>87</v>
      </c>
      <c r="U494" t="b">
        <v>1</v>
      </c>
      <c r="V494" t="s">
        <v>262</v>
      </c>
      <c r="W494" s="1">
        <v>44203.801759259259</v>
      </c>
      <c r="X494">
        <v>396</v>
      </c>
      <c r="Y494">
        <v>37</v>
      </c>
      <c r="Z494">
        <v>0</v>
      </c>
      <c r="AA494">
        <v>37</v>
      </c>
      <c r="AB494">
        <v>0</v>
      </c>
      <c r="AC494">
        <v>22</v>
      </c>
      <c r="AD494">
        <v>1</v>
      </c>
      <c r="AE494">
        <v>0</v>
      </c>
      <c r="AF494">
        <v>0</v>
      </c>
      <c r="AG494">
        <v>0</v>
      </c>
      <c r="AH494" t="s">
        <v>267</v>
      </c>
      <c r="AI494" s="1">
        <v>44203.803749999999</v>
      </c>
      <c r="AJ494">
        <v>84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0</v>
      </c>
      <c r="AS494">
        <v>0</v>
      </c>
      <c r="AT494" t="s">
        <v>90</v>
      </c>
      <c r="AU494" s="1">
        <v>44204.342673611114</v>
      </c>
      <c r="AV494">
        <v>4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</row>
    <row r="495" spans="1:57" hidden="1" x14ac:dyDescent="0.45">
      <c r="A495" t="s">
        <v>1356</v>
      </c>
      <c r="B495" t="s">
        <v>79</v>
      </c>
      <c r="C495" t="s">
        <v>1357</v>
      </c>
      <c r="D495" t="s">
        <v>81</v>
      </c>
      <c r="E495" s="2" t="str">
        <f>HYPERLINK("capsilon://?command=openfolder&amp;siteaddress=FAM.docvelocity-na8.net&amp;folderid=FX90858789-497E-44E5-72F9-4156405E14CC","FX20127914")</f>
        <v>FX20127914</v>
      </c>
      <c r="F495" t="s">
        <v>19</v>
      </c>
      <c r="G495" t="s">
        <v>19</v>
      </c>
      <c r="H495" t="s">
        <v>82</v>
      </c>
      <c r="I495" t="s">
        <v>1358</v>
      </c>
      <c r="J495">
        <v>66</v>
      </c>
      <c r="K495" t="s">
        <v>84</v>
      </c>
      <c r="L495" t="s">
        <v>85</v>
      </c>
      <c r="M495" t="s">
        <v>86</v>
      </c>
      <c r="N495">
        <v>1</v>
      </c>
      <c r="O495" s="1">
        <v>44203.817546296297</v>
      </c>
      <c r="P495" s="1">
        <v>44203.829513888886</v>
      </c>
      <c r="Q495">
        <v>746</v>
      </c>
      <c r="R495">
        <v>288</v>
      </c>
      <c r="S495" t="b">
        <v>0</v>
      </c>
      <c r="T495" t="s">
        <v>87</v>
      </c>
      <c r="U495" t="b">
        <v>0</v>
      </c>
      <c r="V495" t="s">
        <v>259</v>
      </c>
      <c r="W495" s="1">
        <v>44203.829513888886</v>
      </c>
      <c r="X495">
        <v>227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66</v>
      </c>
      <c r="AE495">
        <v>52</v>
      </c>
      <c r="AF495">
        <v>0</v>
      </c>
      <c r="AG495">
        <v>1</v>
      </c>
      <c r="AH495" t="s">
        <v>87</v>
      </c>
      <c r="AI495" t="s">
        <v>87</v>
      </c>
      <c r="AJ495" t="s">
        <v>87</v>
      </c>
      <c r="AK495" t="s">
        <v>87</v>
      </c>
      <c r="AL495" t="s">
        <v>87</v>
      </c>
      <c r="AM495" t="s">
        <v>87</v>
      </c>
      <c r="AN495" t="s">
        <v>87</v>
      </c>
      <c r="AO495" t="s">
        <v>87</v>
      </c>
      <c r="AP495" t="s">
        <v>87</v>
      </c>
      <c r="AQ495" t="s">
        <v>87</v>
      </c>
      <c r="AR495" t="s">
        <v>87</v>
      </c>
      <c r="AS495" t="s">
        <v>87</v>
      </c>
      <c r="AT495" t="s">
        <v>87</v>
      </c>
      <c r="AU495" t="s">
        <v>87</v>
      </c>
      <c r="AV495" t="s">
        <v>87</v>
      </c>
      <c r="AW495" t="s">
        <v>87</v>
      </c>
      <c r="AX495" t="s">
        <v>87</v>
      </c>
      <c r="AY495" t="s">
        <v>87</v>
      </c>
      <c r="AZ495" t="s">
        <v>87</v>
      </c>
      <c r="BA495" t="s">
        <v>87</v>
      </c>
      <c r="BB495" t="s">
        <v>87</v>
      </c>
      <c r="BC495" t="s">
        <v>87</v>
      </c>
      <c r="BD495" t="s">
        <v>87</v>
      </c>
      <c r="BE495" t="s">
        <v>87</v>
      </c>
    </row>
    <row r="496" spans="1:57" hidden="1" x14ac:dyDescent="0.45">
      <c r="A496" t="s">
        <v>1359</v>
      </c>
      <c r="B496" t="s">
        <v>79</v>
      </c>
      <c r="C496" t="s">
        <v>1360</v>
      </c>
      <c r="D496" t="s">
        <v>81</v>
      </c>
      <c r="E496" s="2" t="str">
        <f>HYPERLINK("capsilon://?command=openfolder&amp;siteaddress=FAM.docvelocity-na8.net&amp;folderid=FX1C24D772-DF79-9A8C-64E1-FBA7876A9537","FX20122688")</f>
        <v>FX20122688</v>
      </c>
      <c r="F496" t="s">
        <v>19</v>
      </c>
      <c r="G496" t="s">
        <v>19</v>
      </c>
      <c r="H496" t="s">
        <v>82</v>
      </c>
      <c r="I496" t="s">
        <v>1361</v>
      </c>
      <c r="J496">
        <v>66</v>
      </c>
      <c r="K496" t="s">
        <v>84</v>
      </c>
      <c r="L496" t="s">
        <v>85</v>
      </c>
      <c r="M496" t="s">
        <v>86</v>
      </c>
      <c r="N496">
        <v>1</v>
      </c>
      <c r="O496" s="1">
        <v>44203.824282407404</v>
      </c>
      <c r="P496" s="1">
        <v>44203.828923611109</v>
      </c>
      <c r="Q496">
        <v>266</v>
      </c>
      <c r="R496">
        <v>135</v>
      </c>
      <c r="S496" t="b">
        <v>0</v>
      </c>
      <c r="T496" t="s">
        <v>87</v>
      </c>
      <c r="U496" t="b">
        <v>0</v>
      </c>
      <c r="V496" t="s">
        <v>262</v>
      </c>
      <c r="W496" s="1">
        <v>44203.828923611109</v>
      </c>
      <c r="X496">
        <v>135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66</v>
      </c>
      <c r="AE496">
        <v>52</v>
      </c>
      <c r="AF496">
        <v>0</v>
      </c>
      <c r="AG496">
        <v>1</v>
      </c>
      <c r="AH496" t="s">
        <v>87</v>
      </c>
      <c r="AI496" t="s">
        <v>87</v>
      </c>
      <c r="AJ496" t="s">
        <v>87</v>
      </c>
      <c r="AK496" t="s">
        <v>87</v>
      </c>
      <c r="AL496" t="s">
        <v>87</v>
      </c>
      <c r="AM496" t="s">
        <v>87</v>
      </c>
      <c r="AN496" t="s">
        <v>87</v>
      </c>
      <c r="AO496" t="s">
        <v>87</v>
      </c>
      <c r="AP496" t="s">
        <v>87</v>
      </c>
      <c r="AQ496" t="s">
        <v>87</v>
      </c>
      <c r="AR496" t="s">
        <v>87</v>
      </c>
      <c r="AS496" t="s">
        <v>87</v>
      </c>
      <c r="AT496" t="s">
        <v>87</v>
      </c>
      <c r="AU496" t="s">
        <v>87</v>
      </c>
      <c r="AV496" t="s">
        <v>87</v>
      </c>
      <c r="AW496" t="s">
        <v>87</v>
      </c>
      <c r="AX496" t="s">
        <v>87</v>
      </c>
      <c r="AY496" t="s">
        <v>87</v>
      </c>
      <c r="AZ496" t="s">
        <v>87</v>
      </c>
      <c r="BA496" t="s">
        <v>87</v>
      </c>
      <c r="BB496" t="s">
        <v>87</v>
      </c>
      <c r="BC496" t="s">
        <v>87</v>
      </c>
      <c r="BD496" t="s">
        <v>87</v>
      </c>
      <c r="BE496" t="s">
        <v>87</v>
      </c>
    </row>
    <row r="497" spans="1:57" x14ac:dyDescent="0.45">
      <c r="A497" t="s">
        <v>1362</v>
      </c>
      <c r="B497" t="s">
        <v>79</v>
      </c>
      <c r="C497" t="s">
        <v>1363</v>
      </c>
      <c r="D497" t="s">
        <v>81</v>
      </c>
      <c r="E497" s="2" t="str">
        <f>HYPERLINK("capsilon://?command=openfolder&amp;siteaddress=FAM.docvelocity-na8.net&amp;folderid=FXF6381B54-7AAB-03C0-CC1C-77DE76AF1B20","FX20121708")</f>
        <v>FX20121708</v>
      </c>
      <c r="F497" t="s">
        <v>19</v>
      </c>
      <c r="G497" t="s">
        <v>19</v>
      </c>
      <c r="H497" t="s">
        <v>82</v>
      </c>
      <c r="I497" t="s">
        <v>1364</v>
      </c>
      <c r="J497">
        <v>38</v>
      </c>
      <c r="K497" t="s">
        <v>84</v>
      </c>
      <c r="L497" t="s">
        <v>85</v>
      </c>
      <c r="M497" t="s">
        <v>86</v>
      </c>
      <c r="N497">
        <v>3</v>
      </c>
      <c r="O497" s="1">
        <v>44200.49800925926</v>
      </c>
      <c r="P497" s="1">
        <v>44200.629004629627</v>
      </c>
      <c r="Q497">
        <v>10958</v>
      </c>
      <c r="R497">
        <v>360</v>
      </c>
      <c r="S497" t="b">
        <v>0</v>
      </c>
      <c r="T497" t="s">
        <v>87</v>
      </c>
      <c r="U497" t="b">
        <v>0</v>
      </c>
      <c r="V497" t="s">
        <v>132</v>
      </c>
      <c r="W497" s="1">
        <v>44200.589467592596</v>
      </c>
      <c r="X497">
        <v>285</v>
      </c>
      <c r="Y497">
        <v>37</v>
      </c>
      <c r="Z497">
        <v>0</v>
      </c>
      <c r="AA497">
        <v>37</v>
      </c>
      <c r="AB497">
        <v>0</v>
      </c>
      <c r="AC497">
        <v>5</v>
      </c>
      <c r="AD497">
        <v>1</v>
      </c>
      <c r="AE497">
        <v>0</v>
      </c>
      <c r="AF497">
        <v>0</v>
      </c>
      <c r="AG497">
        <v>0</v>
      </c>
      <c r="AH497" t="s">
        <v>267</v>
      </c>
      <c r="AI497" s="1">
        <v>44200.598530092589</v>
      </c>
      <c r="AJ497">
        <v>63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 t="s">
        <v>90</v>
      </c>
      <c r="AU497" s="1">
        <v>44200.629004629627</v>
      </c>
      <c r="AV497">
        <v>12</v>
      </c>
      <c r="AW497">
        <v>1</v>
      </c>
      <c r="AX497">
        <v>0</v>
      </c>
      <c r="AY497">
        <v>1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</row>
    <row r="498" spans="1:57" x14ac:dyDescent="0.45">
      <c r="A498" t="s">
        <v>1365</v>
      </c>
      <c r="B498" t="s">
        <v>79</v>
      </c>
      <c r="C498" t="s">
        <v>1360</v>
      </c>
      <c r="D498" t="s">
        <v>81</v>
      </c>
      <c r="E498" s="2" t="str">
        <f>HYPERLINK("capsilon://?command=openfolder&amp;siteaddress=FAM.docvelocity-na8.net&amp;folderid=FX1C24D772-DF79-9A8C-64E1-FBA7876A9537","FX20122688")</f>
        <v>FX20122688</v>
      </c>
      <c r="F498" t="s">
        <v>19</v>
      </c>
      <c r="G498" t="s">
        <v>19</v>
      </c>
      <c r="H498" t="s">
        <v>82</v>
      </c>
      <c r="I498" t="s">
        <v>1361</v>
      </c>
      <c r="J498">
        <v>38</v>
      </c>
      <c r="K498" t="s">
        <v>84</v>
      </c>
      <c r="L498" t="s">
        <v>85</v>
      </c>
      <c r="M498" t="s">
        <v>86</v>
      </c>
      <c r="N498">
        <v>3</v>
      </c>
      <c r="O498" s="1">
        <v>44203.829236111109</v>
      </c>
      <c r="P498" s="1">
        <v>44204.342731481483</v>
      </c>
      <c r="Q498">
        <v>43947</v>
      </c>
      <c r="R498">
        <v>419</v>
      </c>
      <c r="S498" t="b">
        <v>0</v>
      </c>
      <c r="T498" t="s">
        <v>87</v>
      </c>
      <c r="U498" t="b">
        <v>1</v>
      </c>
      <c r="V498" t="s">
        <v>262</v>
      </c>
      <c r="W498" s="1">
        <v>44203.833437499998</v>
      </c>
      <c r="X498">
        <v>358</v>
      </c>
      <c r="Y498">
        <v>37</v>
      </c>
      <c r="Z498">
        <v>0</v>
      </c>
      <c r="AA498">
        <v>37</v>
      </c>
      <c r="AB498">
        <v>0</v>
      </c>
      <c r="AC498">
        <v>13</v>
      </c>
      <c r="AD498">
        <v>1</v>
      </c>
      <c r="AE498">
        <v>0</v>
      </c>
      <c r="AF498">
        <v>0</v>
      </c>
      <c r="AG498">
        <v>0</v>
      </c>
      <c r="AH498" t="s">
        <v>267</v>
      </c>
      <c r="AI498" s="1">
        <v>44203.834143518521</v>
      </c>
      <c r="AJ498">
        <v>57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 t="s">
        <v>90</v>
      </c>
      <c r="AU498" s="1">
        <v>44204.342731481483</v>
      </c>
      <c r="AV498">
        <v>4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</row>
    <row r="499" spans="1:57" hidden="1" x14ac:dyDescent="0.45">
      <c r="A499" t="s">
        <v>1366</v>
      </c>
      <c r="B499" t="s">
        <v>79</v>
      </c>
      <c r="C499" t="s">
        <v>1357</v>
      </c>
      <c r="D499" t="s">
        <v>81</v>
      </c>
      <c r="E499" s="2" t="str">
        <f>HYPERLINK("capsilon://?command=openfolder&amp;siteaddress=FAM.docvelocity-na8.net&amp;folderid=FX90858789-497E-44E5-72F9-4156405E14CC","FX20127914")</f>
        <v>FX20127914</v>
      </c>
      <c r="F499" t="s">
        <v>19</v>
      </c>
      <c r="G499" t="s">
        <v>19</v>
      </c>
      <c r="H499" t="s">
        <v>82</v>
      </c>
      <c r="I499" t="s">
        <v>1358</v>
      </c>
      <c r="J499">
        <v>38</v>
      </c>
      <c r="K499" t="s">
        <v>84</v>
      </c>
      <c r="L499" t="s">
        <v>85</v>
      </c>
      <c r="M499" t="s">
        <v>81</v>
      </c>
      <c r="N499">
        <v>1</v>
      </c>
      <c r="O499" s="1">
        <v>44203.830023148148</v>
      </c>
      <c r="P499" s="1">
        <v>44203.839328703703</v>
      </c>
      <c r="Q499">
        <v>46</v>
      </c>
      <c r="R499">
        <v>758</v>
      </c>
      <c r="S499" t="b">
        <v>0</v>
      </c>
      <c r="T499" t="s">
        <v>262</v>
      </c>
      <c r="U499" t="b">
        <v>1</v>
      </c>
      <c r="V499" t="s">
        <v>262</v>
      </c>
      <c r="W499" s="1">
        <v>44203.839328703703</v>
      </c>
      <c r="X499">
        <v>728</v>
      </c>
      <c r="Y499">
        <v>37</v>
      </c>
      <c r="Z499">
        <v>0</v>
      </c>
      <c r="AA499">
        <v>37</v>
      </c>
      <c r="AB499">
        <v>0</v>
      </c>
      <c r="AC499">
        <v>22</v>
      </c>
      <c r="AD499">
        <v>1</v>
      </c>
      <c r="AE499">
        <v>0</v>
      </c>
      <c r="AF499">
        <v>0</v>
      </c>
      <c r="AG499">
        <v>0</v>
      </c>
      <c r="AH499" t="s">
        <v>87</v>
      </c>
      <c r="AI499" t="s">
        <v>87</v>
      </c>
      <c r="AJ499" t="s">
        <v>87</v>
      </c>
      <c r="AK499" t="s">
        <v>87</v>
      </c>
      <c r="AL499" t="s">
        <v>87</v>
      </c>
      <c r="AM499" t="s">
        <v>87</v>
      </c>
      <c r="AN499" t="s">
        <v>87</v>
      </c>
      <c r="AO499" t="s">
        <v>87</v>
      </c>
      <c r="AP499" t="s">
        <v>87</v>
      </c>
      <c r="AQ499" t="s">
        <v>87</v>
      </c>
      <c r="AR499" t="s">
        <v>87</v>
      </c>
      <c r="AS499" t="s">
        <v>87</v>
      </c>
      <c r="AT499" t="s">
        <v>87</v>
      </c>
      <c r="AU499" t="s">
        <v>87</v>
      </c>
      <c r="AV499" t="s">
        <v>87</v>
      </c>
      <c r="AW499" t="s">
        <v>87</v>
      </c>
      <c r="AX499" t="s">
        <v>87</v>
      </c>
      <c r="AY499" t="s">
        <v>87</v>
      </c>
      <c r="AZ499" t="s">
        <v>87</v>
      </c>
      <c r="BA499" t="s">
        <v>87</v>
      </c>
      <c r="BB499" t="s">
        <v>87</v>
      </c>
      <c r="BC499" t="s">
        <v>87</v>
      </c>
      <c r="BD499" t="s">
        <v>87</v>
      </c>
      <c r="BE499" t="s">
        <v>87</v>
      </c>
    </row>
    <row r="500" spans="1:57" x14ac:dyDescent="0.45">
      <c r="A500" t="s">
        <v>1367</v>
      </c>
      <c r="B500" t="s">
        <v>79</v>
      </c>
      <c r="C500" t="s">
        <v>1368</v>
      </c>
      <c r="D500" t="s">
        <v>81</v>
      </c>
      <c r="E500" s="2" t="str">
        <f>HYPERLINK("capsilon://?command=openfolder&amp;siteaddress=FAM.docvelocity-na8.net&amp;folderid=FX1F09366B-D266-206E-645F-AA6DDD99FF2A","FX201226820")</f>
        <v>FX201226820</v>
      </c>
      <c r="F500" t="s">
        <v>19</v>
      </c>
      <c r="G500" t="s">
        <v>19</v>
      </c>
      <c r="H500" t="s">
        <v>82</v>
      </c>
      <c r="I500" t="s">
        <v>1369</v>
      </c>
      <c r="J500">
        <v>52</v>
      </c>
      <c r="K500" t="s">
        <v>84</v>
      </c>
      <c r="L500" t="s">
        <v>85</v>
      </c>
      <c r="M500" t="s">
        <v>86</v>
      </c>
      <c r="N500">
        <v>3</v>
      </c>
      <c r="O500" s="1">
        <v>44200.50309027778</v>
      </c>
      <c r="P500" s="1">
        <v>44200.62908564815</v>
      </c>
      <c r="Q500">
        <v>9931</v>
      </c>
      <c r="R500">
        <v>955</v>
      </c>
      <c r="S500" t="b">
        <v>0</v>
      </c>
      <c r="T500" t="s">
        <v>87</v>
      </c>
      <c r="U500" t="b">
        <v>0</v>
      </c>
      <c r="V500" t="s">
        <v>132</v>
      </c>
      <c r="W500" s="1">
        <v>44200.596180555556</v>
      </c>
      <c r="X500">
        <v>579</v>
      </c>
      <c r="Y500">
        <v>42</v>
      </c>
      <c r="Z500">
        <v>0</v>
      </c>
      <c r="AA500">
        <v>42</v>
      </c>
      <c r="AB500">
        <v>0</v>
      </c>
      <c r="AC500">
        <v>5</v>
      </c>
      <c r="AD500">
        <v>10</v>
      </c>
      <c r="AE500">
        <v>0</v>
      </c>
      <c r="AF500">
        <v>0</v>
      </c>
      <c r="AG500">
        <v>0</v>
      </c>
      <c r="AH500" t="s">
        <v>267</v>
      </c>
      <c r="AI500" s="1">
        <v>44200.602824074071</v>
      </c>
      <c r="AJ500">
        <v>370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10</v>
      </c>
      <c r="AQ500">
        <v>0</v>
      </c>
      <c r="AR500">
        <v>0</v>
      </c>
      <c r="AS500">
        <v>0</v>
      </c>
      <c r="AT500" t="s">
        <v>90</v>
      </c>
      <c r="AU500" s="1">
        <v>44200.62908564815</v>
      </c>
      <c r="AV500">
        <v>6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10</v>
      </c>
      <c r="BC500">
        <v>0</v>
      </c>
      <c r="BD500">
        <v>0</v>
      </c>
      <c r="BE500">
        <v>0</v>
      </c>
    </row>
    <row r="501" spans="1:57" x14ac:dyDescent="0.45">
      <c r="A501" t="s">
        <v>1370</v>
      </c>
      <c r="B501" t="s">
        <v>79</v>
      </c>
      <c r="C501" t="s">
        <v>1371</v>
      </c>
      <c r="D501" t="s">
        <v>81</v>
      </c>
      <c r="E501" s="2" t="str">
        <f>HYPERLINK("capsilon://?command=openfolder&amp;siteaddress=FAM.docvelocity-na8.net&amp;folderid=FXB841B970-9B50-0DD4-2C33-D190EAF08556","FX201228979")</f>
        <v>FX201228979</v>
      </c>
      <c r="F501" t="s">
        <v>19</v>
      </c>
      <c r="G501" t="s">
        <v>19</v>
      </c>
      <c r="H501" t="s">
        <v>82</v>
      </c>
      <c r="I501" t="s">
        <v>1372</v>
      </c>
      <c r="J501">
        <v>387</v>
      </c>
      <c r="K501" t="s">
        <v>84</v>
      </c>
      <c r="L501" t="s">
        <v>85</v>
      </c>
      <c r="M501" t="s">
        <v>86</v>
      </c>
      <c r="N501">
        <v>3</v>
      </c>
      <c r="O501" s="1">
        <v>44200.503888888888</v>
      </c>
      <c r="P501" s="1">
        <v>44201.353981481479</v>
      </c>
      <c r="Q501">
        <v>60093</v>
      </c>
      <c r="R501">
        <v>13355</v>
      </c>
      <c r="S501" t="b">
        <v>0</v>
      </c>
      <c r="T501" t="s">
        <v>87</v>
      </c>
      <c r="U501" t="b">
        <v>0</v>
      </c>
      <c r="V501" t="s">
        <v>88</v>
      </c>
      <c r="W501" s="1">
        <v>44200.725729166668</v>
      </c>
      <c r="X501">
        <v>11100</v>
      </c>
      <c r="Y501">
        <v>377</v>
      </c>
      <c r="Z501">
        <v>0</v>
      </c>
      <c r="AA501">
        <v>377</v>
      </c>
      <c r="AB501">
        <v>185</v>
      </c>
      <c r="AC501">
        <v>346</v>
      </c>
      <c r="AD501">
        <v>10</v>
      </c>
      <c r="AE501">
        <v>0</v>
      </c>
      <c r="AF501">
        <v>0</v>
      </c>
      <c r="AG501">
        <v>0</v>
      </c>
      <c r="AH501" t="s">
        <v>128</v>
      </c>
      <c r="AI501" s="1">
        <v>44200.757372685184</v>
      </c>
      <c r="AJ501">
        <v>1884</v>
      </c>
      <c r="AK501">
        <v>6</v>
      </c>
      <c r="AL501">
        <v>0</v>
      </c>
      <c r="AM501">
        <v>6</v>
      </c>
      <c r="AN501">
        <v>37</v>
      </c>
      <c r="AO501">
        <v>6</v>
      </c>
      <c r="AP501">
        <v>4</v>
      </c>
      <c r="AQ501">
        <v>0</v>
      </c>
      <c r="AR501">
        <v>0</v>
      </c>
      <c r="AS501">
        <v>0</v>
      </c>
      <c r="AT501" t="s">
        <v>90</v>
      </c>
      <c r="AU501" s="1">
        <v>44201.353981481479</v>
      </c>
      <c r="AV501">
        <v>371</v>
      </c>
      <c r="AW501">
        <v>0</v>
      </c>
      <c r="AX501">
        <v>0</v>
      </c>
      <c r="AY501">
        <v>0</v>
      </c>
      <c r="AZ501">
        <v>37</v>
      </c>
      <c r="BA501">
        <v>0</v>
      </c>
      <c r="BB501">
        <v>4</v>
      </c>
      <c r="BC501">
        <v>0</v>
      </c>
      <c r="BD501">
        <v>0</v>
      </c>
      <c r="BE501">
        <v>0</v>
      </c>
    </row>
    <row r="502" spans="1:57" x14ac:dyDescent="0.45">
      <c r="A502" t="s">
        <v>1373</v>
      </c>
      <c r="B502" t="s">
        <v>79</v>
      </c>
      <c r="C502" t="s">
        <v>1210</v>
      </c>
      <c r="D502" t="s">
        <v>81</v>
      </c>
      <c r="E502" s="2" t="str">
        <f>HYPERLINK("capsilon://?command=openfolder&amp;siteaddress=FAM.docvelocity-na8.net&amp;folderid=FX80A22950-1FE3-53DE-64A1-5C9CB772F41F","FX20125562")</f>
        <v>FX20125562</v>
      </c>
      <c r="F502" t="s">
        <v>19</v>
      </c>
      <c r="G502" t="s">
        <v>19</v>
      </c>
      <c r="H502" t="s">
        <v>82</v>
      </c>
      <c r="I502" t="s">
        <v>1374</v>
      </c>
      <c r="J502">
        <v>38</v>
      </c>
      <c r="K502" t="s">
        <v>84</v>
      </c>
      <c r="L502" t="s">
        <v>85</v>
      </c>
      <c r="M502" t="s">
        <v>86</v>
      </c>
      <c r="N502">
        <v>3</v>
      </c>
      <c r="O502" s="1">
        <v>44203.910775462966</v>
      </c>
      <c r="P502" s="1">
        <v>44204.437939814816</v>
      </c>
      <c r="Q502">
        <v>44109</v>
      </c>
      <c r="R502">
        <v>1438</v>
      </c>
      <c r="S502" t="b">
        <v>0</v>
      </c>
      <c r="T502" t="s">
        <v>87</v>
      </c>
      <c r="U502" t="b">
        <v>0</v>
      </c>
      <c r="V502" t="s">
        <v>105</v>
      </c>
      <c r="W502" s="1">
        <v>44204.154675925929</v>
      </c>
      <c r="X502">
        <v>802</v>
      </c>
      <c r="Y502">
        <v>37</v>
      </c>
      <c r="Z502">
        <v>0</v>
      </c>
      <c r="AA502">
        <v>37</v>
      </c>
      <c r="AB502">
        <v>0</v>
      </c>
      <c r="AC502">
        <v>35</v>
      </c>
      <c r="AD502">
        <v>1</v>
      </c>
      <c r="AE502">
        <v>0</v>
      </c>
      <c r="AF502">
        <v>0</v>
      </c>
      <c r="AG502">
        <v>0</v>
      </c>
      <c r="AH502" t="s">
        <v>89</v>
      </c>
      <c r="AI502" s="1">
        <v>44204.187905092593</v>
      </c>
      <c r="AJ502">
        <v>629</v>
      </c>
      <c r="AK502">
        <v>2</v>
      </c>
      <c r="AL502">
        <v>0</v>
      </c>
      <c r="AM502">
        <v>2</v>
      </c>
      <c r="AN502">
        <v>0</v>
      </c>
      <c r="AO502">
        <v>2</v>
      </c>
      <c r="AP502">
        <v>-1</v>
      </c>
      <c r="AQ502">
        <v>0</v>
      </c>
      <c r="AR502">
        <v>0</v>
      </c>
      <c r="AS502">
        <v>0</v>
      </c>
      <c r="AT502" t="s">
        <v>90</v>
      </c>
      <c r="AU502" s="1">
        <v>44204.437939814816</v>
      </c>
      <c r="AV502">
        <v>7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-1</v>
      </c>
      <c r="BC502">
        <v>0</v>
      </c>
      <c r="BD502">
        <v>0</v>
      </c>
      <c r="BE502">
        <v>0</v>
      </c>
    </row>
    <row r="503" spans="1:57" x14ac:dyDescent="0.45">
      <c r="A503" t="s">
        <v>1375</v>
      </c>
      <c r="B503" t="s">
        <v>79</v>
      </c>
      <c r="C503" t="s">
        <v>1210</v>
      </c>
      <c r="D503" t="s">
        <v>81</v>
      </c>
      <c r="E503" s="2" t="str">
        <f>HYPERLINK("capsilon://?command=openfolder&amp;siteaddress=FAM.docvelocity-na8.net&amp;folderid=FX80A22950-1FE3-53DE-64A1-5C9CB772F41F","FX20125562")</f>
        <v>FX20125562</v>
      </c>
      <c r="F503" t="s">
        <v>19</v>
      </c>
      <c r="G503" t="s">
        <v>19</v>
      </c>
      <c r="H503" t="s">
        <v>82</v>
      </c>
      <c r="I503" t="s">
        <v>1376</v>
      </c>
      <c r="J503">
        <v>38</v>
      </c>
      <c r="K503" t="s">
        <v>84</v>
      </c>
      <c r="L503" t="s">
        <v>85</v>
      </c>
      <c r="M503" t="s">
        <v>86</v>
      </c>
      <c r="N503">
        <v>3</v>
      </c>
      <c r="O503" s="1">
        <v>44203.912291666667</v>
      </c>
      <c r="P503" s="1">
        <v>44204.438020833331</v>
      </c>
      <c r="Q503">
        <v>44517</v>
      </c>
      <c r="R503">
        <v>906</v>
      </c>
      <c r="S503" t="b">
        <v>0</v>
      </c>
      <c r="T503" t="s">
        <v>87</v>
      </c>
      <c r="U503" t="b">
        <v>0</v>
      </c>
      <c r="V503" t="s">
        <v>419</v>
      </c>
      <c r="W503" s="1">
        <v>44204.155474537038</v>
      </c>
      <c r="X503">
        <v>491</v>
      </c>
      <c r="Y503">
        <v>37</v>
      </c>
      <c r="Z503">
        <v>0</v>
      </c>
      <c r="AA503">
        <v>37</v>
      </c>
      <c r="AB503">
        <v>0</v>
      </c>
      <c r="AC503">
        <v>28</v>
      </c>
      <c r="AD503">
        <v>1</v>
      </c>
      <c r="AE503">
        <v>0</v>
      </c>
      <c r="AF503">
        <v>0</v>
      </c>
      <c r="AG503">
        <v>0</v>
      </c>
      <c r="AH503" t="s">
        <v>89</v>
      </c>
      <c r="AI503" s="1">
        <v>44204.192650462966</v>
      </c>
      <c r="AJ503">
        <v>409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 t="s">
        <v>90</v>
      </c>
      <c r="AU503" s="1">
        <v>44204.438020833331</v>
      </c>
      <c r="AV503">
        <v>6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</row>
    <row r="504" spans="1:57" x14ac:dyDescent="0.45">
      <c r="A504" t="s">
        <v>1377</v>
      </c>
      <c r="B504" t="s">
        <v>79</v>
      </c>
      <c r="C504" t="s">
        <v>1347</v>
      </c>
      <c r="D504" t="s">
        <v>81</v>
      </c>
      <c r="E504" s="2" t="str">
        <f>HYPERLINK("capsilon://?command=openfolder&amp;siteaddress=FAM.docvelocity-na8.net&amp;folderid=FX7A55613F-4EA0-5783-D604-BCD870B00FC0","FX201226309")</f>
        <v>FX201226309</v>
      </c>
      <c r="F504" t="s">
        <v>19</v>
      </c>
      <c r="G504" t="s">
        <v>19</v>
      </c>
      <c r="H504" t="s">
        <v>82</v>
      </c>
      <c r="I504" t="s">
        <v>1378</v>
      </c>
      <c r="J504">
        <v>29</v>
      </c>
      <c r="K504" t="s">
        <v>84</v>
      </c>
      <c r="L504" t="s">
        <v>85</v>
      </c>
      <c r="M504" t="s">
        <v>86</v>
      </c>
      <c r="N504">
        <v>3</v>
      </c>
      <c r="O504" s="1">
        <v>44200.505983796298</v>
      </c>
      <c r="P504" s="1">
        <v>44200.629131944443</v>
      </c>
      <c r="Q504">
        <v>10230</v>
      </c>
      <c r="R504">
        <v>410</v>
      </c>
      <c r="S504" t="b">
        <v>0</v>
      </c>
      <c r="T504" t="s">
        <v>87</v>
      </c>
      <c r="U504" t="b">
        <v>0</v>
      </c>
      <c r="V504" t="s">
        <v>266</v>
      </c>
      <c r="W504" s="1">
        <v>44200.600682870368</v>
      </c>
      <c r="X504">
        <v>93</v>
      </c>
      <c r="Y504">
        <v>15</v>
      </c>
      <c r="Z504">
        <v>0</v>
      </c>
      <c r="AA504">
        <v>15</v>
      </c>
      <c r="AB504">
        <v>0</v>
      </c>
      <c r="AC504">
        <v>9</v>
      </c>
      <c r="AD504">
        <v>14</v>
      </c>
      <c r="AE504">
        <v>0</v>
      </c>
      <c r="AF504">
        <v>0</v>
      </c>
      <c r="AG504">
        <v>0</v>
      </c>
      <c r="AH504" t="s">
        <v>128</v>
      </c>
      <c r="AI504" s="1">
        <v>44200.610775462963</v>
      </c>
      <c r="AJ504">
        <v>313</v>
      </c>
      <c r="AK504">
        <v>1</v>
      </c>
      <c r="AL504">
        <v>0</v>
      </c>
      <c r="AM504">
        <v>1</v>
      </c>
      <c r="AN504">
        <v>0</v>
      </c>
      <c r="AO504">
        <v>1</v>
      </c>
      <c r="AP504">
        <v>13</v>
      </c>
      <c r="AQ504">
        <v>0</v>
      </c>
      <c r="AR504">
        <v>0</v>
      </c>
      <c r="AS504">
        <v>0</v>
      </c>
      <c r="AT504" t="s">
        <v>90</v>
      </c>
      <c r="AU504" s="1">
        <v>44200.629131944443</v>
      </c>
      <c r="AV504">
        <v>4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13</v>
      </c>
      <c r="BC504">
        <v>0</v>
      </c>
      <c r="BD504">
        <v>0</v>
      </c>
      <c r="BE504">
        <v>0</v>
      </c>
    </row>
    <row r="505" spans="1:57" x14ac:dyDescent="0.45">
      <c r="A505" t="s">
        <v>1379</v>
      </c>
      <c r="B505" t="s">
        <v>79</v>
      </c>
      <c r="C505" t="s">
        <v>1380</v>
      </c>
      <c r="D505" t="s">
        <v>81</v>
      </c>
      <c r="E505" s="2" t="str">
        <f>HYPERLINK("capsilon://?command=openfolder&amp;siteaddress=FAM.docvelocity-na8.net&amp;folderid=FX3F21937E-E21F-183E-CAC6-44AECB0A04EF","FX201229265")</f>
        <v>FX201229265</v>
      </c>
      <c r="F505" t="s">
        <v>19</v>
      </c>
      <c r="G505" t="s">
        <v>19</v>
      </c>
      <c r="H505" t="s">
        <v>82</v>
      </c>
      <c r="I505" t="s">
        <v>1381</v>
      </c>
      <c r="J505">
        <v>224</v>
      </c>
      <c r="K505" t="s">
        <v>84</v>
      </c>
      <c r="L505" t="s">
        <v>85</v>
      </c>
      <c r="M505" t="s">
        <v>86</v>
      </c>
      <c r="N505">
        <v>3</v>
      </c>
      <c r="O505" s="1">
        <v>44200.507141203707</v>
      </c>
      <c r="P505" s="1">
        <v>44200.647615740738</v>
      </c>
      <c r="Q505">
        <v>9444</v>
      </c>
      <c r="R505">
        <v>2693</v>
      </c>
      <c r="S505" t="b">
        <v>0</v>
      </c>
      <c r="T505" t="s">
        <v>87</v>
      </c>
      <c r="U505" t="b">
        <v>0</v>
      </c>
      <c r="V505" t="s">
        <v>266</v>
      </c>
      <c r="W505" s="1">
        <v>44200.625960648147</v>
      </c>
      <c r="X505">
        <v>2183</v>
      </c>
      <c r="Y505">
        <v>187</v>
      </c>
      <c r="Z505">
        <v>0</v>
      </c>
      <c r="AA505">
        <v>187</v>
      </c>
      <c r="AB505">
        <v>0</v>
      </c>
      <c r="AC505">
        <v>77</v>
      </c>
      <c r="AD505">
        <v>37</v>
      </c>
      <c r="AE505">
        <v>0</v>
      </c>
      <c r="AF505">
        <v>0</v>
      </c>
      <c r="AG505">
        <v>0</v>
      </c>
      <c r="AH505" t="s">
        <v>267</v>
      </c>
      <c r="AI505" s="1">
        <v>44200.636967592596</v>
      </c>
      <c r="AJ505">
        <v>368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37</v>
      </c>
      <c r="AQ505">
        <v>0</v>
      </c>
      <c r="AR505">
        <v>0</v>
      </c>
      <c r="AS505">
        <v>0</v>
      </c>
      <c r="AT505" t="s">
        <v>90</v>
      </c>
      <c r="AU505" s="1">
        <v>44200.647615740738</v>
      </c>
      <c r="AV505">
        <v>142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37</v>
      </c>
      <c r="BC505">
        <v>0</v>
      </c>
      <c r="BD505">
        <v>0</v>
      </c>
      <c r="BE505">
        <v>0</v>
      </c>
    </row>
    <row r="506" spans="1:57" hidden="1" x14ac:dyDescent="0.45">
      <c r="A506" t="s">
        <v>1382</v>
      </c>
      <c r="B506" t="s">
        <v>79</v>
      </c>
      <c r="C506" t="s">
        <v>1383</v>
      </c>
      <c r="D506" t="s">
        <v>81</v>
      </c>
      <c r="E506" s="2" t="str">
        <f>HYPERLINK("capsilon://?command=openfolder&amp;siteaddress=FAM.docvelocity-na8.net&amp;folderid=FX0E3C9174-FA0A-7950-F5E6-312D3CC4D2CF","FX20122527")</f>
        <v>FX20122527</v>
      </c>
      <c r="F506" t="s">
        <v>19</v>
      </c>
      <c r="G506" t="s">
        <v>19</v>
      </c>
      <c r="H506" t="s">
        <v>82</v>
      </c>
      <c r="I506" t="s">
        <v>1384</v>
      </c>
      <c r="J506">
        <v>66</v>
      </c>
      <c r="K506" t="s">
        <v>84</v>
      </c>
      <c r="L506" t="s">
        <v>85</v>
      </c>
      <c r="M506" t="s">
        <v>86</v>
      </c>
      <c r="N506">
        <v>1</v>
      </c>
      <c r="O506" s="1">
        <v>44204.010648148149</v>
      </c>
      <c r="P506" s="1">
        <v>44204.154224537036</v>
      </c>
      <c r="Q506">
        <v>12279</v>
      </c>
      <c r="R506">
        <v>126</v>
      </c>
      <c r="S506" t="b">
        <v>0</v>
      </c>
      <c r="T506" t="s">
        <v>87</v>
      </c>
      <c r="U506" t="b">
        <v>0</v>
      </c>
      <c r="V506" t="s">
        <v>112</v>
      </c>
      <c r="W506" s="1">
        <v>44204.154224537036</v>
      </c>
      <c r="X506">
        <v>126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66</v>
      </c>
      <c r="AE506">
        <v>52</v>
      </c>
      <c r="AF506">
        <v>0</v>
      </c>
      <c r="AG506">
        <v>1</v>
      </c>
      <c r="AH506" t="s">
        <v>87</v>
      </c>
      <c r="AI506" t="s">
        <v>87</v>
      </c>
      <c r="AJ506" t="s">
        <v>87</v>
      </c>
      <c r="AK506" t="s">
        <v>87</v>
      </c>
      <c r="AL506" t="s">
        <v>87</v>
      </c>
      <c r="AM506" t="s">
        <v>87</v>
      </c>
      <c r="AN506" t="s">
        <v>87</v>
      </c>
      <c r="AO506" t="s">
        <v>87</v>
      </c>
      <c r="AP506" t="s">
        <v>87</v>
      </c>
      <c r="AQ506" t="s">
        <v>87</v>
      </c>
      <c r="AR506" t="s">
        <v>87</v>
      </c>
      <c r="AS506" t="s">
        <v>87</v>
      </c>
      <c r="AT506" t="s">
        <v>87</v>
      </c>
      <c r="AU506" t="s">
        <v>87</v>
      </c>
      <c r="AV506" t="s">
        <v>87</v>
      </c>
      <c r="AW506" t="s">
        <v>87</v>
      </c>
      <c r="AX506" t="s">
        <v>87</v>
      </c>
      <c r="AY506" t="s">
        <v>87</v>
      </c>
      <c r="AZ506" t="s">
        <v>87</v>
      </c>
      <c r="BA506" t="s">
        <v>87</v>
      </c>
      <c r="BB506" t="s">
        <v>87</v>
      </c>
      <c r="BC506" t="s">
        <v>87</v>
      </c>
      <c r="BD506" t="s">
        <v>87</v>
      </c>
      <c r="BE506" t="s">
        <v>87</v>
      </c>
    </row>
    <row r="507" spans="1:57" x14ac:dyDescent="0.45">
      <c r="A507" t="s">
        <v>1385</v>
      </c>
      <c r="B507" t="s">
        <v>79</v>
      </c>
      <c r="C507" t="s">
        <v>1383</v>
      </c>
      <c r="D507" t="s">
        <v>81</v>
      </c>
      <c r="E507" s="2" t="str">
        <f>HYPERLINK("capsilon://?command=openfolder&amp;siteaddress=FAM.docvelocity-na8.net&amp;folderid=FX0E3C9174-FA0A-7950-F5E6-312D3CC4D2CF","FX20122527")</f>
        <v>FX20122527</v>
      </c>
      <c r="F507" t="s">
        <v>19</v>
      </c>
      <c r="G507" t="s">
        <v>19</v>
      </c>
      <c r="H507" t="s">
        <v>82</v>
      </c>
      <c r="I507" t="s">
        <v>1384</v>
      </c>
      <c r="J507">
        <v>38</v>
      </c>
      <c r="K507" t="s">
        <v>84</v>
      </c>
      <c r="L507" t="s">
        <v>85</v>
      </c>
      <c r="M507" t="s">
        <v>86</v>
      </c>
      <c r="N507">
        <v>3</v>
      </c>
      <c r="O507" s="1">
        <v>44204.154537037037</v>
      </c>
      <c r="P507" s="1">
        <v>44204.342789351853</v>
      </c>
      <c r="Q507">
        <v>14893</v>
      </c>
      <c r="R507">
        <v>1372</v>
      </c>
      <c r="S507" t="b">
        <v>0</v>
      </c>
      <c r="T507" t="s">
        <v>87</v>
      </c>
      <c r="U507" t="b">
        <v>1</v>
      </c>
      <c r="V507" t="s">
        <v>112</v>
      </c>
      <c r="W507" s="1">
        <v>44204.161886574075</v>
      </c>
      <c r="X507">
        <v>634</v>
      </c>
      <c r="Y507">
        <v>37</v>
      </c>
      <c r="Z507">
        <v>0</v>
      </c>
      <c r="AA507">
        <v>37</v>
      </c>
      <c r="AB507">
        <v>0</v>
      </c>
      <c r="AC507">
        <v>24</v>
      </c>
      <c r="AD507">
        <v>1</v>
      </c>
      <c r="AE507">
        <v>0</v>
      </c>
      <c r="AF507">
        <v>0</v>
      </c>
      <c r="AG507">
        <v>0</v>
      </c>
      <c r="AH507" t="s">
        <v>89</v>
      </c>
      <c r="AI507" s="1">
        <v>44204.180613425924</v>
      </c>
      <c r="AJ507">
        <v>734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 t="s">
        <v>90</v>
      </c>
      <c r="AU507" s="1">
        <v>44204.342789351853</v>
      </c>
      <c r="AV507">
        <v>4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</row>
    <row r="508" spans="1:57" x14ac:dyDescent="0.45">
      <c r="A508" t="s">
        <v>1386</v>
      </c>
      <c r="B508" t="s">
        <v>79</v>
      </c>
      <c r="C508" t="s">
        <v>1387</v>
      </c>
      <c r="D508" t="s">
        <v>81</v>
      </c>
      <c r="E508" s="2" t="str">
        <f>HYPERLINK("capsilon://?command=openfolder&amp;siteaddress=FAM.docvelocity-na8.net&amp;folderid=FX801493D8-C470-5A6D-6307-A0C2A56975C5","FX20122779")</f>
        <v>FX20122779</v>
      </c>
      <c r="F508" t="s">
        <v>19</v>
      </c>
      <c r="G508" t="s">
        <v>19</v>
      </c>
      <c r="H508" t="s">
        <v>82</v>
      </c>
      <c r="I508" t="s">
        <v>1388</v>
      </c>
      <c r="J508">
        <v>26</v>
      </c>
      <c r="K508" t="s">
        <v>84</v>
      </c>
      <c r="L508" t="s">
        <v>85</v>
      </c>
      <c r="M508" t="s">
        <v>86</v>
      </c>
      <c r="N508">
        <v>3</v>
      </c>
      <c r="O508" s="1">
        <v>44204.290763888886</v>
      </c>
      <c r="P508" s="1">
        <v>44204.438067129631</v>
      </c>
      <c r="Q508">
        <v>12103</v>
      </c>
      <c r="R508">
        <v>624</v>
      </c>
      <c r="S508" t="b">
        <v>0</v>
      </c>
      <c r="T508" t="s">
        <v>87</v>
      </c>
      <c r="U508" t="b">
        <v>0</v>
      </c>
      <c r="V508" t="s">
        <v>112</v>
      </c>
      <c r="W508" s="1">
        <v>44204.296296296299</v>
      </c>
      <c r="X508">
        <v>195</v>
      </c>
      <c r="Y508">
        <v>21</v>
      </c>
      <c r="Z508">
        <v>0</v>
      </c>
      <c r="AA508">
        <v>21</v>
      </c>
      <c r="AB508">
        <v>0</v>
      </c>
      <c r="AC508">
        <v>4</v>
      </c>
      <c r="AD508">
        <v>5</v>
      </c>
      <c r="AE508">
        <v>0</v>
      </c>
      <c r="AF508">
        <v>0</v>
      </c>
      <c r="AG508">
        <v>0</v>
      </c>
      <c r="AH508" t="s">
        <v>89</v>
      </c>
      <c r="AI508" s="1">
        <v>44204.306921296295</v>
      </c>
      <c r="AJ508">
        <v>425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5</v>
      </c>
      <c r="AQ508">
        <v>0</v>
      </c>
      <c r="AR508">
        <v>0</v>
      </c>
      <c r="AS508">
        <v>0</v>
      </c>
      <c r="AT508" t="s">
        <v>90</v>
      </c>
      <c r="AU508" s="1">
        <v>44204.438067129631</v>
      </c>
      <c r="AV508">
        <v>4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5</v>
      </c>
      <c r="BC508">
        <v>0</v>
      </c>
      <c r="BD508">
        <v>0</v>
      </c>
      <c r="BE508">
        <v>0</v>
      </c>
    </row>
    <row r="509" spans="1:57" x14ac:dyDescent="0.45">
      <c r="A509" t="s">
        <v>1389</v>
      </c>
      <c r="B509" t="s">
        <v>79</v>
      </c>
      <c r="C509" t="s">
        <v>734</v>
      </c>
      <c r="D509" t="s">
        <v>81</v>
      </c>
      <c r="E509" s="2" t="str">
        <f>HYPERLINK("capsilon://?command=openfolder&amp;siteaddress=FAM.docvelocity-na8.net&amp;folderid=FX0BE0AF46-9104-9684-334C-2CA6E6143C0D","FX201222575")</f>
        <v>FX201222575</v>
      </c>
      <c r="F509" t="s">
        <v>19</v>
      </c>
      <c r="G509" t="s">
        <v>19</v>
      </c>
      <c r="H509" t="s">
        <v>82</v>
      </c>
      <c r="I509" t="s">
        <v>1390</v>
      </c>
      <c r="J509">
        <v>66</v>
      </c>
      <c r="K509" t="s">
        <v>84</v>
      </c>
      <c r="L509" t="s">
        <v>85</v>
      </c>
      <c r="M509" t="s">
        <v>86</v>
      </c>
      <c r="N509">
        <v>3</v>
      </c>
      <c r="O509" s="1">
        <v>44204.304537037038</v>
      </c>
      <c r="P509" s="1">
        <v>44204.446863425925</v>
      </c>
      <c r="Q509">
        <v>9824</v>
      </c>
      <c r="R509">
        <v>2473</v>
      </c>
      <c r="S509" t="b">
        <v>0</v>
      </c>
      <c r="T509" t="s">
        <v>87</v>
      </c>
      <c r="U509" t="b">
        <v>0</v>
      </c>
      <c r="V509" t="s">
        <v>919</v>
      </c>
      <c r="W509" s="1">
        <v>44204.318379629629</v>
      </c>
      <c r="X509">
        <v>1092</v>
      </c>
      <c r="Y509">
        <v>52</v>
      </c>
      <c r="Z509">
        <v>0</v>
      </c>
      <c r="AA509">
        <v>52</v>
      </c>
      <c r="AB509">
        <v>0</v>
      </c>
      <c r="AC509">
        <v>30</v>
      </c>
      <c r="AD509">
        <v>14</v>
      </c>
      <c r="AE509">
        <v>0</v>
      </c>
      <c r="AF509">
        <v>0</v>
      </c>
      <c r="AG509">
        <v>0</v>
      </c>
      <c r="AH509" t="s">
        <v>89</v>
      </c>
      <c r="AI509" s="1">
        <v>44204.328692129631</v>
      </c>
      <c r="AJ509">
        <v>622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14</v>
      </c>
      <c r="AQ509">
        <v>0</v>
      </c>
      <c r="AR509">
        <v>0</v>
      </c>
      <c r="AS509">
        <v>0</v>
      </c>
      <c r="AT509" t="s">
        <v>90</v>
      </c>
      <c r="AU509" s="1">
        <v>44204.446863425925</v>
      </c>
      <c r="AV509">
        <v>759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14</v>
      </c>
      <c r="BC509">
        <v>0</v>
      </c>
      <c r="BD509">
        <v>0</v>
      </c>
      <c r="BE509">
        <v>0</v>
      </c>
    </row>
    <row r="510" spans="1:57" hidden="1" x14ac:dyDescent="0.45">
      <c r="A510" t="s">
        <v>1391</v>
      </c>
      <c r="B510" t="s">
        <v>79</v>
      </c>
      <c r="C510" t="s">
        <v>1392</v>
      </c>
      <c r="D510" t="s">
        <v>81</v>
      </c>
      <c r="E510" s="2" t="str">
        <f>HYPERLINK("capsilon://?command=openfolder&amp;siteaddress=FAM.docvelocity-na8.net&amp;folderid=FXC0926AD1-9DE5-5F4C-9B30-FF101B29F2A3","FX21012399")</f>
        <v>FX21012399</v>
      </c>
      <c r="F510" t="s">
        <v>19</v>
      </c>
      <c r="G510" t="s">
        <v>19</v>
      </c>
      <c r="H510" t="s">
        <v>82</v>
      </c>
      <c r="I510" t="s">
        <v>1393</v>
      </c>
      <c r="J510">
        <v>349</v>
      </c>
      <c r="K510" t="s">
        <v>84</v>
      </c>
      <c r="L510" t="s">
        <v>85</v>
      </c>
      <c r="M510" t="s">
        <v>86</v>
      </c>
      <c r="N510">
        <v>1</v>
      </c>
      <c r="O510" s="1">
        <v>44204.335509259261</v>
      </c>
      <c r="P510" s="1">
        <v>44204.34584490741</v>
      </c>
      <c r="Q510">
        <v>1</v>
      </c>
      <c r="R510">
        <v>892</v>
      </c>
      <c r="S510" t="b">
        <v>0</v>
      </c>
      <c r="T510" t="s">
        <v>87</v>
      </c>
      <c r="U510" t="b">
        <v>0</v>
      </c>
      <c r="V510" t="s">
        <v>919</v>
      </c>
      <c r="W510" s="1">
        <v>44204.34584490741</v>
      </c>
      <c r="X510">
        <v>892</v>
      </c>
      <c r="Y510">
        <v>280</v>
      </c>
      <c r="Z510">
        <v>0</v>
      </c>
      <c r="AA510">
        <v>280</v>
      </c>
      <c r="AB510">
        <v>0</v>
      </c>
      <c r="AC510">
        <v>0</v>
      </c>
      <c r="AD510">
        <v>69</v>
      </c>
      <c r="AE510">
        <v>36</v>
      </c>
      <c r="AF510">
        <v>0</v>
      </c>
      <c r="AG510">
        <v>2</v>
      </c>
      <c r="AH510" t="s">
        <v>87</v>
      </c>
      <c r="AI510" t="s">
        <v>87</v>
      </c>
      <c r="AJ510" t="s">
        <v>87</v>
      </c>
      <c r="AK510" t="s">
        <v>87</v>
      </c>
      <c r="AL510" t="s">
        <v>87</v>
      </c>
      <c r="AM510" t="s">
        <v>87</v>
      </c>
      <c r="AN510" t="s">
        <v>87</v>
      </c>
      <c r="AO510" t="s">
        <v>87</v>
      </c>
      <c r="AP510" t="s">
        <v>87</v>
      </c>
      <c r="AQ510" t="s">
        <v>87</v>
      </c>
      <c r="AR510" t="s">
        <v>87</v>
      </c>
      <c r="AS510" t="s">
        <v>87</v>
      </c>
      <c r="AT510" t="s">
        <v>87</v>
      </c>
      <c r="AU510" t="s">
        <v>87</v>
      </c>
      <c r="AV510" t="s">
        <v>87</v>
      </c>
      <c r="AW510" t="s">
        <v>87</v>
      </c>
      <c r="AX510" t="s">
        <v>87</v>
      </c>
      <c r="AY510" t="s">
        <v>87</v>
      </c>
      <c r="AZ510" t="s">
        <v>87</v>
      </c>
      <c r="BA510" t="s">
        <v>87</v>
      </c>
      <c r="BB510" t="s">
        <v>87</v>
      </c>
      <c r="BC510" t="s">
        <v>87</v>
      </c>
      <c r="BD510" t="s">
        <v>87</v>
      </c>
      <c r="BE510" t="s">
        <v>87</v>
      </c>
    </row>
    <row r="511" spans="1:57" x14ac:dyDescent="0.45">
      <c r="A511" t="s">
        <v>1394</v>
      </c>
      <c r="B511" t="s">
        <v>79</v>
      </c>
      <c r="C511" t="s">
        <v>1395</v>
      </c>
      <c r="D511" t="s">
        <v>81</v>
      </c>
      <c r="E511" s="2" t="str">
        <f>HYPERLINK("capsilon://?command=openfolder&amp;siteaddress=FAM.docvelocity-na8.net&amp;folderid=FXD1F3CE56-A205-FE8E-4D84-BF49292733E9","FX201114141")</f>
        <v>FX201114141</v>
      </c>
      <c r="F511" t="s">
        <v>19</v>
      </c>
      <c r="G511" t="s">
        <v>19</v>
      </c>
      <c r="H511" t="s">
        <v>82</v>
      </c>
      <c r="I511" t="s">
        <v>1396</v>
      </c>
      <c r="J511">
        <v>77</v>
      </c>
      <c r="K511" t="s">
        <v>84</v>
      </c>
      <c r="L511" t="s">
        <v>85</v>
      </c>
      <c r="M511" t="s">
        <v>86</v>
      </c>
      <c r="N511">
        <v>3</v>
      </c>
      <c r="O511" s="1">
        <v>44204.346435185187</v>
      </c>
      <c r="P511" s="1">
        <v>44204.447141203702</v>
      </c>
      <c r="Q511">
        <v>7166</v>
      </c>
      <c r="R511">
        <v>1535</v>
      </c>
      <c r="S511" t="b">
        <v>0</v>
      </c>
      <c r="T511" t="s">
        <v>87</v>
      </c>
      <c r="U511" t="b">
        <v>0</v>
      </c>
      <c r="V511" t="s">
        <v>98</v>
      </c>
      <c r="W511" s="1">
        <v>44204.354375000003</v>
      </c>
      <c r="X511">
        <v>685</v>
      </c>
      <c r="Y511">
        <v>54</v>
      </c>
      <c r="Z511">
        <v>0</v>
      </c>
      <c r="AA511">
        <v>54</v>
      </c>
      <c r="AB511">
        <v>0</v>
      </c>
      <c r="AC511">
        <v>39</v>
      </c>
      <c r="AD511">
        <v>23</v>
      </c>
      <c r="AE511">
        <v>0</v>
      </c>
      <c r="AF511">
        <v>0</v>
      </c>
      <c r="AG511">
        <v>0</v>
      </c>
      <c r="AH511" t="s">
        <v>89</v>
      </c>
      <c r="AI511" s="1">
        <v>44204.373425925929</v>
      </c>
      <c r="AJ511">
        <v>826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23</v>
      </c>
      <c r="AQ511">
        <v>0</v>
      </c>
      <c r="AR511">
        <v>0</v>
      </c>
      <c r="AS511">
        <v>0</v>
      </c>
      <c r="AT511" t="s">
        <v>90</v>
      </c>
      <c r="AU511" s="1">
        <v>44204.447141203702</v>
      </c>
      <c r="AV511">
        <v>24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23</v>
      </c>
      <c r="BC511">
        <v>0</v>
      </c>
      <c r="BD511">
        <v>0</v>
      </c>
      <c r="BE511">
        <v>0</v>
      </c>
    </row>
    <row r="512" spans="1:57" x14ac:dyDescent="0.45">
      <c r="A512" t="s">
        <v>1397</v>
      </c>
      <c r="B512" t="s">
        <v>79</v>
      </c>
      <c r="C512" t="s">
        <v>1392</v>
      </c>
      <c r="D512" t="s">
        <v>81</v>
      </c>
      <c r="E512" s="2" t="str">
        <f>HYPERLINK("capsilon://?command=openfolder&amp;siteaddress=FAM.docvelocity-na8.net&amp;folderid=FXC0926AD1-9DE5-5F4C-9B30-FF101B29F2A3","FX21012399")</f>
        <v>FX21012399</v>
      </c>
      <c r="F512" t="s">
        <v>19</v>
      </c>
      <c r="G512" t="s">
        <v>19</v>
      </c>
      <c r="H512" t="s">
        <v>82</v>
      </c>
      <c r="I512" t="s">
        <v>1393</v>
      </c>
      <c r="J512">
        <v>80</v>
      </c>
      <c r="K512" t="s">
        <v>84</v>
      </c>
      <c r="L512" t="s">
        <v>85</v>
      </c>
      <c r="M512" t="s">
        <v>86</v>
      </c>
      <c r="N512">
        <v>3</v>
      </c>
      <c r="O512" s="1">
        <v>44204.346689814818</v>
      </c>
      <c r="P512" s="1">
        <v>44204.435370370367</v>
      </c>
      <c r="Q512">
        <v>735</v>
      </c>
      <c r="R512">
        <v>6927</v>
      </c>
      <c r="S512" t="b">
        <v>0</v>
      </c>
      <c r="T512" t="s">
        <v>87</v>
      </c>
      <c r="U512" t="b">
        <v>1</v>
      </c>
      <c r="V512" t="s">
        <v>919</v>
      </c>
      <c r="W512" s="1">
        <v>44204.394976851851</v>
      </c>
      <c r="X512">
        <v>4104</v>
      </c>
      <c r="Y512">
        <v>208</v>
      </c>
      <c r="Z512">
        <v>0</v>
      </c>
      <c r="AA512">
        <v>208</v>
      </c>
      <c r="AB512">
        <v>0</v>
      </c>
      <c r="AC512">
        <v>141</v>
      </c>
      <c r="AD512">
        <v>-128</v>
      </c>
      <c r="AE512">
        <v>0</v>
      </c>
      <c r="AF512">
        <v>0</v>
      </c>
      <c r="AG512">
        <v>0</v>
      </c>
      <c r="AH512" t="s">
        <v>89</v>
      </c>
      <c r="AI512" s="1">
        <v>44204.431284722225</v>
      </c>
      <c r="AJ512">
        <v>2777</v>
      </c>
      <c r="AK512">
        <v>4</v>
      </c>
      <c r="AL512">
        <v>0</v>
      </c>
      <c r="AM512">
        <v>4</v>
      </c>
      <c r="AN512">
        <v>0</v>
      </c>
      <c r="AO512">
        <v>3</v>
      </c>
      <c r="AP512">
        <v>-132</v>
      </c>
      <c r="AQ512">
        <v>0</v>
      </c>
      <c r="AR512">
        <v>0</v>
      </c>
      <c r="AS512">
        <v>0</v>
      </c>
      <c r="AT512" t="s">
        <v>90</v>
      </c>
      <c r="AU512" s="1">
        <v>44204.435370370367</v>
      </c>
      <c r="AV512">
        <v>46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-132</v>
      </c>
      <c r="BC512">
        <v>0</v>
      </c>
      <c r="BD512">
        <v>0</v>
      </c>
      <c r="BE512">
        <v>0</v>
      </c>
    </row>
    <row r="513" spans="1:57" hidden="1" x14ac:dyDescent="0.45">
      <c r="A513" t="s">
        <v>1398</v>
      </c>
      <c r="B513" t="s">
        <v>79</v>
      </c>
      <c r="C513" t="s">
        <v>1399</v>
      </c>
      <c r="D513" t="s">
        <v>81</v>
      </c>
      <c r="E513" s="2" t="str">
        <f>HYPERLINK("capsilon://?command=openfolder&amp;siteaddress=FAM.docvelocity-na8.net&amp;folderid=FX84E84093-383A-B025-766B-259A024D4397","FX2012887")</f>
        <v>FX2012887</v>
      </c>
      <c r="F513" t="s">
        <v>19</v>
      </c>
      <c r="G513" t="s">
        <v>19</v>
      </c>
      <c r="H513" t="s">
        <v>82</v>
      </c>
      <c r="I513" t="s">
        <v>1400</v>
      </c>
      <c r="J513">
        <v>66</v>
      </c>
      <c r="K513" t="s">
        <v>84</v>
      </c>
      <c r="L513" t="s">
        <v>85</v>
      </c>
      <c r="M513" t="s">
        <v>86</v>
      </c>
      <c r="N513">
        <v>1</v>
      </c>
      <c r="O513" s="1">
        <v>44204.362847222219</v>
      </c>
      <c r="P513" s="1">
        <v>44204.365856481483</v>
      </c>
      <c r="Q513">
        <v>14</v>
      </c>
      <c r="R513">
        <v>246</v>
      </c>
      <c r="S513" t="b">
        <v>0</v>
      </c>
      <c r="T513" t="s">
        <v>87</v>
      </c>
      <c r="U513" t="b">
        <v>0</v>
      </c>
      <c r="V513" t="s">
        <v>98</v>
      </c>
      <c r="W513" s="1">
        <v>44204.365856481483</v>
      </c>
      <c r="X513">
        <v>246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66</v>
      </c>
      <c r="AE513">
        <v>52</v>
      </c>
      <c r="AF513">
        <v>0</v>
      </c>
      <c r="AG513">
        <v>1</v>
      </c>
      <c r="AH513" t="s">
        <v>87</v>
      </c>
      <c r="AI513" t="s">
        <v>87</v>
      </c>
      <c r="AJ513" t="s">
        <v>87</v>
      </c>
      <c r="AK513" t="s">
        <v>87</v>
      </c>
      <c r="AL513" t="s">
        <v>87</v>
      </c>
      <c r="AM513" t="s">
        <v>87</v>
      </c>
      <c r="AN513" t="s">
        <v>87</v>
      </c>
      <c r="AO513" t="s">
        <v>87</v>
      </c>
      <c r="AP513" t="s">
        <v>87</v>
      </c>
      <c r="AQ513" t="s">
        <v>87</v>
      </c>
      <c r="AR513" t="s">
        <v>87</v>
      </c>
      <c r="AS513" t="s">
        <v>87</v>
      </c>
      <c r="AT513" t="s">
        <v>87</v>
      </c>
      <c r="AU513" t="s">
        <v>87</v>
      </c>
      <c r="AV513" t="s">
        <v>87</v>
      </c>
      <c r="AW513" t="s">
        <v>87</v>
      </c>
      <c r="AX513" t="s">
        <v>87</v>
      </c>
      <c r="AY513" t="s">
        <v>87</v>
      </c>
      <c r="AZ513" t="s">
        <v>87</v>
      </c>
      <c r="BA513" t="s">
        <v>87</v>
      </c>
      <c r="BB513" t="s">
        <v>87</v>
      </c>
      <c r="BC513" t="s">
        <v>87</v>
      </c>
      <c r="BD513" t="s">
        <v>87</v>
      </c>
      <c r="BE513" t="s">
        <v>87</v>
      </c>
    </row>
    <row r="514" spans="1:57" x14ac:dyDescent="0.45">
      <c r="A514" t="s">
        <v>1401</v>
      </c>
      <c r="B514" t="s">
        <v>79</v>
      </c>
      <c r="C514" t="s">
        <v>1402</v>
      </c>
      <c r="D514" t="s">
        <v>81</v>
      </c>
      <c r="E514" s="2" t="str">
        <f>HYPERLINK("capsilon://?command=openfolder&amp;siteaddress=FAM.docvelocity-na8.net&amp;folderid=FX88C6F78C-FE1E-8137-1437-FC34B863078E","FX20127293")</f>
        <v>FX20127293</v>
      </c>
      <c r="F514" t="s">
        <v>19</v>
      </c>
      <c r="G514" t="s">
        <v>19</v>
      </c>
      <c r="H514" t="s">
        <v>82</v>
      </c>
      <c r="I514" t="s">
        <v>1403</v>
      </c>
      <c r="J514">
        <v>66</v>
      </c>
      <c r="K514" t="s">
        <v>84</v>
      </c>
      <c r="L514" t="s">
        <v>85</v>
      </c>
      <c r="M514" t="s">
        <v>86</v>
      </c>
      <c r="N514">
        <v>3</v>
      </c>
      <c r="O514" s="1">
        <v>44204.365277777775</v>
      </c>
      <c r="P514" s="1">
        <v>44204.449212962965</v>
      </c>
      <c r="Q514">
        <v>5180</v>
      </c>
      <c r="R514">
        <v>2072</v>
      </c>
      <c r="S514" t="b">
        <v>0</v>
      </c>
      <c r="T514" t="s">
        <v>87</v>
      </c>
      <c r="U514" t="b">
        <v>0</v>
      </c>
      <c r="V514" t="s">
        <v>105</v>
      </c>
      <c r="W514" s="1">
        <v>44204.377534722225</v>
      </c>
      <c r="X514">
        <v>1055</v>
      </c>
      <c r="Y514">
        <v>52</v>
      </c>
      <c r="Z514">
        <v>0</v>
      </c>
      <c r="AA514">
        <v>52</v>
      </c>
      <c r="AB514">
        <v>0</v>
      </c>
      <c r="AC514">
        <v>38</v>
      </c>
      <c r="AD514">
        <v>14</v>
      </c>
      <c r="AE514">
        <v>0</v>
      </c>
      <c r="AF514">
        <v>0</v>
      </c>
      <c r="AG514">
        <v>0</v>
      </c>
      <c r="AH514" t="s">
        <v>89</v>
      </c>
      <c r="AI514" s="1">
        <v>44204.399131944447</v>
      </c>
      <c r="AJ514">
        <v>839</v>
      </c>
      <c r="AK514">
        <v>2</v>
      </c>
      <c r="AL514">
        <v>0</v>
      </c>
      <c r="AM514">
        <v>2</v>
      </c>
      <c r="AN514">
        <v>0</v>
      </c>
      <c r="AO514">
        <v>1</v>
      </c>
      <c r="AP514">
        <v>12</v>
      </c>
      <c r="AQ514">
        <v>0</v>
      </c>
      <c r="AR514">
        <v>0</v>
      </c>
      <c r="AS514">
        <v>0</v>
      </c>
      <c r="AT514" t="s">
        <v>90</v>
      </c>
      <c r="AU514" s="1">
        <v>44204.449212962965</v>
      </c>
      <c r="AV514">
        <v>178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12</v>
      </c>
      <c r="BC514">
        <v>0</v>
      </c>
      <c r="BD514">
        <v>0</v>
      </c>
      <c r="BE514">
        <v>0</v>
      </c>
    </row>
    <row r="515" spans="1:57" x14ac:dyDescent="0.45">
      <c r="A515" t="s">
        <v>1404</v>
      </c>
      <c r="B515" t="s">
        <v>79</v>
      </c>
      <c r="C515" t="s">
        <v>1399</v>
      </c>
      <c r="D515" t="s">
        <v>81</v>
      </c>
      <c r="E515" s="2" t="str">
        <f>HYPERLINK("capsilon://?command=openfolder&amp;siteaddress=FAM.docvelocity-na8.net&amp;folderid=FX84E84093-383A-B025-766B-259A024D4397","FX2012887")</f>
        <v>FX2012887</v>
      </c>
      <c r="F515" t="s">
        <v>19</v>
      </c>
      <c r="G515" t="s">
        <v>19</v>
      </c>
      <c r="H515" t="s">
        <v>82</v>
      </c>
      <c r="I515" t="s">
        <v>1400</v>
      </c>
      <c r="J515">
        <v>38</v>
      </c>
      <c r="K515" t="s">
        <v>84</v>
      </c>
      <c r="L515" t="s">
        <v>85</v>
      </c>
      <c r="M515" t="s">
        <v>86</v>
      </c>
      <c r="N515">
        <v>3</v>
      </c>
      <c r="O515" s="1">
        <v>44204.366238425922</v>
      </c>
      <c r="P515" s="1">
        <v>44204.397974537038</v>
      </c>
      <c r="Q515">
        <v>1070</v>
      </c>
      <c r="R515">
        <v>1672</v>
      </c>
      <c r="S515" t="b">
        <v>0</v>
      </c>
      <c r="T515" t="s">
        <v>87</v>
      </c>
      <c r="U515" t="b">
        <v>1</v>
      </c>
      <c r="V515" t="s">
        <v>98</v>
      </c>
      <c r="W515" s="1">
        <v>44204.37703703704</v>
      </c>
      <c r="X515">
        <v>932</v>
      </c>
      <c r="Y515">
        <v>37</v>
      </c>
      <c r="Z515">
        <v>0</v>
      </c>
      <c r="AA515">
        <v>37</v>
      </c>
      <c r="AB515">
        <v>0</v>
      </c>
      <c r="AC515">
        <v>25</v>
      </c>
      <c r="AD515">
        <v>1</v>
      </c>
      <c r="AE515">
        <v>0</v>
      </c>
      <c r="AF515">
        <v>0</v>
      </c>
      <c r="AG515">
        <v>0</v>
      </c>
      <c r="AH515" t="s">
        <v>89</v>
      </c>
      <c r="AI515" s="1">
        <v>44204.389409722222</v>
      </c>
      <c r="AJ515">
        <v>721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0</v>
      </c>
      <c r="AT515" t="s">
        <v>549</v>
      </c>
      <c r="AU515" s="1">
        <v>44204.397974537038</v>
      </c>
      <c r="AV515">
        <v>19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</row>
    <row r="516" spans="1:57" x14ac:dyDescent="0.45">
      <c r="A516" t="s">
        <v>1405</v>
      </c>
      <c r="B516" t="s">
        <v>79</v>
      </c>
      <c r="C516" t="s">
        <v>1399</v>
      </c>
      <c r="D516" t="s">
        <v>81</v>
      </c>
      <c r="E516" s="2" t="str">
        <f>HYPERLINK("capsilon://?command=openfolder&amp;siteaddress=FAM.docvelocity-na8.net&amp;folderid=FX84E84093-383A-B025-766B-259A024D4397","FX2012887")</f>
        <v>FX2012887</v>
      </c>
      <c r="F516" t="s">
        <v>19</v>
      </c>
      <c r="G516" t="s">
        <v>19</v>
      </c>
      <c r="H516" t="s">
        <v>82</v>
      </c>
      <c r="I516" t="s">
        <v>1406</v>
      </c>
      <c r="J516">
        <v>66</v>
      </c>
      <c r="K516" t="s">
        <v>84</v>
      </c>
      <c r="L516" t="s">
        <v>85</v>
      </c>
      <c r="M516" t="s">
        <v>86</v>
      </c>
      <c r="N516">
        <v>3</v>
      </c>
      <c r="O516" s="1">
        <v>44204.366666666669</v>
      </c>
      <c r="P516" s="1">
        <v>44204.452685185184</v>
      </c>
      <c r="Q516">
        <v>6104</v>
      </c>
      <c r="R516">
        <v>1328</v>
      </c>
      <c r="S516" t="b">
        <v>0</v>
      </c>
      <c r="T516" t="s">
        <v>87</v>
      </c>
      <c r="U516" t="b">
        <v>0</v>
      </c>
      <c r="V516" t="s">
        <v>112</v>
      </c>
      <c r="W516" s="1">
        <v>44204.379699074074</v>
      </c>
      <c r="X516">
        <v>1053</v>
      </c>
      <c r="Y516">
        <v>52</v>
      </c>
      <c r="Z516">
        <v>0</v>
      </c>
      <c r="AA516">
        <v>52</v>
      </c>
      <c r="AB516">
        <v>0</v>
      </c>
      <c r="AC516">
        <v>22</v>
      </c>
      <c r="AD516">
        <v>14</v>
      </c>
      <c r="AE516">
        <v>0</v>
      </c>
      <c r="AF516">
        <v>0</v>
      </c>
      <c r="AG516">
        <v>0</v>
      </c>
      <c r="AH516" t="s">
        <v>128</v>
      </c>
      <c r="AI516" s="1">
        <v>44204.450289351851</v>
      </c>
      <c r="AJ516">
        <v>241</v>
      </c>
      <c r="AK516">
        <v>2</v>
      </c>
      <c r="AL516">
        <v>0</v>
      </c>
      <c r="AM516">
        <v>2</v>
      </c>
      <c r="AN516">
        <v>0</v>
      </c>
      <c r="AO516">
        <v>2</v>
      </c>
      <c r="AP516">
        <v>12</v>
      </c>
      <c r="AQ516">
        <v>0</v>
      </c>
      <c r="AR516">
        <v>0</v>
      </c>
      <c r="AS516">
        <v>0</v>
      </c>
      <c r="AT516" t="s">
        <v>90</v>
      </c>
      <c r="AU516" s="1">
        <v>44204.452685185184</v>
      </c>
      <c r="AV516">
        <v>26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12</v>
      </c>
      <c r="BC516">
        <v>0</v>
      </c>
      <c r="BD516">
        <v>0</v>
      </c>
      <c r="BE516">
        <v>0</v>
      </c>
    </row>
    <row r="517" spans="1:57" hidden="1" x14ac:dyDescent="0.45">
      <c r="A517" t="s">
        <v>1407</v>
      </c>
      <c r="B517" t="s">
        <v>79</v>
      </c>
      <c r="C517" t="s">
        <v>1220</v>
      </c>
      <c r="D517" t="s">
        <v>81</v>
      </c>
      <c r="E517" s="2" t="str">
        <f>HYPERLINK("capsilon://?command=openfolder&amp;siteaddress=FAM.docvelocity-na8.net&amp;folderid=FX68476497-1A07-2542-3773-3C7E47CB44FA","FX201111788")</f>
        <v>FX201111788</v>
      </c>
      <c r="F517" t="s">
        <v>19</v>
      </c>
      <c r="G517" t="s">
        <v>19</v>
      </c>
      <c r="H517" t="s">
        <v>82</v>
      </c>
      <c r="I517" t="s">
        <v>1408</v>
      </c>
      <c r="J517">
        <v>66</v>
      </c>
      <c r="K517" t="s">
        <v>84</v>
      </c>
      <c r="L517" t="s">
        <v>85</v>
      </c>
      <c r="M517" t="s">
        <v>86</v>
      </c>
      <c r="N517">
        <v>1</v>
      </c>
      <c r="O517" s="1">
        <v>44204.367164351854</v>
      </c>
      <c r="P517" s="1">
        <v>44204.377372685187</v>
      </c>
      <c r="Q517">
        <v>584</v>
      </c>
      <c r="R517">
        <v>298</v>
      </c>
      <c r="S517" t="b">
        <v>0</v>
      </c>
      <c r="T517" t="s">
        <v>87</v>
      </c>
      <c r="U517" t="b">
        <v>0</v>
      </c>
      <c r="V517" t="s">
        <v>419</v>
      </c>
      <c r="W517" s="1">
        <v>44204.377372685187</v>
      </c>
      <c r="X517">
        <v>298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66</v>
      </c>
      <c r="AE517">
        <v>52</v>
      </c>
      <c r="AF517">
        <v>0</v>
      </c>
      <c r="AG517">
        <v>1</v>
      </c>
      <c r="AH517" t="s">
        <v>87</v>
      </c>
      <c r="AI517" t="s">
        <v>87</v>
      </c>
      <c r="AJ517" t="s">
        <v>87</v>
      </c>
      <c r="AK517" t="s">
        <v>87</v>
      </c>
      <c r="AL517" t="s">
        <v>87</v>
      </c>
      <c r="AM517" t="s">
        <v>87</v>
      </c>
      <c r="AN517" t="s">
        <v>87</v>
      </c>
      <c r="AO517" t="s">
        <v>87</v>
      </c>
      <c r="AP517" t="s">
        <v>87</v>
      </c>
      <c r="AQ517" t="s">
        <v>87</v>
      </c>
      <c r="AR517" t="s">
        <v>87</v>
      </c>
      <c r="AS517" t="s">
        <v>87</v>
      </c>
      <c r="AT517" t="s">
        <v>87</v>
      </c>
      <c r="AU517" t="s">
        <v>87</v>
      </c>
      <c r="AV517" t="s">
        <v>87</v>
      </c>
      <c r="AW517" t="s">
        <v>87</v>
      </c>
      <c r="AX517" t="s">
        <v>87</v>
      </c>
      <c r="AY517" t="s">
        <v>87</v>
      </c>
      <c r="AZ517" t="s">
        <v>87</v>
      </c>
      <c r="BA517" t="s">
        <v>87</v>
      </c>
      <c r="BB517" t="s">
        <v>87</v>
      </c>
      <c r="BC517" t="s">
        <v>87</v>
      </c>
      <c r="BD517" t="s">
        <v>87</v>
      </c>
      <c r="BE517" t="s">
        <v>87</v>
      </c>
    </row>
    <row r="518" spans="1:57" hidden="1" x14ac:dyDescent="0.45">
      <c r="A518" t="s">
        <v>1409</v>
      </c>
      <c r="B518" t="s">
        <v>79</v>
      </c>
      <c r="C518" t="s">
        <v>1220</v>
      </c>
      <c r="D518" t="s">
        <v>81</v>
      </c>
      <c r="E518" s="2" t="str">
        <f>HYPERLINK("capsilon://?command=openfolder&amp;siteaddress=FAM.docvelocity-na8.net&amp;folderid=FX68476497-1A07-2542-3773-3C7E47CB44FA","FX201111788")</f>
        <v>FX201111788</v>
      </c>
      <c r="F518" t="s">
        <v>19</v>
      </c>
      <c r="G518" t="s">
        <v>19</v>
      </c>
      <c r="H518" t="s">
        <v>82</v>
      </c>
      <c r="I518" t="s">
        <v>1410</v>
      </c>
      <c r="J518">
        <v>66</v>
      </c>
      <c r="K518" t="s">
        <v>84</v>
      </c>
      <c r="L518" t="s">
        <v>85</v>
      </c>
      <c r="M518" t="s">
        <v>86</v>
      </c>
      <c r="N518">
        <v>1</v>
      </c>
      <c r="O518" s="1">
        <v>44204.37027777778</v>
      </c>
      <c r="P518" s="1">
        <v>44204.381701388891</v>
      </c>
      <c r="Q518">
        <v>584</v>
      </c>
      <c r="R518">
        <v>403</v>
      </c>
      <c r="S518" t="b">
        <v>0</v>
      </c>
      <c r="T518" t="s">
        <v>87</v>
      </c>
      <c r="U518" t="b">
        <v>0</v>
      </c>
      <c r="V518" t="s">
        <v>98</v>
      </c>
      <c r="W518" s="1">
        <v>44204.381701388891</v>
      </c>
      <c r="X518">
        <v>403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66</v>
      </c>
      <c r="AE518">
        <v>52</v>
      </c>
      <c r="AF518">
        <v>0</v>
      </c>
      <c r="AG518">
        <v>1</v>
      </c>
      <c r="AH518" t="s">
        <v>87</v>
      </c>
      <c r="AI518" t="s">
        <v>87</v>
      </c>
      <c r="AJ518" t="s">
        <v>87</v>
      </c>
      <c r="AK518" t="s">
        <v>87</v>
      </c>
      <c r="AL518" t="s">
        <v>87</v>
      </c>
      <c r="AM518" t="s">
        <v>87</v>
      </c>
      <c r="AN518" t="s">
        <v>87</v>
      </c>
      <c r="AO518" t="s">
        <v>87</v>
      </c>
      <c r="AP518" t="s">
        <v>87</v>
      </c>
      <c r="AQ518" t="s">
        <v>87</v>
      </c>
      <c r="AR518" t="s">
        <v>87</v>
      </c>
      <c r="AS518" t="s">
        <v>87</v>
      </c>
      <c r="AT518" t="s">
        <v>87</v>
      </c>
      <c r="AU518" t="s">
        <v>87</v>
      </c>
      <c r="AV518" t="s">
        <v>87</v>
      </c>
      <c r="AW518" t="s">
        <v>87</v>
      </c>
      <c r="AX518" t="s">
        <v>87</v>
      </c>
      <c r="AY518" t="s">
        <v>87</v>
      </c>
      <c r="AZ518" t="s">
        <v>87</v>
      </c>
      <c r="BA518" t="s">
        <v>87</v>
      </c>
      <c r="BB518" t="s">
        <v>87</v>
      </c>
      <c r="BC518" t="s">
        <v>87</v>
      </c>
      <c r="BD518" t="s">
        <v>87</v>
      </c>
      <c r="BE518" t="s">
        <v>87</v>
      </c>
    </row>
    <row r="519" spans="1:57" x14ac:dyDescent="0.45">
      <c r="A519" t="s">
        <v>1411</v>
      </c>
      <c r="B519" t="s">
        <v>79</v>
      </c>
      <c r="C519" t="s">
        <v>1220</v>
      </c>
      <c r="D519" t="s">
        <v>81</v>
      </c>
      <c r="E519" s="2" t="str">
        <f>HYPERLINK("capsilon://?command=openfolder&amp;siteaddress=FAM.docvelocity-na8.net&amp;folderid=FX68476497-1A07-2542-3773-3C7E47CB44FA","FX201111788")</f>
        <v>FX201111788</v>
      </c>
      <c r="F519" t="s">
        <v>19</v>
      </c>
      <c r="G519" t="s">
        <v>19</v>
      </c>
      <c r="H519" t="s">
        <v>82</v>
      </c>
      <c r="I519" t="s">
        <v>1408</v>
      </c>
      <c r="J519">
        <v>38</v>
      </c>
      <c r="K519" t="s">
        <v>84</v>
      </c>
      <c r="L519" t="s">
        <v>85</v>
      </c>
      <c r="M519" t="s">
        <v>86</v>
      </c>
      <c r="N519">
        <v>3</v>
      </c>
      <c r="O519" s="1">
        <v>44204.377662037034</v>
      </c>
      <c r="P519" s="1">
        <v>44204.437858796293</v>
      </c>
      <c r="Q519">
        <v>3503</v>
      </c>
      <c r="R519">
        <v>1698</v>
      </c>
      <c r="S519" t="b">
        <v>0</v>
      </c>
      <c r="T519" t="s">
        <v>87</v>
      </c>
      <c r="U519" t="b">
        <v>1</v>
      </c>
      <c r="V519" t="s">
        <v>419</v>
      </c>
      <c r="W519" s="1">
        <v>44204.39230324074</v>
      </c>
      <c r="X519">
        <v>1244</v>
      </c>
      <c r="Y519">
        <v>37</v>
      </c>
      <c r="Z519">
        <v>0</v>
      </c>
      <c r="AA519">
        <v>37</v>
      </c>
      <c r="AB519">
        <v>0</v>
      </c>
      <c r="AC519">
        <v>29</v>
      </c>
      <c r="AD519">
        <v>1</v>
      </c>
      <c r="AE519">
        <v>0</v>
      </c>
      <c r="AF519">
        <v>0</v>
      </c>
      <c r="AG519">
        <v>0</v>
      </c>
      <c r="AH519" t="s">
        <v>89</v>
      </c>
      <c r="AI519" s="1">
        <v>44204.436493055553</v>
      </c>
      <c r="AJ519">
        <v>449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 t="s">
        <v>90</v>
      </c>
      <c r="AU519" s="1">
        <v>44204.437858796293</v>
      </c>
      <c r="AV519">
        <v>5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</row>
    <row r="520" spans="1:57" x14ac:dyDescent="0.45">
      <c r="A520" t="s">
        <v>1412</v>
      </c>
      <c r="B520" t="s">
        <v>79</v>
      </c>
      <c r="C520" t="s">
        <v>1413</v>
      </c>
      <c r="D520" t="s">
        <v>81</v>
      </c>
      <c r="E520" s="2" t="str">
        <f>HYPERLINK("capsilon://?command=openfolder&amp;siteaddress=FAM.docvelocity-na8.net&amp;folderid=FX0525CFB3-1C3C-9A36-42A2-BB48B768125E","FX201222227")</f>
        <v>FX201222227</v>
      </c>
      <c r="F520" t="s">
        <v>19</v>
      </c>
      <c r="G520" t="s">
        <v>19</v>
      </c>
      <c r="H520" t="s">
        <v>82</v>
      </c>
      <c r="I520" t="s">
        <v>1414</v>
      </c>
      <c r="J520">
        <v>26</v>
      </c>
      <c r="K520" t="s">
        <v>84</v>
      </c>
      <c r="L520" t="s">
        <v>85</v>
      </c>
      <c r="M520" t="s">
        <v>86</v>
      </c>
      <c r="N520">
        <v>3</v>
      </c>
      <c r="O520" s="1">
        <v>44204.377858796295</v>
      </c>
      <c r="P520" s="1">
        <v>44204.452743055554</v>
      </c>
      <c r="Q520">
        <v>5890</v>
      </c>
      <c r="R520">
        <v>580</v>
      </c>
      <c r="S520" t="b">
        <v>0</v>
      </c>
      <c r="T520" t="s">
        <v>87</v>
      </c>
      <c r="U520" t="b">
        <v>0</v>
      </c>
      <c r="V520" t="s">
        <v>112</v>
      </c>
      <c r="W520" s="1">
        <v>44204.38486111111</v>
      </c>
      <c r="X520">
        <v>445</v>
      </c>
      <c r="Y520">
        <v>21</v>
      </c>
      <c r="Z520">
        <v>0</v>
      </c>
      <c r="AA520">
        <v>21</v>
      </c>
      <c r="AB520">
        <v>0</v>
      </c>
      <c r="AC520">
        <v>19</v>
      </c>
      <c r="AD520">
        <v>5</v>
      </c>
      <c r="AE520">
        <v>0</v>
      </c>
      <c r="AF520">
        <v>0</v>
      </c>
      <c r="AG520">
        <v>0</v>
      </c>
      <c r="AH520" t="s">
        <v>128</v>
      </c>
      <c r="AI520" s="1">
        <v>44204.451817129629</v>
      </c>
      <c r="AJ520">
        <v>131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5</v>
      </c>
      <c r="AQ520">
        <v>0</v>
      </c>
      <c r="AR520">
        <v>0</v>
      </c>
      <c r="AS520">
        <v>0</v>
      </c>
      <c r="AT520" t="s">
        <v>90</v>
      </c>
      <c r="AU520" s="1">
        <v>44204.452743055554</v>
      </c>
      <c r="AV520">
        <v>4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5</v>
      </c>
      <c r="BC520">
        <v>0</v>
      </c>
      <c r="BD520">
        <v>0</v>
      </c>
      <c r="BE520">
        <v>0</v>
      </c>
    </row>
    <row r="521" spans="1:57" hidden="1" x14ac:dyDescent="0.45">
      <c r="A521" t="s">
        <v>1415</v>
      </c>
      <c r="B521" t="s">
        <v>79</v>
      </c>
      <c r="C521" t="s">
        <v>1416</v>
      </c>
      <c r="D521" t="s">
        <v>81</v>
      </c>
      <c r="E521" s="2" t="str">
        <f>HYPERLINK("capsilon://?command=openfolder&amp;siteaddress=FAM.docvelocity-na8.net&amp;folderid=FX0388648F-4BA8-298C-CA8D-080B4A2132E3","FX201229272")</f>
        <v>FX201229272</v>
      </c>
      <c r="F521" t="s">
        <v>19</v>
      </c>
      <c r="G521" t="s">
        <v>19</v>
      </c>
      <c r="H521" t="s">
        <v>82</v>
      </c>
      <c r="I521" t="s">
        <v>1417</v>
      </c>
      <c r="J521">
        <v>98</v>
      </c>
      <c r="K521" t="s">
        <v>84</v>
      </c>
      <c r="L521" t="s">
        <v>85</v>
      </c>
      <c r="M521" t="s">
        <v>86</v>
      </c>
      <c r="N521">
        <v>1</v>
      </c>
      <c r="O521" s="1">
        <v>44200.508692129632</v>
      </c>
      <c r="P521" s="1">
        <v>44200.619143518517</v>
      </c>
      <c r="Q521">
        <v>9004</v>
      </c>
      <c r="R521">
        <v>539</v>
      </c>
      <c r="S521" t="b">
        <v>0</v>
      </c>
      <c r="T521" t="s">
        <v>87</v>
      </c>
      <c r="U521" t="b">
        <v>0</v>
      </c>
      <c r="V521" t="s">
        <v>1418</v>
      </c>
      <c r="W521" s="1">
        <v>44200.619143518517</v>
      </c>
      <c r="X521">
        <v>532</v>
      </c>
      <c r="Y521">
        <v>0</v>
      </c>
      <c r="Z521">
        <v>0</v>
      </c>
      <c r="AA521">
        <v>0</v>
      </c>
      <c r="AB521">
        <v>0</v>
      </c>
      <c r="AC521">
        <v>13</v>
      </c>
      <c r="AD521">
        <v>98</v>
      </c>
      <c r="AE521">
        <v>89</v>
      </c>
      <c r="AF521">
        <v>0</v>
      </c>
      <c r="AG521">
        <v>4</v>
      </c>
      <c r="AH521" t="s">
        <v>87</v>
      </c>
      <c r="AI521" t="s">
        <v>87</v>
      </c>
      <c r="AJ521" t="s">
        <v>87</v>
      </c>
      <c r="AK521" t="s">
        <v>87</v>
      </c>
      <c r="AL521" t="s">
        <v>87</v>
      </c>
      <c r="AM521" t="s">
        <v>87</v>
      </c>
      <c r="AN521" t="s">
        <v>87</v>
      </c>
      <c r="AO521" t="s">
        <v>87</v>
      </c>
      <c r="AP521" t="s">
        <v>87</v>
      </c>
      <c r="AQ521" t="s">
        <v>87</v>
      </c>
      <c r="AR521" t="s">
        <v>87</v>
      </c>
      <c r="AS521" t="s">
        <v>87</v>
      </c>
      <c r="AT521" t="s">
        <v>87</v>
      </c>
      <c r="AU521" t="s">
        <v>87</v>
      </c>
      <c r="AV521" t="s">
        <v>87</v>
      </c>
      <c r="AW521" t="s">
        <v>87</v>
      </c>
      <c r="AX521" t="s">
        <v>87</v>
      </c>
      <c r="AY521" t="s">
        <v>87</v>
      </c>
      <c r="AZ521" t="s">
        <v>87</v>
      </c>
      <c r="BA521" t="s">
        <v>87</v>
      </c>
      <c r="BB521" t="s">
        <v>87</v>
      </c>
      <c r="BC521" t="s">
        <v>87</v>
      </c>
      <c r="BD521" t="s">
        <v>87</v>
      </c>
      <c r="BE521" t="s">
        <v>87</v>
      </c>
    </row>
    <row r="522" spans="1:57" x14ac:dyDescent="0.45">
      <c r="A522" t="s">
        <v>1419</v>
      </c>
      <c r="B522" t="s">
        <v>79</v>
      </c>
      <c r="C522" t="s">
        <v>1413</v>
      </c>
      <c r="D522" t="s">
        <v>81</v>
      </c>
      <c r="E522" s="2" t="str">
        <f>HYPERLINK("capsilon://?command=openfolder&amp;siteaddress=FAM.docvelocity-na8.net&amp;folderid=FX0525CFB3-1C3C-9A36-42A2-BB48B768125E","FX201222227")</f>
        <v>FX201222227</v>
      </c>
      <c r="F522" t="s">
        <v>19</v>
      </c>
      <c r="G522" t="s">
        <v>19</v>
      </c>
      <c r="H522" t="s">
        <v>82</v>
      </c>
      <c r="I522" t="s">
        <v>1420</v>
      </c>
      <c r="J522">
        <v>26</v>
      </c>
      <c r="K522" t="s">
        <v>84</v>
      </c>
      <c r="L522" t="s">
        <v>85</v>
      </c>
      <c r="M522" t="s">
        <v>86</v>
      </c>
      <c r="N522">
        <v>3</v>
      </c>
      <c r="O522" s="1">
        <v>44204.378449074073</v>
      </c>
      <c r="P522" s="1">
        <v>44204.462476851855</v>
      </c>
      <c r="Q522">
        <v>6714</v>
      </c>
      <c r="R522">
        <v>546</v>
      </c>
      <c r="S522" t="b">
        <v>0</v>
      </c>
      <c r="T522" t="s">
        <v>87</v>
      </c>
      <c r="U522" t="b">
        <v>0</v>
      </c>
      <c r="V522" t="s">
        <v>98</v>
      </c>
      <c r="W522" s="1">
        <v>44204.385891203703</v>
      </c>
      <c r="X522">
        <v>361</v>
      </c>
      <c r="Y522">
        <v>21</v>
      </c>
      <c r="Z522">
        <v>0</v>
      </c>
      <c r="AA522">
        <v>21</v>
      </c>
      <c r="AB522">
        <v>0</v>
      </c>
      <c r="AC522">
        <v>17</v>
      </c>
      <c r="AD522">
        <v>5</v>
      </c>
      <c r="AE522">
        <v>0</v>
      </c>
      <c r="AF522">
        <v>0</v>
      </c>
      <c r="AG522">
        <v>0</v>
      </c>
      <c r="AH522" t="s">
        <v>128</v>
      </c>
      <c r="AI522" s="1">
        <v>44204.453877314816</v>
      </c>
      <c r="AJ522">
        <v>177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5</v>
      </c>
      <c r="AQ522">
        <v>0</v>
      </c>
      <c r="AR522">
        <v>0</v>
      </c>
      <c r="AS522">
        <v>0</v>
      </c>
      <c r="AT522" t="s">
        <v>549</v>
      </c>
      <c r="AU522" s="1">
        <v>44204.462476851855</v>
      </c>
      <c r="AV522">
        <v>8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5</v>
      </c>
      <c r="BC522">
        <v>0</v>
      </c>
      <c r="BD522">
        <v>0</v>
      </c>
      <c r="BE522">
        <v>0</v>
      </c>
    </row>
    <row r="523" spans="1:57" x14ac:dyDescent="0.45">
      <c r="A523" t="s">
        <v>1421</v>
      </c>
      <c r="B523" t="s">
        <v>79</v>
      </c>
      <c r="C523" t="s">
        <v>1413</v>
      </c>
      <c r="D523" t="s">
        <v>81</v>
      </c>
      <c r="E523" s="2" t="str">
        <f>HYPERLINK("capsilon://?command=openfolder&amp;siteaddress=FAM.docvelocity-na8.net&amp;folderid=FX0525CFB3-1C3C-9A36-42A2-BB48B768125E","FX201222227")</f>
        <v>FX201222227</v>
      </c>
      <c r="F523" t="s">
        <v>19</v>
      </c>
      <c r="G523" t="s">
        <v>19</v>
      </c>
      <c r="H523" t="s">
        <v>82</v>
      </c>
      <c r="I523" t="s">
        <v>1422</v>
      </c>
      <c r="J523">
        <v>31</v>
      </c>
      <c r="K523" t="s">
        <v>84</v>
      </c>
      <c r="L523" t="s">
        <v>85</v>
      </c>
      <c r="M523" t="s">
        <v>86</v>
      </c>
      <c r="N523">
        <v>3</v>
      </c>
      <c r="O523" s="1">
        <v>44204.379826388889</v>
      </c>
      <c r="P523" s="1">
        <v>44204.464155092595</v>
      </c>
      <c r="Q523">
        <v>5538</v>
      </c>
      <c r="R523">
        <v>1748</v>
      </c>
      <c r="S523" t="b">
        <v>0</v>
      </c>
      <c r="T523" t="s">
        <v>87</v>
      </c>
      <c r="U523" t="b">
        <v>0</v>
      </c>
      <c r="V523" t="s">
        <v>98</v>
      </c>
      <c r="W523" s="1">
        <v>44204.40185185185</v>
      </c>
      <c r="X523">
        <v>1378</v>
      </c>
      <c r="Y523">
        <v>71</v>
      </c>
      <c r="Z523">
        <v>0</v>
      </c>
      <c r="AA523">
        <v>71</v>
      </c>
      <c r="AB523">
        <v>0</v>
      </c>
      <c r="AC523">
        <v>62</v>
      </c>
      <c r="AD523">
        <v>-40</v>
      </c>
      <c r="AE523">
        <v>0</v>
      </c>
      <c r="AF523">
        <v>0</v>
      </c>
      <c r="AG523">
        <v>0</v>
      </c>
      <c r="AH523" t="s">
        <v>128</v>
      </c>
      <c r="AI523" s="1">
        <v>44204.456493055557</v>
      </c>
      <c r="AJ523">
        <v>225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-40</v>
      </c>
      <c r="AQ523">
        <v>0</v>
      </c>
      <c r="AR523">
        <v>0</v>
      </c>
      <c r="AS523">
        <v>0</v>
      </c>
      <c r="AT523" t="s">
        <v>549</v>
      </c>
      <c r="AU523" s="1">
        <v>44204.464155092595</v>
      </c>
      <c r="AV523">
        <v>145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-40</v>
      </c>
      <c r="BC523">
        <v>0</v>
      </c>
      <c r="BD523">
        <v>0</v>
      </c>
      <c r="BE523">
        <v>0</v>
      </c>
    </row>
    <row r="524" spans="1:57" hidden="1" x14ac:dyDescent="0.45">
      <c r="A524" t="s">
        <v>1423</v>
      </c>
      <c r="B524" t="s">
        <v>79</v>
      </c>
      <c r="C524" t="s">
        <v>1413</v>
      </c>
      <c r="D524" t="s">
        <v>81</v>
      </c>
      <c r="E524" s="2" t="str">
        <f>HYPERLINK("capsilon://?command=openfolder&amp;siteaddress=FAM.docvelocity-na8.net&amp;folderid=FX0525CFB3-1C3C-9A36-42A2-BB48B768125E","FX201222227")</f>
        <v>FX201222227</v>
      </c>
      <c r="F524" t="s">
        <v>19</v>
      </c>
      <c r="G524" t="s">
        <v>19</v>
      </c>
      <c r="H524" t="s">
        <v>82</v>
      </c>
      <c r="I524" t="s">
        <v>1424</v>
      </c>
      <c r="J524">
        <v>31</v>
      </c>
      <c r="K524" t="s">
        <v>84</v>
      </c>
      <c r="L524" t="s">
        <v>85</v>
      </c>
      <c r="M524" t="s">
        <v>86</v>
      </c>
      <c r="N524">
        <v>3</v>
      </c>
      <c r="O524" s="1">
        <v>44204.380266203705</v>
      </c>
      <c r="P524" s="1">
        <v>44204.464212962965</v>
      </c>
      <c r="Q524">
        <v>6846</v>
      </c>
      <c r="R524">
        <v>407</v>
      </c>
      <c r="S524" t="b">
        <v>0</v>
      </c>
      <c r="T524" t="s">
        <v>87</v>
      </c>
      <c r="U524" t="b">
        <v>0</v>
      </c>
      <c r="V524" t="s">
        <v>105</v>
      </c>
      <c r="W524" s="1">
        <v>44204.391134259262</v>
      </c>
      <c r="X524">
        <v>302</v>
      </c>
      <c r="Y524">
        <v>0</v>
      </c>
      <c r="Z524">
        <v>0</v>
      </c>
      <c r="AA524">
        <v>0</v>
      </c>
      <c r="AB524">
        <v>27</v>
      </c>
      <c r="AC524">
        <v>0</v>
      </c>
      <c r="AD524">
        <v>31</v>
      </c>
      <c r="AE524">
        <v>0</v>
      </c>
      <c r="AF524">
        <v>0</v>
      </c>
      <c r="AG524">
        <v>0</v>
      </c>
      <c r="AH524" t="s">
        <v>128</v>
      </c>
      <c r="AI524" s="1">
        <v>44204.457662037035</v>
      </c>
      <c r="AJ524">
        <v>101</v>
      </c>
      <c r="AK524">
        <v>0</v>
      </c>
      <c r="AL524">
        <v>0</v>
      </c>
      <c r="AM524">
        <v>0</v>
      </c>
      <c r="AN524">
        <v>27</v>
      </c>
      <c r="AO524">
        <v>0</v>
      </c>
      <c r="AP524">
        <v>31</v>
      </c>
      <c r="AQ524">
        <v>0</v>
      </c>
      <c r="AR524">
        <v>0</v>
      </c>
      <c r="AS524">
        <v>0</v>
      </c>
      <c r="AT524" t="s">
        <v>549</v>
      </c>
      <c r="AU524" s="1">
        <v>44204.464212962965</v>
      </c>
      <c r="AV524">
        <v>4</v>
      </c>
      <c r="AW524">
        <v>0</v>
      </c>
      <c r="AX524">
        <v>0</v>
      </c>
      <c r="AY524">
        <v>0</v>
      </c>
      <c r="AZ524">
        <v>27</v>
      </c>
      <c r="BA524">
        <v>0</v>
      </c>
      <c r="BB524">
        <v>31</v>
      </c>
      <c r="BC524">
        <v>0</v>
      </c>
      <c r="BD524">
        <v>0</v>
      </c>
      <c r="BE524">
        <v>0</v>
      </c>
    </row>
    <row r="525" spans="1:57" x14ac:dyDescent="0.45">
      <c r="A525" t="s">
        <v>1425</v>
      </c>
      <c r="B525" t="s">
        <v>79</v>
      </c>
      <c r="C525" t="s">
        <v>1426</v>
      </c>
      <c r="D525" t="s">
        <v>81</v>
      </c>
      <c r="E525" s="2" t="str">
        <f>HYPERLINK("capsilon://?command=openfolder&amp;siteaddress=FAM.docvelocity-na8.net&amp;folderid=FX349D98FD-71CE-FB56-0CBA-7B77B35ECEA4","FX20127722")</f>
        <v>FX20127722</v>
      </c>
      <c r="F525" t="s">
        <v>19</v>
      </c>
      <c r="G525" t="s">
        <v>19</v>
      </c>
      <c r="H525" t="s">
        <v>82</v>
      </c>
      <c r="I525" t="s">
        <v>1427</v>
      </c>
      <c r="J525">
        <v>64</v>
      </c>
      <c r="K525" t="s">
        <v>84</v>
      </c>
      <c r="L525" t="s">
        <v>85</v>
      </c>
      <c r="M525" t="s">
        <v>86</v>
      </c>
      <c r="N525">
        <v>3</v>
      </c>
      <c r="O525" s="1">
        <v>44204.38113425926</v>
      </c>
      <c r="P525" s="1">
        <v>44204.480046296296</v>
      </c>
      <c r="Q525">
        <v>6294</v>
      </c>
      <c r="R525">
        <v>2252</v>
      </c>
      <c r="S525" t="b">
        <v>0</v>
      </c>
      <c r="T525" t="s">
        <v>87</v>
      </c>
      <c r="U525" t="b">
        <v>0</v>
      </c>
      <c r="V525" t="s">
        <v>105</v>
      </c>
      <c r="W525" s="1">
        <v>44204.399768518517</v>
      </c>
      <c r="X525">
        <v>745</v>
      </c>
      <c r="Y525">
        <v>48</v>
      </c>
      <c r="Z525">
        <v>0</v>
      </c>
      <c r="AA525">
        <v>48</v>
      </c>
      <c r="AB525">
        <v>0</v>
      </c>
      <c r="AC525">
        <v>16</v>
      </c>
      <c r="AD525">
        <v>16</v>
      </c>
      <c r="AE525">
        <v>0</v>
      </c>
      <c r="AF525">
        <v>0</v>
      </c>
      <c r="AG525">
        <v>0</v>
      </c>
      <c r="AH525" t="s">
        <v>128</v>
      </c>
      <c r="AI525" s="1">
        <v>44204.459282407406</v>
      </c>
      <c r="AJ525">
        <v>140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16</v>
      </c>
      <c r="AQ525">
        <v>0</v>
      </c>
      <c r="AR525">
        <v>0</v>
      </c>
      <c r="AS525">
        <v>0</v>
      </c>
      <c r="AT525" t="s">
        <v>549</v>
      </c>
      <c r="AU525" s="1">
        <v>44204.480046296296</v>
      </c>
      <c r="AV525">
        <v>1367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16</v>
      </c>
      <c r="BC525">
        <v>0</v>
      </c>
      <c r="BD525">
        <v>0</v>
      </c>
      <c r="BE525">
        <v>0</v>
      </c>
    </row>
    <row r="526" spans="1:57" x14ac:dyDescent="0.45">
      <c r="A526" t="s">
        <v>1428</v>
      </c>
      <c r="B526" t="s">
        <v>79</v>
      </c>
      <c r="C526" t="s">
        <v>1220</v>
      </c>
      <c r="D526" t="s">
        <v>81</v>
      </c>
      <c r="E526" s="2" t="str">
        <f>HYPERLINK("capsilon://?command=openfolder&amp;siteaddress=FAM.docvelocity-na8.net&amp;folderid=FX68476497-1A07-2542-3773-3C7E47CB44FA","FX201111788")</f>
        <v>FX201111788</v>
      </c>
      <c r="F526" t="s">
        <v>19</v>
      </c>
      <c r="G526" t="s">
        <v>19</v>
      </c>
      <c r="H526" t="s">
        <v>82</v>
      </c>
      <c r="I526" t="s">
        <v>1410</v>
      </c>
      <c r="J526">
        <v>38</v>
      </c>
      <c r="K526" t="s">
        <v>84</v>
      </c>
      <c r="L526" t="s">
        <v>85</v>
      </c>
      <c r="M526" t="s">
        <v>86</v>
      </c>
      <c r="N526">
        <v>3</v>
      </c>
      <c r="O526" s="1">
        <v>44204.382245370369</v>
      </c>
      <c r="P526" s="1">
        <v>44204.449293981481</v>
      </c>
      <c r="Q526">
        <v>4831</v>
      </c>
      <c r="R526">
        <v>962</v>
      </c>
      <c r="S526" t="b">
        <v>0</v>
      </c>
      <c r="T526" t="s">
        <v>87</v>
      </c>
      <c r="U526" t="b">
        <v>1</v>
      </c>
      <c r="V526" t="s">
        <v>112</v>
      </c>
      <c r="W526" s="1">
        <v>44204.392789351848</v>
      </c>
      <c r="X526">
        <v>684</v>
      </c>
      <c r="Y526">
        <v>37</v>
      </c>
      <c r="Z526">
        <v>0</v>
      </c>
      <c r="AA526">
        <v>37</v>
      </c>
      <c r="AB526">
        <v>0</v>
      </c>
      <c r="AC526">
        <v>26</v>
      </c>
      <c r="AD526">
        <v>1</v>
      </c>
      <c r="AE526">
        <v>0</v>
      </c>
      <c r="AF526">
        <v>0</v>
      </c>
      <c r="AG526">
        <v>0</v>
      </c>
      <c r="AH526" t="s">
        <v>128</v>
      </c>
      <c r="AI526" s="1">
        <v>44204.447488425925</v>
      </c>
      <c r="AJ526">
        <v>229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 t="s">
        <v>90</v>
      </c>
      <c r="AU526" s="1">
        <v>44204.449293981481</v>
      </c>
      <c r="AV526">
        <v>6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</row>
    <row r="527" spans="1:57" x14ac:dyDescent="0.45">
      <c r="A527" t="s">
        <v>1429</v>
      </c>
      <c r="B527" t="s">
        <v>79</v>
      </c>
      <c r="C527" t="s">
        <v>1430</v>
      </c>
      <c r="D527" t="s">
        <v>81</v>
      </c>
      <c r="E527" s="2" t="str">
        <f>HYPERLINK("capsilon://?command=openfolder&amp;siteaddress=FAM.docvelocity-na8.net&amp;folderid=FX3CCD1479-3CB8-1082-9A8E-07DB8215D3C7","FX20118312")</f>
        <v>FX20118312</v>
      </c>
      <c r="F527" t="s">
        <v>19</v>
      </c>
      <c r="G527" t="s">
        <v>19</v>
      </c>
      <c r="H527" t="s">
        <v>82</v>
      </c>
      <c r="I527" t="s">
        <v>1431</v>
      </c>
      <c r="J527">
        <v>181</v>
      </c>
      <c r="K527" t="s">
        <v>84</v>
      </c>
      <c r="L527" t="s">
        <v>85</v>
      </c>
      <c r="M527" t="s">
        <v>86</v>
      </c>
      <c r="N527">
        <v>3</v>
      </c>
      <c r="O527" s="1">
        <v>44204.383356481485</v>
      </c>
      <c r="P527" s="1">
        <v>44204.481469907405</v>
      </c>
      <c r="Q527">
        <v>6014</v>
      </c>
      <c r="R527">
        <v>2463</v>
      </c>
      <c r="S527" t="b">
        <v>0</v>
      </c>
      <c r="T527" t="s">
        <v>87</v>
      </c>
      <c r="U527" t="b">
        <v>0</v>
      </c>
      <c r="V527" t="s">
        <v>419</v>
      </c>
      <c r="W527" s="1">
        <v>44204.414687500001</v>
      </c>
      <c r="X527">
        <v>1933</v>
      </c>
      <c r="Y527">
        <v>132</v>
      </c>
      <c r="Z527">
        <v>0</v>
      </c>
      <c r="AA527">
        <v>132</v>
      </c>
      <c r="AB527">
        <v>0</v>
      </c>
      <c r="AC527">
        <v>79</v>
      </c>
      <c r="AD527">
        <v>49</v>
      </c>
      <c r="AE527">
        <v>0</v>
      </c>
      <c r="AF527">
        <v>0</v>
      </c>
      <c r="AG527">
        <v>0</v>
      </c>
      <c r="AH527" t="s">
        <v>128</v>
      </c>
      <c r="AI527" s="1">
        <v>44204.46675925926</v>
      </c>
      <c r="AJ527">
        <v>395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49</v>
      </c>
      <c r="AQ527">
        <v>0</v>
      </c>
      <c r="AR527">
        <v>0</v>
      </c>
      <c r="AS527">
        <v>0</v>
      </c>
      <c r="AT527" t="s">
        <v>549</v>
      </c>
      <c r="AU527" s="1">
        <v>44204.481469907405</v>
      </c>
      <c r="AV527">
        <v>122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49</v>
      </c>
      <c r="BC527">
        <v>0</v>
      </c>
      <c r="BD527">
        <v>0</v>
      </c>
      <c r="BE527">
        <v>0</v>
      </c>
    </row>
    <row r="528" spans="1:57" x14ac:dyDescent="0.45">
      <c r="A528" t="s">
        <v>1432</v>
      </c>
      <c r="B528" t="s">
        <v>79</v>
      </c>
      <c r="C528" t="s">
        <v>1433</v>
      </c>
      <c r="D528" t="s">
        <v>81</v>
      </c>
      <c r="E528" s="2" t="str">
        <f>HYPERLINK("capsilon://?command=openfolder&amp;siteaddress=FAM.docvelocity-na8.net&amp;folderid=FXBDF17CA1-06BE-0FC8-CB8C-5830ED703319","FX201224539")</f>
        <v>FX201224539</v>
      </c>
      <c r="F528" t="s">
        <v>19</v>
      </c>
      <c r="G528" t="s">
        <v>19</v>
      </c>
      <c r="H528" t="s">
        <v>82</v>
      </c>
      <c r="I528" t="s">
        <v>1434</v>
      </c>
      <c r="J528">
        <v>66</v>
      </c>
      <c r="K528" t="s">
        <v>84</v>
      </c>
      <c r="L528" t="s">
        <v>85</v>
      </c>
      <c r="M528" t="s">
        <v>86</v>
      </c>
      <c r="N528">
        <v>3</v>
      </c>
      <c r="O528" s="1">
        <v>44204.383414351854</v>
      </c>
      <c r="P528" s="1">
        <v>44204.483402777776</v>
      </c>
      <c r="Q528">
        <v>7824</v>
      </c>
      <c r="R528">
        <v>815</v>
      </c>
      <c r="S528" t="b">
        <v>0</v>
      </c>
      <c r="T528" t="s">
        <v>87</v>
      </c>
      <c r="U528" t="b">
        <v>0</v>
      </c>
      <c r="V528" t="s">
        <v>112</v>
      </c>
      <c r="W528" s="1">
        <v>44204.39675925926</v>
      </c>
      <c r="X528">
        <v>343</v>
      </c>
      <c r="Y528">
        <v>52</v>
      </c>
      <c r="Z528">
        <v>0</v>
      </c>
      <c r="AA528">
        <v>52</v>
      </c>
      <c r="AB528">
        <v>0</v>
      </c>
      <c r="AC528">
        <v>26</v>
      </c>
      <c r="AD528">
        <v>14</v>
      </c>
      <c r="AE528">
        <v>0</v>
      </c>
      <c r="AF528">
        <v>0</v>
      </c>
      <c r="AG528">
        <v>0</v>
      </c>
      <c r="AH528" t="s">
        <v>89</v>
      </c>
      <c r="AI528" s="1">
        <v>44204.469872685186</v>
      </c>
      <c r="AJ528">
        <v>306</v>
      </c>
      <c r="AK528">
        <v>2</v>
      </c>
      <c r="AL528">
        <v>0</v>
      </c>
      <c r="AM528">
        <v>2</v>
      </c>
      <c r="AN528">
        <v>0</v>
      </c>
      <c r="AO528">
        <v>1</v>
      </c>
      <c r="AP528">
        <v>12</v>
      </c>
      <c r="AQ528">
        <v>0</v>
      </c>
      <c r="AR528">
        <v>0</v>
      </c>
      <c r="AS528">
        <v>0</v>
      </c>
      <c r="AT528" t="s">
        <v>549</v>
      </c>
      <c r="AU528" s="1">
        <v>44204.483402777776</v>
      </c>
      <c r="AV528">
        <v>166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12</v>
      </c>
      <c r="BC528">
        <v>0</v>
      </c>
      <c r="BD528">
        <v>0</v>
      </c>
      <c r="BE528">
        <v>0</v>
      </c>
    </row>
    <row r="529" spans="1:57" x14ac:dyDescent="0.45">
      <c r="A529" t="s">
        <v>1435</v>
      </c>
      <c r="B529" t="s">
        <v>79</v>
      </c>
      <c r="C529" t="s">
        <v>1436</v>
      </c>
      <c r="D529" t="s">
        <v>81</v>
      </c>
      <c r="E529" s="2" t="str">
        <f>HYPERLINK("capsilon://?command=openfolder&amp;siteaddress=FAM.docvelocity-na8.net&amp;folderid=FXA09497BD-BF55-5BA2-5FE8-D0C10F8F73B3","FX201222070")</f>
        <v>FX201222070</v>
      </c>
      <c r="F529" t="s">
        <v>19</v>
      </c>
      <c r="G529" t="s">
        <v>19</v>
      </c>
      <c r="H529" t="s">
        <v>82</v>
      </c>
      <c r="I529" t="s">
        <v>1437</v>
      </c>
      <c r="J529">
        <v>66</v>
      </c>
      <c r="K529" t="s">
        <v>84</v>
      </c>
      <c r="L529" t="s">
        <v>85</v>
      </c>
      <c r="M529" t="s">
        <v>86</v>
      </c>
      <c r="N529">
        <v>3</v>
      </c>
      <c r="O529" s="1">
        <v>44204.397731481484</v>
      </c>
      <c r="P529" s="1">
        <v>44204.485532407409</v>
      </c>
      <c r="Q529">
        <v>5422</v>
      </c>
      <c r="R529">
        <v>2164</v>
      </c>
      <c r="S529" t="b">
        <v>0</v>
      </c>
      <c r="T529" t="s">
        <v>87</v>
      </c>
      <c r="U529" t="b">
        <v>0</v>
      </c>
      <c r="V529" t="s">
        <v>112</v>
      </c>
      <c r="W529" s="1">
        <v>44204.417951388888</v>
      </c>
      <c r="X529">
        <v>1704</v>
      </c>
      <c r="Y529">
        <v>52</v>
      </c>
      <c r="Z529">
        <v>0</v>
      </c>
      <c r="AA529">
        <v>52</v>
      </c>
      <c r="AB529">
        <v>0</v>
      </c>
      <c r="AC529">
        <v>42</v>
      </c>
      <c r="AD529">
        <v>14</v>
      </c>
      <c r="AE529">
        <v>0</v>
      </c>
      <c r="AF529">
        <v>0</v>
      </c>
      <c r="AG529">
        <v>0</v>
      </c>
      <c r="AH529" t="s">
        <v>128</v>
      </c>
      <c r="AI529" s="1">
        <v>44204.469965277778</v>
      </c>
      <c r="AJ529">
        <v>276</v>
      </c>
      <c r="AK529">
        <v>2</v>
      </c>
      <c r="AL529">
        <v>0</v>
      </c>
      <c r="AM529">
        <v>2</v>
      </c>
      <c r="AN529">
        <v>0</v>
      </c>
      <c r="AO529">
        <v>2</v>
      </c>
      <c r="AP529">
        <v>12</v>
      </c>
      <c r="AQ529">
        <v>0</v>
      </c>
      <c r="AR529">
        <v>0</v>
      </c>
      <c r="AS529">
        <v>0</v>
      </c>
      <c r="AT529" t="s">
        <v>549</v>
      </c>
      <c r="AU529" s="1">
        <v>44204.485532407409</v>
      </c>
      <c r="AV529">
        <v>184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12</v>
      </c>
      <c r="BC529">
        <v>0</v>
      </c>
      <c r="BD529">
        <v>0</v>
      </c>
      <c r="BE529">
        <v>0</v>
      </c>
    </row>
    <row r="530" spans="1:57" x14ac:dyDescent="0.45">
      <c r="A530" t="s">
        <v>1438</v>
      </c>
      <c r="B530" t="s">
        <v>79</v>
      </c>
      <c r="C530" t="s">
        <v>1436</v>
      </c>
      <c r="D530" t="s">
        <v>81</v>
      </c>
      <c r="E530" s="2" t="str">
        <f>HYPERLINK("capsilon://?command=openfolder&amp;siteaddress=FAM.docvelocity-na8.net&amp;folderid=FXA09497BD-BF55-5BA2-5FE8-D0C10F8F73B3","FX201222070")</f>
        <v>FX201222070</v>
      </c>
      <c r="F530" t="s">
        <v>19</v>
      </c>
      <c r="G530" t="s">
        <v>19</v>
      </c>
      <c r="H530" t="s">
        <v>82</v>
      </c>
      <c r="I530" t="s">
        <v>1439</v>
      </c>
      <c r="J530">
        <v>66</v>
      </c>
      <c r="K530" t="s">
        <v>84</v>
      </c>
      <c r="L530" t="s">
        <v>85</v>
      </c>
      <c r="M530" t="s">
        <v>86</v>
      </c>
      <c r="N530">
        <v>3</v>
      </c>
      <c r="O530" s="1">
        <v>44204.397743055553</v>
      </c>
      <c r="P530" s="1">
        <v>44204.485092592593</v>
      </c>
      <c r="Q530">
        <v>5275</v>
      </c>
      <c r="R530">
        <v>2272</v>
      </c>
      <c r="S530" t="b">
        <v>0</v>
      </c>
      <c r="T530" t="s">
        <v>87</v>
      </c>
      <c r="U530" t="b">
        <v>0</v>
      </c>
      <c r="V530" t="s">
        <v>105</v>
      </c>
      <c r="W530" s="1">
        <v>44204.420057870368</v>
      </c>
      <c r="X530">
        <v>1752</v>
      </c>
      <c r="Y530">
        <v>52</v>
      </c>
      <c r="Z530">
        <v>0</v>
      </c>
      <c r="AA530">
        <v>52</v>
      </c>
      <c r="AB530">
        <v>0</v>
      </c>
      <c r="AC530">
        <v>42</v>
      </c>
      <c r="AD530">
        <v>14</v>
      </c>
      <c r="AE530">
        <v>0</v>
      </c>
      <c r="AF530">
        <v>0</v>
      </c>
      <c r="AG530">
        <v>0</v>
      </c>
      <c r="AH530" t="s">
        <v>89</v>
      </c>
      <c r="AI530" s="1">
        <v>44204.475810185184</v>
      </c>
      <c r="AJ530">
        <v>513</v>
      </c>
      <c r="AK530">
        <v>2</v>
      </c>
      <c r="AL530">
        <v>0</v>
      </c>
      <c r="AM530">
        <v>2</v>
      </c>
      <c r="AN530">
        <v>0</v>
      </c>
      <c r="AO530">
        <v>0</v>
      </c>
      <c r="AP530">
        <v>12</v>
      </c>
      <c r="AQ530">
        <v>0</v>
      </c>
      <c r="AR530">
        <v>0</v>
      </c>
      <c r="AS530">
        <v>0</v>
      </c>
      <c r="AT530" t="s">
        <v>90</v>
      </c>
      <c r="AU530" s="1">
        <v>44204.485092592593</v>
      </c>
      <c r="AV530">
        <v>7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12</v>
      </c>
      <c r="BC530">
        <v>0</v>
      </c>
      <c r="BD530">
        <v>0</v>
      </c>
      <c r="BE530">
        <v>0</v>
      </c>
    </row>
    <row r="531" spans="1:57" x14ac:dyDescent="0.45">
      <c r="A531" t="s">
        <v>1440</v>
      </c>
      <c r="B531" t="s">
        <v>79</v>
      </c>
      <c r="C531" t="s">
        <v>1441</v>
      </c>
      <c r="D531" t="s">
        <v>81</v>
      </c>
      <c r="E531" s="2" t="str">
        <f>HYPERLINK("capsilon://?command=openfolder&amp;siteaddress=FAM.docvelocity-na8.net&amp;folderid=FX4172A837-FFEA-CFFA-9021-B6BF4173BE5D","FX2012417")</f>
        <v>FX2012417</v>
      </c>
      <c r="F531" t="s">
        <v>19</v>
      </c>
      <c r="G531" t="s">
        <v>19</v>
      </c>
      <c r="H531" t="s">
        <v>82</v>
      </c>
      <c r="I531" t="s">
        <v>1442</v>
      </c>
      <c r="J531">
        <v>26</v>
      </c>
      <c r="K531" t="s">
        <v>84</v>
      </c>
      <c r="L531" t="s">
        <v>85</v>
      </c>
      <c r="M531" t="s">
        <v>86</v>
      </c>
      <c r="N531">
        <v>3</v>
      </c>
      <c r="O531" s="1">
        <v>44204.410081018519</v>
      </c>
      <c r="P531" s="1">
        <v>44204.485150462962</v>
      </c>
      <c r="Q531">
        <v>6149</v>
      </c>
      <c r="R531">
        <v>337</v>
      </c>
      <c r="S531" t="b">
        <v>0</v>
      </c>
      <c r="T531" t="s">
        <v>87</v>
      </c>
      <c r="U531" t="b">
        <v>0</v>
      </c>
      <c r="V531" t="s">
        <v>98</v>
      </c>
      <c r="W531" s="1">
        <v>44204.413217592592</v>
      </c>
      <c r="X531">
        <v>210</v>
      </c>
      <c r="Y531">
        <v>21</v>
      </c>
      <c r="Z531">
        <v>0</v>
      </c>
      <c r="AA531">
        <v>21</v>
      </c>
      <c r="AB531">
        <v>0</v>
      </c>
      <c r="AC531">
        <v>5</v>
      </c>
      <c r="AD531">
        <v>5</v>
      </c>
      <c r="AE531">
        <v>0</v>
      </c>
      <c r="AF531">
        <v>0</v>
      </c>
      <c r="AG531">
        <v>0</v>
      </c>
      <c r="AH531" t="s">
        <v>128</v>
      </c>
      <c r="AI531" s="1">
        <v>44204.471400462964</v>
      </c>
      <c r="AJ531">
        <v>123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5</v>
      </c>
      <c r="AQ531">
        <v>0</v>
      </c>
      <c r="AR531">
        <v>0</v>
      </c>
      <c r="AS531">
        <v>0</v>
      </c>
      <c r="AT531" t="s">
        <v>90</v>
      </c>
      <c r="AU531" s="1">
        <v>44204.485150462962</v>
      </c>
      <c r="AV531">
        <v>4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5</v>
      </c>
      <c r="BC531">
        <v>0</v>
      </c>
      <c r="BD531">
        <v>0</v>
      </c>
      <c r="BE531">
        <v>0</v>
      </c>
    </row>
    <row r="532" spans="1:57" x14ac:dyDescent="0.45">
      <c r="A532" t="s">
        <v>1443</v>
      </c>
      <c r="B532" t="s">
        <v>79</v>
      </c>
      <c r="C532" t="s">
        <v>1444</v>
      </c>
      <c r="D532" t="s">
        <v>81</v>
      </c>
      <c r="E532" s="2" t="str">
        <f>HYPERLINK("capsilon://?command=openfolder&amp;siteaddress=FAM.docvelocity-na8.net&amp;folderid=FXCD375171-C161-661C-D49F-7325BC377B46","FX20122717")</f>
        <v>FX20122717</v>
      </c>
      <c r="F532" t="s">
        <v>19</v>
      </c>
      <c r="G532" t="s">
        <v>19</v>
      </c>
      <c r="H532" t="s">
        <v>82</v>
      </c>
      <c r="I532" t="s">
        <v>1445</v>
      </c>
      <c r="J532">
        <v>64</v>
      </c>
      <c r="K532" t="s">
        <v>84</v>
      </c>
      <c r="L532" t="s">
        <v>85</v>
      </c>
      <c r="M532" t="s">
        <v>86</v>
      </c>
      <c r="N532">
        <v>3</v>
      </c>
      <c r="O532" s="1">
        <v>44204.42491898148</v>
      </c>
      <c r="P532" s="1">
        <v>44204.489849537036</v>
      </c>
      <c r="Q532">
        <v>4359</v>
      </c>
      <c r="R532">
        <v>1251</v>
      </c>
      <c r="S532" t="b">
        <v>0</v>
      </c>
      <c r="T532" t="s">
        <v>87</v>
      </c>
      <c r="U532" t="b">
        <v>0</v>
      </c>
      <c r="V532" t="s">
        <v>98</v>
      </c>
      <c r="W532" s="1">
        <v>44204.432627314818</v>
      </c>
      <c r="X532">
        <v>641</v>
      </c>
      <c r="Y532">
        <v>57</v>
      </c>
      <c r="Z532">
        <v>0</v>
      </c>
      <c r="AA532">
        <v>57</v>
      </c>
      <c r="AB532">
        <v>0</v>
      </c>
      <c r="AC532">
        <v>33</v>
      </c>
      <c r="AD532">
        <v>7</v>
      </c>
      <c r="AE532">
        <v>0</v>
      </c>
      <c r="AF532">
        <v>0</v>
      </c>
      <c r="AG532">
        <v>0</v>
      </c>
      <c r="AH532" t="s">
        <v>128</v>
      </c>
      <c r="AI532" s="1">
        <v>44204.473773148151</v>
      </c>
      <c r="AJ532">
        <v>204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7</v>
      </c>
      <c r="AQ532">
        <v>0</v>
      </c>
      <c r="AR532">
        <v>0</v>
      </c>
      <c r="AS532">
        <v>0</v>
      </c>
      <c r="AT532" t="s">
        <v>90</v>
      </c>
      <c r="AU532" s="1">
        <v>44204.489849537036</v>
      </c>
      <c r="AV532">
        <v>406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7</v>
      </c>
      <c r="BC532">
        <v>0</v>
      </c>
      <c r="BD532">
        <v>0</v>
      </c>
      <c r="BE532">
        <v>0</v>
      </c>
    </row>
    <row r="533" spans="1:57" x14ac:dyDescent="0.45">
      <c r="A533" t="s">
        <v>1446</v>
      </c>
      <c r="B533" t="s">
        <v>79</v>
      </c>
      <c r="C533" t="s">
        <v>1444</v>
      </c>
      <c r="D533" t="s">
        <v>81</v>
      </c>
      <c r="E533" s="2" t="str">
        <f>HYPERLINK("capsilon://?command=openfolder&amp;siteaddress=FAM.docvelocity-na8.net&amp;folderid=FXCD375171-C161-661C-D49F-7325BC377B46","FX20122717")</f>
        <v>FX20122717</v>
      </c>
      <c r="F533" t="s">
        <v>19</v>
      </c>
      <c r="G533" t="s">
        <v>19</v>
      </c>
      <c r="H533" t="s">
        <v>82</v>
      </c>
      <c r="I533" t="s">
        <v>1447</v>
      </c>
      <c r="J533">
        <v>67</v>
      </c>
      <c r="K533" t="s">
        <v>84</v>
      </c>
      <c r="L533" t="s">
        <v>85</v>
      </c>
      <c r="M533" t="s">
        <v>86</v>
      </c>
      <c r="N533">
        <v>3</v>
      </c>
      <c r="O533" s="1">
        <v>44204.426481481481</v>
      </c>
      <c r="P533" s="1">
        <v>44204.494317129633</v>
      </c>
      <c r="Q533">
        <v>3454</v>
      </c>
      <c r="R533">
        <v>2407</v>
      </c>
      <c r="S533" t="b">
        <v>0</v>
      </c>
      <c r="T533" t="s">
        <v>87</v>
      </c>
      <c r="U533" t="b">
        <v>0</v>
      </c>
      <c r="V533" t="s">
        <v>919</v>
      </c>
      <c r="W533" s="1">
        <v>44204.446875000001</v>
      </c>
      <c r="X533">
        <v>1353</v>
      </c>
      <c r="Y533">
        <v>63</v>
      </c>
      <c r="Z533">
        <v>0</v>
      </c>
      <c r="AA533">
        <v>63</v>
      </c>
      <c r="AB533">
        <v>0</v>
      </c>
      <c r="AC533">
        <v>40</v>
      </c>
      <c r="AD533">
        <v>4</v>
      </c>
      <c r="AE533">
        <v>0</v>
      </c>
      <c r="AF533">
        <v>0</v>
      </c>
      <c r="AG533">
        <v>0</v>
      </c>
      <c r="AH533" t="s">
        <v>128</v>
      </c>
      <c r="AI533" s="1">
        <v>44204.477210648147</v>
      </c>
      <c r="AJ533">
        <v>296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4</v>
      </c>
      <c r="AQ533">
        <v>0</v>
      </c>
      <c r="AR533">
        <v>0</v>
      </c>
      <c r="AS533">
        <v>0</v>
      </c>
      <c r="AT533" t="s">
        <v>549</v>
      </c>
      <c r="AU533" s="1">
        <v>44204.494317129633</v>
      </c>
      <c r="AV533">
        <v>758</v>
      </c>
      <c r="AW533">
        <v>1</v>
      </c>
      <c r="AX533">
        <v>0</v>
      </c>
      <c r="AY533">
        <v>1</v>
      </c>
      <c r="AZ533">
        <v>0</v>
      </c>
      <c r="BA533">
        <v>1</v>
      </c>
      <c r="BB533">
        <v>3</v>
      </c>
      <c r="BC533">
        <v>0</v>
      </c>
      <c r="BD533">
        <v>0</v>
      </c>
      <c r="BE533">
        <v>0</v>
      </c>
    </row>
    <row r="534" spans="1:57" x14ac:dyDescent="0.45">
      <c r="A534" t="s">
        <v>1448</v>
      </c>
      <c r="B534" t="s">
        <v>79</v>
      </c>
      <c r="C534" t="s">
        <v>1146</v>
      </c>
      <c r="D534" t="s">
        <v>81</v>
      </c>
      <c r="E534" s="2" t="str">
        <f>HYPERLINK("capsilon://?command=openfolder&amp;siteaddress=FAM.docvelocity-na8.net&amp;folderid=FX96B74A85-F537-4008-A20E-9722E2379440","FX21011074")</f>
        <v>FX21011074</v>
      </c>
      <c r="F534" t="s">
        <v>19</v>
      </c>
      <c r="G534" t="s">
        <v>19</v>
      </c>
      <c r="H534" t="s">
        <v>82</v>
      </c>
      <c r="I534" t="s">
        <v>1449</v>
      </c>
      <c r="J534">
        <v>66</v>
      </c>
      <c r="K534" t="s">
        <v>84</v>
      </c>
      <c r="L534" t="s">
        <v>85</v>
      </c>
      <c r="M534" t="s">
        <v>86</v>
      </c>
      <c r="N534">
        <v>3</v>
      </c>
      <c r="O534" s="1">
        <v>44204.438518518517</v>
      </c>
      <c r="P534" s="1">
        <v>44204.489953703705</v>
      </c>
      <c r="Q534">
        <v>3728</v>
      </c>
      <c r="R534">
        <v>716</v>
      </c>
      <c r="S534" t="b">
        <v>0</v>
      </c>
      <c r="T534" t="s">
        <v>87</v>
      </c>
      <c r="U534" t="b">
        <v>0</v>
      </c>
      <c r="V534" t="s">
        <v>98</v>
      </c>
      <c r="W534" s="1">
        <v>44204.445520833331</v>
      </c>
      <c r="X534">
        <v>592</v>
      </c>
      <c r="Y534">
        <v>52</v>
      </c>
      <c r="Z534">
        <v>0</v>
      </c>
      <c r="AA534">
        <v>52</v>
      </c>
      <c r="AB534">
        <v>0</v>
      </c>
      <c r="AC534">
        <v>28</v>
      </c>
      <c r="AD534">
        <v>14</v>
      </c>
      <c r="AE534">
        <v>0</v>
      </c>
      <c r="AF534">
        <v>0</v>
      </c>
      <c r="AG534">
        <v>0</v>
      </c>
      <c r="AH534" t="s">
        <v>267</v>
      </c>
      <c r="AI534" s="1">
        <v>44204.476550925923</v>
      </c>
      <c r="AJ534">
        <v>116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14</v>
      </c>
      <c r="AQ534">
        <v>0</v>
      </c>
      <c r="AR534">
        <v>0</v>
      </c>
      <c r="AS534">
        <v>0</v>
      </c>
      <c r="AT534" t="s">
        <v>90</v>
      </c>
      <c r="AU534" s="1">
        <v>44204.489953703705</v>
      </c>
      <c r="AV534">
        <v>8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14</v>
      </c>
      <c r="BC534">
        <v>0</v>
      </c>
      <c r="BD534">
        <v>0</v>
      </c>
      <c r="BE534">
        <v>0</v>
      </c>
    </row>
    <row r="535" spans="1:57" x14ac:dyDescent="0.45">
      <c r="A535" t="s">
        <v>1450</v>
      </c>
      <c r="B535" t="s">
        <v>79</v>
      </c>
      <c r="C535" t="s">
        <v>1451</v>
      </c>
      <c r="D535" t="s">
        <v>81</v>
      </c>
      <c r="E535" s="2" t="str">
        <f>HYPERLINK("capsilon://?command=openfolder&amp;siteaddress=FAM.docvelocity-na8.net&amp;folderid=FX5AEEC950-6C4C-5784-BB7E-49520969E379","FX201221274")</f>
        <v>FX201221274</v>
      </c>
      <c r="F535" t="s">
        <v>19</v>
      </c>
      <c r="G535" t="s">
        <v>19</v>
      </c>
      <c r="H535" t="s">
        <v>82</v>
      </c>
      <c r="I535" t="s">
        <v>1452</v>
      </c>
      <c r="J535">
        <v>66</v>
      </c>
      <c r="K535" t="s">
        <v>84</v>
      </c>
      <c r="L535" t="s">
        <v>85</v>
      </c>
      <c r="M535" t="s">
        <v>86</v>
      </c>
      <c r="N535">
        <v>3</v>
      </c>
      <c r="O535" s="1">
        <v>44204.443055555559</v>
      </c>
      <c r="P535" s="1">
        <v>44204.490069444444</v>
      </c>
      <c r="Q535">
        <v>2168</v>
      </c>
      <c r="R535">
        <v>1894</v>
      </c>
      <c r="S535" t="b">
        <v>0</v>
      </c>
      <c r="T535" t="s">
        <v>87</v>
      </c>
      <c r="U535" t="b">
        <v>0</v>
      </c>
      <c r="V535" t="s">
        <v>160</v>
      </c>
      <c r="W535" s="1">
        <v>44204.458993055552</v>
      </c>
      <c r="X535">
        <v>1376</v>
      </c>
      <c r="Y535">
        <v>52</v>
      </c>
      <c r="Z535">
        <v>0</v>
      </c>
      <c r="AA535">
        <v>52</v>
      </c>
      <c r="AB535">
        <v>0</v>
      </c>
      <c r="AC535">
        <v>40</v>
      </c>
      <c r="AD535">
        <v>14</v>
      </c>
      <c r="AE535">
        <v>0</v>
      </c>
      <c r="AF535">
        <v>0</v>
      </c>
      <c r="AG535">
        <v>0</v>
      </c>
      <c r="AH535" t="s">
        <v>89</v>
      </c>
      <c r="AI535" s="1">
        <v>44204.48170138889</v>
      </c>
      <c r="AJ535">
        <v>509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14</v>
      </c>
      <c r="AQ535">
        <v>0</v>
      </c>
      <c r="AR535">
        <v>0</v>
      </c>
      <c r="AS535">
        <v>0</v>
      </c>
      <c r="AT535" t="s">
        <v>90</v>
      </c>
      <c r="AU535" s="1">
        <v>44204.490069444444</v>
      </c>
      <c r="AV535">
        <v>9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14</v>
      </c>
      <c r="BC535">
        <v>0</v>
      </c>
      <c r="BD535">
        <v>0</v>
      </c>
      <c r="BE535">
        <v>0</v>
      </c>
    </row>
    <row r="536" spans="1:57" x14ac:dyDescent="0.45">
      <c r="A536" t="s">
        <v>1453</v>
      </c>
      <c r="B536" t="s">
        <v>79</v>
      </c>
      <c r="C536" t="s">
        <v>1131</v>
      </c>
      <c r="D536" t="s">
        <v>81</v>
      </c>
      <c r="E536" s="2" t="str">
        <f>HYPERLINK("capsilon://?command=openfolder&amp;siteaddress=FAM.docvelocity-na8.net&amp;folderid=FXB4474EE8-8B36-F1CA-F875-09D813619FE6","FX201228013")</f>
        <v>FX201228013</v>
      </c>
      <c r="F536" t="s">
        <v>19</v>
      </c>
      <c r="G536" t="s">
        <v>19</v>
      </c>
      <c r="H536" t="s">
        <v>82</v>
      </c>
      <c r="I536" t="s">
        <v>1454</v>
      </c>
      <c r="J536">
        <v>66</v>
      </c>
      <c r="K536" t="s">
        <v>84</v>
      </c>
      <c r="L536" t="s">
        <v>85</v>
      </c>
      <c r="M536" t="s">
        <v>86</v>
      </c>
      <c r="N536">
        <v>3</v>
      </c>
      <c r="O536" s="1">
        <v>44204.444328703707</v>
      </c>
      <c r="P536" s="1">
        <v>44204.490162037036</v>
      </c>
      <c r="Q536">
        <v>2975</v>
      </c>
      <c r="R536">
        <v>985</v>
      </c>
      <c r="S536" t="b">
        <v>0</v>
      </c>
      <c r="T536" t="s">
        <v>87</v>
      </c>
      <c r="U536" t="b">
        <v>0</v>
      </c>
      <c r="V536" t="s">
        <v>112</v>
      </c>
      <c r="W536" s="1">
        <v>44204.450335648151</v>
      </c>
      <c r="X536">
        <v>469</v>
      </c>
      <c r="Y536">
        <v>52</v>
      </c>
      <c r="Z536">
        <v>0</v>
      </c>
      <c r="AA536">
        <v>52</v>
      </c>
      <c r="AB536">
        <v>0</v>
      </c>
      <c r="AC536">
        <v>28</v>
      </c>
      <c r="AD536">
        <v>14</v>
      </c>
      <c r="AE536">
        <v>0</v>
      </c>
      <c r="AF536">
        <v>0</v>
      </c>
      <c r="AG536">
        <v>0</v>
      </c>
      <c r="AH536" t="s">
        <v>267</v>
      </c>
      <c r="AI536" s="1">
        <v>44204.482453703706</v>
      </c>
      <c r="AJ536">
        <v>509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14</v>
      </c>
      <c r="AQ536">
        <v>0</v>
      </c>
      <c r="AR536">
        <v>0</v>
      </c>
      <c r="AS536">
        <v>0</v>
      </c>
      <c r="AT536" t="s">
        <v>90</v>
      </c>
      <c r="AU536" s="1">
        <v>44204.490162037036</v>
      </c>
      <c r="AV536">
        <v>7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14</v>
      </c>
      <c r="BC536">
        <v>0</v>
      </c>
      <c r="BD536">
        <v>0</v>
      </c>
      <c r="BE536">
        <v>0</v>
      </c>
    </row>
    <row r="537" spans="1:57" hidden="1" x14ac:dyDescent="0.45">
      <c r="A537" t="s">
        <v>1455</v>
      </c>
      <c r="B537" t="s">
        <v>79</v>
      </c>
      <c r="C537" t="s">
        <v>907</v>
      </c>
      <c r="D537" t="s">
        <v>81</v>
      </c>
      <c r="E537" s="2" t="str">
        <f>HYPERLINK("capsilon://?command=openfolder&amp;siteaddress=FAM.docvelocity-na8.net&amp;folderid=FXF8CF2055-F512-7892-66AD-5ABC6BDFB23D","FX20119487")</f>
        <v>FX20119487</v>
      </c>
      <c r="F537" t="s">
        <v>19</v>
      </c>
      <c r="G537" t="s">
        <v>19</v>
      </c>
      <c r="H537" t="s">
        <v>82</v>
      </c>
      <c r="I537" t="s">
        <v>1456</v>
      </c>
      <c r="J537">
        <v>31</v>
      </c>
      <c r="K537" t="s">
        <v>84</v>
      </c>
      <c r="L537" t="s">
        <v>85</v>
      </c>
      <c r="M537" t="s">
        <v>86</v>
      </c>
      <c r="N537">
        <v>1</v>
      </c>
      <c r="O537" s="1">
        <v>44204.449560185189</v>
      </c>
      <c r="P537" s="1">
        <v>44204.490104166667</v>
      </c>
      <c r="Q537">
        <v>1280</v>
      </c>
      <c r="R537">
        <v>2223</v>
      </c>
      <c r="S537" t="b">
        <v>0</v>
      </c>
      <c r="T537" t="s">
        <v>87</v>
      </c>
      <c r="U537" t="b">
        <v>0</v>
      </c>
      <c r="V537" t="s">
        <v>419</v>
      </c>
      <c r="W537" s="1">
        <v>44204.490104166667</v>
      </c>
      <c r="X537">
        <v>610</v>
      </c>
      <c r="Y537">
        <v>27</v>
      </c>
      <c r="Z537">
        <v>0</v>
      </c>
      <c r="AA537">
        <v>27</v>
      </c>
      <c r="AB537">
        <v>0</v>
      </c>
      <c r="AC537">
        <v>0</v>
      </c>
      <c r="AD537">
        <v>4</v>
      </c>
      <c r="AE537">
        <v>27</v>
      </c>
      <c r="AF537">
        <v>0</v>
      </c>
      <c r="AG537">
        <v>3</v>
      </c>
      <c r="AH537" t="s">
        <v>87</v>
      </c>
      <c r="AI537" t="s">
        <v>87</v>
      </c>
      <c r="AJ537" t="s">
        <v>87</v>
      </c>
      <c r="AK537" t="s">
        <v>87</v>
      </c>
      <c r="AL537" t="s">
        <v>87</v>
      </c>
      <c r="AM537" t="s">
        <v>87</v>
      </c>
      <c r="AN537" t="s">
        <v>87</v>
      </c>
      <c r="AO537" t="s">
        <v>87</v>
      </c>
      <c r="AP537" t="s">
        <v>87</v>
      </c>
      <c r="AQ537" t="s">
        <v>87</v>
      </c>
      <c r="AR537" t="s">
        <v>87</v>
      </c>
      <c r="AS537" t="s">
        <v>87</v>
      </c>
      <c r="AT537" t="s">
        <v>87</v>
      </c>
      <c r="AU537" t="s">
        <v>87</v>
      </c>
      <c r="AV537" t="s">
        <v>87</v>
      </c>
      <c r="AW537" t="s">
        <v>87</v>
      </c>
      <c r="AX537" t="s">
        <v>87</v>
      </c>
      <c r="AY537" t="s">
        <v>87</v>
      </c>
      <c r="AZ537" t="s">
        <v>87</v>
      </c>
      <c r="BA537" t="s">
        <v>87</v>
      </c>
      <c r="BB537" t="s">
        <v>87</v>
      </c>
      <c r="BC537" t="s">
        <v>87</v>
      </c>
      <c r="BD537" t="s">
        <v>87</v>
      </c>
      <c r="BE537" t="s">
        <v>87</v>
      </c>
    </row>
    <row r="538" spans="1:57" x14ac:dyDescent="0.45">
      <c r="A538" t="s">
        <v>1457</v>
      </c>
      <c r="B538" t="s">
        <v>79</v>
      </c>
      <c r="C538" t="s">
        <v>1458</v>
      </c>
      <c r="D538" t="s">
        <v>81</v>
      </c>
      <c r="E538" s="2" t="str">
        <f>HYPERLINK("capsilon://?command=openfolder&amp;siteaddress=FAM.docvelocity-na8.net&amp;folderid=FXB9FD680A-2EA9-4FD3-D8DB-6B2A1D78D787","FX201229010")</f>
        <v>FX201229010</v>
      </c>
      <c r="F538" t="s">
        <v>19</v>
      </c>
      <c r="G538" t="s">
        <v>19</v>
      </c>
      <c r="H538" t="s">
        <v>82</v>
      </c>
      <c r="I538" t="s">
        <v>1459</v>
      </c>
      <c r="J538">
        <v>144</v>
      </c>
      <c r="K538" t="s">
        <v>84</v>
      </c>
      <c r="L538" t="s">
        <v>85</v>
      </c>
      <c r="M538" t="s">
        <v>86</v>
      </c>
      <c r="N538">
        <v>3</v>
      </c>
      <c r="O538" s="1">
        <v>44204.451354166667</v>
      </c>
      <c r="P538" s="1">
        <v>44204.491400462961</v>
      </c>
      <c r="Q538">
        <v>1778</v>
      </c>
      <c r="R538">
        <v>1682</v>
      </c>
      <c r="S538" t="b">
        <v>0</v>
      </c>
      <c r="T538" t="s">
        <v>87</v>
      </c>
      <c r="U538" t="b">
        <v>0</v>
      </c>
      <c r="V538" t="s">
        <v>179</v>
      </c>
      <c r="W538" s="1">
        <v>44204.464791666665</v>
      </c>
      <c r="X538">
        <v>1160</v>
      </c>
      <c r="Y538">
        <v>129</v>
      </c>
      <c r="Z538">
        <v>0</v>
      </c>
      <c r="AA538">
        <v>129</v>
      </c>
      <c r="AB538">
        <v>0</v>
      </c>
      <c r="AC538">
        <v>16</v>
      </c>
      <c r="AD538">
        <v>15</v>
      </c>
      <c r="AE538">
        <v>0</v>
      </c>
      <c r="AF538">
        <v>0</v>
      </c>
      <c r="AG538">
        <v>0</v>
      </c>
      <c r="AH538" t="s">
        <v>128</v>
      </c>
      <c r="AI538" s="1">
        <v>44204.482037037036</v>
      </c>
      <c r="AJ538">
        <v>416</v>
      </c>
      <c r="AK538">
        <v>1</v>
      </c>
      <c r="AL538">
        <v>0</v>
      </c>
      <c r="AM538">
        <v>1</v>
      </c>
      <c r="AN538">
        <v>0</v>
      </c>
      <c r="AO538">
        <v>1</v>
      </c>
      <c r="AP538">
        <v>14</v>
      </c>
      <c r="AQ538">
        <v>0</v>
      </c>
      <c r="AR538">
        <v>0</v>
      </c>
      <c r="AS538">
        <v>0</v>
      </c>
      <c r="AT538" t="s">
        <v>90</v>
      </c>
      <c r="AU538" s="1">
        <v>44204.491400462961</v>
      </c>
      <c r="AV538">
        <v>106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14</v>
      </c>
      <c r="BC538">
        <v>0</v>
      </c>
      <c r="BD538">
        <v>0</v>
      </c>
      <c r="BE538">
        <v>0</v>
      </c>
    </row>
    <row r="539" spans="1:57" x14ac:dyDescent="0.45">
      <c r="A539" t="s">
        <v>1460</v>
      </c>
      <c r="B539" t="s">
        <v>79</v>
      </c>
      <c r="C539" t="s">
        <v>1461</v>
      </c>
      <c r="D539" t="s">
        <v>81</v>
      </c>
      <c r="E539" s="2" t="str">
        <f>HYPERLINK("capsilon://?command=openfolder&amp;siteaddress=FAM.docvelocity-na8.net&amp;folderid=FX06FFD2EA-424B-F3D5-D6F0-DBC4193FFF64","FX201228168")</f>
        <v>FX201228168</v>
      </c>
      <c r="F539" t="s">
        <v>19</v>
      </c>
      <c r="G539" t="s">
        <v>19</v>
      </c>
      <c r="H539" t="s">
        <v>82</v>
      </c>
      <c r="I539" t="s">
        <v>1462</v>
      </c>
      <c r="J539">
        <v>90</v>
      </c>
      <c r="K539" t="s">
        <v>84</v>
      </c>
      <c r="L539" t="s">
        <v>85</v>
      </c>
      <c r="M539" t="s">
        <v>86</v>
      </c>
      <c r="N539">
        <v>3</v>
      </c>
      <c r="O539" s="1">
        <v>44204.451365740744</v>
      </c>
      <c r="P539" s="1">
        <v>44204.491516203707</v>
      </c>
      <c r="Q539">
        <v>593</v>
      </c>
      <c r="R539">
        <v>2876</v>
      </c>
      <c r="S539" t="b">
        <v>0</v>
      </c>
      <c r="T539" t="s">
        <v>87</v>
      </c>
      <c r="U539" t="b">
        <v>0</v>
      </c>
      <c r="V539" t="s">
        <v>168</v>
      </c>
      <c r="W539" s="1">
        <v>44204.478645833333</v>
      </c>
      <c r="X539">
        <v>2356</v>
      </c>
      <c r="Y539">
        <v>79</v>
      </c>
      <c r="Z539">
        <v>0</v>
      </c>
      <c r="AA539">
        <v>79</v>
      </c>
      <c r="AB539">
        <v>0</v>
      </c>
      <c r="AC539">
        <v>68</v>
      </c>
      <c r="AD539">
        <v>11</v>
      </c>
      <c r="AE539">
        <v>0</v>
      </c>
      <c r="AF539">
        <v>0</v>
      </c>
      <c r="AG539">
        <v>0</v>
      </c>
      <c r="AH539" t="s">
        <v>128</v>
      </c>
      <c r="AI539" s="1">
        <v>44204.487893518519</v>
      </c>
      <c r="AJ539">
        <v>506</v>
      </c>
      <c r="AK539">
        <v>1</v>
      </c>
      <c r="AL539">
        <v>0</v>
      </c>
      <c r="AM539">
        <v>1</v>
      </c>
      <c r="AN539">
        <v>0</v>
      </c>
      <c r="AO539">
        <v>1</v>
      </c>
      <c r="AP539">
        <v>10</v>
      </c>
      <c r="AQ539">
        <v>0</v>
      </c>
      <c r="AR539">
        <v>0</v>
      </c>
      <c r="AS539">
        <v>0</v>
      </c>
      <c r="AT539" t="s">
        <v>90</v>
      </c>
      <c r="AU539" s="1">
        <v>44204.491516203707</v>
      </c>
      <c r="AV539">
        <v>10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10</v>
      </c>
      <c r="BC539">
        <v>0</v>
      </c>
      <c r="BD539">
        <v>0</v>
      </c>
      <c r="BE539">
        <v>0</v>
      </c>
    </row>
    <row r="540" spans="1:57" x14ac:dyDescent="0.45">
      <c r="A540" t="s">
        <v>1463</v>
      </c>
      <c r="B540" t="s">
        <v>79</v>
      </c>
      <c r="C540" t="s">
        <v>1464</v>
      </c>
      <c r="D540" t="s">
        <v>81</v>
      </c>
      <c r="E540" s="2" t="str">
        <f>HYPERLINK("capsilon://?command=openfolder&amp;siteaddress=FAM.docvelocity-na8.net&amp;folderid=FX0DA00CEC-05F6-F99A-27D9-E4AB7F5E16DF","FX21013244")</f>
        <v>FX21013244</v>
      </c>
      <c r="F540" t="s">
        <v>19</v>
      </c>
      <c r="G540" t="s">
        <v>19</v>
      </c>
      <c r="H540" t="s">
        <v>82</v>
      </c>
      <c r="I540" t="s">
        <v>1465</v>
      </c>
      <c r="J540">
        <v>226</v>
      </c>
      <c r="K540" t="s">
        <v>84</v>
      </c>
      <c r="L540" t="s">
        <v>85</v>
      </c>
      <c r="M540" t="s">
        <v>86</v>
      </c>
      <c r="N540">
        <v>3</v>
      </c>
      <c r="O540" s="1">
        <v>44204.452997685185</v>
      </c>
      <c r="P540" s="1">
        <v>44204.498090277775</v>
      </c>
      <c r="Q540">
        <v>170</v>
      </c>
      <c r="R540">
        <v>3726</v>
      </c>
      <c r="S540" t="b">
        <v>0</v>
      </c>
      <c r="T540" t="s">
        <v>87</v>
      </c>
      <c r="U540" t="b">
        <v>0</v>
      </c>
      <c r="V540" t="s">
        <v>919</v>
      </c>
      <c r="W540" s="1">
        <v>44204.488657407404</v>
      </c>
      <c r="X540">
        <v>3078</v>
      </c>
      <c r="Y540">
        <v>250</v>
      </c>
      <c r="Z540">
        <v>0</v>
      </c>
      <c r="AA540">
        <v>250</v>
      </c>
      <c r="AB540">
        <v>0</v>
      </c>
      <c r="AC540">
        <v>138</v>
      </c>
      <c r="AD540">
        <v>-24</v>
      </c>
      <c r="AE540">
        <v>0</v>
      </c>
      <c r="AF540">
        <v>0</v>
      </c>
      <c r="AG540">
        <v>0</v>
      </c>
      <c r="AH540" t="s">
        <v>267</v>
      </c>
      <c r="AI540" s="1">
        <v>44204.496087962965</v>
      </c>
      <c r="AJ540">
        <v>542</v>
      </c>
      <c r="AK540">
        <v>2</v>
      </c>
      <c r="AL540">
        <v>0</v>
      </c>
      <c r="AM540">
        <v>2</v>
      </c>
      <c r="AN540">
        <v>0</v>
      </c>
      <c r="AO540">
        <v>1</v>
      </c>
      <c r="AP540">
        <v>-26</v>
      </c>
      <c r="AQ540">
        <v>0</v>
      </c>
      <c r="AR540">
        <v>0</v>
      </c>
      <c r="AS540">
        <v>0</v>
      </c>
      <c r="AT540" t="s">
        <v>90</v>
      </c>
      <c r="AU540" s="1">
        <v>44204.498090277775</v>
      </c>
      <c r="AV540">
        <v>106</v>
      </c>
      <c r="AW540">
        <v>2</v>
      </c>
      <c r="AX540">
        <v>0</v>
      </c>
      <c r="AY540">
        <v>2</v>
      </c>
      <c r="AZ540">
        <v>0</v>
      </c>
      <c r="BA540">
        <v>2</v>
      </c>
      <c r="BB540">
        <v>-28</v>
      </c>
      <c r="BC540">
        <v>0</v>
      </c>
      <c r="BD540">
        <v>0</v>
      </c>
      <c r="BE540">
        <v>0</v>
      </c>
    </row>
    <row r="541" spans="1:57" x14ac:dyDescent="0.45">
      <c r="A541" t="s">
        <v>1466</v>
      </c>
      <c r="B541" t="s">
        <v>79</v>
      </c>
      <c r="C541" t="s">
        <v>1467</v>
      </c>
      <c r="D541" t="s">
        <v>81</v>
      </c>
      <c r="E541" s="2" t="str">
        <f>HYPERLINK("capsilon://?command=openfolder&amp;siteaddress=FAM.docvelocity-na8.net&amp;folderid=FX9543C315-22D9-3DD2-06FC-7445FC033186","FX21011406")</f>
        <v>FX21011406</v>
      </c>
      <c r="F541" t="s">
        <v>19</v>
      </c>
      <c r="G541" t="s">
        <v>19</v>
      </c>
      <c r="H541" t="s">
        <v>82</v>
      </c>
      <c r="I541" t="s">
        <v>1468</v>
      </c>
      <c r="J541">
        <v>416</v>
      </c>
      <c r="K541" t="s">
        <v>84</v>
      </c>
      <c r="L541" t="s">
        <v>85</v>
      </c>
      <c r="M541" t="s">
        <v>86</v>
      </c>
      <c r="N541">
        <v>3</v>
      </c>
      <c r="O541" s="1">
        <v>44204.453194444446</v>
      </c>
      <c r="P541" s="1">
        <v>44204.637743055559</v>
      </c>
      <c r="Q541">
        <v>10468</v>
      </c>
      <c r="R541">
        <v>5477</v>
      </c>
      <c r="S541" t="b">
        <v>0</v>
      </c>
      <c r="T541" t="s">
        <v>87</v>
      </c>
      <c r="U541" t="b">
        <v>0</v>
      </c>
      <c r="V541" t="s">
        <v>98</v>
      </c>
      <c r="W541" s="1">
        <v>44204.500451388885</v>
      </c>
      <c r="X541">
        <v>4076</v>
      </c>
      <c r="Y541">
        <v>306</v>
      </c>
      <c r="Z541">
        <v>0</v>
      </c>
      <c r="AA541">
        <v>306</v>
      </c>
      <c r="AB541">
        <v>0</v>
      </c>
      <c r="AC541">
        <v>167</v>
      </c>
      <c r="AD541">
        <v>110</v>
      </c>
      <c r="AE541">
        <v>0</v>
      </c>
      <c r="AF541">
        <v>0</v>
      </c>
      <c r="AG541">
        <v>0</v>
      </c>
      <c r="AH541" t="s">
        <v>128</v>
      </c>
      <c r="AI541" s="1">
        <v>44204.510821759257</v>
      </c>
      <c r="AJ541">
        <v>812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110</v>
      </c>
      <c r="AQ541">
        <v>0</v>
      </c>
      <c r="AR541">
        <v>0</v>
      </c>
      <c r="AS541">
        <v>0</v>
      </c>
      <c r="AT541" t="s">
        <v>90</v>
      </c>
      <c r="AU541" s="1">
        <v>44204.637743055559</v>
      </c>
      <c r="AV541">
        <v>547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110</v>
      </c>
      <c r="BC541">
        <v>0</v>
      </c>
      <c r="BD541">
        <v>0</v>
      </c>
      <c r="BE541">
        <v>0</v>
      </c>
    </row>
    <row r="542" spans="1:57" x14ac:dyDescent="0.45">
      <c r="A542" t="s">
        <v>1469</v>
      </c>
      <c r="B542" t="s">
        <v>79</v>
      </c>
      <c r="C542" t="s">
        <v>1470</v>
      </c>
      <c r="D542" t="s">
        <v>81</v>
      </c>
      <c r="E542" s="2" t="str">
        <f>HYPERLINK("capsilon://?command=openfolder&amp;siteaddress=FAM.docvelocity-na8.net&amp;folderid=FX65E38297-F8E4-1BB2-09A5-1894E124C28C","FX201228961")</f>
        <v>FX201228961</v>
      </c>
      <c r="F542" t="s">
        <v>19</v>
      </c>
      <c r="G542" t="s">
        <v>19</v>
      </c>
      <c r="H542" t="s">
        <v>82</v>
      </c>
      <c r="I542" t="s">
        <v>1471</v>
      </c>
      <c r="J542">
        <v>76</v>
      </c>
      <c r="K542" t="s">
        <v>84</v>
      </c>
      <c r="L542" t="s">
        <v>85</v>
      </c>
      <c r="M542" t="s">
        <v>86</v>
      </c>
      <c r="N542">
        <v>3</v>
      </c>
      <c r="O542" s="1">
        <v>44204.458958333336</v>
      </c>
      <c r="P542" s="1">
        <v>44204.491770833331</v>
      </c>
      <c r="Q542">
        <v>2044</v>
      </c>
      <c r="R542">
        <v>791</v>
      </c>
      <c r="S542" t="b">
        <v>0</v>
      </c>
      <c r="T542" t="s">
        <v>87</v>
      </c>
      <c r="U542" t="b">
        <v>0</v>
      </c>
      <c r="V542" t="s">
        <v>160</v>
      </c>
      <c r="W542" s="1">
        <v>44204.466168981482</v>
      </c>
      <c r="X542">
        <v>619</v>
      </c>
      <c r="Y542">
        <v>74</v>
      </c>
      <c r="Z542">
        <v>0</v>
      </c>
      <c r="AA542">
        <v>74</v>
      </c>
      <c r="AB542">
        <v>0</v>
      </c>
      <c r="AC542">
        <v>32</v>
      </c>
      <c r="AD542">
        <v>2</v>
      </c>
      <c r="AE542">
        <v>0</v>
      </c>
      <c r="AF542">
        <v>0</v>
      </c>
      <c r="AG542">
        <v>0</v>
      </c>
      <c r="AH542" t="s">
        <v>267</v>
      </c>
      <c r="AI542" s="1">
        <v>44204.484212962961</v>
      </c>
      <c r="AJ542">
        <v>151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2</v>
      </c>
      <c r="AQ542">
        <v>0</v>
      </c>
      <c r="AR542">
        <v>0</v>
      </c>
      <c r="AS542">
        <v>0</v>
      </c>
      <c r="AT542" t="s">
        <v>90</v>
      </c>
      <c r="AU542" s="1">
        <v>44204.491770833331</v>
      </c>
      <c r="AV542">
        <v>21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2</v>
      </c>
      <c r="BC542">
        <v>0</v>
      </c>
      <c r="BD542">
        <v>0</v>
      </c>
      <c r="BE542">
        <v>0</v>
      </c>
    </row>
    <row r="543" spans="1:57" x14ac:dyDescent="0.45">
      <c r="A543" t="s">
        <v>1472</v>
      </c>
      <c r="B543" t="s">
        <v>79</v>
      </c>
      <c r="C543" t="s">
        <v>603</v>
      </c>
      <c r="D543" t="s">
        <v>81</v>
      </c>
      <c r="E543" s="2" t="str">
        <f>HYPERLINK("capsilon://?command=openfolder&amp;siteaddress=FAM.docvelocity-na8.net&amp;folderid=FX0F9866E8-C536-E221-9B4C-F2E1BCEE5A97","FX201222834")</f>
        <v>FX201222834</v>
      </c>
      <c r="F543" t="s">
        <v>19</v>
      </c>
      <c r="G543" t="s">
        <v>19</v>
      </c>
      <c r="H543" t="s">
        <v>82</v>
      </c>
      <c r="I543" t="s">
        <v>1473</v>
      </c>
      <c r="J543">
        <v>66</v>
      </c>
      <c r="K543" t="s">
        <v>84</v>
      </c>
      <c r="L543" t="s">
        <v>85</v>
      </c>
      <c r="M543" t="s">
        <v>86</v>
      </c>
      <c r="N543">
        <v>3</v>
      </c>
      <c r="O543" s="1">
        <v>44204.459861111114</v>
      </c>
      <c r="P543" s="1">
        <v>44204.491863425923</v>
      </c>
      <c r="Q543">
        <v>1252</v>
      </c>
      <c r="R543">
        <v>1513</v>
      </c>
      <c r="S543" t="b">
        <v>0</v>
      </c>
      <c r="T543" t="s">
        <v>87</v>
      </c>
      <c r="U543" t="b">
        <v>0</v>
      </c>
      <c r="V543" t="s">
        <v>171</v>
      </c>
      <c r="W543" s="1">
        <v>44204.475983796299</v>
      </c>
      <c r="X543">
        <v>1391</v>
      </c>
      <c r="Y543">
        <v>52</v>
      </c>
      <c r="Z543">
        <v>0</v>
      </c>
      <c r="AA543">
        <v>52</v>
      </c>
      <c r="AB543">
        <v>0</v>
      </c>
      <c r="AC543">
        <v>34</v>
      </c>
      <c r="AD543">
        <v>14</v>
      </c>
      <c r="AE543">
        <v>0</v>
      </c>
      <c r="AF543">
        <v>0</v>
      </c>
      <c r="AG543">
        <v>0</v>
      </c>
      <c r="AH543" t="s">
        <v>267</v>
      </c>
      <c r="AI543" s="1">
        <v>44204.485567129632</v>
      </c>
      <c r="AJ543">
        <v>116</v>
      </c>
      <c r="AK543">
        <v>2</v>
      </c>
      <c r="AL543">
        <v>0</v>
      </c>
      <c r="AM543">
        <v>2</v>
      </c>
      <c r="AN543">
        <v>0</v>
      </c>
      <c r="AO543">
        <v>0</v>
      </c>
      <c r="AP543">
        <v>12</v>
      </c>
      <c r="AQ543">
        <v>0</v>
      </c>
      <c r="AR543">
        <v>0</v>
      </c>
      <c r="AS543">
        <v>0</v>
      </c>
      <c r="AT543" t="s">
        <v>90</v>
      </c>
      <c r="AU543" s="1">
        <v>44204.491863425923</v>
      </c>
      <c r="AV543">
        <v>6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12</v>
      </c>
      <c r="BC543">
        <v>0</v>
      </c>
      <c r="BD543">
        <v>0</v>
      </c>
      <c r="BE543">
        <v>0</v>
      </c>
    </row>
    <row r="544" spans="1:57" x14ac:dyDescent="0.45">
      <c r="A544" t="s">
        <v>1474</v>
      </c>
      <c r="B544" t="s">
        <v>79</v>
      </c>
      <c r="C544" t="s">
        <v>904</v>
      </c>
      <c r="D544" t="s">
        <v>81</v>
      </c>
      <c r="E544" s="2" t="str">
        <f>HYPERLINK("capsilon://?command=openfolder&amp;siteaddress=FAM.docvelocity-na8.net&amp;folderid=FX9F770D5C-C00E-FAB6-09A3-383E58B3D6A6","FX21012969")</f>
        <v>FX21012969</v>
      </c>
      <c r="F544" t="s">
        <v>19</v>
      </c>
      <c r="G544" t="s">
        <v>19</v>
      </c>
      <c r="H544" t="s">
        <v>82</v>
      </c>
      <c r="I544" t="s">
        <v>1475</v>
      </c>
      <c r="J544">
        <v>66</v>
      </c>
      <c r="K544" t="s">
        <v>84</v>
      </c>
      <c r="L544" t="s">
        <v>85</v>
      </c>
      <c r="M544" t="s">
        <v>86</v>
      </c>
      <c r="N544">
        <v>3</v>
      </c>
      <c r="O544" s="1">
        <v>44204.465254629627</v>
      </c>
      <c r="P544" s="1">
        <v>44204.499050925922</v>
      </c>
      <c r="Q544">
        <v>523</v>
      </c>
      <c r="R544">
        <v>2397</v>
      </c>
      <c r="S544" t="b">
        <v>0</v>
      </c>
      <c r="T544" t="s">
        <v>87</v>
      </c>
      <c r="U544" t="b">
        <v>0</v>
      </c>
      <c r="V544" t="s">
        <v>146</v>
      </c>
      <c r="W544" s="1">
        <v>44204.490173611113</v>
      </c>
      <c r="X544">
        <v>2147</v>
      </c>
      <c r="Y544">
        <v>52</v>
      </c>
      <c r="Z544">
        <v>0</v>
      </c>
      <c r="AA544">
        <v>52</v>
      </c>
      <c r="AB544">
        <v>0</v>
      </c>
      <c r="AC544">
        <v>36</v>
      </c>
      <c r="AD544">
        <v>14</v>
      </c>
      <c r="AE544">
        <v>0</v>
      </c>
      <c r="AF544">
        <v>0</v>
      </c>
      <c r="AG544">
        <v>0</v>
      </c>
      <c r="AH544" t="s">
        <v>128</v>
      </c>
      <c r="AI544" s="1">
        <v>44204.49664351852</v>
      </c>
      <c r="AJ544">
        <v>167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14</v>
      </c>
      <c r="AQ544">
        <v>0</v>
      </c>
      <c r="AR544">
        <v>0</v>
      </c>
      <c r="AS544">
        <v>0</v>
      </c>
      <c r="AT544" t="s">
        <v>90</v>
      </c>
      <c r="AU544" s="1">
        <v>44204.499050925922</v>
      </c>
      <c r="AV544">
        <v>83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14</v>
      </c>
      <c r="BC544">
        <v>0</v>
      </c>
      <c r="BD544">
        <v>0</v>
      </c>
      <c r="BE544">
        <v>0</v>
      </c>
    </row>
    <row r="545" spans="1:57" hidden="1" x14ac:dyDescent="0.45">
      <c r="A545" t="s">
        <v>1476</v>
      </c>
      <c r="B545" t="s">
        <v>79</v>
      </c>
      <c r="C545" t="s">
        <v>1477</v>
      </c>
      <c r="D545" t="s">
        <v>81</v>
      </c>
      <c r="E545" s="2" t="str">
        <f>HYPERLINK("capsilon://?command=openfolder&amp;siteaddress=FAM.docvelocity-na8.net&amp;folderid=FX528E5FD1-0107-9CAA-9E3D-AFB4D22DAD3F","FX21013255")</f>
        <v>FX21013255</v>
      </c>
      <c r="F545" t="s">
        <v>19</v>
      </c>
      <c r="G545" t="s">
        <v>19</v>
      </c>
      <c r="H545" t="s">
        <v>82</v>
      </c>
      <c r="I545" t="s">
        <v>1478</v>
      </c>
      <c r="J545">
        <v>404</v>
      </c>
      <c r="K545" t="s">
        <v>84</v>
      </c>
      <c r="L545" t="s">
        <v>85</v>
      </c>
      <c r="M545" t="s">
        <v>86</v>
      </c>
      <c r="N545">
        <v>1</v>
      </c>
      <c r="O545" s="1">
        <v>44204.466516203705</v>
      </c>
      <c r="P545" s="1">
        <v>44204.495821759258</v>
      </c>
      <c r="Q545">
        <v>1382</v>
      </c>
      <c r="R545">
        <v>1150</v>
      </c>
      <c r="S545" t="b">
        <v>0</v>
      </c>
      <c r="T545" t="s">
        <v>87</v>
      </c>
      <c r="U545" t="b">
        <v>0</v>
      </c>
      <c r="V545" t="s">
        <v>262</v>
      </c>
      <c r="W545" s="1">
        <v>44204.495821759258</v>
      </c>
      <c r="X545">
        <v>1086</v>
      </c>
      <c r="Y545">
        <v>291</v>
      </c>
      <c r="Z545">
        <v>0</v>
      </c>
      <c r="AA545">
        <v>291</v>
      </c>
      <c r="AB545">
        <v>0</v>
      </c>
      <c r="AC545">
        <v>0</v>
      </c>
      <c r="AD545">
        <v>113</v>
      </c>
      <c r="AE545">
        <v>75</v>
      </c>
      <c r="AF545">
        <v>1</v>
      </c>
      <c r="AG545">
        <v>2</v>
      </c>
      <c r="AH545" t="s">
        <v>87</v>
      </c>
      <c r="AI545" t="s">
        <v>87</v>
      </c>
      <c r="AJ545" t="s">
        <v>87</v>
      </c>
      <c r="AK545" t="s">
        <v>87</v>
      </c>
      <c r="AL545" t="s">
        <v>87</v>
      </c>
      <c r="AM545" t="s">
        <v>87</v>
      </c>
      <c r="AN545" t="s">
        <v>87</v>
      </c>
      <c r="AO545" t="s">
        <v>87</v>
      </c>
      <c r="AP545" t="s">
        <v>87</v>
      </c>
      <c r="AQ545" t="s">
        <v>87</v>
      </c>
      <c r="AR545" t="s">
        <v>87</v>
      </c>
      <c r="AS545" t="s">
        <v>87</v>
      </c>
      <c r="AT545" t="s">
        <v>87</v>
      </c>
      <c r="AU545" t="s">
        <v>87</v>
      </c>
      <c r="AV545" t="s">
        <v>87</v>
      </c>
      <c r="AW545" t="s">
        <v>87</v>
      </c>
      <c r="AX545" t="s">
        <v>87</v>
      </c>
      <c r="AY545" t="s">
        <v>87</v>
      </c>
      <c r="AZ545" t="s">
        <v>87</v>
      </c>
      <c r="BA545" t="s">
        <v>87</v>
      </c>
      <c r="BB545" t="s">
        <v>87</v>
      </c>
      <c r="BC545" t="s">
        <v>87</v>
      </c>
      <c r="BD545" t="s">
        <v>87</v>
      </c>
      <c r="BE545" t="s">
        <v>87</v>
      </c>
    </row>
    <row r="546" spans="1:57" x14ac:dyDescent="0.45">
      <c r="A546" t="s">
        <v>1479</v>
      </c>
      <c r="B546" t="s">
        <v>79</v>
      </c>
      <c r="C546" t="s">
        <v>1480</v>
      </c>
      <c r="D546" t="s">
        <v>81</v>
      </c>
      <c r="E546" s="2" t="str">
        <f>HYPERLINK("capsilon://?command=openfolder&amp;siteaddress=FAM.docvelocity-na8.net&amp;folderid=FX83E03E44-6524-9CED-D944-15CD8B02583A","FX21013533")</f>
        <v>FX21013533</v>
      </c>
      <c r="F546" t="s">
        <v>19</v>
      </c>
      <c r="G546" t="s">
        <v>19</v>
      </c>
      <c r="H546" t="s">
        <v>82</v>
      </c>
      <c r="I546" t="s">
        <v>1481</v>
      </c>
      <c r="J546">
        <v>217</v>
      </c>
      <c r="K546" t="s">
        <v>84</v>
      </c>
      <c r="L546" t="s">
        <v>85</v>
      </c>
      <c r="M546" t="s">
        <v>86</v>
      </c>
      <c r="N546">
        <v>3</v>
      </c>
      <c r="O546" s="1">
        <v>44204.467581018522</v>
      </c>
      <c r="P546" s="1">
        <v>44204.501782407409</v>
      </c>
      <c r="Q546">
        <v>530</v>
      </c>
      <c r="R546">
        <v>2425</v>
      </c>
      <c r="S546" t="b">
        <v>0</v>
      </c>
      <c r="T546" t="s">
        <v>87</v>
      </c>
      <c r="U546" t="b">
        <v>0</v>
      </c>
      <c r="V546" t="s">
        <v>112</v>
      </c>
      <c r="W546" s="1">
        <v>44204.48710648148</v>
      </c>
      <c r="X546">
        <v>1603</v>
      </c>
      <c r="Y546">
        <v>196</v>
      </c>
      <c r="Z546">
        <v>0</v>
      </c>
      <c r="AA546">
        <v>196</v>
      </c>
      <c r="AB546">
        <v>0</v>
      </c>
      <c r="AC546">
        <v>88</v>
      </c>
      <c r="AD546">
        <v>21</v>
      </c>
      <c r="AE546">
        <v>0</v>
      </c>
      <c r="AF546">
        <v>0</v>
      </c>
      <c r="AG546">
        <v>0</v>
      </c>
      <c r="AH546" t="s">
        <v>128</v>
      </c>
      <c r="AI546" s="1">
        <v>44204.494699074072</v>
      </c>
      <c r="AJ546">
        <v>587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21</v>
      </c>
      <c r="AQ546">
        <v>0</v>
      </c>
      <c r="AR546">
        <v>0</v>
      </c>
      <c r="AS546">
        <v>0</v>
      </c>
      <c r="AT546" t="s">
        <v>90</v>
      </c>
      <c r="AU546" s="1">
        <v>44204.501782407409</v>
      </c>
      <c r="AV546">
        <v>235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21</v>
      </c>
      <c r="BC546">
        <v>0</v>
      </c>
      <c r="BD546">
        <v>0</v>
      </c>
      <c r="BE546">
        <v>0</v>
      </c>
    </row>
    <row r="547" spans="1:57" x14ac:dyDescent="0.45">
      <c r="A547" t="s">
        <v>1482</v>
      </c>
      <c r="B547" t="s">
        <v>79</v>
      </c>
      <c r="C547" t="s">
        <v>1483</v>
      </c>
      <c r="D547" t="s">
        <v>81</v>
      </c>
      <c r="E547" s="2" t="str">
        <f>HYPERLINK("capsilon://?command=openfolder&amp;siteaddress=FAM.docvelocity-na8.net&amp;folderid=FXDD79FABF-7DE8-947B-BA35-2774B8752F59","FX21012212")</f>
        <v>FX21012212</v>
      </c>
      <c r="F547" t="s">
        <v>19</v>
      </c>
      <c r="G547" t="s">
        <v>19</v>
      </c>
      <c r="H547" t="s">
        <v>82</v>
      </c>
      <c r="I547" t="s">
        <v>1484</v>
      </c>
      <c r="J547">
        <v>38</v>
      </c>
      <c r="K547" t="s">
        <v>84</v>
      </c>
      <c r="L547" t="s">
        <v>85</v>
      </c>
      <c r="M547" t="s">
        <v>86</v>
      </c>
      <c r="N547">
        <v>3</v>
      </c>
      <c r="O547" s="1">
        <v>44204.468738425923</v>
      </c>
      <c r="P547" s="1">
        <v>44204.491944444446</v>
      </c>
      <c r="Q547">
        <v>1164</v>
      </c>
      <c r="R547">
        <v>841</v>
      </c>
      <c r="S547" t="b">
        <v>0</v>
      </c>
      <c r="T547" t="s">
        <v>87</v>
      </c>
      <c r="U547" t="b">
        <v>0</v>
      </c>
      <c r="V547" t="s">
        <v>419</v>
      </c>
      <c r="W547" s="1">
        <v>44204.478483796294</v>
      </c>
      <c r="X547">
        <v>756</v>
      </c>
      <c r="Y547">
        <v>37</v>
      </c>
      <c r="Z547">
        <v>0</v>
      </c>
      <c r="AA547">
        <v>37</v>
      </c>
      <c r="AB547">
        <v>0</v>
      </c>
      <c r="AC547">
        <v>23</v>
      </c>
      <c r="AD547">
        <v>1</v>
      </c>
      <c r="AE547">
        <v>0</v>
      </c>
      <c r="AF547">
        <v>0</v>
      </c>
      <c r="AG547">
        <v>0</v>
      </c>
      <c r="AH547" t="s">
        <v>267</v>
      </c>
      <c r="AI547" s="1">
        <v>44204.486493055556</v>
      </c>
      <c r="AJ547">
        <v>79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 t="s">
        <v>90</v>
      </c>
      <c r="AU547" s="1">
        <v>44204.491944444446</v>
      </c>
      <c r="AV547">
        <v>6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</row>
    <row r="548" spans="1:57" hidden="1" x14ac:dyDescent="0.45">
      <c r="A548" t="s">
        <v>1485</v>
      </c>
      <c r="B548" t="s">
        <v>79</v>
      </c>
      <c r="C548" t="s">
        <v>570</v>
      </c>
      <c r="D548" t="s">
        <v>81</v>
      </c>
      <c r="E548" s="2" t="str">
        <f>HYPERLINK("capsilon://?command=openfolder&amp;siteaddress=FAM.docvelocity-na8.net&amp;folderid=FXD7F1ED2A-5D9C-0637-B81B-BC35AC3509A8","FX21011752")</f>
        <v>FX21011752</v>
      </c>
      <c r="F548" t="s">
        <v>19</v>
      </c>
      <c r="G548" t="s">
        <v>19</v>
      </c>
      <c r="H548" t="s">
        <v>82</v>
      </c>
      <c r="I548" t="s">
        <v>1486</v>
      </c>
      <c r="J548">
        <v>66</v>
      </c>
      <c r="K548" t="s">
        <v>84</v>
      </c>
      <c r="L548" t="s">
        <v>85</v>
      </c>
      <c r="M548" t="s">
        <v>86</v>
      </c>
      <c r="N548">
        <v>1</v>
      </c>
      <c r="O548" s="1">
        <v>44204.468773148146</v>
      </c>
      <c r="P548" s="1">
        <v>44204.478101851855</v>
      </c>
      <c r="Q548">
        <v>612</v>
      </c>
      <c r="R548">
        <v>194</v>
      </c>
      <c r="S548" t="b">
        <v>0</v>
      </c>
      <c r="T548" t="s">
        <v>87</v>
      </c>
      <c r="U548" t="b">
        <v>0</v>
      </c>
      <c r="V548" t="s">
        <v>242</v>
      </c>
      <c r="W548" s="1">
        <v>44204.478101851855</v>
      </c>
      <c r="X548">
        <v>155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66</v>
      </c>
      <c r="AE548">
        <v>52</v>
      </c>
      <c r="AF548">
        <v>0</v>
      </c>
      <c r="AG548">
        <v>2</v>
      </c>
      <c r="AH548" t="s">
        <v>87</v>
      </c>
      <c r="AI548" t="s">
        <v>87</v>
      </c>
      <c r="AJ548" t="s">
        <v>87</v>
      </c>
      <c r="AK548" t="s">
        <v>87</v>
      </c>
      <c r="AL548" t="s">
        <v>87</v>
      </c>
      <c r="AM548" t="s">
        <v>87</v>
      </c>
      <c r="AN548" t="s">
        <v>87</v>
      </c>
      <c r="AO548" t="s">
        <v>87</v>
      </c>
      <c r="AP548" t="s">
        <v>87</v>
      </c>
      <c r="AQ548" t="s">
        <v>87</v>
      </c>
      <c r="AR548" t="s">
        <v>87</v>
      </c>
      <c r="AS548" t="s">
        <v>87</v>
      </c>
      <c r="AT548" t="s">
        <v>87</v>
      </c>
      <c r="AU548" t="s">
        <v>87</v>
      </c>
      <c r="AV548" t="s">
        <v>87</v>
      </c>
      <c r="AW548" t="s">
        <v>87</v>
      </c>
      <c r="AX548" t="s">
        <v>87</v>
      </c>
      <c r="AY548" t="s">
        <v>87</v>
      </c>
      <c r="AZ548" t="s">
        <v>87</v>
      </c>
      <c r="BA548" t="s">
        <v>87</v>
      </c>
      <c r="BB548" t="s">
        <v>87</v>
      </c>
      <c r="BC548" t="s">
        <v>87</v>
      </c>
      <c r="BD548" t="s">
        <v>87</v>
      </c>
      <c r="BE548" t="s">
        <v>87</v>
      </c>
    </row>
    <row r="549" spans="1:57" x14ac:dyDescent="0.45">
      <c r="A549" t="s">
        <v>1487</v>
      </c>
      <c r="B549" t="s">
        <v>79</v>
      </c>
      <c r="C549" t="s">
        <v>1488</v>
      </c>
      <c r="D549" t="s">
        <v>81</v>
      </c>
      <c r="E549" s="2" t="str">
        <f>HYPERLINK("capsilon://?command=openfolder&amp;siteaddress=FAM.docvelocity-na8.net&amp;folderid=FX6E6966F3-D7E9-32C5-B2A6-4F6F2C60671A","FX21013969")</f>
        <v>FX21013969</v>
      </c>
      <c r="F549" t="s">
        <v>19</v>
      </c>
      <c r="G549" t="s">
        <v>19</v>
      </c>
      <c r="H549" t="s">
        <v>82</v>
      </c>
      <c r="I549" t="s">
        <v>1489</v>
      </c>
      <c r="J549">
        <v>126</v>
      </c>
      <c r="K549" t="s">
        <v>84</v>
      </c>
      <c r="L549" t="s">
        <v>85</v>
      </c>
      <c r="M549" t="s">
        <v>86</v>
      </c>
      <c r="N549">
        <v>3</v>
      </c>
      <c r="O549" s="1">
        <v>44204.473333333335</v>
      </c>
      <c r="P549" s="1">
        <v>44204.511805555558</v>
      </c>
      <c r="Q549">
        <v>653</v>
      </c>
      <c r="R549">
        <v>2671</v>
      </c>
      <c r="S549" t="b">
        <v>0</v>
      </c>
      <c r="T549" t="s">
        <v>87</v>
      </c>
      <c r="U549" t="b">
        <v>0</v>
      </c>
      <c r="V549" t="s">
        <v>171</v>
      </c>
      <c r="W549" s="1">
        <v>44204.498171296298</v>
      </c>
      <c r="X549">
        <v>1877</v>
      </c>
      <c r="Y549">
        <v>113</v>
      </c>
      <c r="Z549">
        <v>0</v>
      </c>
      <c r="AA549">
        <v>113</v>
      </c>
      <c r="AB549">
        <v>0</v>
      </c>
      <c r="AC549">
        <v>37</v>
      </c>
      <c r="AD549">
        <v>13</v>
      </c>
      <c r="AE549">
        <v>0</v>
      </c>
      <c r="AF549">
        <v>0</v>
      </c>
      <c r="AG549">
        <v>0</v>
      </c>
      <c r="AH549" t="s">
        <v>267</v>
      </c>
      <c r="AI549" s="1">
        <v>44204.50267361111</v>
      </c>
      <c r="AJ549">
        <v>268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13</v>
      </c>
      <c r="AQ549">
        <v>0</v>
      </c>
      <c r="AR549">
        <v>0</v>
      </c>
      <c r="AS549">
        <v>0</v>
      </c>
      <c r="AT549" t="s">
        <v>90</v>
      </c>
      <c r="AU549" s="1">
        <v>44204.511805555558</v>
      </c>
      <c r="AV549">
        <v>526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13</v>
      </c>
      <c r="BC549">
        <v>0</v>
      </c>
      <c r="BD549">
        <v>0</v>
      </c>
      <c r="BE549">
        <v>0</v>
      </c>
    </row>
    <row r="550" spans="1:57" x14ac:dyDescent="0.45">
      <c r="A550" t="s">
        <v>1490</v>
      </c>
      <c r="B550" t="s">
        <v>79</v>
      </c>
      <c r="C550" t="s">
        <v>1491</v>
      </c>
      <c r="D550" t="s">
        <v>81</v>
      </c>
      <c r="E550" s="2" t="str">
        <f>HYPERLINK("capsilon://?command=openfolder&amp;siteaddress=FAM.docvelocity-na8.net&amp;folderid=FX9A2AF898-6D21-94AE-B855-C0A0FB820866","FX21012816")</f>
        <v>FX21012816</v>
      </c>
      <c r="F550" t="s">
        <v>19</v>
      </c>
      <c r="G550" t="s">
        <v>19</v>
      </c>
      <c r="H550" t="s">
        <v>82</v>
      </c>
      <c r="I550" t="s">
        <v>1492</v>
      </c>
      <c r="J550">
        <v>458</v>
      </c>
      <c r="K550" t="s">
        <v>84</v>
      </c>
      <c r="L550" t="s">
        <v>85</v>
      </c>
      <c r="M550" t="s">
        <v>86</v>
      </c>
      <c r="N550">
        <v>3</v>
      </c>
      <c r="O550" s="1">
        <v>44204.475011574075</v>
      </c>
      <c r="P550" s="1">
        <v>44204.639861111114</v>
      </c>
      <c r="Q550">
        <v>8403</v>
      </c>
      <c r="R550">
        <v>5840</v>
      </c>
      <c r="S550" t="b">
        <v>0</v>
      </c>
      <c r="T550" t="s">
        <v>87</v>
      </c>
      <c r="U550" t="b">
        <v>0</v>
      </c>
      <c r="V550" t="s">
        <v>259</v>
      </c>
      <c r="W550" s="1">
        <v>44204.534814814811</v>
      </c>
      <c r="X550">
        <v>4693</v>
      </c>
      <c r="Y550">
        <v>367</v>
      </c>
      <c r="Z550">
        <v>0</v>
      </c>
      <c r="AA550">
        <v>367</v>
      </c>
      <c r="AB550">
        <v>21</v>
      </c>
      <c r="AC550">
        <v>180</v>
      </c>
      <c r="AD550">
        <v>91</v>
      </c>
      <c r="AE550">
        <v>0</v>
      </c>
      <c r="AF550">
        <v>0</v>
      </c>
      <c r="AG550">
        <v>0</v>
      </c>
      <c r="AH550" t="s">
        <v>267</v>
      </c>
      <c r="AI550" s="1">
        <v>44204.543900462966</v>
      </c>
      <c r="AJ550">
        <v>762</v>
      </c>
      <c r="AK550">
        <v>2</v>
      </c>
      <c r="AL550">
        <v>0</v>
      </c>
      <c r="AM550">
        <v>2</v>
      </c>
      <c r="AN550">
        <v>21</v>
      </c>
      <c r="AO550">
        <v>1</v>
      </c>
      <c r="AP550">
        <v>89</v>
      </c>
      <c r="AQ550">
        <v>0</v>
      </c>
      <c r="AR550">
        <v>0</v>
      </c>
      <c r="AS550">
        <v>0</v>
      </c>
      <c r="AT550" t="s">
        <v>90</v>
      </c>
      <c r="AU550" s="1">
        <v>44204.639861111114</v>
      </c>
      <c r="AV550">
        <v>182</v>
      </c>
      <c r="AW550">
        <v>0</v>
      </c>
      <c r="AX550">
        <v>0</v>
      </c>
      <c r="AY550">
        <v>0</v>
      </c>
      <c r="AZ550">
        <v>21</v>
      </c>
      <c r="BA550">
        <v>0</v>
      </c>
      <c r="BB550">
        <v>89</v>
      </c>
      <c r="BC550">
        <v>0</v>
      </c>
      <c r="BD550">
        <v>0</v>
      </c>
      <c r="BE550">
        <v>0</v>
      </c>
    </row>
    <row r="551" spans="1:57" x14ac:dyDescent="0.45">
      <c r="A551" t="s">
        <v>1493</v>
      </c>
      <c r="B551" t="s">
        <v>79</v>
      </c>
      <c r="C551" t="s">
        <v>1494</v>
      </c>
      <c r="D551" t="s">
        <v>81</v>
      </c>
      <c r="E551" s="2" t="str">
        <f>HYPERLINK("capsilon://?command=openfolder&amp;siteaddress=FAM.docvelocity-na8.net&amp;folderid=FXA2FD0B90-E38C-C230-BDD0-095C498D17F4","FX20127910")</f>
        <v>FX20127910</v>
      </c>
      <c r="F551" t="s">
        <v>19</v>
      </c>
      <c r="G551" t="s">
        <v>19</v>
      </c>
      <c r="H551" t="s">
        <v>82</v>
      </c>
      <c r="I551" t="s">
        <v>1495</v>
      </c>
      <c r="J551">
        <v>66</v>
      </c>
      <c r="K551" t="s">
        <v>84</v>
      </c>
      <c r="L551" t="s">
        <v>85</v>
      </c>
      <c r="M551" t="s">
        <v>86</v>
      </c>
      <c r="N551">
        <v>3</v>
      </c>
      <c r="O551" s="1">
        <v>44200.513368055559</v>
      </c>
      <c r="P551" s="1">
        <v>44201.355266203704</v>
      </c>
      <c r="Q551">
        <v>70404</v>
      </c>
      <c r="R551">
        <v>2336</v>
      </c>
      <c r="S551" t="b">
        <v>0</v>
      </c>
      <c r="T551" t="s">
        <v>87</v>
      </c>
      <c r="U551" t="b">
        <v>0</v>
      </c>
      <c r="V551" t="s">
        <v>142</v>
      </c>
      <c r="W551" s="1">
        <v>44200.641527777778</v>
      </c>
      <c r="X551">
        <v>2130</v>
      </c>
      <c r="Y551">
        <v>52</v>
      </c>
      <c r="Z551">
        <v>0</v>
      </c>
      <c r="AA551">
        <v>52</v>
      </c>
      <c r="AB551">
        <v>0</v>
      </c>
      <c r="AC551">
        <v>31</v>
      </c>
      <c r="AD551">
        <v>14</v>
      </c>
      <c r="AE551">
        <v>0</v>
      </c>
      <c r="AF551">
        <v>0</v>
      </c>
      <c r="AG551">
        <v>0</v>
      </c>
      <c r="AH551" t="s">
        <v>267</v>
      </c>
      <c r="AI551" s="1">
        <v>44200.654664351852</v>
      </c>
      <c r="AJ551">
        <v>96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14</v>
      </c>
      <c r="AQ551">
        <v>0</v>
      </c>
      <c r="AR551">
        <v>0</v>
      </c>
      <c r="AS551">
        <v>0</v>
      </c>
      <c r="AT551" t="s">
        <v>90</v>
      </c>
      <c r="AU551" s="1">
        <v>44201.355266203704</v>
      </c>
      <c r="AV551">
        <v>110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14</v>
      </c>
      <c r="BC551">
        <v>0</v>
      </c>
      <c r="BD551">
        <v>0</v>
      </c>
      <c r="BE551">
        <v>0</v>
      </c>
    </row>
    <row r="552" spans="1:57" x14ac:dyDescent="0.45">
      <c r="A552" t="s">
        <v>1496</v>
      </c>
      <c r="B552" t="s">
        <v>79</v>
      </c>
      <c r="C552" t="s">
        <v>570</v>
      </c>
      <c r="D552" t="s">
        <v>81</v>
      </c>
      <c r="E552" s="2" t="str">
        <f>HYPERLINK("capsilon://?command=openfolder&amp;siteaddress=FAM.docvelocity-na8.net&amp;folderid=FXD7F1ED2A-5D9C-0637-B81B-BC35AC3509A8","FX21011752")</f>
        <v>FX21011752</v>
      </c>
      <c r="F552" t="s">
        <v>19</v>
      </c>
      <c r="G552" t="s">
        <v>19</v>
      </c>
      <c r="H552" t="s">
        <v>82</v>
      </c>
      <c r="I552" t="s">
        <v>1486</v>
      </c>
      <c r="J552">
        <v>66</v>
      </c>
      <c r="K552" t="s">
        <v>84</v>
      </c>
      <c r="L552" t="s">
        <v>85</v>
      </c>
      <c r="M552" t="s">
        <v>86</v>
      </c>
      <c r="N552">
        <v>3</v>
      </c>
      <c r="O552" s="1">
        <v>44204.478634259256</v>
      </c>
      <c r="P552" s="1">
        <v>44204.589560185188</v>
      </c>
      <c r="Q552">
        <v>5935</v>
      </c>
      <c r="R552">
        <v>3649</v>
      </c>
      <c r="S552" t="b">
        <v>0</v>
      </c>
      <c r="T552" t="s">
        <v>87</v>
      </c>
      <c r="U552" t="b">
        <v>1</v>
      </c>
      <c r="V552" t="s">
        <v>168</v>
      </c>
      <c r="W552" s="1">
        <v>44204.518622685187</v>
      </c>
      <c r="X552">
        <v>3453</v>
      </c>
      <c r="Y552">
        <v>52</v>
      </c>
      <c r="Z552">
        <v>0</v>
      </c>
      <c r="AA552">
        <v>52</v>
      </c>
      <c r="AB552">
        <v>0</v>
      </c>
      <c r="AC552">
        <v>40</v>
      </c>
      <c r="AD552">
        <v>14</v>
      </c>
      <c r="AE552">
        <v>0</v>
      </c>
      <c r="AF552">
        <v>0</v>
      </c>
      <c r="AG552">
        <v>0</v>
      </c>
      <c r="AH552" t="s">
        <v>267</v>
      </c>
      <c r="AI552" s="1">
        <v>44204.520740740743</v>
      </c>
      <c r="AJ552">
        <v>151</v>
      </c>
      <c r="AK552">
        <v>5</v>
      </c>
      <c r="AL552">
        <v>0</v>
      </c>
      <c r="AM552">
        <v>5</v>
      </c>
      <c r="AN552">
        <v>0</v>
      </c>
      <c r="AO552">
        <v>4</v>
      </c>
      <c r="AP552">
        <v>9</v>
      </c>
      <c r="AQ552">
        <v>0</v>
      </c>
      <c r="AR552">
        <v>0</v>
      </c>
      <c r="AS552">
        <v>0</v>
      </c>
      <c r="AT552" t="s">
        <v>90</v>
      </c>
      <c r="AU552" s="1">
        <v>44204.589560185188</v>
      </c>
      <c r="AV552">
        <v>45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9</v>
      </c>
      <c r="BC552">
        <v>0</v>
      </c>
      <c r="BD552">
        <v>0</v>
      </c>
      <c r="BE552">
        <v>0</v>
      </c>
    </row>
    <row r="553" spans="1:57" x14ac:dyDescent="0.45">
      <c r="A553" t="s">
        <v>1497</v>
      </c>
      <c r="B553" t="s">
        <v>79</v>
      </c>
      <c r="C553" t="s">
        <v>1498</v>
      </c>
      <c r="D553" t="s">
        <v>81</v>
      </c>
      <c r="E553" s="2" t="str">
        <f>HYPERLINK("capsilon://?command=openfolder&amp;siteaddress=FAM.docvelocity-na8.net&amp;folderid=FX6683042E-91D2-38EA-5F27-E9686FF7C5E3","FX201224094")</f>
        <v>FX201224094</v>
      </c>
      <c r="F553" t="s">
        <v>19</v>
      </c>
      <c r="G553" t="s">
        <v>19</v>
      </c>
      <c r="H553" t="s">
        <v>82</v>
      </c>
      <c r="I553" t="s">
        <v>1499</v>
      </c>
      <c r="J553">
        <v>76</v>
      </c>
      <c r="K553" t="s">
        <v>84</v>
      </c>
      <c r="L553" t="s">
        <v>85</v>
      </c>
      <c r="M553" t="s">
        <v>86</v>
      </c>
      <c r="N553">
        <v>3</v>
      </c>
      <c r="O553" s="1">
        <v>44204.478703703702</v>
      </c>
      <c r="P553" s="1">
        <v>44204.501886574071</v>
      </c>
      <c r="Q553">
        <v>1442</v>
      </c>
      <c r="R553">
        <v>561</v>
      </c>
      <c r="S553" t="b">
        <v>0</v>
      </c>
      <c r="T553" t="s">
        <v>87</v>
      </c>
      <c r="U553" t="b">
        <v>0</v>
      </c>
      <c r="V553" t="s">
        <v>242</v>
      </c>
      <c r="W553" s="1">
        <v>44204.487210648149</v>
      </c>
      <c r="X553">
        <v>439</v>
      </c>
      <c r="Y553">
        <v>74</v>
      </c>
      <c r="Z553">
        <v>0</v>
      </c>
      <c r="AA553">
        <v>74</v>
      </c>
      <c r="AB553">
        <v>0</v>
      </c>
      <c r="AC553">
        <v>38</v>
      </c>
      <c r="AD553">
        <v>2</v>
      </c>
      <c r="AE553">
        <v>0</v>
      </c>
      <c r="AF553">
        <v>0</v>
      </c>
      <c r="AG553">
        <v>0</v>
      </c>
      <c r="AH553" t="s">
        <v>267</v>
      </c>
      <c r="AI553" s="1">
        <v>44204.497418981482</v>
      </c>
      <c r="AJ553">
        <v>114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2</v>
      </c>
      <c r="AQ553">
        <v>0</v>
      </c>
      <c r="AR553">
        <v>0</v>
      </c>
      <c r="AS553">
        <v>0</v>
      </c>
      <c r="AT553" t="s">
        <v>90</v>
      </c>
      <c r="AU553" s="1">
        <v>44204.501886574071</v>
      </c>
      <c r="AV553">
        <v>8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2</v>
      </c>
      <c r="BC553">
        <v>0</v>
      </c>
      <c r="BD553">
        <v>0</v>
      </c>
      <c r="BE553">
        <v>0</v>
      </c>
    </row>
    <row r="554" spans="1:57" hidden="1" x14ac:dyDescent="0.45">
      <c r="A554" t="s">
        <v>1500</v>
      </c>
      <c r="B554" t="s">
        <v>79</v>
      </c>
      <c r="C554" t="s">
        <v>1501</v>
      </c>
      <c r="D554" t="s">
        <v>81</v>
      </c>
      <c r="E554" s="2" t="str">
        <f>HYPERLINK("capsilon://?command=openfolder&amp;siteaddress=FAM.docvelocity-na8.net&amp;folderid=FX02F9DC44-FC51-E6F5-620D-ACAB7D625A50","FX20121019")</f>
        <v>FX20121019</v>
      </c>
      <c r="F554" t="s">
        <v>19</v>
      </c>
      <c r="G554" t="s">
        <v>19</v>
      </c>
      <c r="H554" t="s">
        <v>82</v>
      </c>
      <c r="I554" t="s">
        <v>1502</v>
      </c>
      <c r="J554">
        <v>66</v>
      </c>
      <c r="K554" t="s">
        <v>84</v>
      </c>
      <c r="L554" t="s">
        <v>85</v>
      </c>
      <c r="M554" t="s">
        <v>86</v>
      </c>
      <c r="N554">
        <v>3</v>
      </c>
      <c r="O554" s="1">
        <v>44204.479768518519</v>
      </c>
      <c r="P554" s="1">
        <v>44204.491990740738</v>
      </c>
      <c r="Q554">
        <v>989</v>
      </c>
      <c r="R554">
        <v>67</v>
      </c>
      <c r="S554" t="b">
        <v>0</v>
      </c>
      <c r="T554" t="s">
        <v>87</v>
      </c>
      <c r="U554" t="b">
        <v>0</v>
      </c>
      <c r="V554" t="s">
        <v>142</v>
      </c>
      <c r="W554" s="1">
        <v>44204.485312500001</v>
      </c>
      <c r="X554">
        <v>41</v>
      </c>
      <c r="Y554">
        <v>0</v>
      </c>
      <c r="Z554">
        <v>0</v>
      </c>
      <c r="AA554">
        <v>0</v>
      </c>
      <c r="AB554">
        <v>52</v>
      </c>
      <c r="AC554">
        <v>0</v>
      </c>
      <c r="AD554">
        <v>66</v>
      </c>
      <c r="AE554">
        <v>0</v>
      </c>
      <c r="AF554">
        <v>0</v>
      </c>
      <c r="AG554">
        <v>0</v>
      </c>
      <c r="AH554" t="s">
        <v>267</v>
      </c>
      <c r="AI554" s="1">
        <v>44204.486770833333</v>
      </c>
      <c r="AJ554">
        <v>23</v>
      </c>
      <c r="AK554">
        <v>0</v>
      </c>
      <c r="AL554">
        <v>0</v>
      </c>
      <c r="AM554">
        <v>0</v>
      </c>
      <c r="AN554">
        <v>52</v>
      </c>
      <c r="AO554">
        <v>0</v>
      </c>
      <c r="AP554">
        <v>66</v>
      </c>
      <c r="AQ554">
        <v>0</v>
      </c>
      <c r="AR554">
        <v>0</v>
      </c>
      <c r="AS554">
        <v>0</v>
      </c>
      <c r="AT554" t="s">
        <v>90</v>
      </c>
      <c r="AU554" s="1">
        <v>44204.491990740738</v>
      </c>
      <c r="AV554">
        <v>3</v>
      </c>
      <c r="AW554">
        <v>0</v>
      </c>
      <c r="AX554">
        <v>0</v>
      </c>
      <c r="AY554">
        <v>0</v>
      </c>
      <c r="AZ554">
        <v>52</v>
      </c>
      <c r="BA554">
        <v>0</v>
      </c>
      <c r="BB554">
        <v>66</v>
      </c>
      <c r="BC554">
        <v>0</v>
      </c>
      <c r="BD554">
        <v>0</v>
      </c>
      <c r="BE554">
        <v>0</v>
      </c>
    </row>
    <row r="555" spans="1:57" x14ac:dyDescent="0.45">
      <c r="A555" t="s">
        <v>1503</v>
      </c>
      <c r="B555" t="s">
        <v>79</v>
      </c>
      <c r="C555" t="s">
        <v>1504</v>
      </c>
      <c r="D555" t="s">
        <v>81</v>
      </c>
      <c r="E555" s="2" t="str">
        <f>HYPERLINK("capsilon://?command=openfolder&amp;siteaddress=FAM.docvelocity-na8.net&amp;folderid=FXDA804CC3-019A-FA91-AF46-214A5D44745B","FX21013082")</f>
        <v>FX21013082</v>
      </c>
      <c r="F555" t="s">
        <v>19</v>
      </c>
      <c r="G555" t="s">
        <v>19</v>
      </c>
      <c r="H555" t="s">
        <v>82</v>
      </c>
      <c r="I555" t="s">
        <v>1505</v>
      </c>
      <c r="J555">
        <v>180</v>
      </c>
      <c r="K555" t="s">
        <v>84</v>
      </c>
      <c r="L555" t="s">
        <v>85</v>
      </c>
      <c r="M555" t="s">
        <v>86</v>
      </c>
      <c r="N555">
        <v>3</v>
      </c>
      <c r="O555" s="1">
        <v>44204.481608796297</v>
      </c>
      <c r="P555" s="1">
        <v>44204.505706018521</v>
      </c>
      <c r="Q555">
        <v>552</v>
      </c>
      <c r="R555">
        <v>1530</v>
      </c>
      <c r="S555" t="b">
        <v>0</v>
      </c>
      <c r="T555" t="s">
        <v>87</v>
      </c>
      <c r="U555" t="b">
        <v>0</v>
      </c>
      <c r="V555" t="s">
        <v>160</v>
      </c>
      <c r="W555" s="1">
        <v>44204.494143518517</v>
      </c>
      <c r="X555">
        <v>789</v>
      </c>
      <c r="Y555">
        <v>166</v>
      </c>
      <c r="Z555">
        <v>0</v>
      </c>
      <c r="AA555">
        <v>166</v>
      </c>
      <c r="AB555">
        <v>0</v>
      </c>
      <c r="AC555">
        <v>36</v>
      </c>
      <c r="AD555">
        <v>14</v>
      </c>
      <c r="AE555">
        <v>0</v>
      </c>
      <c r="AF555">
        <v>0</v>
      </c>
      <c r="AG555">
        <v>0</v>
      </c>
      <c r="AH555" t="s">
        <v>128</v>
      </c>
      <c r="AI555" s="1">
        <v>44204.501423611109</v>
      </c>
      <c r="AJ555">
        <v>412</v>
      </c>
      <c r="AK555">
        <v>1</v>
      </c>
      <c r="AL555">
        <v>0</v>
      </c>
      <c r="AM555">
        <v>1</v>
      </c>
      <c r="AN555">
        <v>0</v>
      </c>
      <c r="AO555">
        <v>1</v>
      </c>
      <c r="AP555">
        <v>13</v>
      </c>
      <c r="AQ555">
        <v>0</v>
      </c>
      <c r="AR555">
        <v>0</v>
      </c>
      <c r="AS555">
        <v>0</v>
      </c>
      <c r="AT555" t="s">
        <v>90</v>
      </c>
      <c r="AU555" s="1">
        <v>44204.505706018521</v>
      </c>
      <c r="AV555">
        <v>329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13</v>
      </c>
      <c r="BC555">
        <v>0</v>
      </c>
      <c r="BD555">
        <v>0</v>
      </c>
      <c r="BE555">
        <v>0</v>
      </c>
    </row>
    <row r="556" spans="1:57" x14ac:dyDescent="0.45">
      <c r="A556" t="s">
        <v>1506</v>
      </c>
      <c r="B556" t="s">
        <v>79</v>
      </c>
      <c r="C556" t="s">
        <v>1430</v>
      </c>
      <c r="D556" t="s">
        <v>81</v>
      </c>
      <c r="E556" s="2" t="str">
        <f>HYPERLINK("capsilon://?command=openfolder&amp;siteaddress=FAM.docvelocity-na8.net&amp;folderid=FX3CCD1479-3CB8-1082-9A8E-07DB8215D3C7","FX20118312")</f>
        <v>FX20118312</v>
      </c>
      <c r="F556" t="s">
        <v>19</v>
      </c>
      <c r="G556" t="s">
        <v>19</v>
      </c>
      <c r="H556" t="s">
        <v>82</v>
      </c>
      <c r="I556" t="s">
        <v>1507</v>
      </c>
      <c r="J556">
        <v>181</v>
      </c>
      <c r="K556" t="s">
        <v>84</v>
      </c>
      <c r="L556" t="s">
        <v>85</v>
      </c>
      <c r="M556" t="s">
        <v>86</v>
      </c>
      <c r="N556">
        <v>3</v>
      </c>
      <c r="O556" s="1">
        <v>44204.482905092591</v>
      </c>
      <c r="P556" s="1">
        <v>44204.649363425924</v>
      </c>
      <c r="Q556">
        <v>10833</v>
      </c>
      <c r="R556">
        <v>3549</v>
      </c>
      <c r="S556" t="b">
        <v>0</v>
      </c>
      <c r="T556" t="s">
        <v>87</v>
      </c>
      <c r="U556" t="b">
        <v>0</v>
      </c>
      <c r="V556" t="s">
        <v>142</v>
      </c>
      <c r="W556" s="1">
        <v>44204.506539351853</v>
      </c>
      <c r="X556">
        <v>1833</v>
      </c>
      <c r="Y556">
        <v>126</v>
      </c>
      <c r="Z556">
        <v>0</v>
      </c>
      <c r="AA556">
        <v>126</v>
      </c>
      <c r="AB556">
        <v>0</v>
      </c>
      <c r="AC556">
        <v>66</v>
      </c>
      <c r="AD556">
        <v>55</v>
      </c>
      <c r="AE556">
        <v>0</v>
      </c>
      <c r="AF556">
        <v>0</v>
      </c>
      <c r="AG556">
        <v>0</v>
      </c>
      <c r="AH556" t="s">
        <v>267</v>
      </c>
      <c r="AI556" s="1">
        <v>44204.517500000002</v>
      </c>
      <c r="AJ556">
        <v>895</v>
      </c>
      <c r="AK556">
        <v>2</v>
      </c>
      <c r="AL556">
        <v>0</v>
      </c>
      <c r="AM556">
        <v>2</v>
      </c>
      <c r="AN556">
        <v>0</v>
      </c>
      <c r="AO556">
        <v>1</v>
      </c>
      <c r="AP556">
        <v>53</v>
      </c>
      <c r="AQ556">
        <v>0</v>
      </c>
      <c r="AR556">
        <v>0</v>
      </c>
      <c r="AS556">
        <v>0</v>
      </c>
      <c r="AT556" t="s">
        <v>90</v>
      </c>
      <c r="AU556" s="1">
        <v>44204.649363425924</v>
      </c>
      <c r="AV556">
        <v>821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53</v>
      </c>
      <c r="BC556">
        <v>0</v>
      </c>
      <c r="BD556">
        <v>0</v>
      </c>
      <c r="BE556">
        <v>0</v>
      </c>
    </row>
    <row r="557" spans="1:57" x14ac:dyDescent="0.45">
      <c r="A557" t="s">
        <v>1508</v>
      </c>
      <c r="B557" t="s">
        <v>79</v>
      </c>
      <c r="C557" t="s">
        <v>1441</v>
      </c>
      <c r="D557" t="s">
        <v>81</v>
      </c>
      <c r="E557" s="2" t="str">
        <f>HYPERLINK("capsilon://?command=openfolder&amp;siteaddress=FAM.docvelocity-na8.net&amp;folderid=FX4172A837-FFEA-CFFA-9021-B6BF4173BE5D","FX2012417")</f>
        <v>FX2012417</v>
      </c>
      <c r="F557" t="s">
        <v>19</v>
      </c>
      <c r="G557" t="s">
        <v>19</v>
      </c>
      <c r="H557" t="s">
        <v>82</v>
      </c>
      <c r="I557" t="s">
        <v>1509</v>
      </c>
      <c r="J557">
        <v>26</v>
      </c>
      <c r="K557" t="s">
        <v>84</v>
      </c>
      <c r="L557" t="s">
        <v>85</v>
      </c>
      <c r="M557" t="s">
        <v>86</v>
      </c>
      <c r="N557">
        <v>3</v>
      </c>
      <c r="O557" s="1">
        <v>44204.487627314818</v>
      </c>
      <c r="P557" s="1">
        <v>44204.510405092595</v>
      </c>
      <c r="Q557">
        <v>1745</v>
      </c>
      <c r="R557">
        <v>223</v>
      </c>
      <c r="S557" t="b">
        <v>0</v>
      </c>
      <c r="T557" t="s">
        <v>87</v>
      </c>
      <c r="U557" t="b">
        <v>0</v>
      </c>
      <c r="V557" t="s">
        <v>242</v>
      </c>
      <c r="W557" s="1">
        <v>44204.489571759259</v>
      </c>
      <c r="X557">
        <v>158</v>
      </c>
      <c r="Y557">
        <v>21</v>
      </c>
      <c r="Z557">
        <v>0</v>
      </c>
      <c r="AA557">
        <v>21</v>
      </c>
      <c r="AB557">
        <v>0</v>
      </c>
      <c r="AC557">
        <v>3</v>
      </c>
      <c r="AD557">
        <v>5</v>
      </c>
      <c r="AE557">
        <v>0</v>
      </c>
      <c r="AF557">
        <v>0</v>
      </c>
      <c r="AG557">
        <v>0</v>
      </c>
      <c r="AH557" t="s">
        <v>267</v>
      </c>
      <c r="AI557" s="1">
        <v>44204.498067129629</v>
      </c>
      <c r="AJ557">
        <v>55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</v>
      </c>
      <c r="AQ557">
        <v>0</v>
      </c>
      <c r="AR557">
        <v>0</v>
      </c>
      <c r="AS557">
        <v>0</v>
      </c>
      <c r="AT557" t="s">
        <v>549</v>
      </c>
      <c r="AU557" s="1">
        <v>44204.510405092595</v>
      </c>
      <c r="AV557">
        <v>10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5</v>
      </c>
      <c r="BC557">
        <v>0</v>
      </c>
      <c r="BD557">
        <v>0</v>
      </c>
      <c r="BE557">
        <v>0</v>
      </c>
    </row>
    <row r="558" spans="1:57" x14ac:dyDescent="0.45">
      <c r="A558" t="s">
        <v>1510</v>
      </c>
      <c r="B558" t="s">
        <v>79</v>
      </c>
      <c r="C558" t="s">
        <v>664</v>
      </c>
      <c r="D558" t="s">
        <v>81</v>
      </c>
      <c r="E558" s="2" t="str">
        <f>HYPERLINK("capsilon://?command=openfolder&amp;siteaddress=FAM.docvelocity-na8.net&amp;folderid=FX4939BCD1-56B6-E3F2-C139-B9240E65ECAB","FX20124482")</f>
        <v>FX20124482</v>
      </c>
      <c r="F558" t="s">
        <v>19</v>
      </c>
      <c r="G558" t="s">
        <v>19</v>
      </c>
      <c r="H558" t="s">
        <v>82</v>
      </c>
      <c r="I558" t="s">
        <v>1511</v>
      </c>
      <c r="J558">
        <v>82</v>
      </c>
      <c r="K558" t="s">
        <v>84</v>
      </c>
      <c r="L558" t="s">
        <v>85</v>
      </c>
      <c r="M558" t="s">
        <v>86</v>
      </c>
      <c r="N558">
        <v>3</v>
      </c>
      <c r="O558" s="1">
        <v>44204.490451388891</v>
      </c>
      <c r="P558" s="1">
        <v>44204.510810185187</v>
      </c>
      <c r="Q558">
        <v>1079</v>
      </c>
      <c r="R558">
        <v>680</v>
      </c>
      <c r="S558" t="b">
        <v>0</v>
      </c>
      <c r="T558" t="s">
        <v>87</v>
      </c>
      <c r="U558" t="b">
        <v>0</v>
      </c>
      <c r="V558" t="s">
        <v>242</v>
      </c>
      <c r="W558" s="1">
        <v>44204.496481481481</v>
      </c>
      <c r="X558">
        <v>516</v>
      </c>
      <c r="Y558">
        <v>86</v>
      </c>
      <c r="Z558">
        <v>0</v>
      </c>
      <c r="AA558">
        <v>86</v>
      </c>
      <c r="AB558">
        <v>0</v>
      </c>
      <c r="AC558">
        <v>46</v>
      </c>
      <c r="AD558">
        <v>-4</v>
      </c>
      <c r="AE558">
        <v>0</v>
      </c>
      <c r="AF558">
        <v>0</v>
      </c>
      <c r="AG558">
        <v>0</v>
      </c>
      <c r="AH558" t="s">
        <v>267</v>
      </c>
      <c r="AI558" s="1">
        <v>44204.499571759261</v>
      </c>
      <c r="AJ558">
        <v>129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-4</v>
      </c>
      <c r="AQ558">
        <v>0</v>
      </c>
      <c r="AR558">
        <v>0</v>
      </c>
      <c r="AS558">
        <v>0</v>
      </c>
      <c r="AT558" t="s">
        <v>549</v>
      </c>
      <c r="AU558" s="1">
        <v>44204.510810185187</v>
      </c>
      <c r="AV558">
        <v>35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-4</v>
      </c>
      <c r="BC558">
        <v>0</v>
      </c>
      <c r="BD558">
        <v>0</v>
      </c>
      <c r="BE558">
        <v>0</v>
      </c>
    </row>
    <row r="559" spans="1:57" x14ac:dyDescent="0.45">
      <c r="A559" t="s">
        <v>1512</v>
      </c>
      <c r="B559" t="s">
        <v>79</v>
      </c>
      <c r="C559" t="s">
        <v>907</v>
      </c>
      <c r="D559" t="s">
        <v>81</v>
      </c>
      <c r="E559" s="2" t="str">
        <f>HYPERLINK("capsilon://?command=openfolder&amp;siteaddress=FAM.docvelocity-na8.net&amp;folderid=FXF8CF2055-F512-7892-66AD-5ABC6BDFB23D","FX20119487")</f>
        <v>FX20119487</v>
      </c>
      <c r="F559" t="s">
        <v>19</v>
      </c>
      <c r="G559" t="s">
        <v>19</v>
      </c>
      <c r="H559" t="s">
        <v>82</v>
      </c>
      <c r="I559" t="s">
        <v>1456</v>
      </c>
      <c r="J559">
        <v>93</v>
      </c>
      <c r="K559" t="s">
        <v>84</v>
      </c>
      <c r="L559" t="s">
        <v>85</v>
      </c>
      <c r="M559" t="s">
        <v>86</v>
      </c>
      <c r="N559">
        <v>3</v>
      </c>
      <c r="O559" s="1">
        <v>44204.49082175926</v>
      </c>
      <c r="P559" s="1">
        <v>44204.590694444443</v>
      </c>
      <c r="Q559">
        <v>6334</v>
      </c>
      <c r="R559">
        <v>2295</v>
      </c>
      <c r="S559" t="b">
        <v>0</v>
      </c>
      <c r="T559" t="s">
        <v>87</v>
      </c>
      <c r="U559" t="b">
        <v>1</v>
      </c>
      <c r="V559" t="s">
        <v>919</v>
      </c>
      <c r="W559" s="1">
        <v>44204.512326388889</v>
      </c>
      <c r="X559">
        <v>1826</v>
      </c>
      <c r="Y559">
        <v>123</v>
      </c>
      <c r="Z559">
        <v>0</v>
      </c>
      <c r="AA559">
        <v>123</v>
      </c>
      <c r="AB559">
        <v>0</v>
      </c>
      <c r="AC559">
        <v>70</v>
      </c>
      <c r="AD559">
        <v>-30</v>
      </c>
      <c r="AE559">
        <v>0</v>
      </c>
      <c r="AF559">
        <v>0</v>
      </c>
      <c r="AG559">
        <v>0</v>
      </c>
      <c r="AH559" t="s">
        <v>128</v>
      </c>
      <c r="AI559" s="1">
        <v>44204.516793981478</v>
      </c>
      <c r="AJ559">
        <v>351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-30</v>
      </c>
      <c r="AQ559">
        <v>0</v>
      </c>
      <c r="AR559">
        <v>0</v>
      </c>
      <c r="AS559">
        <v>0</v>
      </c>
      <c r="AT559" t="s">
        <v>90</v>
      </c>
      <c r="AU559" s="1">
        <v>44204.590694444443</v>
      </c>
      <c r="AV559">
        <v>97</v>
      </c>
      <c r="AW559">
        <v>3</v>
      </c>
      <c r="AX559">
        <v>0</v>
      </c>
      <c r="AY559">
        <v>3</v>
      </c>
      <c r="AZ559">
        <v>0</v>
      </c>
      <c r="BA559">
        <v>3</v>
      </c>
      <c r="BB559">
        <v>-33</v>
      </c>
      <c r="BC559">
        <v>0</v>
      </c>
      <c r="BD559">
        <v>0</v>
      </c>
      <c r="BE559">
        <v>0</v>
      </c>
    </row>
    <row r="560" spans="1:57" x14ac:dyDescent="0.45">
      <c r="A560" t="s">
        <v>1513</v>
      </c>
      <c r="B560" t="s">
        <v>79</v>
      </c>
      <c r="C560" t="s">
        <v>1477</v>
      </c>
      <c r="D560" t="s">
        <v>81</v>
      </c>
      <c r="E560" s="2" t="str">
        <f>HYPERLINK("capsilon://?command=openfolder&amp;siteaddress=FAM.docvelocity-na8.net&amp;folderid=FX528E5FD1-0107-9CAA-9E3D-AFB4D22DAD3F","FX21013255")</f>
        <v>FX21013255</v>
      </c>
      <c r="F560" t="s">
        <v>19</v>
      </c>
      <c r="G560" t="s">
        <v>19</v>
      </c>
      <c r="H560" t="s">
        <v>82</v>
      </c>
      <c r="I560" t="s">
        <v>1478</v>
      </c>
      <c r="J560">
        <v>79</v>
      </c>
      <c r="K560" t="s">
        <v>84</v>
      </c>
      <c r="L560" t="s">
        <v>85</v>
      </c>
      <c r="M560" t="s">
        <v>86</v>
      </c>
      <c r="N560">
        <v>3</v>
      </c>
      <c r="O560" s="1">
        <v>44204.497187499997</v>
      </c>
      <c r="P560" s="1">
        <v>44204.63140046296</v>
      </c>
      <c r="Q560">
        <v>206</v>
      </c>
      <c r="R560">
        <v>11390</v>
      </c>
      <c r="S560" t="b">
        <v>0</v>
      </c>
      <c r="T560" t="s">
        <v>87</v>
      </c>
      <c r="U560" t="b">
        <v>1</v>
      </c>
      <c r="V560" t="s">
        <v>242</v>
      </c>
      <c r="W560" s="1">
        <v>44204.600474537037</v>
      </c>
      <c r="X560">
        <v>8920</v>
      </c>
      <c r="Y560">
        <v>400</v>
      </c>
      <c r="Z560">
        <v>0</v>
      </c>
      <c r="AA560">
        <v>400</v>
      </c>
      <c r="AB560">
        <v>37</v>
      </c>
      <c r="AC560">
        <v>334</v>
      </c>
      <c r="AD560">
        <v>-321</v>
      </c>
      <c r="AE560">
        <v>0</v>
      </c>
      <c r="AF560">
        <v>0</v>
      </c>
      <c r="AG560">
        <v>0</v>
      </c>
      <c r="AH560" t="s">
        <v>128</v>
      </c>
      <c r="AI560" s="1">
        <v>44204.628425925926</v>
      </c>
      <c r="AJ560">
        <v>2411</v>
      </c>
      <c r="AK560">
        <v>17</v>
      </c>
      <c r="AL560">
        <v>0</v>
      </c>
      <c r="AM560">
        <v>17</v>
      </c>
      <c r="AN560">
        <v>37</v>
      </c>
      <c r="AO560">
        <v>17</v>
      </c>
      <c r="AP560">
        <v>-338</v>
      </c>
      <c r="AQ560">
        <v>0</v>
      </c>
      <c r="AR560">
        <v>0</v>
      </c>
      <c r="AS560">
        <v>0</v>
      </c>
      <c r="AT560" t="s">
        <v>90</v>
      </c>
      <c r="AU560" s="1">
        <v>44204.63140046296</v>
      </c>
      <c r="AV560">
        <v>59</v>
      </c>
      <c r="AW560">
        <v>0</v>
      </c>
      <c r="AX560">
        <v>0</v>
      </c>
      <c r="AY560">
        <v>0</v>
      </c>
      <c r="AZ560">
        <v>37</v>
      </c>
      <c r="BA560">
        <v>0</v>
      </c>
      <c r="BB560">
        <v>-338</v>
      </c>
      <c r="BC560">
        <v>0</v>
      </c>
      <c r="BD560">
        <v>0</v>
      </c>
      <c r="BE560">
        <v>0</v>
      </c>
    </row>
    <row r="561" spans="1:57" x14ac:dyDescent="0.45">
      <c r="A561" t="s">
        <v>1514</v>
      </c>
      <c r="B561" t="s">
        <v>79</v>
      </c>
      <c r="C561" t="s">
        <v>1515</v>
      </c>
      <c r="D561" t="s">
        <v>81</v>
      </c>
      <c r="E561" s="2" t="str">
        <f>HYPERLINK("capsilon://?command=openfolder&amp;siteaddress=FAM.docvelocity-na8.net&amp;folderid=FX1A2AF279-EA22-C69F-3606-BD4B28FF389E","FX21012315")</f>
        <v>FX21012315</v>
      </c>
      <c r="F561" t="s">
        <v>19</v>
      </c>
      <c r="G561" t="s">
        <v>19</v>
      </c>
      <c r="H561" t="s">
        <v>82</v>
      </c>
      <c r="I561" t="s">
        <v>1516</v>
      </c>
      <c r="J561">
        <v>90</v>
      </c>
      <c r="K561" t="s">
        <v>84</v>
      </c>
      <c r="L561" t="s">
        <v>85</v>
      </c>
      <c r="M561" t="s">
        <v>86</v>
      </c>
      <c r="N561">
        <v>3</v>
      </c>
      <c r="O561" s="1">
        <v>44204.499722222223</v>
      </c>
      <c r="P561" s="1">
        <v>44204.642395833333</v>
      </c>
      <c r="Q561">
        <v>10233</v>
      </c>
      <c r="R561">
        <v>2094</v>
      </c>
      <c r="S561" t="b">
        <v>0</v>
      </c>
      <c r="T561" t="s">
        <v>87</v>
      </c>
      <c r="U561" t="b">
        <v>0</v>
      </c>
      <c r="V561" t="s">
        <v>171</v>
      </c>
      <c r="W561" s="1">
        <v>44204.519780092596</v>
      </c>
      <c r="X561">
        <v>1705</v>
      </c>
      <c r="Y561">
        <v>79</v>
      </c>
      <c r="Z561">
        <v>0</v>
      </c>
      <c r="AA561">
        <v>79</v>
      </c>
      <c r="AB561">
        <v>0</v>
      </c>
      <c r="AC561">
        <v>26</v>
      </c>
      <c r="AD561">
        <v>11</v>
      </c>
      <c r="AE561">
        <v>0</v>
      </c>
      <c r="AF561">
        <v>0</v>
      </c>
      <c r="AG561">
        <v>0</v>
      </c>
      <c r="AH561" t="s">
        <v>128</v>
      </c>
      <c r="AI561" s="1">
        <v>44204.524918981479</v>
      </c>
      <c r="AJ561">
        <v>366</v>
      </c>
      <c r="AK561">
        <v>1</v>
      </c>
      <c r="AL561">
        <v>0</v>
      </c>
      <c r="AM561">
        <v>1</v>
      </c>
      <c r="AN561">
        <v>0</v>
      </c>
      <c r="AO561">
        <v>1</v>
      </c>
      <c r="AP561">
        <v>10</v>
      </c>
      <c r="AQ561">
        <v>0</v>
      </c>
      <c r="AR561">
        <v>0</v>
      </c>
      <c r="AS561">
        <v>0</v>
      </c>
      <c r="AT561" t="s">
        <v>549</v>
      </c>
      <c r="AU561" s="1">
        <v>44204.642395833333</v>
      </c>
      <c r="AV561">
        <v>23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10</v>
      </c>
      <c r="BC561">
        <v>0</v>
      </c>
      <c r="BD561">
        <v>0</v>
      </c>
      <c r="BE561">
        <v>0</v>
      </c>
    </row>
    <row r="562" spans="1:57" x14ac:dyDescent="0.45">
      <c r="A562" t="s">
        <v>1517</v>
      </c>
      <c r="B562" t="s">
        <v>79</v>
      </c>
      <c r="C562" t="s">
        <v>857</v>
      </c>
      <c r="D562" t="s">
        <v>81</v>
      </c>
      <c r="E562" s="2" t="str">
        <f>HYPERLINK("capsilon://?command=openfolder&amp;siteaddress=FAM.docvelocity-na8.net&amp;folderid=FX43293717-68E5-D412-90EA-B85549DD1A0D","FX201222230")</f>
        <v>FX201222230</v>
      </c>
      <c r="F562" t="s">
        <v>19</v>
      </c>
      <c r="G562" t="s">
        <v>19</v>
      </c>
      <c r="H562" t="s">
        <v>82</v>
      </c>
      <c r="I562" t="s">
        <v>1518</v>
      </c>
      <c r="J562">
        <v>26</v>
      </c>
      <c r="K562" t="s">
        <v>84</v>
      </c>
      <c r="L562" t="s">
        <v>85</v>
      </c>
      <c r="M562" t="s">
        <v>86</v>
      </c>
      <c r="N562">
        <v>3</v>
      </c>
      <c r="O562" s="1">
        <v>44204.501203703701</v>
      </c>
      <c r="P562" s="1">
        <v>44204.642476851855</v>
      </c>
      <c r="Q562">
        <v>11142</v>
      </c>
      <c r="R562">
        <v>1064</v>
      </c>
      <c r="S562" t="b">
        <v>0</v>
      </c>
      <c r="T562" t="s">
        <v>87</v>
      </c>
      <c r="U562" t="b">
        <v>0</v>
      </c>
      <c r="V562" t="s">
        <v>343</v>
      </c>
      <c r="W562" s="1">
        <v>44204.506365740737</v>
      </c>
      <c r="X562">
        <v>315</v>
      </c>
      <c r="Y562">
        <v>21</v>
      </c>
      <c r="Z562">
        <v>0</v>
      </c>
      <c r="AA562">
        <v>21</v>
      </c>
      <c r="AB562">
        <v>0</v>
      </c>
      <c r="AC562">
        <v>1</v>
      </c>
      <c r="AD562">
        <v>5</v>
      </c>
      <c r="AE562">
        <v>0</v>
      </c>
      <c r="AF562">
        <v>0</v>
      </c>
      <c r="AG562">
        <v>0</v>
      </c>
      <c r="AH562" t="s">
        <v>89</v>
      </c>
      <c r="AI562" s="1">
        <v>44204.517650462964</v>
      </c>
      <c r="AJ562">
        <v>742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5</v>
      </c>
      <c r="AQ562">
        <v>0</v>
      </c>
      <c r="AR562">
        <v>0</v>
      </c>
      <c r="AS562">
        <v>0</v>
      </c>
      <c r="AT562" t="s">
        <v>549</v>
      </c>
      <c r="AU562" s="1">
        <v>44204.642476851855</v>
      </c>
      <c r="AV562">
        <v>7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5</v>
      </c>
      <c r="BC562">
        <v>0</v>
      </c>
      <c r="BD562">
        <v>0</v>
      </c>
      <c r="BE562">
        <v>0</v>
      </c>
    </row>
    <row r="563" spans="1:57" x14ac:dyDescent="0.45">
      <c r="A563" t="s">
        <v>1519</v>
      </c>
      <c r="B563" t="s">
        <v>79</v>
      </c>
      <c r="C563" t="s">
        <v>1491</v>
      </c>
      <c r="D563" t="s">
        <v>81</v>
      </c>
      <c r="E563" s="2" t="str">
        <f>HYPERLINK("capsilon://?command=openfolder&amp;siteaddress=FAM.docvelocity-na8.net&amp;folderid=FX9A2AF898-6D21-94AE-B855-C0A0FB820866","FX21012816")</f>
        <v>FX21012816</v>
      </c>
      <c r="F563" t="s">
        <v>19</v>
      </c>
      <c r="G563" t="s">
        <v>19</v>
      </c>
      <c r="H563" t="s">
        <v>82</v>
      </c>
      <c r="I563" t="s">
        <v>1520</v>
      </c>
      <c r="J563">
        <v>77</v>
      </c>
      <c r="K563" t="s">
        <v>84</v>
      </c>
      <c r="L563" t="s">
        <v>85</v>
      </c>
      <c r="M563" t="s">
        <v>86</v>
      </c>
      <c r="N563">
        <v>3</v>
      </c>
      <c r="O563" s="1">
        <v>44204.503958333335</v>
      </c>
      <c r="P563" s="1">
        <v>44204.643680555557</v>
      </c>
      <c r="Q563">
        <v>11051</v>
      </c>
      <c r="R563">
        <v>1021</v>
      </c>
      <c r="S563" t="b">
        <v>0</v>
      </c>
      <c r="T563" t="s">
        <v>87</v>
      </c>
      <c r="U563" t="b">
        <v>0</v>
      </c>
      <c r="V563" t="s">
        <v>343</v>
      </c>
      <c r="W563" s="1">
        <v>44204.513124999998</v>
      </c>
      <c r="X563">
        <v>583</v>
      </c>
      <c r="Y563">
        <v>67</v>
      </c>
      <c r="Z563">
        <v>0</v>
      </c>
      <c r="AA563">
        <v>67</v>
      </c>
      <c r="AB563">
        <v>0</v>
      </c>
      <c r="AC563">
        <v>28</v>
      </c>
      <c r="AD563">
        <v>10</v>
      </c>
      <c r="AE563">
        <v>0</v>
      </c>
      <c r="AF563">
        <v>0</v>
      </c>
      <c r="AG563">
        <v>0</v>
      </c>
      <c r="AH563" t="s">
        <v>128</v>
      </c>
      <c r="AI563" s="1">
        <v>44204.520671296297</v>
      </c>
      <c r="AJ563">
        <v>334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10</v>
      </c>
      <c r="AQ563">
        <v>0</v>
      </c>
      <c r="AR563">
        <v>0</v>
      </c>
      <c r="AS563">
        <v>0</v>
      </c>
      <c r="AT563" t="s">
        <v>549</v>
      </c>
      <c r="AU563" s="1">
        <v>44204.643680555557</v>
      </c>
      <c r="AV563">
        <v>104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10</v>
      </c>
      <c r="BC563">
        <v>0</v>
      </c>
      <c r="BD563">
        <v>0</v>
      </c>
      <c r="BE563">
        <v>0</v>
      </c>
    </row>
    <row r="564" spans="1:57" x14ac:dyDescent="0.45">
      <c r="A564" t="s">
        <v>1521</v>
      </c>
      <c r="B564" t="s">
        <v>79</v>
      </c>
      <c r="C564" t="s">
        <v>1522</v>
      </c>
      <c r="D564" t="s">
        <v>81</v>
      </c>
      <c r="E564" s="2" t="str">
        <f>HYPERLINK("capsilon://?command=openfolder&amp;siteaddress=FAM.docvelocity-na8.net&amp;folderid=FX331203D5-DB97-B746-0FEB-8028F3F588DF","FX201224268")</f>
        <v>FX201224268</v>
      </c>
      <c r="F564" t="s">
        <v>19</v>
      </c>
      <c r="G564" t="s">
        <v>19</v>
      </c>
      <c r="H564" t="s">
        <v>82</v>
      </c>
      <c r="I564" t="s">
        <v>1523</v>
      </c>
      <c r="J564">
        <v>66</v>
      </c>
      <c r="K564" t="s">
        <v>84</v>
      </c>
      <c r="L564" t="s">
        <v>85</v>
      </c>
      <c r="M564" t="s">
        <v>86</v>
      </c>
      <c r="N564">
        <v>3</v>
      </c>
      <c r="O564" s="1">
        <v>44200.516006944446</v>
      </c>
      <c r="P564" s="1">
        <v>44200.647951388892</v>
      </c>
      <c r="Q564">
        <v>10802</v>
      </c>
      <c r="R564">
        <v>598</v>
      </c>
      <c r="S564" t="b">
        <v>0</v>
      </c>
      <c r="T564" t="s">
        <v>87</v>
      </c>
      <c r="U564" t="b">
        <v>0</v>
      </c>
      <c r="V564" t="s">
        <v>1418</v>
      </c>
      <c r="W564" s="1">
        <v>44200.624490740738</v>
      </c>
      <c r="X564">
        <v>461</v>
      </c>
      <c r="Y564">
        <v>52</v>
      </c>
      <c r="Z564">
        <v>0</v>
      </c>
      <c r="AA564">
        <v>52</v>
      </c>
      <c r="AB564">
        <v>0</v>
      </c>
      <c r="AC564">
        <v>38</v>
      </c>
      <c r="AD564">
        <v>14</v>
      </c>
      <c r="AE564">
        <v>0</v>
      </c>
      <c r="AF564">
        <v>0</v>
      </c>
      <c r="AG564">
        <v>0</v>
      </c>
      <c r="AH564" t="s">
        <v>267</v>
      </c>
      <c r="AI564" s="1">
        <v>44200.638240740744</v>
      </c>
      <c r="AJ564">
        <v>109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14</v>
      </c>
      <c r="AQ564">
        <v>0</v>
      </c>
      <c r="AR564">
        <v>0</v>
      </c>
      <c r="AS564">
        <v>0</v>
      </c>
      <c r="AT564" t="s">
        <v>90</v>
      </c>
      <c r="AU564" s="1">
        <v>44200.647951388892</v>
      </c>
      <c r="AV564">
        <v>28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14</v>
      </c>
      <c r="BC564">
        <v>0</v>
      </c>
      <c r="BD564">
        <v>0</v>
      </c>
      <c r="BE564">
        <v>0</v>
      </c>
    </row>
    <row r="565" spans="1:57" x14ac:dyDescent="0.45">
      <c r="A565" t="s">
        <v>1524</v>
      </c>
      <c r="B565" t="s">
        <v>79</v>
      </c>
      <c r="C565" t="s">
        <v>1525</v>
      </c>
      <c r="D565" t="s">
        <v>81</v>
      </c>
      <c r="E565" s="2" t="str">
        <f>HYPERLINK("capsilon://?command=openfolder&amp;siteaddress=FAM.docvelocity-na8.net&amp;folderid=FXE3F65076-2E68-42F9-A008-4681FE3EB288","FX21013624")</f>
        <v>FX21013624</v>
      </c>
      <c r="F565" t="s">
        <v>19</v>
      </c>
      <c r="G565" t="s">
        <v>19</v>
      </c>
      <c r="H565" t="s">
        <v>82</v>
      </c>
      <c r="I565" t="s">
        <v>1526</v>
      </c>
      <c r="J565">
        <v>90</v>
      </c>
      <c r="K565" t="s">
        <v>84</v>
      </c>
      <c r="L565" t="s">
        <v>85</v>
      </c>
      <c r="M565" t="s">
        <v>86</v>
      </c>
      <c r="N565">
        <v>3</v>
      </c>
      <c r="O565" s="1">
        <v>44204.516608796293</v>
      </c>
      <c r="P565" s="1">
        <v>44204.643819444442</v>
      </c>
      <c r="Q565">
        <v>9148</v>
      </c>
      <c r="R565">
        <v>1843</v>
      </c>
      <c r="S565" t="b">
        <v>0</v>
      </c>
      <c r="T565" t="s">
        <v>87</v>
      </c>
      <c r="U565" t="b">
        <v>0</v>
      </c>
      <c r="V565" t="s">
        <v>146</v>
      </c>
      <c r="W565" s="1">
        <v>44204.534513888888</v>
      </c>
      <c r="X565">
        <v>1546</v>
      </c>
      <c r="Y565">
        <v>76</v>
      </c>
      <c r="Z565">
        <v>0</v>
      </c>
      <c r="AA565">
        <v>76</v>
      </c>
      <c r="AB565">
        <v>37</v>
      </c>
      <c r="AC565">
        <v>26</v>
      </c>
      <c r="AD565">
        <v>14</v>
      </c>
      <c r="AE565">
        <v>0</v>
      </c>
      <c r="AF565">
        <v>0</v>
      </c>
      <c r="AG565">
        <v>0</v>
      </c>
      <c r="AH565" t="s">
        <v>128</v>
      </c>
      <c r="AI565" s="1">
        <v>44204.539861111109</v>
      </c>
      <c r="AJ565">
        <v>286</v>
      </c>
      <c r="AK565">
        <v>0</v>
      </c>
      <c r="AL565">
        <v>0</v>
      </c>
      <c r="AM565">
        <v>0</v>
      </c>
      <c r="AN565">
        <v>37</v>
      </c>
      <c r="AO565">
        <v>0</v>
      </c>
      <c r="AP565">
        <v>14</v>
      </c>
      <c r="AQ565">
        <v>0</v>
      </c>
      <c r="AR565">
        <v>0</v>
      </c>
      <c r="AS565">
        <v>0</v>
      </c>
      <c r="AT565" t="s">
        <v>549</v>
      </c>
      <c r="AU565" s="1">
        <v>44204.643819444442</v>
      </c>
      <c r="AV565">
        <v>11</v>
      </c>
      <c r="AW565">
        <v>0</v>
      </c>
      <c r="AX565">
        <v>0</v>
      </c>
      <c r="AY565">
        <v>0</v>
      </c>
      <c r="AZ565">
        <v>37</v>
      </c>
      <c r="BA565">
        <v>0</v>
      </c>
      <c r="BB565">
        <v>14</v>
      </c>
      <c r="BC565">
        <v>0</v>
      </c>
      <c r="BD565">
        <v>0</v>
      </c>
      <c r="BE565">
        <v>0</v>
      </c>
    </row>
    <row r="566" spans="1:57" x14ac:dyDescent="0.45">
      <c r="A566" t="s">
        <v>1527</v>
      </c>
      <c r="B566" t="s">
        <v>79</v>
      </c>
      <c r="C566" t="s">
        <v>1528</v>
      </c>
      <c r="D566" t="s">
        <v>81</v>
      </c>
      <c r="E566" s="2" t="str">
        <f>HYPERLINK("capsilon://?command=openfolder&amp;siteaddress=FAM.docvelocity-na8.net&amp;folderid=FX803631C3-7FDB-8D26-056B-309360F1F213","FX21011714")</f>
        <v>FX21011714</v>
      </c>
      <c r="F566" t="s">
        <v>19</v>
      </c>
      <c r="G566" t="s">
        <v>19</v>
      </c>
      <c r="H566" t="s">
        <v>82</v>
      </c>
      <c r="I566" t="s">
        <v>1529</v>
      </c>
      <c r="J566">
        <v>356</v>
      </c>
      <c r="K566" t="s">
        <v>84</v>
      </c>
      <c r="L566" t="s">
        <v>85</v>
      </c>
      <c r="M566" t="s">
        <v>86</v>
      </c>
      <c r="N566">
        <v>3</v>
      </c>
      <c r="O566" s="1">
        <v>44204.520439814813</v>
      </c>
      <c r="P566" s="1">
        <v>44204.643958333334</v>
      </c>
      <c r="Q566">
        <v>8746</v>
      </c>
      <c r="R566">
        <v>1926</v>
      </c>
      <c r="S566" t="b">
        <v>0</v>
      </c>
      <c r="T566" t="s">
        <v>87</v>
      </c>
      <c r="U566" t="b">
        <v>0</v>
      </c>
      <c r="V566" t="s">
        <v>160</v>
      </c>
      <c r="W566" s="1">
        <v>44204.537476851852</v>
      </c>
      <c r="X566">
        <v>1471</v>
      </c>
      <c r="Y566">
        <v>190</v>
      </c>
      <c r="Z566">
        <v>0</v>
      </c>
      <c r="AA566">
        <v>190</v>
      </c>
      <c r="AB566">
        <v>222</v>
      </c>
      <c r="AC566">
        <v>61</v>
      </c>
      <c r="AD566">
        <v>166</v>
      </c>
      <c r="AE566">
        <v>0</v>
      </c>
      <c r="AF566">
        <v>0</v>
      </c>
      <c r="AG566">
        <v>0</v>
      </c>
      <c r="AH566" t="s">
        <v>128</v>
      </c>
      <c r="AI566" s="1">
        <v>44204.544999999998</v>
      </c>
      <c r="AJ566">
        <v>443</v>
      </c>
      <c r="AK566">
        <v>5</v>
      </c>
      <c r="AL566">
        <v>0</v>
      </c>
      <c r="AM566">
        <v>5</v>
      </c>
      <c r="AN566">
        <v>222</v>
      </c>
      <c r="AO566">
        <v>5</v>
      </c>
      <c r="AP566">
        <v>161</v>
      </c>
      <c r="AQ566">
        <v>0</v>
      </c>
      <c r="AR566">
        <v>0</v>
      </c>
      <c r="AS566">
        <v>0</v>
      </c>
      <c r="AT566" t="s">
        <v>549</v>
      </c>
      <c r="AU566" s="1">
        <v>44204.643958333334</v>
      </c>
      <c r="AV566">
        <v>12</v>
      </c>
      <c r="AW566">
        <v>0</v>
      </c>
      <c r="AX566">
        <v>0</v>
      </c>
      <c r="AY566">
        <v>0</v>
      </c>
      <c r="AZ566">
        <v>222</v>
      </c>
      <c r="BA566">
        <v>0</v>
      </c>
      <c r="BB566">
        <v>161</v>
      </c>
      <c r="BC566">
        <v>0</v>
      </c>
      <c r="BD566">
        <v>0</v>
      </c>
      <c r="BE566">
        <v>0</v>
      </c>
    </row>
    <row r="567" spans="1:57" x14ac:dyDescent="0.45">
      <c r="A567" t="s">
        <v>1530</v>
      </c>
      <c r="B567" t="s">
        <v>79</v>
      </c>
      <c r="C567" t="s">
        <v>1531</v>
      </c>
      <c r="D567" t="s">
        <v>81</v>
      </c>
      <c r="E567" s="2" t="str">
        <f>HYPERLINK("capsilon://?command=openfolder&amp;siteaddress=FAM.docvelocity-na8.net&amp;folderid=FX8EFA09F6-F539-7E27-ADD7-15114613C6CE","FX201228139")</f>
        <v>FX201228139</v>
      </c>
      <c r="F567" t="s">
        <v>19</v>
      </c>
      <c r="G567" t="s">
        <v>19</v>
      </c>
      <c r="H567" t="s">
        <v>82</v>
      </c>
      <c r="I567" t="s">
        <v>1532</v>
      </c>
      <c r="J567">
        <v>208</v>
      </c>
      <c r="K567" t="s">
        <v>84</v>
      </c>
      <c r="L567" t="s">
        <v>85</v>
      </c>
      <c r="M567" t="s">
        <v>86</v>
      </c>
      <c r="N567">
        <v>3</v>
      </c>
      <c r="O567" s="1">
        <v>44200.520173611112</v>
      </c>
      <c r="P567" s="1">
        <v>44201.355983796297</v>
      </c>
      <c r="Q567">
        <v>70159</v>
      </c>
      <c r="R567">
        <v>2055</v>
      </c>
      <c r="S567" t="b">
        <v>0</v>
      </c>
      <c r="T567" t="s">
        <v>87</v>
      </c>
      <c r="U567" t="b">
        <v>0</v>
      </c>
      <c r="V567" t="s">
        <v>266</v>
      </c>
      <c r="W567" s="1">
        <v>44200.644016203703</v>
      </c>
      <c r="X567">
        <v>1559</v>
      </c>
      <c r="Y567">
        <v>191</v>
      </c>
      <c r="Z567">
        <v>0</v>
      </c>
      <c r="AA567">
        <v>191</v>
      </c>
      <c r="AB567">
        <v>37</v>
      </c>
      <c r="AC567">
        <v>102</v>
      </c>
      <c r="AD567">
        <v>17</v>
      </c>
      <c r="AE567">
        <v>0</v>
      </c>
      <c r="AF567">
        <v>0</v>
      </c>
      <c r="AG567">
        <v>0</v>
      </c>
      <c r="AH567" t="s">
        <v>267</v>
      </c>
      <c r="AI567" s="1">
        <v>44200.659444444442</v>
      </c>
      <c r="AJ567">
        <v>412</v>
      </c>
      <c r="AK567">
        <v>2</v>
      </c>
      <c r="AL567">
        <v>0</v>
      </c>
      <c r="AM567">
        <v>2</v>
      </c>
      <c r="AN567">
        <v>37</v>
      </c>
      <c r="AO567">
        <v>1</v>
      </c>
      <c r="AP567">
        <v>15</v>
      </c>
      <c r="AQ567">
        <v>0</v>
      </c>
      <c r="AR567">
        <v>0</v>
      </c>
      <c r="AS567">
        <v>0</v>
      </c>
      <c r="AT567" t="s">
        <v>90</v>
      </c>
      <c r="AU567" s="1">
        <v>44201.355983796297</v>
      </c>
      <c r="AV567">
        <v>61</v>
      </c>
      <c r="AW567">
        <v>0</v>
      </c>
      <c r="AX567">
        <v>0</v>
      </c>
      <c r="AY567">
        <v>0</v>
      </c>
      <c r="AZ567">
        <v>37</v>
      </c>
      <c r="BA567">
        <v>0</v>
      </c>
      <c r="BB567">
        <v>15</v>
      </c>
      <c r="BC567">
        <v>0</v>
      </c>
      <c r="BD567">
        <v>0</v>
      </c>
      <c r="BE567">
        <v>0</v>
      </c>
    </row>
    <row r="568" spans="1:57" x14ac:dyDescent="0.45">
      <c r="A568" t="s">
        <v>1533</v>
      </c>
      <c r="B568" t="s">
        <v>79</v>
      </c>
      <c r="C568" t="s">
        <v>1534</v>
      </c>
      <c r="D568" t="s">
        <v>81</v>
      </c>
      <c r="E568" s="2" t="str">
        <f>HYPERLINK("capsilon://?command=openfolder&amp;siteaddress=FAM.docvelocity-na8.net&amp;folderid=FX5A49FC32-ADA6-97AA-DDFF-CAD0D5A89E92","FX21013764")</f>
        <v>FX21013764</v>
      </c>
      <c r="F568" t="s">
        <v>19</v>
      </c>
      <c r="G568" t="s">
        <v>19</v>
      </c>
      <c r="H568" t="s">
        <v>82</v>
      </c>
      <c r="I568" t="s">
        <v>1535</v>
      </c>
      <c r="J568">
        <v>330</v>
      </c>
      <c r="K568" t="s">
        <v>84</v>
      </c>
      <c r="L568" t="s">
        <v>85</v>
      </c>
      <c r="M568" t="s">
        <v>86</v>
      </c>
      <c r="N568">
        <v>3</v>
      </c>
      <c r="O568" s="1">
        <v>44204.523506944446</v>
      </c>
      <c r="P568" s="1">
        <v>44204.648240740738</v>
      </c>
      <c r="Q568">
        <v>3290</v>
      </c>
      <c r="R568">
        <v>7487</v>
      </c>
      <c r="S568" t="b">
        <v>0</v>
      </c>
      <c r="T568" t="s">
        <v>87</v>
      </c>
      <c r="U568" t="b">
        <v>0</v>
      </c>
      <c r="V568" t="s">
        <v>142</v>
      </c>
      <c r="W568" s="1">
        <v>44204.59883101852</v>
      </c>
      <c r="X568">
        <v>6357</v>
      </c>
      <c r="Y568">
        <v>308</v>
      </c>
      <c r="Z568">
        <v>0</v>
      </c>
      <c r="AA568">
        <v>308</v>
      </c>
      <c r="AB568">
        <v>0</v>
      </c>
      <c r="AC568">
        <v>207</v>
      </c>
      <c r="AD568">
        <v>22</v>
      </c>
      <c r="AE568">
        <v>0</v>
      </c>
      <c r="AF568">
        <v>0</v>
      </c>
      <c r="AG568">
        <v>0</v>
      </c>
      <c r="AH568" t="s">
        <v>267</v>
      </c>
      <c r="AI568" s="1">
        <v>44204.608599537038</v>
      </c>
      <c r="AJ568">
        <v>760</v>
      </c>
      <c r="AK568">
        <v>24</v>
      </c>
      <c r="AL568">
        <v>0</v>
      </c>
      <c r="AM568">
        <v>24</v>
      </c>
      <c r="AN568">
        <v>0</v>
      </c>
      <c r="AO568">
        <v>24</v>
      </c>
      <c r="AP568">
        <v>-2</v>
      </c>
      <c r="AQ568">
        <v>0</v>
      </c>
      <c r="AR568">
        <v>0</v>
      </c>
      <c r="AS568">
        <v>0</v>
      </c>
      <c r="AT568" t="s">
        <v>549</v>
      </c>
      <c r="AU568" s="1">
        <v>44204.648240740738</v>
      </c>
      <c r="AV568">
        <v>370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-2</v>
      </c>
      <c r="BC568">
        <v>0</v>
      </c>
      <c r="BD568">
        <v>0</v>
      </c>
      <c r="BE568">
        <v>0</v>
      </c>
    </row>
    <row r="569" spans="1:57" x14ac:dyDescent="0.45">
      <c r="A569" t="s">
        <v>1536</v>
      </c>
      <c r="B569" t="s">
        <v>79</v>
      </c>
      <c r="C569" t="s">
        <v>1534</v>
      </c>
      <c r="D569" t="s">
        <v>81</v>
      </c>
      <c r="E569" s="2" t="str">
        <f>HYPERLINK("capsilon://?command=openfolder&amp;siteaddress=FAM.docvelocity-na8.net&amp;folderid=FX5A49FC32-ADA6-97AA-DDFF-CAD0D5A89E92","FX21013764")</f>
        <v>FX21013764</v>
      </c>
      <c r="F569" t="s">
        <v>19</v>
      </c>
      <c r="G569" t="s">
        <v>19</v>
      </c>
      <c r="H569" t="s">
        <v>82</v>
      </c>
      <c r="I569" t="s">
        <v>1537</v>
      </c>
      <c r="J569">
        <v>38</v>
      </c>
      <c r="K569" t="s">
        <v>84</v>
      </c>
      <c r="L569" t="s">
        <v>85</v>
      </c>
      <c r="M569" t="s">
        <v>86</v>
      </c>
      <c r="N569">
        <v>3</v>
      </c>
      <c r="O569" s="1">
        <v>44204.524560185186</v>
      </c>
      <c r="P569" s="1">
        <v>44204.648402777777</v>
      </c>
      <c r="Q569">
        <v>9888</v>
      </c>
      <c r="R569">
        <v>812</v>
      </c>
      <c r="S569" t="b">
        <v>0</v>
      </c>
      <c r="T569" t="s">
        <v>87</v>
      </c>
      <c r="U569" t="b">
        <v>0</v>
      </c>
      <c r="V569" t="s">
        <v>179</v>
      </c>
      <c r="W569" s="1">
        <v>44204.534745370373</v>
      </c>
      <c r="X569">
        <v>744</v>
      </c>
      <c r="Y569">
        <v>37</v>
      </c>
      <c r="Z569">
        <v>0</v>
      </c>
      <c r="AA569">
        <v>37</v>
      </c>
      <c r="AB569">
        <v>0</v>
      </c>
      <c r="AC569">
        <v>29</v>
      </c>
      <c r="AD569">
        <v>1</v>
      </c>
      <c r="AE569">
        <v>0</v>
      </c>
      <c r="AF569">
        <v>0</v>
      </c>
      <c r="AG569">
        <v>0</v>
      </c>
      <c r="AH569" t="s">
        <v>267</v>
      </c>
      <c r="AI569" s="1">
        <v>44204.544548611113</v>
      </c>
      <c r="AJ569">
        <v>55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 t="s">
        <v>549</v>
      </c>
      <c r="AU569" s="1">
        <v>44204.648402777777</v>
      </c>
      <c r="AV569">
        <v>13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</row>
    <row r="570" spans="1:57" x14ac:dyDescent="0.45">
      <c r="A570" t="s">
        <v>1538</v>
      </c>
      <c r="B570" t="s">
        <v>79</v>
      </c>
      <c r="C570" t="s">
        <v>1539</v>
      </c>
      <c r="D570" t="s">
        <v>81</v>
      </c>
      <c r="E570" s="2" t="str">
        <f>HYPERLINK("capsilon://?command=openfolder&amp;siteaddress=FAM.docvelocity-na8.net&amp;folderid=FXA08CEBC8-0C15-D7C2-5E3D-196080A88507","FX21011487")</f>
        <v>FX21011487</v>
      </c>
      <c r="F570" t="s">
        <v>19</v>
      </c>
      <c r="G570" t="s">
        <v>19</v>
      </c>
      <c r="H570" t="s">
        <v>82</v>
      </c>
      <c r="I570" t="s">
        <v>1540</v>
      </c>
      <c r="J570">
        <v>237</v>
      </c>
      <c r="K570" t="s">
        <v>84</v>
      </c>
      <c r="L570" t="s">
        <v>85</v>
      </c>
      <c r="M570" t="s">
        <v>86</v>
      </c>
      <c r="N570">
        <v>3</v>
      </c>
      <c r="O570" s="1">
        <v>44204.529965277776</v>
      </c>
      <c r="P570" s="1">
        <v>44204.650972222225</v>
      </c>
      <c r="Q570">
        <v>7826</v>
      </c>
      <c r="R570">
        <v>2629</v>
      </c>
      <c r="S570" t="b">
        <v>0</v>
      </c>
      <c r="T570" t="s">
        <v>87</v>
      </c>
      <c r="U570" t="b">
        <v>0</v>
      </c>
      <c r="V570" t="s">
        <v>262</v>
      </c>
      <c r="W570" s="1">
        <v>44204.555347222224</v>
      </c>
      <c r="X570">
        <v>2139</v>
      </c>
      <c r="Y570">
        <v>191</v>
      </c>
      <c r="Z570">
        <v>0</v>
      </c>
      <c r="AA570">
        <v>191</v>
      </c>
      <c r="AB570">
        <v>0</v>
      </c>
      <c r="AC570">
        <v>69</v>
      </c>
      <c r="AD570">
        <v>46</v>
      </c>
      <c r="AE570">
        <v>0</v>
      </c>
      <c r="AF570">
        <v>0</v>
      </c>
      <c r="AG570">
        <v>0</v>
      </c>
      <c r="AH570" t="s">
        <v>267</v>
      </c>
      <c r="AI570" s="1">
        <v>44204.558530092596</v>
      </c>
      <c r="AJ570">
        <v>269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46</v>
      </c>
      <c r="AQ570">
        <v>0</v>
      </c>
      <c r="AR570">
        <v>0</v>
      </c>
      <c r="AS570">
        <v>0</v>
      </c>
      <c r="AT570" t="s">
        <v>549</v>
      </c>
      <c r="AU570" s="1">
        <v>44204.650972222225</v>
      </c>
      <c r="AV570">
        <v>221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46</v>
      </c>
      <c r="BC570">
        <v>0</v>
      </c>
      <c r="BD570">
        <v>0</v>
      </c>
      <c r="BE570">
        <v>0</v>
      </c>
    </row>
    <row r="571" spans="1:57" x14ac:dyDescent="0.45">
      <c r="A571" t="s">
        <v>1541</v>
      </c>
      <c r="B571" t="s">
        <v>79</v>
      </c>
      <c r="C571" t="s">
        <v>1542</v>
      </c>
      <c r="D571" t="s">
        <v>81</v>
      </c>
      <c r="E571" s="2" t="str">
        <f>HYPERLINK("capsilon://?command=openfolder&amp;siteaddress=FAM.docvelocity-na8.net&amp;folderid=FX67CAA779-0F7B-406F-5EB2-6F24F7456D67","FX21012215")</f>
        <v>FX21012215</v>
      </c>
      <c r="F571" t="s">
        <v>19</v>
      </c>
      <c r="G571" t="s">
        <v>19</v>
      </c>
      <c r="H571" t="s">
        <v>82</v>
      </c>
      <c r="I571" t="s">
        <v>1543</v>
      </c>
      <c r="J571">
        <v>119</v>
      </c>
      <c r="K571" t="s">
        <v>84</v>
      </c>
      <c r="L571" t="s">
        <v>85</v>
      </c>
      <c r="M571" t="s">
        <v>86</v>
      </c>
      <c r="N571">
        <v>3</v>
      </c>
      <c r="O571" s="1">
        <v>44204.531331018516</v>
      </c>
      <c r="P571" s="1">
        <v>44204.650243055556</v>
      </c>
      <c r="Q571">
        <v>5481</v>
      </c>
      <c r="R571">
        <v>4793</v>
      </c>
      <c r="S571" t="b">
        <v>0</v>
      </c>
      <c r="T571" t="s">
        <v>87</v>
      </c>
      <c r="U571" t="b">
        <v>0</v>
      </c>
      <c r="V571" t="s">
        <v>343</v>
      </c>
      <c r="W571" s="1">
        <v>44204.581759259258</v>
      </c>
      <c r="X571">
        <v>4235</v>
      </c>
      <c r="Y571">
        <v>138</v>
      </c>
      <c r="Z571">
        <v>0</v>
      </c>
      <c r="AA571">
        <v>138</v>
      </c>
      <c r="AB571">
        <v>0</v>
      </c>
      <c r="AC571">
        <v>130</v>
      </c>
      <c r="AD571">
        <v>-19</v>
      </c>
      <c r="AE571">
        <v>0</v>
      </c>
      <c r="AF571">
        <v>0</v>
      </c>
      <c r="AG571">
        <v>0</v>
      </c>
      <c r="AH571" t="s">
        <v>267</v>
      </c>
      <c r="AI571" s="1">
        <v>44204.58734953704</v>
      </c>
      <c r="AJ571">
        <v>446</v>
      </c>
      <c r="AK571">
        <v>7</v>
      </c>
      <c r="AL571">
        <v>0</v>
      </c>
      <c r="AM571">
        <v>7</v>
      </c>
      <c r="AN571">
        <v>0</v>
      </c>
      <c r="AO571">
        <v>6</v>
      </c>
      <c r="AP571">
        <v>-26</v>
      </c>
      <c r="AQ571">
        <v>0</v>
      </c>
      <c r="AR571">
        <v>0</v>
      </c>
      <c r="AS571">
        <v>0</v>
      </c>
      <c r="AT571" t="s">
        <v>90</v>
      </c>
      <c r="AU571" s="1">
        <v>44204.650243055556</v>
      </c>
      <c r="AV571">
        <v>75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-26</v>
      </c>
      <c r="BC571">
        <v>0</v>
      </c>
      <c r="BD571">
        <v>0</v>
      </c>
      <c r="BE571">
        <v>0</v>
      </c>
    </row>
    <row r="572" spans="1:57" x14ac:dyDescent="0.45">
      <c r="A572" t="s">
        <v>1544</v>
      </c>
      <c r="B572" t="s">
        <v>79</v>
      </c>
      <c r="C572" t="s">
        <v>1545</v>
      </c>
      <c r="D572" t="s">
        <v>81</v>
      </c>
      <c r="E572" s="2" t="str">
        <f>HYPERLINK("capsilon://?command=openfolder&amp;siteaddress=FAM.docvelocity-na8.net&amp;folderid=FXB655C0A7-C4F1-F455-9384-417FC7B46EDC","FX2012269")</f>
        <v>FX2012269</v>
      </c>
      <c r="F572" t="s">
        <v>19</v>
      </c>
      <c r="G572" t="s">
        <v>19</v>
      </c>
      <c r="H572" t="s">
        <v>82</v>
      </c>
      <c r="I572" t="s">
        <v>1546</v>
      </c>
      <c r="J572">
        <v>66</v>
      </c>
      <c r="K572" t="s">
        <v>84</v>
      </c>
      <c r="L572" t="s">
        <v>85</v>
      </c>
      <c r="M572" t="s">
        <v>86</v>
      </c>
      <c r="N572">
        <v>3</v>
      </c>
      <c r="O572" s="1">
        <v>44204.541400462964</v>
      </c>
      <c r="P572" s="1">
        <v>44204.650347222225</v>
      </c>
      <c r="Q572">
        <v>8253</v>
      </c>
      <c r="R572">
        <v>1160</v>
      </c>
      <c r="S572" t="b">
        <v>0</v>
      </c>
      <c r="T572" t="s">
        <v>87</v>
      </c>
      <c r="U572" t="b">
        <v>0</v>
      </c>
      <c r="V572" t="s">
        <v>160</v>
      </c>
      <c r="W572" s="1">
        <v>44204.55369212963</v>
      </c>
      <c r="X572">
        <v>1061</v>
      </c>
      <c r="Y572">
        <v>52</v>
      </c>
      <c r="Z572">
        <v>0</v>
      </c>
      <c r="AA572">
        <v>52</v>
      </c>
      <c r="AB572">
        <v>0</v>
      </c>
      <c r="AC572">
        <v>25</v>
      </c>
      <c r="AD572">
        <v>14</v>
      </c>
      <c r="AE572">
        <v>0</v>
      </c>
      <c r="AF572">
        <v>0</v>
      </c>
      <c r="AG572">
        <v>0</v>
      </c>
      <c r="AH572" t="s">
        <v>267</v>
      </c>
      <c r="AI572" s="1">
        <v>44204.555393518516</v>
      </c>
      <c r="AJ572">
        <v>91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14</v>
      </c>
      <c r="AQ572">
        <v>0</v>
      </c>
      <c r="AR572">
        <v>0</v>
      </c>
      <c r="AS572">
        <v>0</v>
      </c>
      <c r="AT572" t="s">
        <v>90</v>
      </c>
      <c r="AU572" s="1">
        <v>44204.650347222225</v>
      </c>
      <c r="AV572">
        <v>8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14</v>
      </c>
      <c r="BC572">
        <v>0</v>
      </c>
      <c r="BD572">
        <v>0</v>
      </c>
      <c r="BE572">
        <v>0</v>
      </c>
    </row>
    <row r="573" spans="1:57" x14ac:dyDescent="0.45">
      <c r="A573" t="s">
        <v>1547</v>
      </c>
      <c r="B573" t="s">
        <v>79</v>
      </c>
      <c r="C573" t="s">
        <v>1545</v>
      </c>
      <c r="D573" t="s">
        <v>81</v>
      </c>
      <c r="E573" s="2" t="str">
        <f>HYPERLINK("capsilon://?command=openfolder&amp;siteaddress=FAM.docvelocity-na8.net&amp;folderid=FXB655C0A7-C4F1-F455-9384-417FC7B46EDC","FX2012269")</f>
        <v>FX2012269</v>
      </c>
      <c r="F573" t="s">
        <v>19</v>
      </c>
      <c r="G573" t="s">
        <v>19</v>
      </c>
      <c r="H573" t="s">
        <v>82</v>
      </c>
      <c r="I573" t="s">
        <v>1548</v>
      </c>
      <c r="J573">
        <v>66</v>
      </c>
      <c r="K573" t="s">
        <v>84</v>
      </c>
      <c r="L573" t="s">
        <v>85</v>
      </c>
      <c r="M573" t="s">
        <v>86</v>
      </c>
      <c r="N573">
        <v>3</v>
      </c>
      <c r="O573" s="1">
        <v>44204.542442129627</v>
      </c>
      <c r="P573" s="1">
        <v>44204.650416666664</v>
      </c>
      <c r="Q573">
        <v>7738</v>
      </c>
      <c r="R573">
        <v>1591</v>
      </c>
      <c r="S573" t="b">
        <v>0</v>
      </c>
      <c r="T573" t="s">
        <v>87</v>
      </c>
      <c r="U573" t="b">
        <v>0</v>
      </c>
      <c r="V573" t="s">
        <v>146</v>
      </c>
      <c r="W573" s="1">
        <v>44204.558946759258</v>
      </c>
      <c r="X573">
        <v>1425</v>
      </c>
      <c r="Y573">
        <v>52</v>
      </c>
      <c r="Z573">
        <v>0</v>
      </c>
      <c r="AA573">
        <v>52</v>
      </c>
      <c r="AB573">
        <v>0</v>
      </c>
      <c r="AC573">
        <v>28</v>
      </c>
      <c r="AD573">
        <v>14</v>
      </c>
      <c r="AE573">
        <v>0</v>
      </c>
      <c r="AF573">
        <v>0</v>
      </c>
      <c r="AG573">
        <v>0</v>
      </c>
      <c r="AH573" t="s">
        <v>128</v>
      </c>
      <c r="AI573" s="1">
        <v>44204.563194444447</v>
      </c>
      <c r="AJ573">
        <v>161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14</v>
      </c>
      <c r="AQ573">
        <v>0</v>
      </c>
      <c r="AR573">
        <v>0</v>
      </c>
      <c r="AS573">
        <v>0</v>
      </c>
      <c r="AT573" t="s">
        <v>90</v>
      </c>
      <c r="AU573" s="1">
        <v>44204.650416666664</v>
      </c>
      <c r="AV573">
        <v>5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14</v>
      </c>
      <c r="BC573">
        <v>0</v>
      </c>
      <c r="BD573">
        <v>0</v>
      </c>
      <c r="BE573">
        <v>0</v>
      </c>
    </row>
    <row r="574" spans="1:57" x14ac:dyDescent="0.45">
      <c r="A574" t="s">
        <v>1549</v>
      </c>
      <c r="B574" t="s">
        <v>79</v>
      </c>
      <c r="C574" t="s">
        <v>588</v>
      </c>
      <c r="D574" t="s">
        <v>81</v>
      </c>
      <c r="E574" s="2" t="str">
        <f>HYPERLINK("capsilon://?command=openfolder&amp;siteaddress=FAM.docvelocity-na8.net&amp;folderid=FX6A035BF3-9519-F708-2317-558AA83D6576","FX21011343")</f>
        <v>FX21011343</v>
      </c>
      <c r="F574" t="s">
        <v>19</v>
      </c>
      <c r="G574" t="s">
        <v>19</v>
      </c>
      <c r="H574" t="s">
        <v>82</v>
      </c>
      <c r="I574" t="s">
        <v>1550</v>
      </c>
      <c r="J574">
        <v>66</v>
      </c>
      <c r="K574" t="s">
        <v>84</v>
      </c>
      <c r="L574" t="s">
        <v>85</v>
      </c>
      <c r="M574" t="s">
        <v>86</v>
      </c>
      <c r="N574">
        <v>3</v>
      </c>
      <c r="O574" s="1">
        <v>44204.554212962961</v>
      </c>
      <c r="P574" s="1">
        <v>44204.653217592589</v>
      </c>
      <c r="Q574">
        <v>5392</v>
      </c>
      <c r="R574">
        <v>3162</v>
      </c>
      <c r="S574" t="b">
        <v>0</v>
      </c>
      <c r="T574" t="s">
        <v>87</v>
      </c>
      <c r="U574" t="b">
        <v>0</v>
      </c>
      <c r="V574" t="s">
        <v>179</v>
      </c>
      <c r="W574" s="1">
        <v>44204.586759259262</v>
      </c>
      <c r="X574">
        <v>2811</v>
      </c>
      <c r="Y574">
        <v>52</v>
      </c>
      <c r="Z574">
        <v>0</v>
      </c>
      <c r="AA574">
        <v>52</v>
      </c>
      <c r="AB574">
        <v>0</v>
      </c>
      <c r="AC574">
        <v>41</v>
      </c>
      <c r="AD574">
        <v>14</v>
      </c>
      <c r="AE574">
        <v>0</v>
      </c>
      <c r="AF574">
        <v>0</v>
      </c>
      <c r="AG574">
        <v>0</v>
      </c>
      <c r="AH574" t="s">
        <v>267</v>
      </c>
      <c r="AI574" s="1">
        <v>44204.589004629626</v>
      </c>
      <c r="AJ574">
        <v>142</v>
      </c>
      <c r="AK574">
        <v>5</v>
      </c>
      <c r="AL574">
        <v>0</v>
      </c>
      <c r="AM574">
        <v>5</v>
      </c>
      <c r="AN574">
        <v>0</v>
      </c>
      <c r="AO574">
        <v>4</v>
      </c>
      <c r="AP574">
        <v>9</v>
      </c>
      <c r="AQ574">
        <v>0</v>
      </c>
      <c r="AR574">
        <v>0</v>
      </c>
      <c r="AS574">
        <v>0</v>
      </c>
      <c r="AT574" t="s">
        <v>549</v>
      </c>
      <c r="AU574" s="1">
        <v>44204.653217592589</v>
      </c>
      <c r="AV574">
        <v>194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9</v>
      </c>
      <c r="BC574">
        <v>0</v>
      </c>
      <c r="BD574">
        <v>0</v>
      </c>
      <c r="BE574">
        <v>0</v>
      </c>
    </row>
    <row r="575" spans="1:57" x14ac:dyDescent="0.45">
      <c r="A575" t="s">
        <v>1551</v>
      </c>
      <c r="B575" t="s">
        <v>79</v>
      </c>
      <c r="C575" t="s">
        <v>1248</v>
      </c>
      <c r="D575" t="s">
        <v>81</v>
      </c>
      <c r="E575" s="2" t="str">
        <f>HYPERLINK("capsilon://?command=openfolder&amp;siteaddress=FAM.docvelocity-na8.net&amp;folderid=FXF3216ABF-F6CA-1DD7-E9B1-715CD23B6636","FX201228677")</f>
        <v>FX201228677</v>
      </c>
      <c r="F575" t="s">
        <v>19</v>
      </c>
      <c r="G575" t="s">
        <v>19</v>
      </c>
      <c r="H575" t="s">
        <v>82</v>
      </c>
      <c r="I575" t="s">
        <v>1249</v>
      </c>
      <c r="J575">
        <v>52</v>
      </c>
      <c r="K575" t="s">
        <v>84</v>
      </c>
      <c r="L575" t="s">
        <v>85</v>
      </c>
      <c r="M575" t="s">
        <v>86</v>
      </c>
      <c r="N575">
        <v>3</v>
      </c>
      <c r="O575" s="1">
        <v>44200.526909722219</v>
      </c>
      <c r="P575" s="1">
        <v>44200.575023148151</v>
      </c>
      <c r="Q575">
        <v>1192</v>
      </c>
      <c r="R575">
        <v>2965</v>
      </c>
      <c r="S575" t="b">
        <v>0</v>
      </c>
      <c r="T575" t="s">
        <v>87</v>
      </c>
      <c r="U575" t="b">
        <v>1</v>
      </c>
      <c r="V575" t="s">
        <v>266</v>
      </c>
      <c r="W575" s="1">
        <v>44200.557222222225</v>
      </c>
      <c r="X575">
        <v>2570</v>
      </c>
      <c r="Y575">
        <v>191</v>
      </c>
      <c r="Z575">
        <v>0</v>
      </c>
      <c r="AA575">
        <v>191</v>
      </c>
      <c r="AB575">
        <v>0</v>
      </c>
      <c r="AC575">
        <v>93</v>
      </c>
      <c r="AD575">
        <v>-139</v>
      </c>
      <c r="AE575">
        <v>0</v>
      </c>
      <c r="AF575">
        <v>0</v>
      </c>
      <c r="AG575">
        <v>0</v>
      </c>
      <c r="AH575" t="s">
        <v>267</v>
      </c>
      <c r="AI575" s="1">
        <v>44200.566944444443</v>
      </c>
      <c r="AJ575">
        <v>358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-139</v>
      </c>
      <c r="AQ575">
        <v>0</v>
      </c>
      <c r="AR575">
        <v>0</v>
      </c>
      <c r="AS575">
        <v>0</v>
      </c>
      <c r="AT575" t="s">
        <v>90</v>
      </c>
      <c r="AU575" s="1">
        <v>44200.575023148151</v>
      </c>
      <c r="AV575">
        <v>37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-139</v>
      </c>
      <c r="BC575">
        <v>0</v>
      </c>
      <c r="BD575">
        <v>0</v>
      </c>
      <c r="BE575">
        <v>0</v>
      </c>
    </row>
    <row r="576" spans="1:57" x14ac:dyDescent="0.45">
      <c r="A576" t="s">
        <v>1552</v>
      </c>
      <c r="B576" t="s">
        <v>79</v>
      </c>
      <c r="C576" t="s">
        <v>1545</v>
      </c>
      <c r="D576" t="s">
        <v>81</v>
      </c>
      <c r="E576" s="2" t="str">
        <f>HYPERLINK("capsilon://?command=openfolder&amp;siteaddress=FAM.docvelocity-na8.net&amp;folderid=FXB655C0A7-C4F1-F455-9384-417FC7B46EDC","FX2012269")</f>
        <v>FX2012269</v>
      </c>
      <c r="F576" t="s">
        <v>19</v>
      </c>
      <c r="G576" t="s">
        <v>19</v>
      </c>
      <c r="H576" t="s">
        <v>82</v>
      </c>
      <c r="I576" t="s">
        <v>1553</v>
      </c>
      <c r="J576">
        <v>66</v>
      </c>
      <c r="K576" t="s">
        <v>84</v>
      </c>
      <c r="L576" t="s">
        <v>85</v>
      </c>
      <c r="M576" t="s">
        <v>86</v>
      </c>
      <c r="N576">
        <v>3</v>
      </c>
      <c r="O576" s="1">
        <v>44204.55709490741</v>
      </c>
      <c r="P576" s="1">
        <v>44204.654918981483</v>
      </c>
      <c r="Q576">
        <v>7716</v>
      </c>
      <c r="R576">
        <v>736</v>
      </c>
      <c r="S576" t="b">
        <v>0</v>
      </c>
      <c r="T576" t="s">
        <v>87</v>
      </c>
      <c r="U576" t="b">
        <v>0</v>
      </c>
      <c r="V576" t="s">
        <v>160</v>
      </c>
      <c r="W576" s="1">
        <v>44204.562118055554</v>
      </c>
      <c r="X576">
        <v>434</v>
      </c>
      <c r="Y576">
        <v>52</v>
      </c>
      <c r="Z576">
        <v>0</v>
      </c>
      <c r="AA576">
        <v>52</v>
      </c>
      <c r="AB576">
        <v>0</v>
      </c>
      <c r="AC576">
        <v>37</v>
      </c>
      <c r="AD576">
        <v>14</v>
      </c>
      <c r="AE576">
        <v>0</v>
      </c>
      <c r="AF576">
        <v>0</v>
      </c>
      <c r="AG576">
        <v>0</v>
      </c>
      <c r="AH576" t="s">
        <v>128</v>
      </c>
      <c r="AI576" s="1">
        <v>44204.565011574072</v>
      </c>
      <c r="AJ576">
        <v>156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14</v>
      </c>
      <c r="AQ576">
        <v>0</v>
      </c>
      <c r="AR576">
        <v>0</v>
      </c>
      <c r="AS576">
        <v>0</v>
      </c>
      <c r="AT576" t="s">
        <v>549</v>
      </c>
      <c r="AU576" s="1">
        <v>44204.654918981483</v>
      </c>
      <c r="AV576">
        <v>146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14</v>
      </c>
      <c r="BC576">
        <v>0</v>
      </c>
      <c r="BD576">
        <v>0</v>
      </c>
      <c r="BE576">
        <v>0</v>
      </c>
    </row>
    <row r="577" spans="1:57" hidden="1" x14ac:dyDescent="0.45">
      <c r="A577" t="s">
        <v>1554</v>
      </c>
      <c r="B577" t="s">
        <v>79</v>
      </c>
      <c r="C577" t="s">
        <v>1555</v>
      </c>
      <c r="D577" t="s">
        <v>81</v>
      </c>
      <c r="E577" s="2" t="str">
        <f>HYPERLINK("capsilon://?command=openfolder&amp;siteaddress=FAM.docvelocity-na8.net&amp;folderid=FX071F4FDD-FC38-5B07-5B8A-1ADC97AB51E9","FX201111925")</f>
        <v>FX201111925</v>
      </c>
      <c r="F577" t="s">
        <v>19</v>
      </c>
      <c r="G577" t="s">
        <v>19</v>
      </c>
      <c r="H577" t="s">
        <v>82</v>
      </c>
      <c r="I577" t="s">
        <v>1556</v>
      </c>
      <c r="J577">
        <v>65</v>
      </c>
      <c r="K577" t="s">
        <v>84</v>
      </c>
      <c r="L577" t="s">
        <v>85</v>
      </c>
      <c r="M577" t="s">
        <v>86</v>
      </c>
      <c r="N577">
        <v>1</v>
      </c>
      <c r="O577" s="1">
        <v>44200.52784722222</v>
      </c>
      <c r="P577" s="1">
        <v>44200.652928240743</v>
      </c>
      <c r="Q577">
        <v>9145</v>
      </c>
      <c r="R577">
        <v>1662</v>
      </c>
      <c r="S577" t="b">
        <v>0</v>
      </c>
      <c r="T577" t="s">
        <v>87</v>
      </c>
      <c r="U577" t="b">
        <v>0</v>
      </c>
      <c r="V577" t="s">
        <v>142</v>
      </c>
      <c r="W577" s="1">
        <v>44200.652928240743</v>
      </c>
      <c r="X577">
        <v>984</v>
      </c>
      <c r="Y577">
        <v>44</v>
      </c>
      <c r="Z577">
        <v>0</v>
      </c>
      <c r="AA577">
        <v>44</v>
      </c>
      <c r="AB577">
        <v>0</v>
      </c>
      <c r="AC577">
        <v>18</v>
      </c>
      <c r="AD577">
        <v>21</v>
      </c>
      <c r="AE577">
        <v>46</v>
      </c>
      <c r="AF577">
        <v>0</v>
      </c>
      <c r="AG577">
        <v>2</v>
      </c>
      <c r="AH577" t="s">
        <v>87</v>
      </c>
      <c r="AI577" t="s">
        <v>87</v>
      </c>
      <c r="AJ577" t="s">
        <v>87</v>
      </c>
      <c r="AK577" t="s">
        <v>87</v>
      </c>
      <c r="AL577" t="s">
        <v>87</v>
      </c>
      <c r="AM577" t="s">
        <v>87</v>
      </c>
      <c r="AN577" t="s">
        <v>87</v>
      </c>
      <c r="AO577" t="s">
        <v>87</v>
      </c>
      <c r="AP577" t="s">
        <v>87</v>
      </c>
      <c r="AQ577" t="s">
        <v>87</v>
      </c>
      <c r="AR577" t="s">
        <v>87</v>
      </c>
      <c r="AS577" t="s">
        <v>87</v>
      </c>
      <c r="AT577" t="s">
        <v>87</v>
      </c>
      <c r="AU577" t="s">
        <v>87</v>
      </c>
      <c r="AV577" t="s">
        <v>87</v>
      </c>
      <c r="AW577" t="s">
        <v>87</v>
      </c>
      <c r="AX577" t="s">
        <v>87</v>
      </c>
      <c r="AY577" t="s">
        <v>87</v>
      </c>
      <c r="AZ577" t="s">
        <v>87</v>
      </c>
      <c r="BA577" t="s">
        <v>87</v>
      </c>
      <c r="BB577" t="s">
        <v>87</v>
      </c>
      <c r="BC577" t="s">
        <v>87</v>
      </c>
      <c r="BD577" t="s">
        <v>87</v>
      </c>
      <c r="BE577" t="s">
        <v>87</v>
      </c>
    </row>
    <row r="578" spans="1:57" x14ac:dyDescent="0.45">
      <c r="A578" t="s">
        <v>1557</v>
      </c>
      <c r="B578" t="s">
        <v>79</v>
      </c>
      <c r="C578" t="s">
        <v>1288</v>
      </c>
      <c r="D578" t="s">
        <v>81</v>
      </c>
      <c r="E578" s="2" t="str">
        <f>HYPERLINK("capsilon://?command=openfolder&amp;siteaddress=FAM.docvelocity-na8.net&amp;folderid=FX39D4DD75-0E21-69FE-0E5B-BFBB80759240","FX201225989")</f>
        <v>FX201225989</v>
      </c>
      <c r="F578" t="s">
        <v>19</v>
      </c>
      <c r="G578" t="s">
        <v>19</v>
      </c>
      <c r="H578" t="s">
        <v>82</v>
      </c>
      <c r="I578" t="s">
        <v>1289</v>
      </c>
      <c r="J578">
        <v>52</v>
      </c>
      <c r="K578" t="s">
        <v>84</v>
      </c>
      <c r="L578" t="s">
        <v>85</v>
      </c>
      <c r="M578" t="s">
        <v>86</v>
      </c>
      <c r="N578">
        <v>3</v>
      </c>
      <c r="O578" s="1">
        <v>44200.528263888889</v>
      </c>
      <c r="P578" s="1">
        <v>44200.623912037037</v>
      </c>
      <c r="Q578">
        <v>2844</v>
      </c>
      <c r="R578">
        <v>5420</v>
      </c>
      <c r="S578" t="b">
        <v>0</v>
      </c>
      <c r="T578" t="s">
        <v>87</v>
      </c>
      <c r="U578" t="b">
        <v>1</v>
      </c>
      <c r="V578" t="s">
        <v>132</v>
      </c>
      <c r="W578" s="1">
        <v>44200.586157407408</v>
      </c>
      <c r="X578">
        <v>3567</v>
      </c>
      <c r="Y578">
        <v>118</v>
      </c>
      <c r="Z578">
        <v>0</v>
      </c>
      <c r="AA578">
        <v>118</v>
      </c>
      <c r="AB578">
        <v>37</v>
      </c>
      <c r="AC578">
        <v>133</v>
      </c>
      <c r="AD578">
        <v>-66</v>
      </c>
      <c r="AE578">
        <v>0</v>
      </c>
      <c r="AF578">
        <v>0</v>
      </c>
      <c r="AG578">
        <v>0</v>
      </c>
      <c r="AH578" t="s">
        <v>128</v>
      </c>
      <c r="AI578" s="1">
        <v>44200.607141203705</v>
      </c>
      <c r="AJ578">
        <v>1737</v>
      </c>
      <c r="AK578">
        <v>1</v>
      </c>
      <c r="AL578">
        <v>0</v>
      </c>
      <c r="AM578">
        <v>1</v>
      </c>
      <c r="AN578">
        <v>37</v>
      </c>
      <c r="AO578">
        <v>1</v>
      </c>
      <c r="AP578">
        <v>-67</v>
      </c>
      <c r="AQ578">
        <v>0</v>
      </c>
      <c r="AR578">
        <v>0</v>
      </c>
      <c r="AS578">
        <v>0</v>
      </c>
      <c r="AT578" t="s">
        <v>90</v>
      </c>
      <c r="AU578" s="1">
        <v>44200.623912037037</v>
      </c>
      <c r="AV578">
        <v>107</v>
      </c>
      <c r="AW578">
        <v>0</v>
      </c>
      <c r="AX578">
        <v>0</v>
      </c>
      <c r="AY578">
        <v>0</v>
      </c>
      <c r="AZ578">
        <v>37</v>
      </c>
      <c r="BA578">
        <v>0</v>
      </c>
      <c r="BB578">
        <v>-67</v>
      </c>
      <c r="BC578">
        <v>0</v>
      </c>
      <c r="BD578">
        <v>0</v>
      </c>
      <c r="BE578">
        <v>0</v>
      </c>
    </row>
    <row r="579" spans="1:57" x14ac:dyDescent="0.45">
      <c r="A579" t="s">
        <v>1558</v>
      </c>
      <c r="B579" t="s">
        <v>79</v>
      </c>
      <c r="C579" t="s">
        <v>1559</v>
      </c>
      <c r="D579" t="s">
        <v>81</v>
      </c>
      <c r="E579" s="2" t="str">
        <f>HYPERLINK("capsilon://?command=openfolder&amp;siteaddress=FAM.docvelocity-na8.net&amp;folderid=FX03FB7D39-09B4-AA3C-6854-5628B6E46FA2","FX21012918")</f>
        <v>FX21012918</v>
      </c>
      <c r="F579" t="s">
        <v>19</v>
      </c>
      <c r="G579" t="s">
        <v>19</v>
      </c>
      <c r="H579" t="s">
        <v>82</v>
      </c>
      <c r="I579" t="s">
        <v>1560</v>
      </c>
      <c r="J579">
        <v>128</v>
      </c>
      <c r="K579" t="s">
        <v>84</v>
      </c>
      <c r="L579" t="s">
        <v>85</v>
      </c>
      <c r="M579" t="s">
        <v>86</v>
      </c>
      <c r="N579">
        <v>3</v>
      </c>
      <c r="O579" s="1">
        <v>44204.55846064815</v>
      </c>
      <c r="P579" s="1">
        <v>44204.655185185184</v>
      </c>
      <c r="Q579">
        <v>6081</v>
      </c>
      <c r="R579">
        <v>2276</v>
      </c>
      <c r="S579" t="b">
        <v>0</v>
      </c>
      <c r="T579" t="s">
        <v>87</v>
      </c>
      <c r="U579" t="b">
        <v>0</v>
      </c>
      <c r="V579" t="s">
        <v>171</v>
      </c>
      <c r="W579" s="1">
        <v>44204.581516203703</v>
      </c>
      <c r="X579">
        <v>1992</v>
      </c>
      <c r="Y579">
        <v>79</v>
      </c>
      <c r="Z579">
        <v>0</v>
      </c>
      <c r="AA579">
        <v>79</v>
      </c>
      <c r="AB579">
        <v>37</v>
      </c>
      <c r="AC579">
        <v>27</v>
      </c>
      <c r="AD579">
        <v>49</v>
      </c>
      <c r="AE579">
        <v>0</v>
      </c>
      <c r="AF579">
        <v>0</v>
      </c>
      <c r="AG579">
        <v>0</v>
      </c>
      <c r="AH579" t="s">
        <v>128</v>
      </c>
      <c r="AI579" s="1">
        <v>44204.590671296297</v>
      </c>
      <c r="AJ579">
        <v>262</v>
      </c>
      <c r="AK579">
        <v>1</v>
      </c>
      <c r="AL579">
        <v>0</v>
      </c>
      <c r="AM579">
        <v>1</v>
      </c>
      <c r="AN579">
        <v>37</v>
      </c>
      <c r="AO579">
        <v>1</v>
      </c>
      <c r="AP579">
        <v>48</v>
      </c>
      <c r="AQ579">
        <v>0</v>
      </c>
      <c r="AR579">
        <v>0</v>
      </c>
      <c r="AS579">
        <v>0</v>
      </c>
      <c r="AT579" t="s">
        <v>549</v>
      </c>
      <c r="AU579" s="1">
        <v>44204.655185185184</v>
      </c>
      <c r="AV579">
        <v>22</v>
      </c>
      <c r="AW579">
        <v>0</v>
      </c>
      <c r="AX579">
        <v>0</v>
      </c>
      <c r="AY579">
        <v>0</v>
      </c>
      <c r="AZ579">
        <v>37</v>
      </c>
      <c r="BA579">
        <v>0</v>
      </c>
      <c r="BB579">
        <v>48</v>
      </c>
      <c r="BC579">
        <v>0</v>
      </c>
      <c r="BD579">
        <v>0</v>
      </c>
      <c r="BE579">
        <v>0</v>
      </c>
    </row>
    <row r="580" spans="1:57" hidden="1" x14ac:dyDescent="0.45">
      <c r="A580" t="s">
        <v>1561</v>
      </c>
      <c r="B580" t="s">
        <v>79</v>
      </c>
      <c r="C580" t="s">
        <v>264</v>
      </c>
      <c r="D580" t="s">
        <v>81</v>
      </c>
      <c r="E580" s="2" t="str">
        <f>HYPERLINK("capsilon://?command=openfolder&amp;siteaddress=FAM.docvelocity-na8.net&amp;folderid=FX8648AFB7-A673-7E5E-1826-6822EAF61057","FX20127389")</f>
        <v>FX20127389</v>
      </c>
      <c r="F580" t="s">
        <v>19</v>
      </c>
      <c r="G580" t="s">
        <v>19</v>
      </c>
      <c r="H580" t="s">
        <v>82</v>
      </c>
      <c r="I580" t="s">
        <v>1562</v>
      </c>
      <c r="J580">
        <v>80</v>
      </c>
      <c r="K580" t="s">
        <v>84</v>
      </c>
      <c r="L580" t="s">
        <v>85</v>
      </c>
      <c r="M580" t="s">
        <v>86</v>
      </c>
      <c r="N580">
        <v>1</v>
      </c>
      <c r="O580" s="1">
        <v>44204.559606481482</v>
      </c>
      <c r="P580" s="1">
        <v>44204.560613425929</v>
      </c>
      <c r="Q580">
        <v>0</v>
      </c>
      <c r="R580">
        <v>87</v>
      </c>
      <c r="S580" t="b">
        <v>0</v>
      </c>
      <c r="T580" t="s">
        <v>87</v>
      </c>
      <c r="U580" t="b">
        <v>0</v>
      </c>
      <c r="V580" t="s">
        <v>146</v>
      </c>
      <c r="W580" s="1">
        <v>44204.560613425929</v>
      </c>
      <c r="X580">
        <v>87</v>
      </c>
      <c r="Y580">
        <v>51</v>
      </c>
      <c r="Z580">
        <v>0</v>
      </c>
      <c r="AA580">
        <v>51</v>
      </c>
      <c r="AB580">
        <v>0</v>
      </c>
      <c r="AC580">
        <v>0</v>
      </c>
      <c r="AD580">
        <v>29</v>
      </c>
      <c r="AE580">
        <v>76</v>
      </c>
      <c r="AF580">
        <v>0</v>
      </c>
      <c r="AG580">
        <v>2</v>
      </c>
      <c r="AH580" t="s">
        <v>87</v>
      </c>
      <c r="AI580" t="s">
        <v>87</v>
      </c>
      <c r="AJ580" t="s">
        <v>87</v>
      </c>
      <c r="AK580" t="s">
        <v>87</v>
      </c>
      <c r="AL580" t="s">
        <v>87</v>
      </c>
      <c r="AM580" t="s">
        <v>87</v>
      </c>
      <c r="AN580" t="s">
        <v>87</v>
      </c>
      <c r="AO580" t="s">
        <v>87</v>
      </c>
      <c r="AP580" t="s">
        <v>87</v>
      </c>
      <c r="AQ580" t="s">
        <v>87</v>
      </c>
      <c r="AR580" t="s">
        <v>87</v>
      </c>
      <c r="AS580" t="s">
        <v>87</v>
      </c>
      <c r="AT580" t="s">
        <v>87</v>
      </c>
      <c r="AU580" t="s">
        <v>87</v>
      </c>
      <c r="AV580" t="s">
        <v>87</v>
      </c>
      <c r="AW580" t="s">
        <v>87</v>
      </c>
      <c r="AX580" t="s">
        <v>87</v>
      </c>
      <c r="AY580" t="s">
        <v>87</v>
      </c>
      <c r="AZ580" t="s">
        <v>87</v>
      </c>
      <c r="BA580" t="s">
        <v>87</v>
      </c>
      <c r="BB580" t="s">
        <v>87</v>
      </c>
      <c r="BC580" t="s">
        <v>87</v>
      </c>
      <c r="BD580" t="s">
        <v>87</v>
      </c>
      <c r="BE580" t="s">
        <v>87</v>
      </c>
    </row>
    <row r="581" spans="1:57" x14ac:dyDescent="0.45">
      <c r="A581" t="s">
        <v>1563</v>
      </c>
      <c r="B581" t="s">
        <v>79</v>
      </c>
      <c r="C581" t="s">
        <v>1564</v>
      </c>
      <c r="D581" t="s">
        <v>81</v>
      </c>
      <c r="E581" s="2" t="str">
        <f>HYPERLINK("capsilon://?command=openfolder&amp;siteaddress=FAM.docvelocity-na8.net&amp;folderid=FX97EE5169-BEC0-54C7-C13A-1DF0F2144E3F","FX21013739")</f>
        <v>FX21013739</v>
      </c>
      <c r="F581" t="s">
        <v>19</v>
      </c>
      <c r="G581" t="s">
        <v>19</v>
      </c>
      <c r="H581" t="s">
        <v>82</v>
      </c>
      <c r="I581" t="s">
        <v>1565</v>
      </c>
      <c r="J581">
        <v>168</v>
      </c>
      <c r="K581" t="s">
        <v>84</v>
      </c>
      <c r="L581" t="s">
        <v>85</v>
      </c>
      <c r="M581" t="s">
        <v>86</v>
      </c>
      <c r="N581">
        <v>3</v>
      </c>
      <c r="O581" s="1">
        <v>44204.561076388891</v>
      </c>
      <c r="P581" s="1">
        <v>44204.659525462965</v>
      </c>
      <c r="Q581">
        <v>5219</v>
      </c>
      <c r="R581">
        <v>3287</v>
      </c>
      <c r="S581" t="b">
        <v>0</v>
      </c>
      <c r="T581" t="s">
        <v>87</v>
      </c>
      <c r="U581" t="b">
        <v>0</v>
      </c>
      <c r="V581" t="s">
        <v>168</v>
      </c>
      <c r="W581" s="1">
        <v>44204.593310185184</v>
      </c>
      <c r="X581">
        <v>2784</v>
      </c>
      <c r="Y581">
        <v>176</v>
      </c>
      <c r="Z581">
        <v>0</v>
      </c>
      <c r="AA581">
        <v>176</v>
      </c>
      <c r="AB581">
        <v>37</v>
      </c>
      <c r="AC581">
        <v>91</v>
      </c>
      <c r="AD581">
        <v>-8</v>
      </c>
      <c r="AE581">
        <v>0</v>
      </c>
      <c r="AF581">
        <v>0</v>
      </c>
      <c r="AG581">
        <v>0</v>
      </c>
      <c r="AH581" t="s">
        <v>267</v>
      </c>
      <c r="AI581" s="1">
        <v>44204.596585648149</v>
      </c>
      <c r="AJ581">
        <v>270</v>
      </c>
      <c r="AK581">
        <v>2</v>
      </c>
      <c r="AL581">
        <v>0</v>
      </c>
      <c r="AM581">
        <v>2</v>
      </c>
      <c r="AN581">
        <v>37</v>
      </c>
      <c r="AO581">
        <v>1</v>
      </c>
      <c r="AP581">
        <v>-10</v>
      </c>
      <c r="AQ581">
        <v>0</v>
      </c>
      <c r="AR581">
        <v>0</v>
      </c>
      <c r="AS581">
        <v>0</v>
      </c>
      <c r="AT581" t="s">
        <v>549</v>
      </c>
      <c r="AU581" s="1">
        <v>44204.659525462965</v>
      </c>
      <c r="AV581">
        <v>233</v>
      </c>
      <c r="AW581">
        <v>0</v>
      </c>
      <c r="AX581">
        <v>0</v>
      </c>
      <c r="AY581">
        <v>0</v>
      </c>
      <c r="AZ581">
        <v>37</v>
      </c>
      <c r="BA581">
        <v>0</v>
      </c>
      <c r="BB581">
        <v>-10</v>
      </c>
      <c r="BC581">
        <v>0</v>
      </c>
      <c r="BD581">
        <v>0</v>
      </c>
      <c r="BE581">
        <v>0</v>
      </c>
    </row>
    <row r="582" spans="1:57" x14ac:dyDescent="0.45">
      <c r="A582" t="s">
        <v>1566</v>
      </c>
      <c r="B582" t="s">
        <v>79</v>
      </c>
      <c r="C582" t="s">
        <v>264</v>
      </c>
      <c r="D582" t="s">
        <v>81</v>
      </c>
      <c r="E582" s="2" t="str">
        <f>HYPERLINK("capsilon://?command=openfolder&amp;siteaddress=FAM.docvelocity-na8.net&amp;folderid=FX8648AFB7-A673-7E5E-1826-6822EAF61057","FX20127389")</f>
        <v>FX20127389</v>
      </c>
      <c r="F582" t="s">
        <v>19</v>
      </c>
      <c r="G582" t="s">
        <v>19</v>
      </c>
      <c r="H582" t="s">
        <v>82</v>
      </c>
      <c r="I582" t="s">
        <v>1562</v>
      </c>
      <c r="J582">
        <v>150</v>
      </c>
      <c r="K582" t="s">
        <v>84</v>
      </c>
      <c r="L582" t="s">
        <v>85</v>
      </c>
      <c r="M582" t="s">
        <v>86</v>
      </c>
      <c r="N582">
        <v>3</v>
      </c>
      <c r="O582" s="1">
        <v>44204.561851851853</v>
      </c>
      <c r="P582" s="1">
        <v>44204.591435185182</v>
      </c>
      <c r="Q582">
        <v>637</v>
      </c>
      <c r="R582">
        <v>1919</v>
      </c>
      <c r="S582" t="b">
        <v>0</v>
      </c>
      <c r="T582" t="s">
        <v>87</v>
      </c>
      <c r="U582" t="b">
        <v>1</v>
      </c>
      <c r="V582" t="s">
        <v>146</v>
      </c>
      <c r="W582" s="1">
        <v>44204.576481481483</v>
      </c>
      <c r="X582">
        <v>1263</v>
      </c>
      <c r="Y582">
        <v>142</v>
      </c>
      <c r="Z582">
        <v>0</v>
      </c>
      <c r="AA582">
        <v>142</v>
      </c>
      <c r="AB582">
        <v>0</v>
      </c>
      <c r="AC582">
        <v>45</v>
      </c>
      <c r="AD582">
        <v>8</v>
      </c>
      <c r="AE582">
        <v>0</v>
      </c>
      <c r="AF582">
        <v>0</v>
      </c>
      <c r="AG582">
        <v>0</v>
      </c>
      <c r="AH582" t="s">
        <v>128</v>
      </c>
      <c r="AI582" s="1">
        <v>44204.584386574075</v>
      </c>
      <c r="AJ582">
        <v>593</v>
      </c>
      <c r="AK582">
        <v>2</v>
      </c>
      <c r="AL582">
        <v>0</v>
      </c>
      <c r="AM582">
        <v>2</v>
      </c>
      <c r="AN582">
        <v>0</v>
      </c>
      <c r="AO582">
        <v>2</v>
      </c>
      <c r="AP582">
        <v>6</v>
      </c>
      <c r="AQ582">
        <v>0</v>
      </c>
      <c r="AR582">
        <v>0</v>
      </c>
      <c r="AS582">
        <v>0</v>
      </c>
      <c r="AT582" t="s">
        <v>90</v>
      </c>
      <c r="AU582" s="1">
        <v>44204.591435185182</v>
      </c>
      <c r="AV582">
        <v>63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6</v>
      </c>
      <c r="BC582">
        <v>0</v>
      </c>
      <c r="BD582">
        <v>0</v>
      </c>
      <c r="BE582">
        <v>0</v>
      </c>
    </row>
    <row r="583" spans="1:57" x14ac:dyDescent="0.45">
      <c r="A583" t="s">
        <v>1567</v>
      </c>
      <c r="B583" t="s">
        <v>79</v>
      </c>
      <c r="C583" t="s">
        <v>1568</v>
      </c>
      <c r="D583" t="s">
        <v>81</v>
      </c>
      <c r="E583" s="2" t="str">
        <f>HYPERLINK("capsilon://?command=openfolder&amp;siteaddress=FAM.docvelocity-na8.net&amp;folderid=FX4F2B6D11-203B-D3A1-D97C-FD0657F85A4A","FX20118563")</f>
        <v>FX20118563</v>
      </c>
      <c r="F583" t="s">
        <v>19</v>
      </c>
      <c r="G583" t="s">
        <v>19</v>
      </c>
      <c r="H583" t="s">
        <v>82</v>
      </c>
      <c r="I583" t="s">
        <v>1569</v>
      </c>
      <c r="J583">
        <v>62</v>
      </c>
      <c r="K583" t="s">
        <v>84</v>
      </c>
      <c r="L583" t="s">
        <v>85</v>
      </c>
      <c r="M583" t="s">
        <v>86</v>
      </c>
      <c r="N583">
        <v>3</v>
      </c>
      <c r="O583" s="1">
        <v>44200.528900462959</v>
      </c>
      <c r="P583" s="1">
        <v>44201.356979166667</v>
      </c>
      <c r="Q583">
        <v>69076</v>
      </c>
      <c r="R583">
        <v>2470</v>
      </c>
      <c r="S583" t="b">
        <v>0</v>
      </c>
      <c r="T583" t="s">
        <v>87</v>
      </c>
      <c r="U583" t="b">
        <v>0</v>
      </c>
      <c r="V583" t="s">
        <v>262</v>
      </c>
      <c r="W583" s="1">
        <v>44200.655844907407</v>
      </c>
      <c r="X583">
        <v>1844</v>
      </c>
      <c r="Y583">
        <v>84</v>
      </c>
      <c r="Z583">
        <v>0</v>
      </c>
      <c r="AA583">
        <v>84</v>
      </c>
      <c r="AB583">
        <v>0</v>
      </c>
      <c r="AC583">
        <v>56</v>
      </c>
      <c r="AD583">
        <v>-22</v>
      </c>
      <c r="AE583">
        <v>0</v>
      </c>
      <c r="AF583">
        <v>0</v>
      </c>
      <c r="AG583">
        <v>0</v>
      </c>
      <c r="AH583" t="s">
        <v>128</v>
      </c>
      <c r="AI583" s="1">
        <v>44200.664259259262</v>
      </c>
      <c r="AJ583">
        <v>541</v>
      </c>
      <c r="AK583">
        <v>2</v>
      </c>
      <c r="AL583">
        <v>0</v>
      </c>
      <c r="AM583">
        <v>2</v>
      </c>
      <c r="AN583">
        <v>0</v>
      </c>
      <c r="AO583">
        <v>2</v>
      </c>
      <c r="AP583">
        <v>-24</v>
      </c>
      <c r="AQ583">
        <v>0</v>
      </c>
      <c r="AR583">
        <v>0</v>
      </c>
      <c r="AS583">
        <v>0</v>
      </c>
      <c r="AT583" t="s">
        <v>90</v>
      </c>
      <c r="AU583" s="1">
        <v>44201.356979166667</v>
      </c>
      <c r="AV583">
        <v>85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-24</v>
      </c>
      <c r="BC583">
        <v>0</v>
      </c>
      <c r="BD583">
        <v>0</v>
      </c>
      <c r="BE583">
        <v>0</v>
      </c>
    </row>
    <row r="584" spans="1:57" x14ac:dyDescent="0.45">
      <c r="A584" t="s">
        <v>1570</v>
      </c>
      <c r="B584" t="s">
        <v>79</v>
      </c>
      <c r="C584" t="s">
        <v>1571</v>
      </c>
      <c r="D584" t="s">
        <v>81</v>
      </c>
      <c r="E584" s="2" t="str">
        <f>HYPERLINK("capsilon://?command=openfolder&amp;siteaddress=FAM.docvelocity-na8.net&amp;folderid=FX43649D66-108E-60D7-551C-DC196F2E9ADC","FX20127729")</f>
        <v>FX20127729</v>
      </c>
      <c r="F584" t="s">
        <v>19</v>
      </c>
      <c r="G584" t="s">
        <v>19</v>
      </c>
      <c r="H584" t="s">
        <v>82</v>
      </c>
      <c r="I584" t="s">
        <v>1572</v>
      </c>
      <c r="J584">
        <v>38</v>
      </c>
      <c r="K584" t="s">
        <v>84</v>
      </c>
      <c r="L584" t="s">
        <v>85</v>
      </c>
      <c r="M584" t="s">
        <v>86</v>
      </c>
      <c r="N584">
        <v>3</v>
      </c>
      <c r="O584" s="1">
        <v>44204.568414351852</v>
      </c>
      <c r="P584" s="1">
        <v>44204.659699074073</v>
      </c>
      <c r="Q584">
        <v>7126</v>
      </c>
      <c r="R584">
        <v>761</v>
      </c>
      <c r="S584" t="b">
        <v>0</v>
      </c>
      <c r="T584" t="s">
        <v>87</v>
      </c>
      <c r="U584" t="b">
        <v>0</v>
      </c>
      <c r="V584" t="s">
        <v>259</v>
      </c>
      <c r="W584" s="1">
        <v>44204.575046296297</v>
      </c>
      <c r="X584">
        <v>547</v>
      </c>
      <c r="Y584">
        <v>37</v>
      </c>
      <c r="Z584">
        <v>0</v>
      </c>
      <c r="AA584">
        <v>37</v>
      </c>
      <c r="AB584">
        <v>0</v>
      </c>
      <c r="AC584">
        <v>35</v>
      </c>
      <c r="AD584">
        <v>1</v>
      </c>
      <c r="AE584">
        <v>0</v>
      </c>
      <c r="AF584">
        <v>0</v>
      </c>
      <c r="AG584">
        <v>0</v>
      </c>
      <c r="AH584" t="s">
        <v>128</v>
      </c>
      <c r="AI584" s="1">
        <v>44204.577523148146</v>
      </c>
      <c r="AJ584">
        <v>200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 t="s">
        <v>549</v>
      </c>
      <c r="AU584" s="1">
        <v>44204.659699074073</v>
      </c>
      <c r="AV584">
        <v>14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</row>
    <row r="585" spans="1:57" x14ac:dyDescent="0.45">
      <c r="A585" t="s">
        <v>1573</v>
      </c>
      <c r="B585" t="s">
        <v>79</v>
      </c>
      <c r="C585" t="s">
        <v>1574</v>
      </c>
      <c r="D585" t="s">
        <v>81</v>
      </c>
      <c r="E585" s="2" t="str">
        <f>HYPERLINK("capsilon://?command=openfolder&amp;siteaddress=FAM.docvelocity-na8.net&amp;folderid=FX615B9859-6C87-B3CB-26C8-01745B148680","FX21012241")</f>
        <v>FX21012241</v>
      </c>
      <c r="F585" t="s">
        <v>19</v>
      </c>
      <c r="G585" t="s">
        <v>19</v>
      </c>
      <c r="H585" t="s">
        <v>82</v>
      </c>
      <c r="I585" t="s">
        <v>1575</v>
      </c>
      <c r="J585">
        <v>38</v>
      </c>
      <c r="K585" t="s">
        <v>84</v>
      </c>
      <c r="L585" t="s">
        <v>85</v>
      </c>
      <c r="M585" t="s">
        <v>86</v>
      </c>
      <c r="N585">
        <v>3</v>
      </c>
      <c r="O585" s="1">
        <v>44204.568460648145</v>
      </c>
      <c r="P585" s="1">
        <v>44207.344687500001</v>
      </c>
      <c r="Q585">
        <v>238750</v>
      </c>
      <c r="R585">
        <v>1116</v>
      </c>
      <c r="S585" t="b">
        <v>0</v>
      </c>
      <c r="T585" t="s">
        <v>87</v>
      </c>
      <c r="U585" t="b">
        <v>0</v>
      </c>
      <c r="V585" t="s">
        <v>259</v>
      </c>
      <c r="W585" s="1">
        <v>44204.580034722225</v>
      </c>
      <c r="X585">
        <v>430</v>
      </c>
      <c r="Y585">
        <v>37</v>
      </c>
      <c r="Z585">
        <v>0</v>
      </c>
      <c r="AA585">
        <v>37</v>
      </c>
      <c r="AB585">
        <v>0</v>
      </c>
      <c r="AC585">
        <v>28</v>
      </c>
      <c r="AD585">
        <v>1</v>
      </c>
      <c r="AE585">
        <v>0</v>
      </c>
      <c r="AF585">
        <v>0</v>
      </c>
      <c r="AG585">
        <v>0</v>
      </c>
      <c r="AH585" t="s">
        <v>267</v>
      </c>
      <c r="AI585" s="1">
        <v>44204.58965277778</v>
      </c>
      <c r="AJ585">
        <v>56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 t="s">
        <v>90</v>
      </c>
      <c r="AU585" s="1">
        <v>44207.344687500001</v>
      </c>
      <c r="AV585">
        <v>8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</row>
    <row r="586" spans="1:57" hidden="1" x14ac:dyDescent="0.45">
      <c r="A586" t="s">
        <v>1576</v>
      </c>
      <c r="B586" t="s">
        <v>79</v>
      </c>
      <c r="C586" t="s">
        <v>1571</v>
      </c>
      <c r="D586" t="s">
        <v>81</v>
      </c>
      <c r="E586" s="2" t="str">
        <f>HYPERLINK("capsilon://?command=openfolder&amp;siteaddress=FAM.docvelocity-na8.net&amp;folderid=FX43649D66-108E-60D7-551C-DC196F2E9ADC","FX20127729")</f>
        <v>FX20127729</v>
      </c>
      <c r="F586" t="s">
        <v>19</v>
      </c>
      <c r="G586" t="s">
        <v>19</v>
      </c>
      <c r="H586" t="s">
        <v>82</v>
      </c>
      <c r="I586" t="s">
        <v>1577</v>
      </c>
      <c r="J586">
        <v>66</v>
      </c>
      <c r="K586" t="s">
        <v>84</v>
      </c>
      <c r="L586" t="s">
        <v>85</v>
      </c>
      <c r="M586" t="s">
        <v>86</v>
      </c>
      <c r="N586">
        <v>1</v>
      </c>
      <c r="O586" s="1">
        <v>44204.5702662037</v>
      </c>
      <c r="P586" s="1">
        <v>44204.576898148145</v>
      </c>
      <c r="Q586">
        <v>539</v>
      </c>
      <c r="R586">
        <v>34</v>
      </c>
      <c r="S586" t="b">
        <v>0</v>
      </c>
      <c r="T586" t="s">
        <v>87</v>
      </c>
      <c r="U586" t="b">
        <v>0</v>
      </c>
      <c r="V586" t="s">
        <v>146</v>
      </c>
      <c r="W586" s="1">
        <v>44204.576898148145</v>
      </c>
      <c r="X586">
        <v>34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66</v>
      </c>
      <c r="AE586">
        <v>52</v>
      </c>
      <c r="AF586">
        <v>0</v>
      </c>
      <c r="AG586">
        <v>1</v>
      </c>
      <c r="AH586" t="s">
        <v>87</v>
      </c>
      <c r="AI586" t="s">
        <v>87</v>
      </c>
      <c r="AJ586" t="s">
        <v>87</v>
      </c>
      <c r="AK586" t="s">
        <v>87</v>
      </c>
      <c r="AL586" t="s">
        <v>87</v>
      </c>
      <c r="AM586" t="s">
        <v>87</v>
      </c>
      <c r="AN586" t="s">
        <v>87</v>
      </c>
      <c r="AO586" t="s">
        <v>87</v>
      </c>
      <c r="AP586" t="s">
        <v>87</v>
      </c>
      <c r="AQ586" t="s">
        <v>87</v>
      </c>
      <c r="AR586" t="s">
        <v>87</v>
      </c>
      <c r="AS586" t="s">
        <v>87</v>
      </c>
      <c r="AT586" t="s">
        <v>87</v>
      </c>
      <c r="AU586" t="s">
        <v>87</v>
      </c>
      <c r="AV586" t="s">
        <v>87</v>
      </c>
      <c r="AW586" t="s">
        <v>87</v>
      </c>
      <c r="AX586" t="s">
        <v>87</v>
      </c>
      <c r="AY586" t="s">
        <v>87</v>
      </c>
      <c r="AZ586" t="s">
        <v>87</v>
      </c>
      <c r="BA586" t="s">
        <v>87</v>
      </c>
      <c r="BB586" t="s">
        <v>87</v>
      </c>
      <c r="BC586" t="s">
        <v>87</v>
      </c>
      <c r="BD586" t="s">
        <v>87</v>
      </c>
      <c r="BE586" t="s">
        <v>87</v>
      </c>
    </row>
    <row r="587" spans="1:57" x14ac:dyDescent="0.45">
      <c r="A587" t="s">
        <v>1578</v>
      </c>
      <c r="B587" t="s">
        <v>79</v>
      </c>
      <c r="C587" t="s">
        <v>881</v>
      </c>
      <c r="D587" t="s">
        <v>81</v>
      </c>
      <c r="E587" s="2" t="str">
        <f>HYPERLINK("capsilon://?command=openfolder&amp;siteaddress=FAM.docvelocity-na8.net&amp;folderid=FX06447A73-AB55-D9B3-1617-EBA6FEA2B853","FX20121946")</f>
        <v>FX20121946</v>
      </c>
      <c r="F587" t="s">
        <v>19</v>
      </c>
      <c r="G587" t="s">
        <v>19</v>
      </c>
      <c r="H587" t="s">
        <v>82</v>
      </c>
      <c r="I587" t="s">
        <v>1579</v>
      </c>
      <c r="J587">
        <v>348</v>
      </c>
      <c r="K587" t="s">
        <v>84</v>
      </c>
      <c r="L587" t="s">
        <v>85</v>
      </c>
      <c r="M587" t="s">
        <v>86</v>
      </c>
      <c r="N587">
        <v>3</v>
      </c>
      <c r="O587" s="1">
        <v>44200.531157407408</v>
      </c>
      <c r="P587" s="1">
        <v>44201.357314814813</v>
      </c>
      <c r="Q587">
        <v>66386</v>
      </c>
      <c r="R587">
        <v>4994</v>
      </c>
      <c r="S587" t="b">
        <v>0</v>
      </c>
      <c r="T587" t="s">
        <v>87</v>
      </c>
      <c r="U587" t="b">
        <v>0</v>
      </c>
      <c r="V587" t="s">
        <v>736</v>
      </c>
      <c r="W587" s="1">
        <v>44200.690567129626</v>
      </c>
      <c r="X587">
        <v>4452</v>
      </c>
      <c r="Y587">
        <v>280</v>
      </c>
      <c r="Z587">
        <v>0</v>
      </c>
      <c r="AA587">
        <v>280</v>
      </c>
      <c r="AB587">
        <v>37</v>
      </c>
      <c r="AC587">
        <v>159</v>
      </c>
      <c r="AD587">
        <v>68</v>
      </c>
      <c r="AE587">
        <v>0</v>
      </c>
      <c r="AF587">
        <v>0</v>
      </c>
      <c r="AG587">
        <v>0</v>
      </c>
      <c r="AH587" t="s">
        <v>267</v>
      </c>
      <c r="AI587" s="1">
        <v>44200.696712962963</v>
      </c>
      <c r="AJ587">
        <v>513</v>
      </c>
      <c r="AK587">
        <v>6</v>
      </c>
      <c r="AL587">
        <v>0</v>
      </c>
      <c r="AM587">
        <v>6</v>
      </c>
      <c r="AN587">
        <v>37</v>
      </c>
      <c r="AO587">
        <v>5</v>
      </c>
      <c r="AP587">
        <v>62</v>
      </c>
      <c r="AQ587">
        <v>0</v>
      </c>
      <c r="AR587">
        <v>0</v>
      </c>
      <c r="AS587">
        <v>0</v>
      </c>
      <c r="AT587" t="s">
        <v>90</v>
      </c>
      <c r="AU587" s="1">
        <v>44201.357314814813</v>
      </c>
      <c r="AV587">
        <v>29</v>
      </c>
      <c r="AW587">
        <v>0</v>
      </c>
      <c r="AX587">
        <v>0</v>
      </c>
      <c r="AY587">
        <v>0</v>
      </c>
      <c r="AZ587">
        <v>37</v>
      </c>
      <c r="BA587">
        <v>0</v>
      </c>
      <c r="BB587">
        <v>62</v>
      </c>
      <c r="BC587">
        <v>0</v>
      </c>
      <c r="BD587">
        <v>0</v>
      </c>
      <c r="BE587">
        <v>0</v>
      </c>
    </row>
    <row r="588" spans="1:57" x14ac:dyDescent="0.45">
      <c r="A588" t="s">
        <v>1580</v>
      </c>
      <c r="B588" t="s">
        <v>79</v>
      </c>
      <c r="C588" t="s">
        <v>1574</v>
      </c>
      <c r="D588" t="s">
        <v>81</v>
      </c>
      <c r="E588" s="2" t="str">
        <f>HYPERLINK("capsilon://?command=openfolder&amp;siteaddress=FAM.docvelocity-na8.net&amp;folderid=FX615B9859-6C87-B3CB-26C8-01745B148680","FX21012241")</f>
        <v>FX21012241</v>
      </c>
      <c r="F588" t="s">
        <v>19</v>
      </c>
      <c r="G588" t="s">
        <v>19</v>
      </c>
      <c r="H588" t="s">
        <v>82</v>
      </c>
      <c r="I588" t="s">
        <v>1581</v>
      </c>
      <c r="J588">
        <v>63</v>
      </c>
      <c r="K588" t="s">
        <v>84</v>
      </c>
      <c r="L588" t="s">
        <v>85</v>
      </c>
      <c r="M588" t="s">
        <v>86</v>
      </c>
      <c r="N588">
        <v>3</v>
      </c>
      <c r="O588" s="1">
        <v>44204.573611111111</v>
      </c>
      <c r="P588" s="1">
        <v>44207.351504629631</v>
      </c>
      <c r="Q588">
        <v>237947</v>
      </c>
      <c r="R588">
        <v>2063</v>
      </c>
      <c r="S588" t="b">
        <v>0</v>
      </c>
      <c r="T588" t="s">
        <v>87</v>
      </c>
      <c r="U588" t="b">
        <v>0</v>
      </c>
      <c r="V588" t="s">
        <v>146</v>
      </c>
      <c r="W588" s="1">
        <v>44204.591747685183</v>
      </c>
      <c r="X588">
        <v>1282</v>
      </c>
      <c r="Y588">
        <v>42</v>
      </c>
      <c r="Z588">
        <v>0</v>
      </c>
      <c r="AA588">
        <v>42</v>
      </c>
      <c r="AB588">
        <v>0</v>
      </c>
      <c r="AC588">
        <v>25</v>
      </c>
      <c r="AD588">
        <v>21</v>
      </c>
      <c r="AE588">
        <v>0</v>
      </c>
      <c r="AF588">
        <v>0</v>
      </c>
      <c r="AG588">
        <v>0</v>
      </c>
      <c r="AH588" t="s">
        <v>128</v>
      </c>
      <c r="AI588" s="1">
        <v>44204.594988425924</v>
      </c>
      <c r="AJ588">
        <v>193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21</v>
      </c>
      <c r="AQ588">
        <v>0</v>
      </c>
      <c r="AR588">
        <v>0</v>
      </c>
      <c r="AS588">
        <v>0</v>
      </c>
      <c r="AT588" t="s">
        <v>90</v>
      </c>
      <c r="AU588" s="1">
        <v>44207.351504629631</v>
      </c>
      <c r="AV588">
        <v>588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21</v>
      </c>
      <c r="BC588">
        <v>0</v>
      </c>
      <c r="BD588">
        <v>0</v>
      </c>
      <c r="BE588">
        <v>0</v>
      </c>
    </row>
    <row r="589" spans="1:57" x14ac:dyDescent="0.45">
      <c r="A589" t="s">
        <v>1582</v>
      </c>
      <c r="B589" t="s">
        <v>79</v>
      </c>
      <c r="C589" t="s">
        <v>1574</v>
      </c>
      <c r="D589" t="s">
        <v>81</v>
      </c>
      <c r="E589" s="2" t="str">
        <f>HYPERLINK("capsilon://?command=openfolder&amp;siteaddress=FAM.docvelocity-na8.net&amp;folderid=FX615B9859-6C87-B3CB-26C8-01745B148680","FX21012241")</f>
        <v>FX21012241</v>
      </c>
      <c r="F589" t="s">
        <v>19</v>
      </c>
      <c r="G589" t="s">
        <v>19</v>
      </c>
      <c r="H589" t="s">
        <v>82</v>
      </c>
      <c r="I589" t="s">
        <v>1583</v>
      </c>
      <c r="J589">
        <v>63</v>
      </c>
      <c r="K589" t="s">
        <v>84</v>
      </c>
      <c r="L589" t="s">
        <v>85</v>
      </c>
      <c r="M589" t="s">
        <v>86</v>
      </c>
      <c r="N589">
        <v>3</v>
      </c>
      <c r="O589" s="1">
        <v>44204.573969907404</v>
      </c>
      <c r="P589" s="1">
        <v>44207.351597222223</v>
      </c>
      <c r="Q589">
        <v>238987</v>
      </c>
      <c r="R589">
        <v>1000</v>
      </c>
      <c r="S589" t="b">
        <v>0</v>
      </c>
      <c r="T589" t="s">
        <v>87</v>
      </c>
      <c r="U589" t="b">
        <v>0</v>
      </c>
      <c r="V589" t="s">
        <v>160</v>
      </c>
      <c r="W589" s="1">
        <v>44204.58797453704</v>
      </c>
      <c r="X589">
        <v>899</v>
      </c>
      <c r="Y589">
        <v>42</v>
      </c>
      <c r="Z589">
        <v>0</v>
      </c>
      <c r="AA589">
        <v>42</v>
      </c>
      <c r="AB589">
        <v>0</v>
      </c>
      <c r="AC589">
        <v>22</v>
      </c>
      <c r="AD589">
        <v>21</v>
      </c>
      <c r="AE589">
        <v>0</v>
      </c>
      <c r="AF589">
        <v>0</v>
      </c>
      <c r="AG589">
        <v>0</v>
      </c>
      <c r="AH589" t="s">
        <v>267</v>
      </c>
      <c r="AI589" s="1">
        <v>44204.590752314813</v>
      </c>
      <c r="AJ589">
        <v>94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21</v>
      </c>
      <c r="AQ589">
        <v>0</v>
      </c>
      <c r="AR589">
        <v>0</v>
      </c>
      <c r="AS589">
        <v>0</v>
      </c>
      <c r="AT589" t="s">
        <v>90</v>
      </c>
      <c r="AU589" s="1">
        <v>44207.351597222223</v>
      </c>
      <c r="AV589">
        <v>7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21</v>
      </c>
      <c r="BC589">
        <v>0</v>
      </c>
      <c r="BD589">
        <v>0</v>
      </c>
      <c r="BE589">
        <v>0</v>
      </c>
    </row>
    <row r="590" spans="1:57" x14ac:dyDescent="0.45">
      <c r="A590" t="s">
        <v>1584</v>
      </c>
      <c r="B590" t="s">
        <v>79</v>
      </c>
      <c r="C590" t="s">
        <v>1571</v>
      </c>
      <c r="D590" t="s">
        <v>81</v>
      </c>
      <c r="E590" s="2" t="str">
        <f>HYPERLINK("capsilon://?command=openfolder&amp;siteaddress=FAM.docvelocity-na8.net&amp;folderid=FX43649D66-108E-60D7-551C-DC196F2E9ADC","FX20127729")</f>
        <v>FX20127729</v>
      </c>
      <c r="F590" t="s">
        <v>19</v>
      </c>
      <c r="G590" t="s">
        <v>19</v>
      </c>
      <c r="H590" t="s">
        <v>82</v>
      </c>
      <c r="I590" t="s">
        <v>1577</v>
      </c>
      <c r="J590">
        <v>38</v>
      </c>
      <c r="K590" t="s">
        <v>84</v>
      </c>
      <c r="L590" t="s">
        <v>85</v>
      </c>
      <c r="M590" t="s">
        <v>86</v>
      </c>
      <c r="N590">
        <v>3</v>
      </c>
      <c r="O590" s="1">
        <v>44204.5778125</v>
      </c>
      <c r="P590" s="1">
        <v>44204.591504629629</v>
      </c>
      <c r="Q590">
        <v>545</v>
      </c>
      <c r="R590">
        <v>638</v>
      </c>
      <c r="S590" t="b">
        <v>0</v>
      </c>
      <c r="T590" t="s">
        <v>87</v>
      </c>
      <c r="U590" t="b">
        <v>1</v>
      </c>
      <c r="V590" t="s">
        <v>259</v>
      </c>
      <c r="W590" s="1">
        <v>44204.584131944444</v>
      </c>
      <c r="X590">
        <v>353</v>
      </c>
      <c r="Y590">
        <v>37</v>
      </c>
      <c r="Z590">
        <v>0</v>
      </c>
      <c r="AA590">
        <v>37</v>
      </c>
      <c r="AB590">
        <v>0</v>
      </c>
      <c r="AC590">
        <v>35</v>
      </c>
      <c r="AD590">
        <v>1</v>
      </c>
      <c r="AE590">
        <v>0</v>
      </c>
      <c r="AF590">
        <v>0</v>
      </c>
      <c r="AG590">
        <v>0</v>
      </c>
      <c r="AH590" t="s">
        <v>128</v>
      </c>
      <c r="AI590" s="1">
        <v>44204.587638888886</v>
      </c>
      <c r="AJ590">
        <v>280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 t="s">
        <v>90</v>
      </c>
      <c r="AU590" s="1">
        <v>44204.591504629629</v>
      </c>
      <c r="AV590">
        <v>5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</row>
    <row r="591" spans="1:57" hidden="1" x14ac:dyDescent="0.45">
      <c r="A591" t="s">
        <v>1585</v>
      </c>
      <c r="B591" t="s">
        <v>79</v>
      </c>
      <c r="C591" t="s">
        <v>1586</v>
      </c>
      <c r="D591" t="s">
        <v>81</v>
      </c>
      <c r="E591" s="2" t="str">
        <f>HYPERLINK("capsilon://?command=openfolder&amp;siteaddress=FAM.docvelocity-na8.net&amp;folderid=FX0E81258D-3E36-3158-D5F6-D97DB48A6C26","FX201115553")</f>
        <v>FX201115553</v>
      </c>
      <c r="F591" t="s">
        <v>19</v>
      </c>
      <c r="G591" t="s">
        <v>19</v>
      </c>
      <c r="H591" t="s">
        <v>82</v>
      </c>
      <c r="I591" t="s">
        <v>1587</v>
      </c>
      <c r="J591">
        <v>66</v>
      </c>
      <c r="K591" t="s">
        <v>84</v>
      </c>
      <c r="L591" t="s">
        <v>85</v>
      </c>
      <c r="M591" t="s">
        <v>86</v>
      </c>
      <c r="N591">
        <v>3</v>
      </c>
      <c r="O591" s="1">
        <v>44204.590567129628</v>
      </c>
      <c r="P591" s="1">
        <v>44207.351643518516</v>
      </c>
      <c r="Q591">
        <v>238416</v>
      </c>
      <c r="R591">
        <v>141</v>
      </c>
      <c r="S591" t="b">
        <v>0</v>
      </c>
      <c r="T591" t="s">
        <v>87</v>
      </c>
      <c r="U591" t="b">
        <v>0</v>
      </c>
      <c r="V591" t="s">
        <v>160</v>
      </c>
      <c r="W591" s="1">
        <v>44204.59170138889</v>
      </c>
      <c r="X591">
        <v>97</v>
      </c>
      <c r="Y591">
        <v>0</v>
      </c>
      <c r="Z591">
        <v>0</v>
      </c>
      <c r="AA591">
        <v>0</v>
      </c>
      <c r="AB591">
        <v>52</v>
      </c>
      <c r="AC591">
        <v>0</v>
      </c>
      <c r="AD591">
        <v>66</v>
      </c>
      <c r="AE591">
        <v>0</v>
      </c>
      <c r="AF591">
        <v>0</v>
      </c>
      <c r="AG591">
        <v>0</v>
      </c>
      <c r="AH591" t="s">
        <v>267</v>
      </c>
      <c r="AI591" s="1">
        <v>44204.593425925923</v>
      </c>
      <c r="AJ591">
        <v>41</v>
      </c>
      <c r="AK591">
        <v>0</v>
      </c>
      <c r="AL591">
        <v>0</v>
      </c>
      <c r="AM591">
        <v>0</v>
      </c>
      <c r="AN591">
        <v>52</v>
      </c>
      <c r="AO591">
        <v>0</v>
      </c>
      <c r="AP591">
        <v>66</v>
      </c>
      <c r="AQ591">
        <v>0</v>
      </c>
      <c r="AR591">
        <v>0</v>
      </c>
      <c r="AS591">
        <v>0</v>
      </c>
      <c r="AT591" t="s">
        <v>90</v>
      </c>
      <c r="AU591" s="1">
        <v>44207.351643518516</v>
      </c>
      <c r="AV591">
        <v>3</v>
      </c>
      <c r="AW591">
        <v>0</v>
      </c>
      <c r="AX591">
        <v>0</v>
      </c>
      <c r="AY591">
        <v>0</v>
      </c>
      <c r="AZ591">
        <v>52</v>
      </c>
      <c r="BA591">
        <v>0</v>
      </c>
      <c r="BB591">
        <v>66</v>
      </c>
      <c r="BC591">
        <v>0</v>
      </c>
      <c r="BD591">
        <v>0</v>
      </c>
      <c r="BE591">
        <v>0</v>
      </c>
    </row>
    <row r="592" spans="1:57" hidden="1" x14ac:dyDescent="0.45">
      <c r="A592" t="s">
        <v>1588</v>
      </c>
      <c r="B592" t="s">
        <v>79</v>
      </c>
      <c r="C592" t="s">
        <v>1589</v>
      </c>
      <c r="D592" t="s">
        <v>81</v>
      </c>
      <c r="E592" s="2" t="str">
        <f>HYPERLINK("capsilon://?command=openfolder&amp;siteaddress=FAM.docvelocity-na8.net&amp;folderid=FXEF4BDE40-2363-1DA0-3827-67F4901A2E21","FX20123724")</f>
        <v>FX20123724</v>
      </c>
      <c r="F592" t="s">
        <v>19</v>
      </c>
      <c r="G592" t="s">
        <v>19</v>
      </c>
      <c r="H592" t="s">
        <v>82</v>
      </c>
      <c r="I592" t="s">
        <v>1590</v>
      </c>
      <c r="J592">
        <v>66</v>
      </c>
      <c r="K592" t="s">
        <v>84</v>
      </c>
      <c r="L592" t="s">
        <v>85</v>
      </c>
      <c r="M592" t="s">
        <v>86</v>
      </c>
      <c r="N592">
        <v>3</v>
      </c>
      <c r="O592" s="1">
        <v>44204.594004629631</v>
      </c>
      <c r="P592" s="1">
        <v>44207.351678240739</v>
      </c>
      <c r="Q592">
        <v>238093</v>
      </c>
      <c r="R592">
        <v>170</v>
      </c>
      <c r="S592" t="b">
        <v>0</v>
      </c>
      <c r="T592" t="s">
        <v>87</v>
      </c>
      <c r="U592" t="b">
        <v>0</v>
      </c>
      <c r="V592" t="s">
        <v>259</v>
      </c>
      <c r="W592" s="1">
        <v>44204.595729166664</v>
      </c>
      <c r="X592">
        <v>113</v>
      </c>
      <c r="Y592">
        <v>0</v>
      </c>
      <c r="Z592">
        <v>0</v>
      </c>
      <c r="AA592">
        <v>0</v>
      </c>
      <c r="AB592">
        <v>52</v>
      </c>
      <c r="AC592">
        <v>0</v>
      </c>
      <c r="AD592">
        <v>66</v>
      </c>
      <c r="AE592">
        <v>0</v>
      </c>
      <c r="AF592">
        <v>0</v>
      </c>
      <c r="AG592">
        <v>0</v>
      </c>
      <c r="AH592" t="s">
        <v>267</v>
      </c>
      <c r="AI592" s="1">
        <v>44204.596886574072</v>
      </c>
      <c r="AJ592">
        <v>25</v>
      </c>
      <c r="AK592">
        <v>0</v>
      </c>
      <c r="AL592">
        <v>0</v>
      </c>
      <c r="AM592">
        <v>0</v>
      </c>
      <c r="AN592">
        <v>52</v>
      </c>
      <c r="AO592">
        <v>0</v>
      </c>
      <c r="AP592">
        <v>66</v>
      </c>
      <c r="AQ592">
        <v>0</v>
      </c>
      <c r="AR592">
        <v>0</v>
      </c>
      <c r="AS592">
        <v>0</v>
      </c>
      <c r="AT592" t="s">
        <v>90</v>
      </c>
      <c r="AU592" s="1">
        <v>44207.351678240739</v>
      </c>
      <c r="AV592">
        <v>3</v>
      </c>
      <c r="AW592">
        <v>0</v>
      </c>
      <c r="AX592">
        <v>0</v>
      </c>
      <c r="AY592">
        <v>0</v>
      </c>
      <c r="AZ592">
        <v>52</v>
      </c>
      <c r="BA592">
        <v>0</v>
      </c>
      <c r="BB592">
        <v>66</v>
      </c>
      <c r="BC592">
        <v>0</v>
      </c>
      <c r="BD592">
        <v>0</v>
      </c>
      <c r="BE592">
        <v>0</v>
      </c>
    </row>
    <row r="593" spans="1:57" x14ac:dyDescent="0.45">
      <c r="A593" t="s">
        <v>1591</v>
      </c>
      <c r="B593" t="s">
        <v>79</v>
      </c>
      <c r="C593" t="s">
        <v>1461</v>
      </c>
      <c r="D593" t="s">
        <v>81</v>
      </c>
      <c r="E593" s="2" t="str">
        <f>HYPERLINK("capsilon://?command=openfolder&amp;siteaddress=FAM.docvelocity-na8.net&amp;folderid=FX06FFD2EA-424B-F3D5-D6F0-DBC4193FFF64","FX201228168")</f>
        <v>FX201228168</v>
      </c>
      <c r="F593" t="s">
        <v>19</v>
      </c>
      <c r="G593" t="s">
        <v>19</v>
      </c>
      <c r="H593" t="s">
        <v>82</v>
      </c>
      <c r="I593" t="s">
        <v>1592</v>
      </c>
      <c r="J593">
        <v>102</v>
      </c>
      <c r="K593" t="s">
        <v>84</v>
      </c>
      <c r="L593" t="s">
        <v>85</v>
      </c>
      <c r="M593" t="s">
        <v>86</v>
      </c>
      <c r="N593">
        <v>3</v>
      </c>
      <c r="O593" s="1">
        <v>44204.596585648149</v>
      </c>
      <c r="P593" s="1">
        <v>44207.352326388886</v>
      </c>
      <c r="Q593">
        <v>237157</v>
      </c>
      <c r="R593">
        <v>939</v>
      </c>
      <c r="S593" t="b">
        <v>0</v>
      </c>
      <c r="T593" t="s">
        <v>87</v>
      </c>
      <c r="U593" t="b">
        <v>0</v>
      </c>
      <c r="V593" t="s">
        <v>160</v>
      </c>
      <c r="W593" s="1">
        <v>44204.605127314811</v>
      </c>
      <c r="X593">
        <v>738</v>
      </c>
      <c r="Y593">
        <v>94</v>
      </c>
      <c r="Z593">
        <v>0</v>
      </c>
      <c r="AA593">
        <v>94</v>
      </c>
      <c r="AB593">
        <v>0</v>
      </c>
      <c r="AC593">
        <v>17</v>
      </c>
      <c r="AD593">
        <v>8</v>
      </c>
      <c r="AE593">
        <v>0</v>
      </c>
      <c r="AF593">
        <v>0</v>
      </c>
      <c r="AG593">
        <v>0</v>
      </c>
      <c r="AH593" t="s">
        <v>267</v>
      </c>
      <c r="AI593" s="1">
        <v>44204.610300925924</v>
      </c>
      <c r="AJ593">
        <v>146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8</v>
      </c>
      <c r="AQ593">
        <v>0</v>
      </c>
      <c r="AR593">
        <v>0</v>
      </c>
      <c r="AS593">
        <v>0</v>
      </c>
      <c r="AT593" t="s">
        <v>90</v>
      </c>
      <c r="AU593" s="1">
        <v>44207.352326388886</v>
      </c>
      <c r="AV593">
        <v>55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8</v>
      </c>
      <c r="BC593">
        <v>0</v>
      </c>
      <c r="BD593">
        <v>0</v>
      </c>
      <c r="BE593">
        <v>0</v>
      </c>
    </row>
    <row r="594" spans="1:57" x14ac:dyDescent="0.45">
      <c r="A594" t="s">
        <v>1593</v>
      </c>
      <c r="B594" t="s">
        <v>79</v>
      </c>
      <c r="C594" t="s">
        <v>1164</v>
      </c>
      <c r="D594" t="s">
        <v>81</v>
      </c>
      <c r="E594" s="2" t="str">
        <f>HYPERLINK("capsilon://?command=openfolder&amp;siteaddress=FAM.docvelocity-na8.net&amp;folderid=FX57074E1C-B2DB-B3D3-77A3-D797A639B30D","FX21013062")</f>
        <v>FX21013062</v>
      </c>
      <c r="F594" t="s">
        <v>19</v>
      </c>
      <c r="G594" t="s">
        <v>19</v>
      </c>
      <c r="H594" t="s">
        <v>82</v>
      </c>
      <c r="I594" t="s">
        <v>1594</v>
      </c>
      <c r="J594">
        <v>38</v>
      </c>
      <c r="K594" t="s">
        <v>84</v>
      </c>
      <c r="L594" t="s">
        <v>85</v>
      </c>
      <c r="M594" t="s">
        <v>86</v>
      </c>
      <c r="N594">
        <v>3</v>
      </c>
      <c r="O594" s="1">
        <v>44204.606180555558</v>
      </c>
      <c r="P594" s="1">
        <v>44207.352592592593</v>
      </c>
      <c r="Q594">
        <v>236901</v>
      </c>
      <c r="R594">
        <v>389</v>
      </c>
      <c r="S594" t="b">
        <v>0</v>
      </c>
      <c r="T594" t="s">
        <v>87</v>
      </c>
      <c r="U594" t="b">
        <v>0</v>
      </c>
      <c r="V594" t="s">
        <v>142</v>
      </c>
      <c r="W594" s="1">
        <v>44204.6096412037</v>
      </c>
      <c r="X594">
        <v>298</v>
      </c>
      <c r="Y594">
        <v>37</v>
      </c>
      <c r="Z594">
        <v>0</v>
      </c>
      <c r="AA594">
        <v>37</v>
      </c>
      <c r="AB594">
        <v>0</v>
      </c>
      <c r="AC594">
        <v>29</v>
      </c>
      <c r="AD594">
        <v>1</v>
      </c>
      <c r="AE594">
        <v>0</v>
      </c>
      <c r="AF594">
        <v>0</v>
      </c>
      <c r="AG594">
        <v>0</v>
      </c>
      <c r="AH594" t="s">
        <v>267</v>
      </c>
      <c r="AI594" s="1">
        <v>44204.611111111109</v>
      </c>
      <c r="AJ594">
        <v>69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 t="s">
        <v>90</v>
      </c>
      <c r="AU594" s="1">
        <v>44207.352592592593</v>
      </c>
      <c r="AV594">
        <v>22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</row>
    <row r="595" spans="1:57" x14ac:dyDescent="0.45">
      <c r="A595" t="s">
        <v>1595</v>
      </c>
      <c r="B595" t="s">
        <v>79</v>
      </c>
      <c r="C595" t="s">
        <v>1596</v>
      </c>
      <c r="D595" t="s">
        <v>81</v>
      </c>
      <c r="E595" s="2" t="str">
        <f>HYPERLINK("capsilon://?command=openfolder&amp;siteaddress=FAM.docvelocity-na8.net&amp;folderid=FXB375EF3E-81F7-9231-C384-429DF9B7CE8D","FX20121208")</f>
        <v>FX20121208</v>
      </c>
      <c r="F595" t="s">
        <v>19</v>
      </c>
      <c r="G595" t="s">
        <v>19</v>
      </c>
      <c r="H595" t="s">
        <v>82</v>
      </c>
      <c r="I595" t="s">
        <v>1597</v>
      </c>
      <c r="J595">
        <v>77</v>
      </c>
      <c r="K595" t="s">
        <v>84</v>
      </c>
      <c r="L595" t="s">
        <v>85</v>
      </c>
      <c r="M595" t="s">
        <v>86</v>
      </c>
      <c r="N595">
        <v>3</v>
      </c>
      <c r="O595" s="1">
        <v>44204.611712962964</v>
      </c>
      <c r="P595" s="1">
        <v>44207.353437500002</v>
      </c>
      <c r="Q595">
        <v>235643</v>
      </c>
      <c r="R595">
        <v>1242</v>
      </c>
      <c r="S595" t="b">
        <v>0</v>
      </c>
      <c r="T595" t="s">
        <v>87</v>
      </c>
      <c r="U595" t="b">
        <v>0</v>
      </c>
      <c r="V595" t="s">
        <v>142</v>
      </c>
      <c r="W595" s="1">
        <v>44204.623645833337</v>
      </c>
      <c r="X595">
        <v>1030</v>
      </c>
      <c r="Y595">
        <v>93</v>
      </c>
      <c r="Z595">
        <v>0</v>
      </c>
      <c r="AA595">
        <v>93</v>
      </c>
      <c r="AB595">
        <v>0</v>
      </c>
      <c r="AC595">
        <v>70</v>
      </c>
      <c r="AD595">
        <v>-16</v>
      </c>
      <c r="AE595">
        <v>0</v>
      </c>
      <c r="AF595">
        <v>0</v>
      </c>
      <c r="AG595">
        <v>0</v>
      </c>
      <c r="AH595" t="s">
        <v>267</v>
      </c>
      <c r="AI595" s="1">
        <v>44204.625300925924</v>
      </c>
      <c r="AJ595">
        <v>140</v>
      </c>
      <c r="AK595">
        <v>2</v>
      </c>
      <c r="AL595">
        <v>0</v>
      </c>
      <c r="AM595">
        <v>2</v>
      </c>
      <c r="AN595">
        <v>0</v>
      </c>
      <c r="AO595">
        <v>1</v>
      </c>
      <c r="AP595">
        <v>-18</v>
      </c>
      <c r="AQ595">
        <v>0</v>
      </c>
      <c r="AR595">
        <v>0</v>
      </c>
      <c r="AS595">
        <v>0</v>
      </c>
      <c r="AT595" t="s">
        <v>90</v>
      </c>
      <c r="AU595" s="1">
        <v>44207.353437500002</v>
      </c>
      <c r="AV595">
        <v>72</v>
      </c>
      <c r="AW595">
        <v>1</v>
      </c>
      <c r="AX595">
        <v>0</v>
      </c>
      <c r="AY595">
        <v>1</v>
      </c>
      <c r="AZ595">
        <v>0</v>
      </c>
      <c r="BA595">
        <v>1</v>
      </c>
      <c r="BB595">
        <v>-19</v>
      </c>
      <c r="BC595">
        <v>0</v>
      </c>
      <c r="BD595">
        <v>0</v>
      </c>
      <c r="BE595">
        <v>0</v>
      </c>
    </row>
    <row r="596" spans="1:57" x14ac:dyDescent="0.45">
      <c r="A596" t="s">
        <v>1598</v>
      </c>
      <c r="B596" t="s">
        <v>79</v>
      </c>
      <c r="C596" t="s">
        <v>1599</v>
      </c>
      <c r="D596" t="s">
        <v>81</v>
      </c>
      <c r="E596" s="2" t="str">
        <f>HYPERLINK("capsilon://?command=openfolder&amp;siteaddress=FAM.docvelocity-na8.net&amp;folderid=FX1AB0EAE9-29C1-E14A-0FBC-B85B5289BE22","FX201227807")</f>
        <v>FX201227807</v>
      </c>
      <c r="F596" t="s">
        <v>19</v>
      </c>
      <c r="G596" t="s">
        <v>19</v>
      </c>
      <c r="H596" t="s">
        <v>82</v>
      </c>
      <c r="I596" t="s">
        <v>1600</v>
      </c>
      <c r="J596">
        <v>283</v>
      </c>
      <c r="K596" t="s">
        <v>84</v>
      </c>
      <c r="L596" t="s">
        <v>85</v>
      </c>
      <c r="M596" t="s">
        <v>86</v>
      </c>
      <c r="N596">
        <v>3</v>
      </c>
      <c r="O596" s="1">
        <v>44200.536377314813</v>
      </c>
      <c r="P596" s="1">
        <v>44201.358148148145</v>
      </c>
      <c r="Q596">
        <v>66928</v>
      </c>
      <c r="R596">
        <v>4073</v>
      </c>
      <c r="S596" t="b">
        <v>0</v>
      </c>
      <c r="T596" t="s">
        <v>87</v>
      </c>
      <c r="U596" t="b">
        <v>0</v>
      </c>
      <c r="V596" t="s">
        <v>142</v>
      </c>
      <c r="W596" s="1">
        <v>44200.663993055554</v>
      </c>
      <c r="X596">
        <v>1799</v>
      </c>
      <c r="Y596">
        <v>369</v>
      </c>
      <c r="Z596">
        <v>0</v>
      </c>
      <c r="AA596">
        <v>369</v>
      </c>
      <c r="AB596">
        <v>0</v>
      </c>
      <c r="AC596">
        <v>219</v>
      </c>
      <c r="AD596">
        <v>-86</v>
      </c>
      <c r="AE596">
        <v>0</v>
      </c>
      <c r="AF596">
        <v>0</v>
      </c>
      <c r="AG596">
        <v>0</v>
      </c>
      <c r="AH596" t="s">
        <v>128</v>
      </c>
      <c r="AI596" s="1">
        <v>44200.689756944441</v>
      </c>
      <c r="AJ596">
        <v>2202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-86</v>
      </c>
      <c r="AQ596">
        <v>0</v>
      </c>
      <c r="AR596">
        <v>0</v>
      </c>
      <c r="AS596">
        <v>0</v>
      </c>
      <c r="AT596" t="s">
        <v>90</v>
      </c>
      <c r="AU596" s="1">
        <v>44201.358148148145</v>
      </c>
      <c r="AV596">
        <v>72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-86</v>
      </c>
      <c r="BC596">
        <v>0</v>
      </c>
      <c r="BD596">
        <v>0</v>
      </c>
      <c r="BE596">
        <v>0</v>
      </c>
    </row>
    <row r="597" spans="1:57" hidden="1" x14ac:dyDescent="0.45">
      <c r="A597" t="s">
        <v>1601</v>
      </c>
      <c r="B597" t="s">
        <v>79</v>
      </c>
      <c r="C597" t="s">
        <v>1383</v>
      </c>
      <c r="D597" t="s">
        <v>81</v>
      </c>
      <c r="E597" s="2" t="str">
        <f>HYPERLINK("capsilon://?command=openfolder&amp;siteaddress=FAM.docvelocity-na8.net&amp;folderid=FX0E3C9174-FA0A-7950-F5E6-312D3CC4D2CF","FX20122527")</f>
        <v>FX20122527</v>
      </c>
      <c r="F597" t="s">
        <v>19</v>
      </c>
      <c r="G597" t="s">
        <v>19</v>
      </c>
      <c r="H597" t="s">
        <v>82</v>
      </c>
      <c r="I597" t="s">
        <v>1602</v>
      </c>
      <c r="J597">
        <v>66</v>
      </c>
      <c r="K597" t="s">
        <v>84</v>
      </c>
      <c r="L597" t="s">
        <v>85</v>
      </c>
      <c r="M597" t="s">
        <v>86</v>
      </c>
      <c r="N597">
        <v>1</v>
      </c>
      <c r="O597" s="1">
        <v>44204.638414351852</v>
      </c>
      <c r="P597" s="1">
        <v>44204.6409375</v>
      </c>
      <c r="Q597">
        <v>163</v>
      </c>
      <c r="R597">
        <v>55</v>
      </c>
      <c r="S597" t="b">
        <v>0</v>
      </c>
      <c r="T597" t="s">
        <v>87</v>
      </c>
      <c r="U597" t="b">
        <v>0</v>
      </c>
      <c r="V597" t="s">
        <v>168</v>
      </c>
      <c r="W597" s="1">
        <v>44204.6409375</v>
      </c>
      <c r="X597">
        <v>55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66</v>
      </c>
      <c r="AE597">
        <v>0</v>
      </c>
      <c r="AF597">
        <v>0</v>
      </c>
      <c r="AG597">
        <v>1</v>
      </c>
      <c r="AH597" t="s">
        <v>87</v>
      </c>
      <c r="AI597" t="s">
        <v>87</v>
      </c>
      <c r="AJ597" t="s">
        <v>87</v>
      </c>
      <c r="AK597" t="s">
        <v>87</v>
      </c>
      <c r="AL597" t="s">
        <v>87</v>
      </c>
      <c r="AM597" t="s">
        <v>87</v>
      </c>
      <c r="AN597" t="s">
        <v>87</v>
      </c>
      <c r="AO597" t="s">
        <v>87</v>
      </c>
      <c r="AP597" t="s">
        <v>87</v>
      </c>
      <c r="AQ597" t="s">
        <v>87</v>
      </c>
      <c r="AR597" t="s">
        <v>87</v>
      </c>
      <c r="AS597" t="s">
        <v>87</v>
      </c>
      <c r="AT597" t="s">
        <v>87</v>
      </c>
      <c r="AU597" t="s">
        <v>87</v>
      </c>
      <c r="AV597" t="s">
        <v>87</v>
      </c>
      <c r="AW597" t="s">
        <v>87</v>
      </c>
      <c r="AX597" t="s">
        <v>87</v>
      </c>
      <c r="AY597" t="s">
        <v>87</v>
      </c>
      <c r="AZ597" t="s">
        <v>87</v>
      </c>
      <c r="BA597" t="s">
        <v>87</v>
      </c>
      <c r="BB597" t="s">
        <v>87</v>
      </c>
      <c r="BC597" t="s">
        <v>87</v>
      </c>
      <c r="BD597" t="s">
        <v>87</v>
      </c>
      <c r="BE597" t="s">
        <v>87</v>
      </c>
    </row>
    <row r="598" spans="1:57" x14ac:dyDescent="0.45">
      <c r="A598" t="s">
        <v>1603</v>
      </c>
      <c r="B598" t="s">
        <v>79</v>
      </c>
      <c r="C598" t="s">
        <v>1604</v>
      </c>
      <c r="D598" t="s">
        <v>81</v>
      </c>
      <c r="E598" s="2" t="str">
        <f>HYPERLINK("capsilon://?command=openfolder&amp;siteaddress=FAM.docvelocity-na8.net&amp;folderid=FX49B7D733-E332-5CDA-00C9-21F9F48A407C","FX21012970")</f>
        <v>FX21012970</v>
      </c>
      <c r="F598" t="s">
        <v>19</v>
      </c>
      <c r="G598" t="s">
        <v>19</v>
      </c>
      <c r="H598" t="s">
        <v>82</v>
      </c>
      <c r="I598" t="s">
        <v>1605</v>
      </c>
      <c r="J598">
        <v>38</v>
      </c>
      <c r="K598" t="s">
        <v>84</v>
      </c>
      <c r="L598" t="s">
        <v>85</v>
      </c>
      <c r="M598" t="s">
        <v>86</v>
      </c>
      <c r="N598">
        <v>3</v>
      </c>
      <c r="O598" s="1">
        <v>44204.640509259261</v>
      </c>
      <c r="P598" s="1">
        <v>44207.353564814817</v>
      </c>
      <c r="Q598">
        <v>233715</v>
      </c>
      <c r="R598">
        <v>693</v>
      </c>
      <c r="S598" t="b">
        <v>0</v>
      </c>
      <c r="T598" t="s">
        <v>87</v>
      </c>
      <c r="U598" t="b">
        <v>0</v>
      </c>
      <c r="V598" t="s">
        <v>179</v>
      </c>
      <c r="W598" s="1">
        <v>44204.646192129629</v>
      </c>
      <c r="X598">
        <v>490</v>
      </c>
      <c r="Y598">
        <v>37</v>
      </c>
      <c r="Z598">
        <v>0</v>
      </c>
      <c r="AA598">
        <v>37</v>
      </c>
      <c r="AB598">
        <v>0</v>
      </c>
      <c r="AC598">
        <v>11</v>
      </c>
      <c r="AD598">
        <v>1</v>
      </c>
      <c r="AE598">
        <v>0</v>
      </c>
      <c r="AF598">
        <v>0</v>
      </c>
      <c r="AG598">
        <v>0</v>
      </c>
      <c r="AH598" t="s">
        <v>128</v>
      </c>
      <c r="AI598" s="1">
        <v>44204.65729166667</v>
      </c>
      <c r="AJ598">
        <v>193</v>
      </c>
      <c r="AK598">
        <v>2</v>
      </c>
      <c r="AL598">
        <v>0</v>
      </c>
      <c r="AM598">
        <v>2</v>
      </c>
      <c r="AN598">
        <v>0</v>
      </c>
      <c r="AO598">
        <v>2</v>
      </c>
      <c r="AP598">
        <v>-1</v>
      </c>
      <c r="AQ598">
        <v>0</v>
      </c>
      <c r="AR598">
        <v>0</v>
      </c>
      <c r="AS598">
        <v>0</v>
      </c>
      <c r="AT598" t="s">
        <v>90</v>
      </c>
      <c r="AU598" s="1">
        <v>44207.353564814817</v>
      </c>
      <c r="AV598">
        <v>10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-1</v>
      </c>
      <c r="BC598">
        <v>0</v>
      </c>
      <c r="BD598">
        <v>0</v>
      </c>
      <c r="BE598">
        <v>0</v>
      </c>
    </row>
    <row r="599" spans="1:57" x14ac:dyDescent="0.45">
      <c r="A599" t="s">
        <v>1606</v>
      </c>
      <c r="B599" t="s">
        <v>79</v>
      </c>
      <c r="C599" t="s">
        <v>1383</v>
      </c>
      <c r="D599" t="s">
        <v>81</v>
      </c>
      <c r="E599" s="2" t="str">
        <f>HYPERLINK("capsilon://?command=openfolder&amp;siteaddress=FAM.docvelocity-na8.net&amp;folderid=FX0E3C9174-FA0A-7950-F5E6-312D3CC4D2CF","FX20122527")</f>
        <v>FX20122527</v>
      </c>
      <c r="F599" t="s">
        <v>19</v>
      </c>
      <c r="G599" t="s">
        <v>19</v>
      </c>
      <c r="H599" t="s">
        <v>82</v>
      </c>
      <c r="I599" t="s">
        <v>1602</v>
      </c>
      <c r="J599">
        <v>79</v>
      </c>
      <c r="K599" t="s">
        <v>84</v>
      </c>
      <c r="L599" t="s">
        <v>85</v>
      </c>
      <c r="M599" t="s">
        <v>86</v>
      </c>
      <c r="N599">
        <v>3</v>
      </c>
      <c r="O599" s="1">
        <v>44204.642071759263</v>
      </c>
      <c r="P599" s="1">
        <v>44204.656817129631</v>
      </c>
      <c r="Q599">
        <v>554</v>
      </c>
      <c r="R599">
        <v>720</v>
      </c>
      <c r="S599" t="b">
        <v>0</v>
      </c>
      <c r="T599" t="s">
        <v>87</v>
      </c>
      <c r="U599" t="b">
        <v>1</v>
      </c>
      <c r="V599" t="s">
        <v>168</v>
      </c>
      <c r="W599" s="1">
        <v>44204.646354166667</v>
      </c>
      <c r="X599">
        <v>369</v>
      </c>
      <c r="Y599">
        <v>51</v>
      </c>
      <c r="Z599">
        <v>0</v>
      </c>
      <c r="AA599">
        <v>51</v>
      </c>
      <c r="AB599">
        <v>0</v>
      </c>
      <c r="AC599">
        <v>7</v>
      </c>
      <c r="AD599">
        <v>28</v>
      </c>
      <c r="AE599">
        <v>0</v>
      </c>
      <c r="AF599">
        <v>0</v>
      </c>
      <c r="AG599">
        <v>0</v>
      </c>
      <c r="AH599" t="s">
        <v>128</v>
      </c>
      <c r="AI599" s="1">
        <v>44204.655046296299</v>
      </c>
      <c r="AJ599">
        <v>211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28</v>
      </c>
      <c r="AQ599">
        <v>0</v>
      </c>
      <c r="AR599">
        <v>0</v>
      </c>
      <c r="AS599">
        <v>0</v>
      </c>
      <c r="AT599" t="s">
        <v>549</v>
      </c>
      <c r="AU599" s="1">
        <v>44204.656817129631</v>
      </c>
      <c r="AV599">
        <v>140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28</v>
      </c>
      <c r="BC599">
        <v>0</v>
      </c>
      <c r="BD599">
        <v>0</v>
      </c>
      <c r="BE599">
        <v>0</v>
      </c>
    </row>
    <row r="600" spans="1:57" hidden="1" x14ac:dyDescent="0.45">
      <c r="A600" t="s">
        <v>1607</v>
      </c>
      <c r="B600" t="s">
        <v>79</v>
      </c>
      <c r="C600" t="s">
        <v>1608</v>
      </c>
      <c r="D600" t="s">
        <v>81</v>
      </c>
      <c r="E600" s="2" t="str">
        <f>HYPERLINK("capsilon://?command=openfolder&amp;siteaddress=FAM.docvelocity-na8.net&amp;folderid=FX5F0E7718-5252-BB2A-2F1C-E784F9B2B000","FX201221151")</f>
        <v>FX201221151</v>
      </c>
      <c r="F600" t="s">
        <v>19</v>
      </c>
      <c r="G600" t="s">
        <v>19</v>
      </c>
      <c r="H600" t="s">
        <v>82</v>
      </c>
      <c r="I600" t="s">
        <v>1609</v>
      </c>
      <c r="J600">
        <v>66</v>
      </c>
      <c r="K600" t="s">
        <v>84</v>
      </c>
      <c r="L600" t="s">
        <v>85</v>
      </c>
      <c r="M600" t="s">
        <v>86</v>
      </c>
      <c r="N600">
        <v>1</v>
      </c>
      <c r="O600" s="1">
        <v>44204.652592592596</v>
      </c>
      <c r="P600" s="1">
        <v>44204.654097222221</v>
      </c>
      <c r="Q600">
        <v>116</v>
      </c>
      <c r="R600">
        <v>14</v>
      </c>
      <c r="S600" t="b">
        <v>0</v>
      </c>
      <c r="T600" t="s">
        <v>87</v>
      </c>
      <c r="U600" t="b">
        <v>0</v>
      </c>
      <c r="V600" t="s">
        <v>146</v>
      </c>
      <c r="W600" s="1">
        <v>44204.654097222221</v>
      </c>
      <c r="X600">
        <v>14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66</v>
      </c>
      <c r="AE600">
        <v>0</v>
      </c>
      <c r="AF600">
        <v>0</v>
      </c>
      <c r="AG600">
        <v>1</v>
      </c>
      <c r="AH600" t="s">
        <v>87</v>
      </c>
      <c r="AI600" t="s">
        <v>87</v>
      </c>
      <c r="AJ600" t="s">
        <v>87</v>
      </c>
      <c r="AK600" t="s">
        <v>87</v>
      </c>
      <c r="AL600" t="s">
        <v>87</v>
      </c>
      <c r="AM600" t="s">
        <v>87</v>
      </c>
      <c r="AN600" t="s">
        <v>87</v>
      </c>
      <c r="AO600" t="s">
        <v>87</v>
      </c>
      <c r="AP600" t="s">
        <v>87</v>
      </c>
      <c r="AQ600" t="s">
        <v>87</v>
      </c>
      <c r="AR600" t="s">
        <v>87</v>
      </c>
      <c r="AS600" t="s">
        <v>87</v>
      </c>
      <c r="AT600" t="s">
        <v>87</v>
      </c>
      <c r="AU600" t="s">
        <v>87</v>
      </c>
      <c r="AV600" t="s">
        <v>87</v>
      </c>
      <c r="AW600" t="s">
        <v>87</v>
      </c>
      <c r="AX600" t="s">
        <v>87</v>
      </c>
      <c r="AY600" t="s">
        <v>87</v>
      </c>
      <c r="AZ600" t="s">
        <v>87</v>
      </c>
      <c r="BA600" t="s">
        <v>87</v>
      </c>
      <c r="BB600" t="s">
        <v>87</v>
      </c>
      <c r="BC600" t="s">
        <v>87</v>
      </c>
      <c r="BD600" t="s">
        <v>87</v>
      </c>
      <c r="BE600" t="s">
        <v>87</v>
      </c>
    </row>
    <row r="601" spans="1:57" x14ac:dyDescent="0.45">
      <c r="A601" t="s">
        <v>1610</v>
      </c>
      <c r="B601" t="s">
        <v>79</v>
      </c>
      <c r="C601" t="s">
        <v>1608</v>
      </c>
      <c r="D601" t="s">
        <v>81</v>
      </c>
      <c r="E601" s="2" t="str">
        <f>HYPERLINK("capsilon://?command=openfolder&amp;siteaddress=FAM.docvelocity-na8.net&amp;folderid=FX5F0E7718-5252-BB2A-2F1C-E784F9B2B000","FX201221151")</f>
        <v>FX201221151</v>
      </c>
      <c r="F601" t="s">
        <v>19</v>
      </c>
      <c r="G601" t="s">
        <v>19</v>
      </c>
      <c r="H601" t="s">
        <v>82</v>
      </c>
      <c r="I601" t="s">
        <v>1609</v>
      </c>
      <c r="J601">
        <v>38</v>
      </c>
      <c r="K601" t="s">
        <v>84</v>
      </c>
      <c r="L601" t="s">
        <v>85</v>
      </c>
      <c r="M601" t="s">
        <v>86</v>
      </c>
      <c r="N601">
        <v>3</v>
      </c>
      <c r="O601" s="1">
        <v>44204.654398148145</v>
      </c>
      <c r="P601" s="1">
        <v>44207.342928240738</v>
      </c>
      <c r="Q601">
        <v>230046</v>
      </c>
      <c r="R601">
        <v>2243</v>
      </c>
      <c r="S601" t="b">
        <v>0</v>
      </c>
      <c r="T601" t="s">
        <v>87</v>
      </c>
      <c r="U601" t="b">
        <v>1</v>
      </c>
      <c r="V601" t="s">
        <v>179</v>
      </c>
      <c r="W601" s="1">
        <v>44204.678344907406</v>
      </c>
      <c r="X601">
        <v>2019</v>
      </c>
      <c r="Y601">
        <v>37</v>
      </c>
      <c r="Z601">
        <v>0</v>
      </c>
      <c r="AA601">
        <v>37</v>
      </c>
      <c r="AB601">
        <v>0</v>
      </c>
      <c r="AC601">
        <v>34</v>
      </c>
      <c r="AD601">
        <v>1</v>
      </c>
      <c r="AE601">
        <v>0</v>
      </c>
      <c r="AF601">
        <v>0</v>
      </c>
      <c r="AG601">
        <v>0</v>
      </c>
      <c r="AH601" t="s">
        <v>128</v>
      </c>
      <c r="AI601" s="1">
        <v>44204.680763888886</v>
      </c>
      <c r="AJ601">
        <v>171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 t="s">
        <v>90</v>
      </c>
      <c r="AU601" s="1">
        <v>44207.342928240738</v>
      </c>
      <c r="AV601">
        <v>5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</row>
    <row r="602" spans="1:57" x14ac:dyDescent="0.45">
      <c r="A602" t="s">
        <v>1611</v>
      </c>
      <c r="B602" t="s">
        <v>79</v>
      </c>
      <c r="C602" t="s">
        <v>1612</v>
      </c>
      <c r="D602" t="s">
        <v>81</v>
      </c>
      <c r="E602" s="2" t="str">
        <f>HYPERLINK("capsilon://?command=openfolder&amp;siteaddress=FAM.docvelocity-na8.net&amp;folderid=FX6B195C41-5324-B9DE-D87A-CB64B46215FE","FX2101488")</f>
        <v>FX2101488</v>
      </c>
      <c r="F602" t="s">
        <v>19</v>
      </c>
      <c r="G602" t="s">
        <v>19</v>
      </c>
      <c r="H602" t="s">
        <v>82</v>
      </c>
      <c r="I602" t="s">
        <v>1613</v>
      </c>
      <c r="J602">
        <v>126</v>
      </c>
      <c r="K602" t="s">
        <v>84</v>
      </c>
      <c r="L602" t="s">
        <v>85</v>
      </c>
      <c r="M602" t="s">
        <v>86</v>
      </c>
      <c r="N602">
        <v>3</v>
      </c>
      <c r="O602" s="1">
        <v>44204.657812500001</v>
      </c>
      <c r="P602" s="1">
        <v>44207.353993055556</v>
      </c>
      <c r="Q602">
        <v>227153</v>
      </c>
      <c r="R602">
        <v>5797</v>
      </c>
      <c r="S602" t="b">
        <v>0</v>
      </c>
      <c r="T602" t="s">
        <v>87</v>
      </c>
      <c r="U602" t="b">
        <v>0</v>
      </c>
      <c r="V602" t="s">
        <v>171</v>
      </c>
      <c r="W602" s="1">
        <v>44204.710601851853</v>
      </c>
      <c r="X602">
        <v>4560</v>
      </c>
      <c r="Y602">
        <v>190</v>
      </c>
      <c r="Z602">
        <v>0</v>
      </c>
      <c r="AA602">
        <v>190</v>
      </c>
      <c r="AB602">
        <v>0</v>
      </c>
      <c r="AC602">
        <v>150</v>
      </c>
      <c r="AD602">
        <v>-64</v>
      </c>
      <c r="AE602">
        <v>0</v>
      </c>
      <c r="AF602">
        <v>0</v>
      </c>
      <c r="AG602">
        <v>0</v>
      </c>
      <c r="AH602" t="s">
        <v>128</v>
      </c>
      <c r="AI602" s="1">
        <v>44204.725821759261</v>
      </c>
      <c r="AJ602">
        <v>1201</v>
      </c>
      <c r="AK602">
        <v>34</v>
      </c>
      <c r="AL602">
        <v>0</v>
      </c>
      <c r="AM602">
        <v>34</v>
      </c>
      <c r="AN602">
        <v>0</v>
      </c>
      <c r="AO602">
        <v>36</v>
      </c>
      <c r="AP602">
        <v>-98</v>
      </c>
      <c r="AQ602">
        <v>0</v>
      </c>
      <c r="AR602">
        <v>0</v>
      </c>
      <c r="AS602">
        <v>0</v>
      </c>
      <c r="AT602" t="s">
        <v>90</v>
      </c>
      <c r="AU602" s="1">
        <v>44207.353993055556</v>
      </c>
      <c r="AV602">
        <v>36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-98</v>
      </c>
      <c r="BC602">
        <v>0</v>
      </c>
      <c r="BD602">
        <v>0</v>
      </c>
      <c r="BE602">
        <v>0</v>
      </c>
    </row>
    <row r="603" spans="1:57" x14ac:dyDescent="0.45">
      <c r="A603" t="s">
        <v>1614</v>
      </c>
      <c r="B603" t="s">
        <v>79</v>
      </c>
      <c r="C603" t="s">
        <v>1615</v>
      </c>
      <c r="D603" t="s">
        <v>81</v>
      </c>
      <c r="E603" s="2" t="str">
        <f>HYPERLINK("capsilon://?command=openfolder&amp;siteaddress=FAM.docvelocity-na8.net&amp;folderid=FXACABBD28-703D-0917-D1D5-99AADDD56237","FX21013228")</f>
        <v>FX21013228</v>
      </c>
      <c r="F603" t="s">
        <v>19</v>
      </c>
      <c r="G603" t="s">
        <v>19</v>
      </c>
      <c r="H603" t="s">
        <v>82</v>
      </c>
      <c r="I603" t="s">
        <v>1616</v>
      </c>
      <c r="J603">
        <v>314</v>
      </c>
      <c r="K603" t="s">
        <v>84</v>
      </c>
      <c r="L603" t="s">
        <v>85</v>
      </c>
      <c r="M603" t="s">
        <v>86</v>
      </c>
      <c r="N603">
        <v>3</v>
      </c>
      <c r="O603" s="1">
        <v>44204.671469907407</v>
      </c>
      <c r="P603" s="1">
        <v>44207.35659722222</v>
      </c>
      <c r="Q603">
        <v>229443</v>
      </c>
      <c r="R603">
        <v>2552</v>
      </c>
      <c r="S603" t="b">
        <v>0</v>
      </c>
      <c r="T603" t="s">
        <v>87</v>
      </c>
      <c r="U603" t="b">
        <v>0</v>
      </c>
      <c r="V603" t="s">
        <v>160</v>
      </c>
      <c r="W603" s="1">
        <v>44204.690370370372</v>
      </c>
      <c r="X603">
        <v>1632</v>
      </c>
      <c r="Y603">
        <v>233</v>
      </c>
      <c r="Z603">
        <v>0</v>
      </c>
      <c r="AA603">
        <v>233</v>
      </c>
      <c r="AB603">
        <v>0</v>
      </c>
      <c r="AC603">
        <v>86</v>
      </c>
      <c r="AD603">
        <v>81</v>
      </c>
      <c r="AE603">
        <v>0</v>
      </c>
      <c r="AF603">
        <v>0</v>
      </c>
      <c r="AG603">
        <v>0</v>
      </c>
      <c r="AH603" t="s">
        <v>128</v>
      </c>
      <c r="AI603" s="1">
        <v>44204.698483796295</v>
      </c>
      <c r="AJ603">
        <v>696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81</v>
      </c>
      <c r="AQ603">
        <v>0</v>
      </c>
      <c r="AR603">
        <v>0</v>
      </c>
      <c r="AS603">
        <v>0</v>
      </c>
      <c r="AT603" t="s">
        <v>90</v>
      </c>
      <c r="AU603" s="1">
        <v>44207.35659722222</v>
      </c>
      <c r="AV603">
        <v>224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81</v>
      </c>
      <c r="BC603">
        <v>0</v>
      </c>
      <c r="BD603">
        <v>0</v>
      </c>
      <c r="BE603">
        <v>0</v>
      </c>
    </row>
    <row r="604" spans="1:57" x14ac:dyDescent="0.45">
      <c r="A604" t="s">
        <v>1617</v>
      </c>
      <c r="B604" t="s">
        <v>79</v>
      </c>
      <c r="C604" t="s">
        <v>1491</v>
      </c>
      <c r="D604" t="s">
        <v>81</v>
      </c>
      <c r="E604" s="2" t="str">
        <f>HYPERLINK("capsilon://?command=openfolder&amp;siteaddress=FAM.docvelocity-na8.net&amp;folderid=FX9A2AF898-6D21-94AE-B855-C0A0FB820866","FX21012816")</f>
        <v>FX21012816</v>
      </c>
      <c r="F604" t="s">
        <v>19</v>
      </c>
      <c r="G604" t="s">
        <v>19</v>
      </c>
      <c r="H604" t="s">
        <v>82</v>
      </c>
      <c r="I604" t="s">
        <v>1618</v>
      </c>
      <c r="J604">
        <v>26</v>
      </c>
      <c r="K604" t="s">
        <v>84</v>
      </c>
      <c r="L604" t="s">
        <v>85</v>
      </c>
      <c r="M604" t="s">
        <v>81</v>
      </c>
      <c r="N604">
        <v>2</v>
      </c>
      <c r="O604" s="1">
        <v>44204.675266203703</v>
      </c>
      <c r="P604" s="1">
        <v>44204.686365740738</v>
      </c>
      <c r="Q604">
        <v>84</v>
      </c>
      <c r="R604">
        <v>875</v>
      </c>
      <c r="S604" t="b">
        <v>0</v>
      </c>
      <c r="T604" t="s">
        <v>259</v>
      </c>
      <c r="U604" t="b">
        <v>0</v>
      </c>
      <c r="V604" t="s">
        <v>146</v>
      </c>
      <c r="W604" s="1">
        <v>44204.681516203702</v>
      </c>
      <c r="X604">
        <v>539</v>
      </c>
      <c r="Y604">
        <v>21</v>
      </c>
      <c r="Z604">
        <v>0</v>
      </c>
      <c r="AA604">
        <v>21</v>
      </c>
      <c r="AB604">
        <v>0</v>
      </c>
      <c r="AC604">
        <v>4</v>
      </c>
      <c r="AD604">
        <v>5</v>
      </c>
      <c r="AE604">
        <v>0</v>
      </c>
      <c r="AF604">
        <v>0</v>
      </c>
      <c r="AG604">
        <v>0</v>
      </c>
      <c r="AH604" t="s">
        <v>259</v>
      </c>
      <c r="AI604" s="1">
        <v>44204.686365740738</v>
      </c>
      <c r="AJ604">
        <v>126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5</v>
      </c>
      <c r="AQ604">
        <v>21</v>
      </c>
      <c r="AR604">
        <v>0</v>
      </c>
      <c r="AS604">
        <v>2</v>
      </c>
      <c r="AT604" t="s">
        <v>87</v>
      </c>
      <c r="AU604" t="s">
        <v>87</v>
      </c>
      <c r="AV604" t="s">
        <v>87</v>
      </c>
      <c r="AW604" t="s">
        <v>87</v>
      </c>
      <c r="AX604" t="s">
        <v>87</v>
      </c>
      <c r="AY604" t="s">
        <v>87</v>
      </c>
      <c r="AZ604" t="s">
        <v>87</v>
      </c>
      <c r="BA604" t="s">
        <v>87</v>
      </c>
      <c r="BB604" t="s">
        <v>87</v>
      </c>
      <c r="BC604" t="s">
        <v>87</v>
      </c>
      <c r="BD604" t="s">
        <v>87</v>
      </c>
      <c r="BE604" t="s">
        <v>87</v>
      </c>
    </row>
    <row r="605" spans="1:57" hidden="1" x14ac:dyDescent="0.45">
      <c r="A605" t="s">
        <v>1619</v>
      </c>
      <c r="B605" t="s">
        <v>79</v>
      </c>
      <c r="C605" t="s">
        <v>1620</v>
      </c>
      <c r="D605" t="s">
        <v>81</v>
      </c>
      <c r="E605" s="2" t="str">
        <f>HYPERLINK("capsilon://?command=openfolder&amp;siteaddress=FAM.docvelocity-na8.net&amp;folderid=FX8F698780-CBE1-8BC8-7A89-7418DEF74210","FX201222998")</f>
        <v>FX201222998</v>
      </c>
      <c r="F605" t="s">
        <v>19</v>
      </c>
      <c r="G605" t="s">
        <v>19</v>
      </c>
      <c r="H605" t="s">
        <v>82</v>
      </c>
      <c r="I605" t="s">
        <v>1621</v>
      </c>
      <c r="J605">
        <v>66</v>
      </c>
      <c r="K605" t="s">
        <v>84</v>
      </c>
      <c r="L605" t="s">
        <v>85</v>
      </c>
      <c r="M605" t="s">
        <v>86</v>
      </c>
      <c r="N605">
        <v>1</v>
      </c>
      <c r="O605" s="1">
        <v>44204.677384259259</v>
      </c>
      <c r="P605" s="1">
        <v>44204.678749999999</v>
      </c>
      <c r="Q605">
        <v>1</v>
      </c>
      <c r="R605">
        <v>117</v>
      </c>
      <c r="S605" t="b">
        <v>0</v>
      </c>
      <c r="T605" t="s">
        <v>87</v>
      </c>
      <c r="U605" t="b">
        <v>0</v>
      </c>
      <c r="V605" t="s">
        <v>168</v>
      </c>
      <c r="W605" s="1">
        <v>44204.678749999999</v>
      </c>
      <c r="X605">
        <v>117</v>
      </c>
      <c r="Y605">
        <v>16</v>
      </c>
      <c r="Z605">
        <v>0</v>
      </c>
      <c r="AA605">
        <v>16</v>
      </c>
      <c r="AB605">
        <v>0</v>
      </c>
      <c r="AC605">
        <v>0</v>
      </c>
      <c r="AD605">
        <v>50</v>
      </c>
      <c r="AE605">
        <v>52</v>
      </c>
      <c r="AF605">
        <v>0</v>
      </c>
      <c r="AG605">
        <v>1</v>
      </c>
      <c r="AH605" t="s">
        <v>87</v>
      </c>
      <c r="AI605" t="s">
        <v>87</v>
      </c>
      <c r="AJ605" t="s">
        <v>87</v>
      </c>
      <c r="AK605" t="s">
        <v>87</v>
      </c>
      <c r="AL605" t="s">
        <v>87</v>
      </c>
      <c r="AM605" t="s">
        <v>87</v>
      </c>
      <c r="AN605" t="s">
        <v>87</v>
      </c>
      <c r="AO605" t="s">
        <v>87</v>
      </c>
      <c r="AP605" t="s">
        <v>87</v>
      </c>
      <c r="AQ605" t="s">
        <v>87</v>
      </c>
      <c r="AR605" t="s">
        <v>87</v>
      </c>
      <c r="AS605" t="s">
        <v>87</v>
      </c>
      <c r="AT605" t="s">
        <v>87</v>
      </c>
      <c r="AU605" t="s">
        <v>87</v>
      </c>
      <c r="AV605" t="s">
        <v>87</v>
      </c>
      <c r="AW605" t="s">
        <v>87</v>
      </c>
      <c r="AX605" t="s">
        <v>87</v>
      </c>
      <c r="AY605" t="s">
        <v>87</v>
      </c>
      <c r="AZ605" t="s">
        <v>87</v>
      </c>
      <c r="BA605" t="s">
        <v>87</v>
      </c>
      <c r="BB605" t="s">
        <v>87</v>
      </c>
      <c r="BC605" t="s">
        <v>87</v>
      </c>
      <c r="BD605" t="s">
        <v>87</v>
      </c>
      <c r="BE605" t="s">
        <v>87</v>
      </c>
    </row>
    <row r="606" spans="1:57" x14ac:dyDescent="0.45">
      <c r="A606" t="s">
        <v>1622</v>
      </c>
      <c r="B606" t="s">
        <v>79</v>
      </c>
      <c r="C606" t="s">
        <v>1620</v>
      </c>
      <c r="D606" t="s">
        <v>81</v>
      </c>
      <c r="E606" s="2" t="str">
        <f>HYPERLINK("capsilon://?command=openfolder&amp;siteaddress=FAM.docvelocity-na8.net&amp;folderid=FX8F698780-CBE1-8BC8-7A89-7418DEF74210","FX201222998")</f>
        <v>FX201222998</v>
      </c>
      <c r="F606" t="s">
        <v>19</v>
      </c>
      <c r="G606" t="s">
        <v>19</v>
      </c>
      <c r="H606" t="s">
        <v>82</v>
      </c>
      <c r="I606" t="s">
        <v>1621</v>
      </c>
      <c r="J606">
        <v>38</v>
      </c>
      <c r="K606" t="s">
        <v>84</v>
      </c>
      <c r="L606" t="s">
        <v>85</v>
      </c>
      <c r="M606" t="s">
        <v>86</v>
      </c>
      <c r="N606">
        <v>3</v>
      </c>
      <c r="O606" s="1">
        <v>44204.679606481484</v>
      </c>
      <c r="P606" s="1">
        <v>44207.34302083333</v>
      </c>
      <c r="Q606">
        <v>228929</v>
      </c>
      <c r="R606">
        <v>1190</v>
      </c>
      <c r="S606" t="b">
        <v>0</v>
      </c>
      <c r="T606" t="s">
        <v>87</v>
      </c>
      <c r="U606" t="b">
        <v>1</v>
      </c>
      <c r="V606" t="s">
        <v>168</v>
      </c>
      <c r="W606" s="1">
        <v>44204.691099537034</v>
      </c>
      <c r="X606">
        <v>992</v>
      </c>
      <c r="Y606">
        <v>37</v>
      </c>
      <c r="Z606">
        <v>0</v>
      </c>
      <c r="AA606">
        <v>37</v>
      </c>
      <c r="AB606">
        <v>0</v>
      </c>
      <c r="AC606">
        <v>35</v>
      </c>
      <c r="AD606">
        <v>1</v>
      </c>
      <c r="AE606">
        <v>0</v>
      </c>
      <c r="AF606">
        <v>0</v>
      </c>
      <c r="AG606">
        <v>0</v>
      </c>
      <c r="AH606" t="s">
        <v>128</v>
      </c>
      <c r="AI606" s="1">
        <v>44204.700706018521</v>
      </c>
      <c r="AJ606">
        <v>191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 t="s">
        <v>90</v>
      </c>
      <c r="AU606" s="1">
        <v>44207.34302083333</v>
      </c>
      <c r="AV606">
        <v>7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</row>
    <row r="607" spans="1:57" hidden="1" x14ac:dyDescent="0.45">
      <c r="A607" t="s">
        <v>1623</v>
      </c>
      <c r="B607" t="s">
        <v>79</v>
      </c>
      <c r="C607" t="s">
        <v>1568</v>
      </c>
      <c r="D607" t="s">
        <v>81</v>
      </c>
      <c r="E607" s="2" t="str">
        <f>HYPERLINK("capsilon://?command=openfolder&amp;siteaddress=FAM.docvelocity-na8.net&amp;folderid=FX4F2B6D11-203B-D3A1-D97C-FD0657F85A4A","FX20118563")</f>
        <v>FX20118563</v>
      </c>
      <c r="F607" t="s">
        <v>19</v>
      </c>
      <c r="G607" t="s">
        <v>19</v>
      </c>
      <c r="H607" t="s">
        <v>82</v>
      </c>
      <c r="I607" t="s">
        <v>1624</v>
      </c>
      <c r="J607">
        <v>66</v>
      </c>
      <c r="K607" t="s">
        <v>84</v>
      </c>
      <c r="L607" t="s">
        <v>85</v>
      </c>
      <c r="M607" t="s">
        <v>86</v>
      </c>
      <c r="N607">
        <v>1</v>
      </c>
      <c r="O607" s="1">
        <v>44204.682025462964</v>
      </c>
      <c r="P607" s="1">
        <v>44204.683067129627</v>
      </c>
      <c r="Q607">
        <v>1</v>
      </c>
      <c r="R607">
        <v>89</v>
      </c>
      <c r="S607" t="b">
        <v>0</v>
      </c>
      <c r="T607" t="s">
        <v>87</v>
      </c>
      <c r="U607" t="b">
        <v>0</v>
      </c>
      <c r="V607" t="s">
        <v>179</v>
      </c>
      <c r="W607" s="1">
        <v>44204.683067129627</v>
      </c>
      <c r="X607">
        <v>89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66</v>
      </c>
      <c r="AE607">
        <v>52</v>
      </c>
      <c r="AF607">
        <v>0</v>
      </c>
      <c r="AG607">
        <v>1</v>
      </c>
      <c r="AH607" t="s">
        <v>87</v>
      </c>
      <c r="AI607" t="s">
        <v>87</v>
      </c>
      <c r="AJ607" t="s">
        <v>87</v>
      </c>
      <c r="AK607" t="s">
        <v>87</v>
      </c>
      <c r="AL607" t="s">
        <v>87</v>
      </c>
      <c r="AM607" t="s">
        <v>87</v>
      </c>
      <c r="AN607" t="s">
        <v>87</v>
      </c>
      <c r="AO607" t="s">
        <v>87</v>
      </c>
      <c r="AP607" t="s">
        <v>87</v>
      </c>
      <c r="AQ607" t="s">
        <v>87</v>
      </c>
      <c r="AR607" t="s">
        <v>87</v>
      </c>
      <c r="AS607" t="s">
        <v>87</v>
      </c>
      <c r="AT607" t="s">
        <v>87</v>
      </c>
      <c r="AU607" t="s">
        <v>87</v>
      </c>
      <c r="AV607" t="s">
        <v>87</v>
      </c>
      <c r="AW607" t="s">
        <v>87</v>
      </c>
      <c r="AX607" t="s">
        <v>87</v>
      </c>
      <c r="AY607" t="s">
        <v>87</v>
      </c>
      <c r="AZ607" t="s">
        <v>87</v>
      </c>
      <c r="BA607" t="s">
        <v>87</v>
      </c>
      <c r="BB607" t="s">
        <v>87</v>
      </c>
      <c r="BC607" t="s">
        <v>87</v>
      </c>
      <c r="BD607" t="s">
        <v>87</v>
      </c>
      <c r="BE607" t="s">
        <v>87</v>
      </c>
    </row>
    <row r="608" spans="1:57" x14ac:dyDescent="0.45">
      <c r="A608" t="s">
        <v>1625</v>
      </c>
      <c r="B608" t="s">
        <v>79</v>
      </c>
      <c r="C608" t="s">
        <v>1626</v>
      </c>
      <c r="D608" t="s">
        <v>81</v>
      </c>
      <c r="E608" s="2" t="str">
        <f>HYPERLINK("capsilon://?command=openfolder&amp;siteaddress=FAM.docvelocity-na8.net&amp;folderid=FXE25E53FB-7B20-65A2-498D-68AB226F2A72","FX21013356")</f>
        <v>FX21013356</v>
      </c>
      <c r="F608" t="s">
        <v>19</v>
      </c>
      <c r="G608" t="s">
        <v>19</v>
      </c>
      <c r="H608" t="s">
        <v>82</v>
      </c>
      <c r="I608" t="s">
        <v>1627</v>
      </c>
      <c r="J608">
        <v>196</v>
      </c>
      <c r="K608" t="s">
        <v>84</v>
      </c>
      <c r="L608" t="s">
        <v>85</v>
      </c>
      <c r="M608" t="s">
        <v>86</v>
      </c>
      <c r="N608">
        <v>3</v>
      </c>
      <c r="O608" s="1">
        <v>44204.68236111111</v>
      </c>
      <c r="P608" s="1">
        <v>44207.358113425929</v>
      </c>
      <c r="Q608">
        <v>229362</v>
      </c>
      <c r="R608">
        <v>1823</v>
      </c>
      <c r="S608" t="b">
        <v>0</v>
      </c>
      <c r="T608" t="s">
        <v>87</v>
      </c>
      <c r="U608" t="b">
        <v>0</v>
      </c>
      <c r="V608" t="s">
        <v>259</v>
      </c>
      <c r="W608" s="1">
        <v>44204.696400462963</v>
      </c>
      <c r="X608">
        <v>1168</v>
      </c>
      <c r="Y608">
        <v>134</v>
      </c>
      <c r="Z608">
        <v>0</v>
      </c>
      <c r="AA608">
        <v>134</v>
      </c>
      <c r="AB608">
        <v>37</v>
      </c>
      <c r="AC608">
        <v>37</v>
      </c>
      <c r="AD608">
        <v>62</v>
      </c>
      <c r="AE608">
        <v>0</v>
      </c>
      <c r="AF608">
        <v>0</v>
      </c>
      <c r="AG608">
        <v>0</v>
      </c>
      <c r="AH608" t="s">
        <v>128</v>
      </c>
      <c r="AI608" s="1">
        <v>44204.711909722224</v>
      </c>
      <c r="AJ608">
        <v>525</v>
      </c>
      <c r="AK608">
        <v>0</v>
      </c>
      <c r="AL608">
        <v>0</v>
      </c>
      <c r="AM608">
        <v>0</v>
      </c>
      <c r="AN608">
        <v>37</v>
      </c>
      <c r="AO608">
        <v>0</v>
      </c>
      <c r="AP608">
        <v>62</v>
      </c>
      <c r="AQ608">
        <v>0</v>
      </c>
      <c r="AR608">
        <v>0</v>
      </c>
      <c r="AS608">
        <v>0</v>
      </c>
      <c r="AT608" t="s">
        <v>90</v>
      </c>
      <c r="AU608" s="1">
        <v>44207.358113425929</v>
      </c>
      <c r="AV608">
        <v>130</v>
      </c>
      <c r="AW608">
        <v>0</v>
      </c>
      <c r="AX608">
        <v>0</v>
      </c>
      <c r="AY608">
        <v>0</v>
      </c>
      <c r="AZ608">
        <v>37</v>
      </c>
      <c r="BA608">
        <v>0</v>
      </c>
      <c r="BB608">
        <v>62</v>
      </c>
      <c r="BC608">
        <v>0</v>
      </c>
      <c r="BD608">
        <v>0</v>
      </c>
      <c r="BE608">
        <v>0</v>
      </c>
    </row>
    <row r="609" spans="1:57" x14ac:dyDescent="0.45">
      <c r="A609" t="s">
        <v>1628</v>
      </c>
      <c r="B609" t="s">
        <v>79</v>
      </c>
      <c r="C609" t="s">
        <v>1568</v>
      </c>
      <c r="D609" t="s">
        <v>81</v>
      </c>
      <c r="E609" s="2" t="str">
        <f>HYPERLINK("capsilon://?command=openfolder&amp;siteaddress=FAM.docvelocity-na8.net&amp;folderid=FX4F2B6D11-203B-D3A1-D97C-FD0657F85A4A","FX20118563")</f>
        <v>FX20118563</v>
      </c>
      <c r="F609" t="s">
        <v>19</v>
      </c>
      <c r="G609" t="s">
        <v>19</v>
      </c>
      <c r="H609" t="s">
        <v>82</v>
      </c>
      <c r="I609" t="s">
        <v>1624</v>
      </c>
      <c r="J609">
        <v>38</v>
      </c>
      <c r="K609" t="s">
        <v>84</v>
      </c>
      <c r="L609" t="s">
        <v>85</v>
      </c>
      <c r="M609" t="s">
        <v>86</v>
      </c>
      <c r="N609">
        <v>3</v>
      </c>
      <c r="O609" s="1">
        <v>44204.68377314815</v>
      </c>
      <c r="P609" s="1">
        <v>44207.343090277776</v>
      </c>
      <c r="Q609">
        <v>228855</v>
      </c>
      <c r="R609">
        <v>910</v>
      </c>
      <c r="S609" t="b">
        <v>0</v>
      </c>
      <c r="T609" t="s">
        <v>87</v>
      </c>
      <c r="U609" t="b">
        <v>1</v>
      </c>
      <c r="V609" t="s">
        <v>179</v>
      </c>
      <c r="W609" s="1">
        <v>44204.692384259259</v>
      </c>
      <c r="X609">
        <v>743</v>
      </c>
      <c r="Y609">
        <v>37</v>
      </c>
      <c r="Z609">
        <v>0</v>
      </c>
      <c r="AA609">
        <v>37</v>
      </c>
      <c r="AB609">
        <v>0</v>
      </c>
      <c r="AC609">
        <v>33</v>
      </c>
      <c r="AD609">
        <v>1</v>
      </c>
      <c r="AE609">
        <v>0</v>
      </c>
      <c r="AF609">
        <v>0</v>
      </c>
      <c r="AG609">
        <v>0</v>
      </c>
      <c r="AH609" t="s">
        <v>128</v>
      </c>
      <c r="AI609" s="1">
        <v>44204.702592592592</v>
      </c>
      <c r="AJ609">
        <v>162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 t="s">
        <v>90</v>
      </c>
      <c r="AU609" s="1">
        <v>44207.343090277776</v>
      </c>
      <c r="AV609">
        <v>5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</row>
    <row r="610" spans="1:57" x14ac:dyDescent="0.45">
      <c r="A610" t="s">
        <v>1629</v>
      </c>
      <c r="B610" t="s">
        <v>79</v>
      </c>
      <c r="C610" t="s">
        <v>1491</v>
      </c>
      <c r="D610" t="s">
        <v>81</v>
      </c>
      <c r="E610" s="2" t="str">
        <f>HYPERLINK("capsilon://?command=openfolder&amp;siteaddress=FAM.docvelocity-na8.net&amp;folderid=FX9A2AF898-6D21-94AE-B855-C0A0FB820866","FX21012816")</f>
        <v>FX21012816</v>
      </c>
      <c r="F610" t="s">
        <v>19</v>
      </c>
      <c r="G610" t="s">
        <v>19</v>
      </c>
      <c r="H610" t="s">
        <v>82</v>
      </c>
      <c r="I610" t="s">
        <v>1618</v>
      </c>
      <c r="J610">
        <v>52</v>
      </c>
      <c r="K610" t="s">
        <v>84</v>
      </c>
      <c r="L610" t="s">
        <v>85</v>
      </c>
      <c r="M610" t="s">
        <v>86</v>
      </c>
      <c r="N610">
        <v>3</v>
      </c>
      <c r="O610" s="1">
        <v>44204.687615740739</v>
      </c>
      <c r="P610" s="1">
        <v>44207.343171296299</v>
      </c>
      <c r="Q610">
        <v>228584</v>
      </c>
      <c r="R610">
        <v>856</v>
      </c>
      <c r="S610" t="b">
        <v>0</v>
      </c>
      <c r="T610" t="s">
        <v>87</v>
      </c>
      <c r="U610" t="b">
        <v>1</v>
      </c>
      <c r="V610" t="s">
        <v>168</v>
      </c>
      <c r="W610" s="1">
        <v>44204.699097222219</v>
      </c>
      <c r="X610">
        <v>571</v>
      </c>
      <c r="Y610">
        <v>42</v>
      </c>
      <c r="Z610">
        <v>0</v>
      </c>
      <c r="AA610">
        <v>42</v>
      </c>
      <c r="AB610">
        <v>0</v>
      </c>
      <c r="AC610">
        <v>6</v>
      </c>
      <c r="AD610">
        <v>10</v>
      </c>
      <c r="AE610">
        <v>0</v>
      </c>
      <c r="AF610">
        <v>0</v>
      </c>
      <c r="AG610">
        <v>0</v>
      </c>
      <c r="AH610" t="s">
        <v>128</v>
      </c>
      <c r="AI610" s="1">
        <v>44204.705833333333</v>
      </c>
      <c r="AJ610">
        <v>279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10</v>
      </c>
      <c r="AQ610">
        <v>0</v>
      </c>
      <c r="AR610">
        <v>0</v>
      </c>
      <c r="AS610">
        <v>0</v>
      </c>
      <c r="AT610" t="s">
        <v>90</v>
      </c>
      <c r="AU610" s="1">
        <v>44207.343171296299</v>
      </c>
      <c r="AV610">
        <v>6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10</v>
      </c>
      <c r="BC610">
        <v>0</v>
      </c>
      <c r="BD610">
        <v>0</v>
      </c>
      <c r="BE610">
        <v>0</v>
      </c>
    </row>
    <row r="611" spans="1:57" hidden="1" x14ac:dyDescent="0.45">
      <c r="A611" t="s">
        <v>1630</v>
      </c>
      <c r="B611" t="s">
        <v>79</v>
      </c>
      <c r="C611" t="s">
        <v>1631</v>
      </c>
      <c r="D611" t="s">
        <v>81</v>
      </c>
      <c r="E611" s="2" t="str">
        <f>HYPERLINK("capsilon://?command=openfolder&amp;siteaddress=FAM.docvelocity-na8.net&amp;folderid=FX7ADA080F-954E-0547-72AB-0286AF906F3F","FX21014120")</f>
        <v>FX21014120</v>
      </c>
      <c r="F611" t="s">
        <v>19</v>
      </c>
      <c r="G611" t="s">
        <v>19</v>
      </c>
      <c r="H611" t="s">
        <v>82</v>
      </c>
      <c r="I611" t="s">
        <v>1632</v>
      </c>
      <c r="J611">
        <v>38</v>
      </c>
      <c r="K611" t="s">
        <v>84</v>
      </c>
      <c r="L611" t="s">
        <v>85</v>
      </c>
      <c r="M611" t="s">
        <v>86</v>
      </c>
      <c r="N611">
        <v>3</v>
      </c>
      <c r="O611" s="1">
        <v>44204.696759259263</v>
      </c>
      <c r="P611" s="1">
        <v>44207.358888888892</v>
      </c>
      <c r="Q611">
        <v>229594</v>
      </c>
      <c r="R611">
        <v>414</v>
      </c>
      <c r="S611" t="b">
        <v>0</v>
      </c>
      <c r="T611" t="s">
        <v>87</v>
      </c>
      <c r="U611" t="b">
        <v>0</v>
      </c>
      <c r="V611" t="s">
        <v>160</v>
      </c>
      <c r="W611" s="1">
        <v>44204.70076388889</v>
      </c>
      <c r="X611">
        <v>345</v>
      </c>
      <c r="Y611">
        <v>0</v>
      </c>
      <c r="Z611">
        <v>0</v>
      </c>
      <c r="AA611">
        <v>0</v>
      </c>
      <c r="AB611">
        <v>37</v>
      </c>
      <c r="AC611">
        <v>0</v>
      </c>
      <c r="AD611">
        <v>38</v>
      </c>
      <c r="AE611">
        <v>0</v>
      </c>
      <c r="AF611">
        <v>0</v>
      </c>
      <c r="AG611">
        <v>0</v>
      </c>
      <c r="AH611" t="s">
        <v>128</v>
      </c>
      <c r="AI611" s="1">
        <v>44204.726597222223</v>
      </c>
      <c r="AJ611">
        <v>66</v>
      </c>
      <c r="AK611">
        <v>0</v>
      </c>
      <c r="AL611">
        <v>0</v>
      </c>
      <c r="AM611">
        <v>0</v>
      </c>
      <c r="AN611">
        <v>37</v>
      </c>
      <c r="AO611">
        <v>0</v>
      </c>
      <c r="AP611">
        <v>38</v>
      </c>
      <c r="AQ611">
        <v>0</v>
      </c>
      <c r="AR611">
        <v>0</v>
      </c>
      <c r="AS611">
        <v>0</v>
      </c>
      <c r="AT611" t="s">
        <v>90</v>
      </c>
      <c r="AU611" s="1">
        <v>44207.358888888892</v>
      </c>
      <c r="AV611">
        <v>3</v>
      </c>
      <c r="AW611">
        <v>0</v>
      </c>
      <c r="AX611">
        <v>0</v>
      </c>
      <c r="AY611">
        <v>0</v>
      </c>
      <c r="AZ611">
        <v>37</v>
      </c>
      <c r="BA611">
        <v>0</v>
      </c>
      <c r="BB611">
        <v>38</v>
      </c>
      <c r="BC611">
        <v>0</v>
      </c>
      <c r="BD611">
        <v>0</v>
      </c>
      <c r="BE611">
        <v>0</v>
      </c>
    </row>
    <row r="612" spans="1:57" x14ac:dyDescent="0.45">
      <c r="A612" t="s">
        <v>1633</v>
      </c>
      <c r="B612" t="s">
        <v>79</v>
      </c>
      <c r="C612" t="s">
        <v>1634</v>
      </c>
      <c r="D612" t="s">
        <v>81</v>
      </c>
      <c r="E612" s="2" t="str">
        <f>HYPERLINK("capsilon://?command=openfolder&amp;siteaddress=FAM.docvelocity-na8.net&amp;folderid=FX0E0F265E-2136-CFF3-353D-0946DE3897F1","FX21014282")</f>
        <v>FX21014282</v>
      </c>
      <c r="F612" t="s">
        <v>19</v>
      </c>
      <c r="G612" t="s">
        <v>19</v>
      </c>
      <c r="H612" t="s">
        <v>82</v>
      </c>
      <c r="I612" t="s">
        <v>1635</v>
      </c>
      <c r="J612">
        <v>179</v>
      </c>
      <c r="K612" t="s">
        <v>84</v>
      </c>
      <c r="L612" t="s">
        <v>85</v>
      </c>
      <c r="M612" t="s">
        <v>86</v>
      </c>
      <c r="N612">
        <v>3</v>
      </c>
      <c r="O612" s="1">
        <v>44204.701423611114</v>
      </c>
      <c r="P612" s="1">
        <v>44207.3594212963</v>
      </c>
      <c r="Q612">
        <v>227806</v>
      </c>
      <c r="R612">
        <v>1845</v>
      </c>
      <c r="S612" t="b">
        <v>0</v>
      </c>
      <c r="T612" t="s">
        <v>87</v>
      </c>
      <c r="U612" t="b">
        <v>0</v>
      </c>
      <c r="V612" t="s">
        <v>160</v>
      </c>
      <c r="W612" s="1">
        <v>44204.716516203705</v>
      </c>
      <c r="X612">
        <v>1303</v>
      </c>
      <c r="Y612">
        <v>160</v>
      </c>
      <c r="Z612">
        <v>0</v>
      </c>
      <c r="AA612">
        <v>160</v>
      </c>
      <c r="AB612">
        <v>0</v>
      </c>
      <c r="AC612">
        <v>49</v>
      </c>
      <c r="AD612">
        <v>19</v>
      </c>
      <c r="AE612">
        <v>0</v>
      </c>
      <c r="AF612">
        <v>0</v>
      </c>
      <c r="AG612">
        <v>0</v>
      </c>
      <c r="AH612" t="s">
        <v>128</v>
      </c>
      <c r="AI612" s="1">
        <v>44204.732395833336</v>
      </c>
      <c r="AJ612">
        <v>458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19</v>
      </c>
      <c r="AQ612">
        <v>0</v>
      </c>
      <c r="AR612">
        <v>0</v>
      </c>
      <c r="AS612">
        <v>0</v>
      </c>
      <c r="AT612" t="s">
        <v>90</v>
      </c>
      <c r="AU612" s="1">
        <v>44207.3594212963</v>
      </c>
      <c r="AV612">
        <v>45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19</v>
      </c>
      <c r="BC612">
        <v>0</v>
      </c>
      <c r="BD612">
        <v>0</v>
      </c>
      <c r="BE612">
        <v>0</v>
      </c>
    </row>
    <row r="613" spans="1:57" x14ac:dyDescent="0.45">
      <c r="A613" t="s">
        <v>1636</v>
      </c>
      <c r="B613" t="s">
        <v>79</v>
      </c>
      <c r="C613" t="s">
        <v>1637</v>
      </c>
      <c r="D613" t="s">
        <v>81</v>
      </c>
      <c r="E613" s="2" t="str">
        <f>HYPERLINK("capsilon://?command=openfolder&amp;siteaddress=FAM.docvelocity-na8.net&amp;folderid=FX6F6AD2D9-7CD0-54A1-D953-15F377EE934B","FX21013896")</f>
        <v>FX21013896</v>
      </c>
      <c r="F613" t="s">
        <v>19</v>
      </c>
      <c r="G613" t="s">
        <v>19</v>
      </c>
      <c r="H613" t="s">
        <v>82</v>
      </c>
      <c r="I613" t="s">
        <v>1638</v>
      </c>
      <c r="J613">
        <v>456</v>
      </c>
      <c r="K613" t="s">
        <v>84</v>
      </c>
      <c r="L613" t="s">
        <v>85</v>
      </c>
      <c r="M613" t="s">
        <v>86</v>
      </c>
      <c r="N613">
        <v>3</v>
      </c>
      <c r="O613" s="1">
        <v>44204.702164351853</v>
      </c>
      <c r="P613" s="1">
        <v>44207.360625000001</v>
      </c>
      <c r="Q613">
        <v>223010</v>
      </c>
      <c r="R613">
        <v>6681</v>
      </c>
      <c r="S613" t="b">
        <v>0</v>
      </c>
      <c r="T613" t="s">
        <v>87</v>
      </c>
      <c r="U613" t="b">
        <v>0</v>
      </c>
      <c r="V613" t="s">
        <v>179</v>
      </c>
      <c r="W613" s="1">
        <v>44204.771898148145</v>
      </c>
      <c r="X613">
        <v>6024</v>
      </c>
      <c r="Y613">
        <v>413</v>
      </c>
      <c r="Z613">
        <v>0</v>
      </c>
      <c r="AA613">
        <v>413</v>
      </c>
      <c r="AB613">
        <v>37</v>
      </c>
      <c r="AC613">
        <v>192</v>
      </c>
      <c r="AD613">
        <v>43</v>
      </c>
      <c r="AE613">
        <v>0</v>
      </c>
      <c r="AF613">
        <v>0</v>
      </c>
      <c r="AG613">
        <v>0</v>
      </c>
      <c r="AH613" t="s">
        <v>267</v>
      </c>
      <c r="AI613" s="1">
        <v>44204.778495370374</v>
      </c>
      <c r="AJ613">
        <v>554</v>
      </c>
      <c r="AK613">
        <v>4</v>
      </c>
      <c r="AL613">
        <v>0</v>
      </c>
      <c r="AM613">
        <v>4</v>
      </c>
      <c r="AN613">
        <v>37</v>
      </c>
      <c r="AO613">
        <v>3</v>
      </c>
      <c r="AP613">
        <v>39</v>
      </c>
      <c r="AQ613">
        <v>0</v>
      </c>
      <c r="AR613">
        <v>0</v>
      </c>
      <c r="AS613">
        <v>0</v>
      </c>
      <c r="AT613" t="s">
        <v>90</v>
      </c>
      <c r="AU613" s="1">
        <v>44207.360625000001</v>
      </c>
      <c r="AV613">
        <v>103</v>
      </c>
      <c r="AW613">
        <v>2</v>
      </c>
      <c r="AX613">
        <v>0</v>
      </c>
      <c r="AY613">
        <v>2</v>
      </c>
      <c r="AZ613">
        <v>37</v>
      </c>
      <c r="BA613">
        <v>2</v>
      </c>
      <c r="BB613">
        <v>37</v>
      </c>
      <c r="BC613">
        <v>0</v>
      </c>
      <c r="BD613">
        <v>0</v>
      </c>
      <c r="BE613">
        <v>0</v>
      </c>
    </row>
    <row r="614" spans="1:57" x14ac:dyDescent="0.45">
      <c r="A614" t="s">
        <v>1639</v>
      </c>
      <c r="B614" t="s">
        <v>79</v>
      </c>
      <c r="C614" t="s">
        <v>1640</v>
      </c>
      <c r="D614" t="s">
        <v>81</v>
      </c>
      <c r="E614" s="2" t="str">
        <f>HYPERLINK("capsilon://?command=openfolder&amp;siteaddress=FAM.docvelocity-na8.net&amp;folderid=FXB147BF9D-CA45-F4A0-5833-61C2D6392761","FX21012830")</f>
        <v>FX21012830</v>
      </c>
      <c r="F614" t="s">
        <v>19</v>
      </c>
      <c r="G614" t="s">
        <v>19</v>
      </c>
      <c r="H614" t="s">
        <v>82</v>
      </c>
      <c r="I614" t="s">
        <v>1641</v>
      </c>
      <c r="J614">
        <v>211</v>
      </c>
      <c r="K614" t="s">
        <v>84</v>
      </c>
      <c r="L614" t="s">
        <v>85</v>
      </c>
      <c r="M614" t="s">
        <v>86</v>
      </c>
      <c r="N614">
        <v>3</v>
      </c>
      <c r="O614" s="1">
        <v>44204.706944444442</v>
      </c>
      <c r="P614" s="1">
        <v>44207.366388888891</v>
      </c>
      <c r="Q614">
        <v>223492</v>
      </c>
      <c r="R614">
        <v>6284</v>
      </c>
      <c r="S614" t="b">
        <v>0</v>
      </c>
      <c r="T614" t="s">
        <v>87</v>
      </c>
      <c r="U614" t="b">
        <v>0</v>
      </c>
      <c r="V614" t="s">
        <v>168</v>
      </c>
      <c r="W614" s="1">
        <v>44204.77238425926</v>
      </c>
      <c r="X614">
        <v>5457</v>
      </c>
      <c r="Y614">
        <v>211</v>
      </c>
      <c r="Z614">
        <v>0</v>
      </c>
      <c r="AA614">
        <v>211</v>
      </c>
      <c r="AB614">
        <v>0</v>
      </c>
      <c r="AC614">
        <v>159</v>
      </c>
      <c r="AD614">
        <v>0</v>
      </c>
      <c r="AE614">
        <v>0</v>
      </c>
      <c r="AF614">
        <v>0</v>
      </c>
      <c r="AG614">
        <v>0</v>
      </c>
      <c r="AH614" t="s">
        <v>267</v>
      </c>
      <c r="AI614" s="1">
        <v>44204.781898148147</v>
      </c>
      <c r="AJ614">
        <v>293</v>
      </c>
      <c r="AK614">
        <v>2</v>
      </c>
      <c r="AL614">
        <v>0</v>
      </c>
      <c r="AM614">
        <v>2</v>
      </c>
      <c r="AN614">
        <v>0</v>
      </c>
      <c r="AO614">
        <v>1</v>
      </c>
      <c r="AP614">
        <v>-2</v>
      </c>
      <c r="AQ614">
        <v>0</v>
      </c>
      <c r="AR614">
        <v>0</v>
      </c>
      <c r="AS614">
        <v>0</v>
      </c>
      <c r="AT614" t="s">
        <v>90</v>
      </c>
      <c r="AU614" s="1">
        <v>44207.366388888891</v>
      </c>
      <c r="AV614">
        <v>498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-2</v>
      </c>
      <c r="BC614">
        <v>0</v>
      </c>
      <c r="BD614">
        <v>0</v>
      </c>
      <c r="BE614">
        <v>0</v>
      </c>
    </row>
    <row r="615" spans="1:57" hidden="1" x14ac:dyDescent="0.45">
      <c r="A615" t="s">
        <v>1642</v>
      </c>
      <c r="B615" t="s">
        <v>79</v>
      </c>
      <c r="C615" t="s">
        <v>842</v>
      </c>
      <c r="D615" t="s">
        <v>81</v>
      </c>
      <c r="E615" s="2" t="str">
        <f>HYPERLINK("capsilon://?command=openfolder&amp;siteaddress=FAM.docvelocity-na8.net&amp;folderid=FXE6D94563-3F7F-43DE-8205-45C247BB7786","FX2012404")</f>
        <v>FX2012404</v>
      </c>
      <c r="F615" t="s">
        <v>19</v>
      </c>
      <c r="G615" t="s">
        <v>19</v>
      </c>
      <c r="H615" t="s">
        <v>82</v>
      </c>
      <c r="I615" t="s">
        <v>1643</v>
      </c>
      <c r="J615">
        <v>132</v>
      </c>
      <c r="K615" t="s">
        <v>84</v>
      </c>
      <c r="L615" t="s">
        <v>85</v>
      </c>
      <c r="M615" t="s">
        <v>86</v>
      </c>
      <c r="N615">
        <v>3</v>
      </c>
      <c r="O615" s="1">
        <v>44204.707476851851</v>
      </c>
      <c r="P615" s="1">
        <v>44207.366435185184</v>
      </c>
      <c r="Q615">
        <v>229331</v>
      </c>
      <c r="R615">
        <v>403</v>
      </c>
      <c r="S615" t="b">
        <v>0</v>
      </c>
      <c r="T615" t="s">
        <v>87</v>
      </c>
      <c r="U615" t="b">
        <v>0</v>
      </c>
      <c r="V615" t="s">
        <v>262</v>
      </c>
      <c r="W615" s="1">
        <v>44204.712673611109</v>
      </c>
      <c r="X615">
        <v>355</v>
      </c>
      <c r="Y615">
        <v>0</v>
      </c>
      <c r="Z615">
        <v>0</v>
      </c>
      <c r="AA615">
        <v>0</v>
      </c>
      <c r="AB615">
        <v>104</v>
      </c>
      <c r="AC615">
        <v>0</v>
      </c>
      <c r="AD615">
        <v>132</v>
      </c>
      <c r="AE615">
        <v>0</v>
      </c>
      <c r="AF615">
        <v>0</v>
      </c>
      <c r="AG615">
        <v>0</v>
      </c>
      <c r="AH615" t="s">
        <v>128</v>
      </c>
      <c r="AI615" s="1">
        <v>44204.732928240737</v>
      </c>
      <c r="AJ615">
        <v>45</v>
      </c>
      <c r="AK615">
        <v>0</v>
      </c>
      <c r="AL615">
        <v>0</v>
      </c>
      <c r="AM615">
        <v>0</v>
      </c>
      <c r="AN615">
        <v>104</v>
      </c>
      <c r="AO615">
        <v>0</v>
      </c>
      <c r="AP615">
        <v>132</v>
      </c>
      <c r="AQ615">
        <v>0</v>
      </c>
      <c r="AR615">
        <v>0</v>
      </c>
      <c r="AS615">
        <v>0</v>
      </c>
      <c r="AT615" t="s">
        <v>90</v>
      </c>
      <c r="AU615" s="1">
        <v>44207.366435185184</v>
      </c>
      <c r="AV615">
        <v>3</v>
      </c>
      <c r="AW615">
        <v>0</v>
      </c>
      <c r="AX615">
        <v>0</v>
      </c>
      <c r="AY615">
        <v>0</v>
      </c>
      <c r="AZ615">
        <v>104</v>
      </c>
      <c r="BA615">
        <v>0</v>
      </c>
      <c r="BB615">
        <v>132</v>
      </c>
      <c r="BC615">
        <v>0</v>
      </c>
      <c r="BD615">
        <v>0</v>
      </c>
      <c r="BE615">
        <v>0</v>
      </c>
    </row>
    <row r="616" spans="1:57" hidden="1" x14ac:dyDescent="0.45">
      <c r="A616" t="s">
        <v>1644</v>
      </c>
      <c r="B616" t="s">
        <v>79</v>
      </c>
      <c r="C616" t="s">
        <v>1645</v>
      </c>
      <c r="D616" t="s">
        <v>81</v>
      </c>
      <c r="E616" s="2" t="str">
        <f>HYPERLINK("capsilon://?command=openfolder&amp;siteaddress=FAM.docvelocity-na8.net&amp;folderid=FX7A6D6680-14C1-5A53-DBD0-E629F31E888E","FX2012959")</f>
        <v>FX2012959</v>
      </c>
      <c r="F616" t="s">
        <v>19</v>
      </c>
      <c r="G616" t="s">
        <v>19</v>
      </c>
      <c r="H616" t="s">
        <v>82</v>
      </c>
      <c r="I616" t="s">
        <v>1646</v>
      </c>
      <c r="J616">
        <v>66</v>
      </c>
      <c r="K616" t="s">
        <v>84</v>
      </c>
      <c r="L616" t="s">
        <v>85</v>
      </c>
      <c r="M616" t="s">
        <v>86</v>
      </c>
      <c r="N616">
        <v>3</v>
      </c>
      <c r="O616" s="1">
        <v>44200.541539351849</v>
      </c>
      <c r="P616" s="1">
        <v>44201.358194444445</v>
      </c>
      <c r="Q616">
        <v>70347</v>
      </c>
      <c r="R616">
        <v>212</v>
      </c>
      <c r="S616" t="b">
        <v>0</v>
      </c>
      <c r="T616" t="s">
        <v>87</v>
      </c>
      <c r="U616" t="b">
        <v>0</v>
      </c>
      <c r="V616" t="s">
        <v>255</v>
      </c>
      <c r="W616" s="1">
        <v>44200.647499999999</v>
      </c>
      <c r="X616">
        <v>175</v>
      </c>
      <c r="Y616">
        <v>0</v>
      </c>
      <c r="Z616">
        <v>0</v>
      </c>
      <c r="AA616">
        <v>0</v>
      </c>
      <c r="AB616">
        <v>52</v>
      </c>
      <c r="AC616">
        <v>0</v>
      </c>
      <c r="AD616">
        <v>66</v>
      </c>
      <c r="AE616">
        <v>0</v>
      </c>
      <c r="AF616">
        <v>0</v>
      </c>
      <c r="AG616">
        <v>0</v>
      </c>
      <c r="AH616" t="s">
        <v>267</v>
      </c>
      <c r="AI616" s="1">
        <v>44200.659849537034</v>
      </c>
      <c r="AJ616">
        <v>34</v>
      </c>
      <c r="AK616">
        <v>0</v>
      </c>
      <c r="AL616">
        <v>0</v>
      </c>
      <c r="AM616">
        <v>0</v>
      </c>
      <c r="AN616">
        <v>52</v>
      </c>
      <c r="AO616">
        <v>0</v>
      </c>
      <c r="AP616">
        <v>66</v>
      </c>
      <c r="AQ616">
        <v>0</v>
      </c>
      <c r="AR616">
        <v>0</v>
      </c>
      <c r="AS616">
        <v>0</v>
      </c>
      <c r="AT616" t="s">
        <v>90</v>
      </c>
      <c r="AU616" s="1">
        <v>44201.358194444445</v>
      </c>
      <c r="AV616">
        <v>3</v>
      </c>
      <c r="AW616">
        <v>0</v>
      </c>
      <c r="AX616">
        <v>0</v>
      </c>
      <c r="AY616">
        <v>0</v>
      </c>
      <c r="AZ616">
        <v>52</v>
      </c>
      <c r="BA616">
        <v>0</v>
      </c>
      <c r="BB616">
        <v>66</v>
      </c>
      <c r="BC616">
        <v>0</v>
      </c>
      <c r="BD616">
        <v>0</v>
      </c>
      <c r="BE616">
        <v>0</v>
      </c>
    </row>
    <row r="617" spans="1:57" x14ac:dyDescent="0.45">
      <c r="A617" t="s">
        <v>1647</v>
      </c>
      <c r="B617" t="s">
        <v>79</v>
      </c>
      <c r="C617" t="s">
        <v>510</v>
      </c>
      <c r="D617" t="s">
        <v>81</v>
      </c>
      <c r="E617" s="2" t="str">
        <f>HYPERLINK("capsilon://?command=openfolder&amp;siteaddress=FAM.docvelocity-na8.net&amp;folderid=FX47B9C066-F37D-2DA2-31F6-3A0B9BCAA4BC","FX2012303")</f>
        <v>FX2012303</v>
      </c>
      <c r="F617" t="s">
        <v>19</v>
      </c>
      <c r="G617" t="s">
        <v>19</v>
      </c>
      <c r="H617" t="s">
        <v>82</v>
      </c>
      <c r="I617" t="s">
        <v>1648</v>
      </c>
      <c r="J617">
        <v>52</v>
      </c>
      <c r="K617" t="s">
        <v>84</v>
      </c>
      <c r="L617" t="s">
        <v>85</v>
      </c>
      <c r="M617" t="s">
        <v>86</v>
      </c>
      <c r="N617">
        <v>3</v>
      </c>
      <c r="O617" s="1">
        <v>44204.724490740744</v>
      </c>
      <c r="P617" s="1">
        <v>44207.36650462963</v>
      </c>
      <c r="Q617">
        <v>227554</v>
      </c>
      <c r="R617">
        <v>716</v>
      </c>
      <c r="S617" t="b">
        <v>0</v>
      </c>
      <c r="T617" t="s">
        <v>87</v>
      </c>
      <c r="U617" t="b">
        <v>0</v>
      </c>
      <c r="V617" t="s">
        <v>160</v>
      </c>
      <c r="W617" s="1">
        <v>44204.730185185188</v>
      </c>
      <c r="X617">
        <v>462</v>
      </c>
      <c r="Y617">
        <v>42</v>
      </c>
      <c r="Z617">
        <v>0</v>
      </c>
      <c r="AA617">
        <v>42</v>
      </c>
      <c r="AB617">
        <v>0</v>
      </c>
      <c r="AC617">
        <v>0</v>
      </c>
      <c r="AD617">
        <v>10</v>
      </c>
      <c r="AE617">
        <v>0</v>
      </c>
      <c r="AF617">
        <v>0</v>
      </c>
      <c r="AG617">
        <v>0</v>
      </c>
      <c r="AH617" t="s">
        <v>128</v>
      </c>
      <c r="AI617" s="1">
        <v>44204.735821759263</v>
      </c>
      <c r="AJ617">
        <v>249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9</v>
      </c>
      <c r="AQ617">
        <v>0</v>
      </c>
      <c r="AR617">
        <v>0</v>
      </c>
      <c r="AS617">
        <v>0</v>
      </c>
      <c r="AT617" t="s">
        <v>90</v>
      </c>
      <c r="AU617" s="1">
        <v>44207.36650462963</v>
      </c>
      <c r="AV617">
        <v>5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9</v>
      </c>
      <c r="BC617">
        <v>0</v>
      </c>
      <c r="BD617">
        <v>0</v>
      </c>
      <c r="BE617">
        <v>0</v>
      </c>
    </row>
    <row r="618" spans="1:57" x14ac:dyDescent="0.45">
      <c r="A618" t="s">
        <v>1649</v>
      </c>
      <c r="B618" t="s">
        <v>79</v>
      </c>
      <c r="C618" t="s">
        <v>1650</v>
      </c>
      <c r="D618" t="s">
        <v>81</v>
      </c>
      <c r="E618" s="2" t="str">
        <f>HYPERLINK("capsilon://?command=openfolder&amp;siteaddress=FAM.docvelocity-na8.net&amp;folderid=FXD1021952-5342-7918-299A-C355D9CBC097","FX201227427")</f>
        <v>FX201227427</v>
      </c>
      <c r="F618" t="s">
        <v>19</v>
      </c>
      <c r="G618" t="s">
        <v>19</v>
      </c>
      <c r="H618" t="s">
        <v>82</v>
      </c>
      <c r="I618" t="s">
        <v>1651</v>
      </c>
      <c r="J618">
        <v>214</v>
      </c>
      <c r="K618" t="s">
        <v>84</v>
      </c>
      <c r="L618" t="s">
        <v>85</v>
      </c>
      <c r="M618" t="s">
        <v>86</v>
      </c>
      <c r="N618">
        <v>3</v>
      </c>
      <c r="O618" s="1">
        <v>44200.542986111112</v>
      </c>
      <c r="P618" s="1">
        <v>44201.359803240739</v>
      </c>
      <c r="Q618">
        <v>68701</v>
      </c>
      <c r="R618">
        <v>1872</v>
      </c>
      <c r="S618" t="b">
        <v>0</v>
      </c>
      <c r="T618" t="s">
        <v>87</v>
      </c>
      <c r="U618" t="b">
        <v>0</v>
      </c>
      <c r="V618" t="s">
        <v>266</v>
      </c>
      <c r="W618" s="1">
        <v>44200.659849537034</v>
      </c>
      <c r="X618">
        <v>1367</v>
      </c>
      <c r="Y618">
        <v>198</v>
      </c>
      <c r="Z618">
        <v>0</v>
      </c>
      <c r="AA618">
        <v>198</v>
      </c>
      <c r="AB618">
        <v>21</v>
      </c>
      <c r="AC618">
        <v>52</v>
      </c>
      <c r="AD618">
        <v>16</v>
      </c>
      <c r="AE618">
        <v>0</v>
      </c>
      <c r="AF618">
        <v>0</v>
      </c>
      <c r="AG618">
        <v>0</v>
      </c>
      <c r="AH618" t="s">
        <v>267</v>
      </c>
      <c r="AI618" s="1">
        <v>44200.667013888888</v>
      </c>
      <c r="AJ618">
        <v>367</v>
      </c>
      <c r="AK618">
        <v>0</v>
      </c>
      <c r="AL618">
        <v>0</v>
      </c>
      <c r="AM618">
        <v>0</v>
      </c>
      <c r="AN618">
        <v>21</v>
      </c>
      <c r="AO618">
        <v>0</v>
      </c>
      <c r="AP618">
        <v>16</v>
      </c>
      <c r="AQ618">
        <v>0</v>
      </c>
      <c r="AR618">
        <v>0</v>
      </c>
      <c r="AS618">
        <v>0</v>
      </c>
      <c r="AT618" t="s">
        <v>90</v>
      </c>
      <c r="AU618" s="1">
        <v>44201.359803240739</v>
      </c>
      <c r="AV618">
        <v>138</v>
      </c>
      <c r="AW618">
        <v>0</v>
      </c>
      <c r="AX618">
        <v>0</v>
      </c>
      <c r="AY618">
        <v>0</v>
      </c>
      <c r="AZ618">
        <v>21</v>
      </c>
      <c r="BA618">
        <v>0</v>
      </c>
      <c r="BB618">
        <v>16</v>
      </c>
      <c r="BC618">
        <v>0</v>
      </c>
      <c r="BD618">
        <v>0</v>
      </c>
      <c r="BE618">
        <v>0</v>
      </c>
    </row>
    <row r="619" spans="1:57" hidden="1" x14ac:dyDescent="0.45">
      <c r="A619" t="s">
        <v>1652</v>
      </c>
      <c r="B619" t="s">
        <v>79</v>
      </c>
      <c r="C619" t="s">
        <v>510</v>
      </c>
      <c r="D619" t="s">
        <v>81</v>
      </c>
      <c r="E619" s="2" t="str">
        <f>HYPERLINK("capsilon://?command=openfolder&amp;siteaddress=FAM.docvelocity-na8.net&amp;folderid=FX47B9C066-F37D-2DA2-31F6-3A0B9BCAA4BC","FX2012303")</f>
        <v>FX2012303</v>
      </c>
      <c r="F619" t="s">
        <v>19</v>
      </c>
      <c r="G619" t="s">
        <v>19</v>
      </c>
      <c r="H619" t="s">
        <v>82</v>
      </c>
      <c r="I619" t="s">
        <v>1653</v>
      </c>
      <c r="J619">
        <v>26</v>
      </c>
      <c r="K619" t="s">
        <v>84</v>
      </c>
      <c r="L619" t="s">
        <v>85</v>
      </c>
      <c r="M619" t="s">
        <v>86</v>
      </c>
      <c r="N619">
        <v>1</v>
      </c>
      <c r="O619" s="1">
        <v>44204.726631944446</v>
      </c>
      <c r="P619" s="1">
        <v>44204.743321759262</v>
      </c>
      <c r="Q619">
        <v>308</v>
      </c>
      <c r="R619">
        <v>1134</v>
      </c>
      <c r="S619" t="b">
        <v>0</v>
      </c>
      <c r="T619" t="s">
        <v>87</v>
      </c>
      <c r="U619" t="b">
        <v>0</v>
      </c>
      <c r="V619" t="s">
        <v>160</v>
      </c>
      <c r="W619" s="1">
        <v>44204.743321759262</v>
      </c>
      <c r="X619">
        <v>1134</v>
      </c>
      <c r="Y619">
        <v>21</v>
      </c>
      <c r="Z619">
        <v>0</v>
      </c>
      <c r="AA619">
        <v>21</v>
      </c>
      <c r="AB619">
        <v>0</v>
      </c>
      <c r="AC619">
        <v>13</v>
      </c>
      <c r="AD619">
        <v>5</v>
      </c>
      <c r="AE619">
        <v>21</v>
      </c>
      <c r="AF619">
        <v>0</v>
      </c>
      <c r="AG619">
        <v>2</v>
      </c>
      <c r="AH619" t="s">
        <v>87</v>
      </c>
      <c r="AI619" t="s">
        <v>87</v>
      </c>
      <c r="AJ619" t="s">
        <v>87</v>
      </c>
      <c r="AK619" t="s">
        <v>87</v>
      </c>
      <c r="AL619" t="s">
        <v>87</v>
      </c>
      <c r="AM619" t="s">
        <v>87</v>
      </c>
      <c r="AN619" t="s">
        <v>87</v>
      </c>
      <c r="AO619" t="s">
        <v>87</v>
      </c>
      <c r="AP619" t="s">
        <v>87</v>
      </c>
      <c r="AQ619" t="s">
        <v>87</v>
      </c>
      <c r="AR619" t="s">
        <v>87</v>
      </c>
      <c r="AS619" t="s">
        <v>87</v>
      </c>
      <c r="AT619" t="s">
        <v>87</v>
      </c>
      <c r="AU619" t="s">
        <v>87</v>
      </c>
      <c r="AV619" t="s">
        <v>87</v>
      </c>
      <c r="AW619" t="s">
        <v>87</v>
      </c>
      <c r="AX619" t="s">
        <v>87</v>
      </c>
      <c r="AY619" t="s">
        <v>87</v>
      </c>
      <c r="AZ619" t="s">
        <v>87</v>
      </c>
      <c r="BA619" t="s">
        <v>87</v>
      </c>
      <c r="BB619" t="s">
        <v>87</v>
      </c>
      <c r="BC619" t="s">
        <v>87</v>
      </c>
      <c r="BD619" t="s">
        <v>87</v>
      </c>
      <c r="BE619" t="s">
        <v>87</v>
      </c>
    </row>
    <row r="620" spans="1:57" x14ac:dyDescent="0.45">
      <c r="A620" t="s">
        <v>1654</v>
      </c>
      <c r="B620" t="s">
        <v>79</v>
      </c>
      <c r="C620" t="s">
        <v>1655</v>
      </c>
      <c r="D620" t="s">
        <v>81</v>
      </c>
      <c r="E620" s="2" t="str">
        <f>HYPERLINK("capsilon://?command=openfolder&amp;siteaddress=FAM.docvelocity-na8.net&amp;folderid=FXD83EE4EC-4660-94AF-D8C4-C25DFCDF3CC2","FX201228868")</f>
        <v>FX201228868</v>
      </c>
      <c r="F620" t="s">
        <v>19</v>
      </c>
      <c r="G620" t="s">
        <v>19</v>
      </c>
      <c r="H620" t="s">
        <v>82</v>
      </c>
      <c r="I620" t="s">
        <v>1656</v>
      </c>
      <c r="J620">
        <v>268</v>
      </c>
      <c r="K620" t="s">
        <v>84</v>
      </c>
      <c r="L620" t="s">
        <v>85</v>
      </c>
      <c r="M620" t="s">
        <v>86</v>
      </c>
      <c r="N620">
        <v>3</v>
      </c>
      <c r="O620" s="1">
        <v>44200.543900462966</v>
      </c>
      <c r="P620" s="1">
        <v>44201.360648148147</v>
      </c>
      <c r="Q620">
        <v>68971</v>
      </c>
      <c r="R620">
        <v>1596</v>
      </c>
      <c r="S620" t="b">
        <v>0</v>
      </c>
      <c r="T620" t="s">
        <v>87</v>
      </c>
      <c r="U620" t="b">
        <v>0</v>
      </c>
      <c r="V620" t="s">
        <v>255</v>
      </c>
      <c r="W620" s="1">
        <v>44200.660324074073</v>
      </c>
      <c r="X620">
        <v>1107</v>
      </c>
      <c r="Y620">
        <v>230</v>
      </c>
      <c r="Z620">
        <v>0</v>
      </c>
      <c r="AA620">
        <v>230</v>
      </c>
      <c r="AB620">
        <v>0</v>
      </c>
      <c r="AC620">
        <v>89</v>
      </c>
      <c r="AD620">
        <v>38</v>
      </c>
      <c r="AE620">
        <v>0</v>
      </c>
      <c r="AF620">
        <v>0</v>
      </c>
      <c r="AG620">
        <v>0</v>
      </c>
      <c r="AH620" t="s">
        <v>267</v>
      </c>
      <c r="AI620" s="1">
        <v>44200.671840277777</v>
      </c>
      <c r="AJ620">
        <v>416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38</v>
      </c>
      <c r="AQ620">
        <v>0</v>
      </c>
      <c r="AR620">
        <v>0</v>
      </c>
      <c r="AS620">
        <v>0</v>
      </c>
      <c r="AT620" t="s">
        <v>90</v>
      </c>
      <c r="AU620" s="1">
        <v>44201.360648148147</v>
      </c>
      <c r="AV620">
        <v>73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38</v>
      </c>
      <c r="BC620">
        <v>0</v>
      </c>
      <c r="BD620">
        <v>0</v>
      </c>
      <c r="BE620">
        <v>0</v>
      </c>
    </row>
    <row r="621" spans="1:57" x14ac:dyDescent="0.45">
      <c r="A621" t="s">
        <v>1657</v>
      </c>
      <c r="B621" t="s">
        <v>79</v>
      </c>
      <c r="C621" t="s">
        <v>1658</v>
      </c>
      <c r="D621" t="s">
        <v>81</v>
      </c>
      <c r="E621" s="2" t="str">
        <f>HYPERLINK("capsilon://?command=openfolder&amp;siteaddress=FAM.docvelocity-na8.net&amp;folderid=FXE5CC6697-3C45-CC21-D86A-BD60A35CF3EE","FX21014090")</f>
        <v>FX21014090</v>
      </c>
      <c r="F621" t="s">
        <v>19</v>
      </c>
      <c r="G621" t="s">
        <v>19</v>
      </c>
      <c r="H621" t="s">
        <v>82</v>
      </c>
      <c r="I621" t="s">
        <v>1659</v>
      </c>
      <c r="J621">
        <v>189</v>
      </c>
      <c r="K621" t="s">
        <v>84</v>
      </c>
      <c r="L621" t="s">
        <v>85</v>
      </c>
      <c r="M621" t="s">
        <v>86</v>
      </c>
      <c r="N621">
        <v>3</v>
      </c>
      <c r="O621" s="1">
        <v>44204.734849537039</v>
      </c>
      <c r="P621" s="1">
        <v>44207.36822916667</v>
      </c>
      <c r="Q621">
        <v>221463</v>
      </c>
      <c r="R621">
        <v>6061</v>
      </c>
      <c r="S621" t="b">
        <v>0</v>
      </c>
      <c r="T621" t="s">
        <v>87</v>
      </c>
      <c r="U621" t="b">
        <v>0</v>
      </c>
      <c r="V621" t="s">
        <v>171</v>
      </c>
      <c r="W621" s="1">
        <v>44204.797939814816</v>
      </c>
      <c r="X621">
        <v>5450</v>
      </c>
      <c r="Y621">
        <v>250</v>
      </c>
      <c r="Z621">
        <v>0</v>
      </c>
      <c r="AA621">
        <v>250</v>
      </c>
      <c r="AB621">
        <v>0</v>
      </c>
      <c r="AC621">
        <v>214</v>
      </c>
      <c r="AD621">
        <v>-61</v>
      </c>
      <c r="AE621">
        <v>0</v>
      </c>
      <c r="AF621">
        <v>0</v>
      </c>
      <c r="AG621">
        <v>0</v>
      </c>
      <c r="AH621" t="s">
        <v>267</v>
      </c>
      <c r="AI621" s="1">
        <v>44204.80369212963</v>
      </c>
      <c r="AJ621">
        <v>462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-61</v>
      </c>
      <c r="AQ621">
        <v>0</v>
      </c>
      <c r="AR621">
        <v>0</v>
      </c>
      <c r="AS621">
        <v>0</v>
      </c>
      <c r="AT621" t="s">
        <v>90</v>
      </c>
      <c r="AU621" s="1">
        <v>44207.36822916667</v>
      </c>
      <c r="AV621">
        <v>149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-61</v>
      </c>
      <c r="BC621">
        <v>0</v>
      </c>
      <c r="BD621">
        <v>0</v>
      </c>
      <c r="BE621">
        <v>0</v>
      </c>
    </row>
    <row r="622" spans="1:57" x14ac:dyDescent="0.45">
      <c r="A622" t="s">
        <v>1660</v>
      </c>
      <c r="B622" t="s">
        <v>79</v>
      </c>
      <c r="C622" t="s">
        <v>1661</v>
      </c>
      <c r="D622" t="s">
        <v>81</v>
      </c>
      <c r="E622" s="2" t="str">
        <f>HYPERLINK("capsilon://?command=openfolder&amp;siteaddress=FAM.docvelocity-na8.net&amp;folderid=FX20E28D5D-9BC9-B5BD-F0B5-2DF4873EEB4E","FX21012016")</f>
        <v>FX21012016</v>
      </c>
      <c r="F622" t="s">
        <v>19</v>
      </c>
      <c r="G622" t="s">
        <v>19</v>
      </c>
      <c r="H622" t="s">
        <v>82</v>
      </c>
      <c r="I622" t="s">
        <v>1662</v>
      </c>
      <c r="J622">
        <v>230</v>
      </c>
      <c r="K622" t="s">
        <v>84</v>
      </c>
      <c r="L622" t="s">
        <v>85</v>
      </c>
      <c r="M622" t="s">
        <v>86</v>
      </c>
      <c r="N622">
        <v>3</v>
      </c>
      <c r="O622" s="1">
        <v>44204.737962962965</v>
      </c>
      <c r="P622" s="1">
        <v>44207.371064814812</v>
      </c>
      <c r="Q622">
        <v>225323</v>
      </c>
      <c r="R622">
        <v>2177</v>
      </c>
      <c r="S622" t="b">
        <v>0</v>
      </c>
      <c r="T622" t="s">
        <v>87</v>
      </c>
      <c r="U622" t="b">
        <v>0</v>
      </c>
      <c r="V622" t="s">
        <v>259</v>
      </c>
      <c r="W622" s="1">
        <v>44204.755891203706</v>
      </c>
      <c r="X622">
        <v>1539</v>
      </c>
      <c r="Y622">
        <v>201</v>
      </c>
      <c r="Z622">
        <v>0</v>
      </c>
      <c r="AA622">
        <v>201</v>
      </c>
      <c r="AB622">
        <v>0</v>
      </c>
      <c r="AC622">
        <v>120</v>
      </c>
      <c r="AD622">
        <v>29</v>
      </c>
      <c r="AE622">
        <v>0</v>
      </c>
      <c r="AF622">
        <v>0</v>
      </c>
      <c r="AG622">
        <v>0</v>
      </c>
      <c r="AH622" t="s">
        <v>267</v>
      </c>
      <c r="AI622" s="1">
        <v>44204.760567129626</v>
      </c>
      <c r="AJ622">
        <v>394</v>
      </c>
      <c r="AK622">
        <v>2</v>
      </c>
      <c r="AL622">
        <v>0</v>
      </c>
      <c r="AM622">
        <v>2</v>
      </c>
      <c r="AN622">
        <v>0</v>
      </c>
      <c r="AO622">
        <v>1</v>
      </c>
      <c r="AP622">
        <v>27</v>
      </c>
      <c r="AQ622">
        <v>0</v>
      </c>
      <c r="AR622">
        <v>0</v>
      </c>
      <c r="AS622">
        <v>0</v>
      </c>
      <c r="AT622" t="s">
        <v>90</v>
      </c>
      <c r="AU622" s="1">
        <v>44207.371064814812</v>
      </c>
      <c r="AV622">
        <v>244</v>
      </c>
      <c r="AW622">
        <v>2</v>
      </c>
      <c r="AX622">
        <v>0</v>
      </c>
      <c r="AY622">
        <v>2</v>
      </c>
      <c r="AZ622">
        <v>0</v>
      </c>
      <c r="BA622">
        <v>2</v>
      </c>
      <c r="BB622">
        <v>25</v>
      </c>
      <c r="BC622">
        <v>0</v>
      </c>
      <c r="BD622">
        <v>0</v>
      </c>
      <c r="BE622">
        <v>0</v>
      </c>
    </row>
    <row r="623" spans="1:57" x14ac:dyDescent="0.45">
      <c r="A623" t="s">
        <v>1663</v>
      </c>
      <c r="B623" t="s">
        <v>79</v>
      </c>
      <c r="C623" t="s">
        <v>1664</v>
      </c>
      <c r="D623" t="s">
        <v>81</v>
      </c>
      <c r="E623" s="2" t="str">
        <f>HYPERLINK("capsilon://?command=openfolder&amp;siteaddress=FAM.docvelocity-na8.net&amp;folderid=FX895E2015-AE4E-F372-9512-005DDF57D39A","FX201228949")</f>
        <v>FX201228949</v>
      </c>
      <c r="F623" t="s">
        <v>19</v>
      </c>
      <c r="G623" t="s">
        <v>19</v>
      </c>
      <c r="H623" t="s">
        <v>82</v>
      </c>
      <c r="I623" t="s">
        <v>1665</v>
      </c>
      <c r="J623">
        <v>132</v>
      </c>
      <c r="K623" t="s">
        <v>84</v>
      </c>
      <c r="L623" t="s">
        <v>85</v>
      </c>
      <c r="M623" t="s">
        <v>86</v>
      </c>
      <c r="N623">
        <v>3</v>
      </c>
      <c r="O623" s="1">
        <v>44200.54483796296</v>
      </c>
      <c r="P623" s="1">
        <v>44201.36146990741</v>
      </c>
      <c r="Q623">
        <v>69621</v>
      </c>
      <c r="R623">
        <v>936</v>
      </c>
      <c r="S623" t="b">
        <v>0</v>
      </c>
      <c r="T623" t="s">
        <v>87</v>
      </c>
      <c r="U623" t="b">
        <v>0</v>
      </c>
      <c r="V623" t="s">
        <v>242</v>
      </c>
      <c r="W623" s="1">
        <v>44200.658043981479</v>
      </c>
      <c r="X623">
        <v>615</v>
      </c>
      <c r="Y623">
        <v>132</v>
      </c>
      <c r="Z623">
        <v>0</v>
      </c>
      <c r="AA623">
        <v>132</v>
      </c>
      <c r="AB623">
        <v>0</v>
      </c>
      <c r="AC623">
        <v>68</v>
      </c>
      <c r="AD623">
        <v>0</v>
      </c>
      <c r="AE623">
        <v>0</v>
      </c>
      <c r="AF623">
        <v>0</v>
      </c>
      <c r="AG623">
        <v>0</v>
      </c>
      <c r="AH623" t="s">
        <v>267</v>
      </c>
      <c r="AI623" s="1">
        <v>44200.662754629629</v>
      </c>
      <c r="AJ623">
        <v>251</v>
      </c>
      <c r="AK623">
        <v>2</v>
      </c>
      <c r="AL623">
        <v>0</v>
      </c>
      <c r="AM623">
        <v>2</v>
      </c>
      <c r="AN623">
        <v>0</v>
      </c>
      <c r="AO623">
        <v>1</v>
      </c>
      <c r="AP623">
        <v>-2</v>
      </c>
      <c r="AQ623">
        <v>0</v>
      </c>
      <c r="AR623">
        <v>0</v>
      </c>
      <c r="AS623">
        <v>0</v>
      </c>
      <c r="AT623" t="s">
        <v>90</v>
      </c>
      <c r="AU623" s="1">
        <v>44201.36146990741</v>
      </c>
      <c r="AV623">
        <v>70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-2</v>
      </c>
      <c r="BC623">
        <v>0</v>
      </c>
      <c r="BD623">
        <v>0</v>
      </c>
      <c r="BE623">
        <v>0</v>
      </c>
    </row>
    <row r="624" spans="1:57" x14ac:dyDescent="0.45">
      <c r="A624" t="s">
        <v>1666</v>
      </c>
      <c r="B624" t="s">
        <v>79</v>
      </c>
      <c r="C624" t="s">
        <v>1667</v>
      </c>
      <c r="D624" t="s">
        <v>81</v>
      </c>
      <c r="E624" s="2" t="str">
        <f>HYPERLINK("capsilon://?command=openfolder&amp;siteaddress=FAM.docvelocity-na8.net&amp;folderid=FX88EA30F1-D2D2-B743-6F5F-7B5288119F01","FX21012052")</f>
        <v>FX21012052</v>
      </c>
      <c r="F624" t="s">
        <v>19</v>
      </c>
      <c r="G624" t="s">
        <v>19</v>
      </c>
      <c r="H624" t="s">
        <v>82</v>
      </c>
      <c r="I624" t="s">
        <v>1668</v>
      </c>
      <c r="J624">
        <v>158</v>
      </c>
      <c r="K624" t="s">
        <v>84</v>
      </c>
      <c r="L624" t="s">
        <v>85</v>
      </c>
      <c r="M624" t="s">
        <v>86</v>
      </c>
      <c r="N624">
        <v>3</v>
      </c>
      <c r="O624" s="1">
        <v>44204.742268518516</v>
      </c>
      <c r="P624" s="1">
        <v>44207.374560185184</v>
      </c>
      <c r="Q624">
        <v>223993</v>
      </c>
      <c r="R624">
        <v>3437</v>
      </c>
      <c r="S624" t="b">
        <v>0</v>
      </c>
      <c r="T624" t="s">
        <v>87</v>
      </c>
      <c r="U624" t="b">
        <v>0</v>
      </c>
      <c r="V624" t="s">
        <v>160</v>
      </c>
      <c r="W624" s="1">
        <v>44204.777025462965</v>
      </c>
      <c r="X624">
        <v>2880</v>
      </c>
      <c r="Y624">
        <v>168</v>
      </c>
      <c r="Z624">
        <v>0</v>
      </c>
      <c r="AA624">
        <v>168</v>
      </c>
      <c r="AB624">
        <v>37</v>
      </c>
      <c r="AC624">
        <v>117</v>
      </c>
      <c r="AD624">
        <v>-10</v>
      </c>
      <c r="AE624">
        <v>0</v>
      </c>
      <c r="AF624">
        <v>0</v>
      </c>
      <c r="AG624">
        <v>0</v>
      </c>
      <c r="AH624" t="s">
        <v>267</v>
      </c>
      <c r="AI624" s="1">
        <v>44204.784317129626</v>
      </c>
      <c r="AJ624">
        <v>208</v>
      </c>
      <c r="AK624">
        <v>3</v>
      </c>
      <c r="AL624">
        <v>0</v>
      </c>
      <c r="AM624">
        <v>3</v>
      </c>
      <c r="AN624">
        <v>37</v>
      </c>
      <c r="AO624">
        <v>2</v>
      </c>
      <c r="AP624">
        <v>-13</v>
      </c>
      <c r="AQ624">
        <v>0</v>
      </c>
      <c r="AR624">
        <v>0</v>
      </c>
      <c r="AS624">
        <v>0</v>
      </c>
      <c r="AT624" t="s">
        <v>90</v>
      </c>
      <c r="AU624" s="1">
        <v>44207.374560185184</v>
      </c>
      <c r="AV624">
        <v>302</v>
      </c>
      <c r="AW624">
        <v>0</v>
      </c>
      <c r="AX624">
        <v>0</v>
      </c>
      <c r="AY624">
        <v>0</v>
      </c>
      <c r="AZ624">
        <v>37</v>
      </c>
      <c r="BA624">
        <v>0</v>
      </c>
      <c r="BB624">
        <v>-13</v>
      </c>
      <c r="BC624">
        <v>0</v>
      </c>
      <c r="BD624">
        <v>0</v>
      </c>
      <c r="BE624">
        <v>0</v>
      </c>
    </row>
    <row r="625" spans="1:57" x14ac:dyDescent="0.45">
      <c r="A625" t="s">
        <v>1669</v>
      </c>
      <c r="B625" t="s">
        <v>79</v>
      </c>
      <c r="C625" t="s">
        <v>510</v>
      </c>
      <c r="D625" t="s">
        <v>81</v>
      </c>
      <c r="E625" s="2" t="str">
        <f>HYPERLINK("capsilon://?command=openfolder&amp;siteaddress=FAM.docvelocity-na8.net&amp;folderid=FX47B9C066-F37D-2DA2-31F6-3A0B9BCAA4BC","FX2012303")</f>
        <v>FX2012303</v>
      </c>
      <c r="F625" t="s">
        <v>19</v>
      </c>
      <c r="G625" t="s">
        <v>19</v>
      </c>
      <c r="H625" t="s">
        <v>82</v>
      </c>
      <c r="I625" t="s">
        <v>1653</v>
      </c>
      <c r="J625">
        <v>52</v>
      </c>
      <c r="K625" t="s">
        <v>84</v>
      </c>
      <c r="L625" t="s">
        <v>85</v>
      </c>
      <c r="M625" t="s">
        <v>86</v>
      </c>
      <c r="N625">
        <v>3</v>
      </c>
      <c r="O625" s="1">
        <v>44204.743796296294</v>
      </c>
      <c r="P625" s="1">
        <v>44207.343252314815</v>
      </c>
      <c r="Q625">
        <v>223353</v>
      </c>
      <c r="R625">
        <v>1240</v>
      </c>
      <c r="S625" t="b">
        <v>0</v>
      </c>
      <c r="T625" t="s">
        <v>87</v>
      </c>
      <c r="U625" t="b">
        <v>1</v>
      </c>
      <c r="V625" t="s">
        <v>146</v>
      </c>
      <c r="W625" s="1">
        <v>44204.764490740738</v>
      </c>
      <c r="X625">
        <v>938</v>
      </c>
      <c r="Y625">
        <v>42</v>
      </c>
      <c r="Z625">
        <v>0</v>
      </c>
      <c r="AA625">
        <v>42</v>
      </c>
      <c r="AB625">
        <v>0</v>
      </c>
      <c r="AC625">
        <v>12</v>
      </c>
      <c r="AD625">
        <v>10</v>
      </c>
      <c r="AE625">
        <v>0</v>
      </c>
      <c r="AF625">
        <v>0</v>
      </c>
      <c r="AG625">
        <v>0</v>
      </c>
      <c r="AH625" t="s">
        <v>267</v>
      </c>
      <c r="AI625" s="1">
        <v>44204.765925925924</v>
      </c>
      <c r="AJ625">
        <v>98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10</v>
      </c>
      <c r="AQ625">
        <v>0</v>
      </c>
      <c r="AR625">
        <v>0</v>
      </c>
      <c r="AS625">
        <v>0</v>
      </c>
      <c r="AT625" t="s">
        <v>90</v>
      </c>
      <c r="AU625" s="1">
        <v>44207.343252314815</v>
      </c>
      <c r="AV625">
        <v>6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10</v>
      </c>
      <c r="BC625">
        <v>0</v>
      </c>
      <c r="BD625">
        <v>0</v>
      </c>
      <c r="BE625">
        <v>0</v>
      </c>
    </row>
    <row r="626" spans="1:57" x14ac:dyDescent="0.45">
      <c r="A626" t="s">
        <v>1670</v>
      </c>
      <c r="B626" t="s">
        <v>79</v>
      </c>
      <c r="C626" t="s">
        <v>824</v>
      </c>
      <c r="D626" t="s">
        <v>81</v>
      </c>
      <c r="E626" s="2" t="str">
        <f>HYPERLINK("capsilon://?command=openfolder&amp;siteaddress=FAM.docvelocity-na8.net&amp;folderid=FX57EB887E-71B5-BC14-8252-3477343B5325","FX21012058")</f>
        <v>FX21012058</v>
      </c>
      <c r="F626" t="s">
        <v>19</v>
      </c>
      <c r="G626" t="s">
        <v>19</v>
      </c>
      <c r="H626" t="s">
        <v>82</v>
      </c>
      <c r="I626" t="s">
        <v>1671</v>
      </c>
      <c r="J626">
        <v>66</v>
      </c>
      <c r="K626" t="s">
        <v>84</v>
      </c>
      <c r="L626" t="s">
        <v>85</v>
      </c>
      <c r="M626" t="s">
        <v>86</v>
      </c>
      <c r="N626">
        <v>3</v>
      </c>
      <c r="O626" s="1">
        <v>44204.752708333333</v>
      </c>
      <c r="P626" s="1">
        <v>44207.376898148148</v>
      </c>
      <c r="Q626">
        <v>226009</v>
      </c>
      <c r="R626">
        <v>721</v>
      </c>
      <c r="S626" t="b">
        <v>0</v>
      </c>
      <c r="T626" t="s">
        <v>87</v>
      </c>
      <c r="U626" t="b">
        <v>0</v>
      </c>
      <c r="V626" t="s">
        <v>259</v>
      </c>
      <c r="W626" s="1">
        <v>44204.760729166665</v>
      </c>
      <c r="X626">
        <v>417</v>
      </c>
      <c r="Y626">
        <v>52</v>
      </c>
      <c r="Z626">
        <v>0</v>
      </c>
      <c r="AA626">
        <v>52</v>
      </c>
      <c r="AB626">
        <v>0</v>
      </c>
      <c r="AC626">
        <v>34</v>
      </c>
      <c r="AD626">
        <v>14</v>
      </c>
      <c r="AE626">
        <v>0</v>
      </c>
      <c r="AF626">
        <v>0</v>
      </c>
      <c r="AG626">
        <v>0</v>
      </c>
      <c r="AH626" t="s">
        <v>267</v>
      </c>
      <c r="AI626" s="1">
        <v>44204.761944444443</v>
      </c>
      <c r="AJ626">
        <v>102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14</v>
      </c>
      <c r="AQ626">
        <v>0</v>
      </c>
      <c r="AR626">
        <v>0</v>
      </c>
      <c r="AS626">
        <v>0</v>
      </c>
      <c r="AT626" t="s">
        <v>90</v>
      </c>
      <c r="AU626" s="1">
        <v>44207.376898148148</v>
      </c>
      <c r="AV626">
        <v>202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14</v>
      </c>
      <c r="BC626">
        <v>0</v>
      </c>
      <c r="BD626">
        <v>0</v>
      </c>
      <c r="BE626">
        <v>0</v>
      </c>
    </row>
    <row r="627" spans="1:57" x14ac:dyDescent="0.45">
      <c r="A627" t="s">
        <v>1672</v>
      </c>
      <c r="B627" t="s">
        <v>79</v>
      </c>
      <c r="C627" t="s">
        <v>1673</v>
      </c>
      <c r="D627" t="s">
        <v>81</v>
      </c>
      <c r="E627" s="2" t="str">
        <f>HYPERLINK("capsilon://?command=openfolder&amp;siteaddress=FAM.docvelocity-na8.net&amp;folderid=FX9D0FDC21-052F-3980-BD5A-56CAB7C228BB","FX201113730")</f>
        <v>FX201113730</v>
      </c>
      <c r="F627" t="s">
        <v>19</v>
      </c>
      <c r="G627" t="s">
        <v>19</v>
      </c>
      <c r="H627" t="s">
        <v>82</v>
      </c>
      <c r="I627" t="s">
        <v>1674</v>
      </c>
      <c r="J627">
        <v>94</v>
      </c>
      <c r="K627" t="s">
        <v>84</v>
      </c>
      <c r="L627" t="s">
        <v>85</v>
      </c>
      <c r="M627" t="s">
        <v>86</v>
      </c>
      <c r="N627">
        <v>3</v>
      </c>
      <c r="O627" s="1">
        <v>44204.75508101852</v>
      </c>
      <c r="P627" s="1">
        <v>44207.377708333333</v>
      </c>
      <c r="Q627">
        <v>226018</v>
      </c>
      <c r="R627">
        <v>577</v>
      </c>
      <c r="S627" t="b">
        <v>0</v>
      </c>
      <c r="T627" t="s">
        <v>87</v>
      </c>
      <c r="U627" t="b">
        <v>0</v>
      </c>
      <c r="V627" t="s">
        <v>259</v>
      </c>
      <c r="W627" s="1">
        <v>44204.764745370368</v>
      </c>
      <c r="X627">
        <v>346</v>
      </c>
      <c r="Y627">
        <v>51</v>
      </c>
      <c r="Z627">
        <v>0</v>
      </c>
      <c r="AA627">
        <v>51</v>
      </c>
      <c r="AB627">
        <v>0</v>
      </c>
      <c r="AC627">
        <v>13</v>
      </c>
      <c r="AD627">
        <v>43</v>
      </c>
      <c r="AE627">
        <v>0</v>
      </c>
      <c r="AF627">
        <v>0</v>
      </c>
      <c r="AG627">
        <v>0</v>
      </c>
      <c r="AH627" t="s">
        <v>128</v>
      </c>
      <c r="AI627" s="1">
        <v>44204.766747685186</v>
      </c>
      <c r="AJ627">
        <v>162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43</v>
      </c>
      <c r="AQ627">
        <v>0</v>
      </c>
      <c r="AR627">
        <v>0</v>
      </c>
      <c r="AS627">
        <v>0</v>
      </c>
      <c r="AT627" t="s">
        <v>90</v>
      </c>
      <c r="AU627" s="1">
        <v>44207.377708333333</v>
      </c>
      <c r="AV627">
        <v>69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43</v>
      </c>
      <c r="BC627">
        <v>0</v>
      </c>
      <c r="BD627">
        <v>0</v>
      </c>
      <c r="BE627">
        <v>0</v>
      </c>
    </row>
    <row r="628" spans="1:57" x14ac:dyDescent="0.45">
      <c r="A628" t="s">
        <v>1675</v>
      </c>
      <c r="B628" t="s">
        <v>79</v>
      </c>
      <c r="C628" t="s">
        <v>1676</v>
      </c>
      <c r="D628" t="s">
        <v>81</v>
      </c>
      <c r="E628" s="2" t="str">
        <f>HYPERLINK("capsilon://?command=openfolder&amp;siteaddress=FAM.docvelocity-na8.net&amp;folderid=FXF8B502D4-3683-2AAD-BA5A-8C15FF4C8B5A","FX21013946")</f>
        <v>FX21013946</v>
      </c>
      <c r="F628" t="s">
        <v>19</v>
      </c>
      <c r="G628" t="s">
        <v>19</v>
      </c>
      <c r="H628" t="s">
        <v>82</v>
      </c>
      <c r="I628" t="s">
        <v>1677</v>
      </c>
      <c r="J628">
        <v>204</v>
      </c>
      <c r="K628" t="s">
        <v>84</v>
      </c>
      <c r="L628" t="s">
        <v>85</v>
      </c>
      <c r="M628" t="s">
        <v>86</v>
      </c>
      <c r="N628">
        <v>3</v>
      </c>
      <c r="O628" s="1">
        <v>44204.757627314815</v>
      </c>
      <c r="P628" s="1">
        <v>44207.379421296297</v>
      </c>
      <c r="Q628">
        <v>224896</v>
      </c>
      <c r="R628">
        <v>1627</v>
      </c>
      <c r="S628" t="b">
        <v>0</v>
      </c>
      <c r="T628" t="s">
        <v>87</v>
      </c>
      <c r="U628" t="b">
        <v>0</v>
      </c>
      <c r="V628" t="s">
        <v>266</v>
      </c>
      <c r="W628" s="1">
        <v>44204.778391203705</v>
      </c>
      <c r="X628">
        <v>1231</v>
      </c>
      <c r="Y628">
        <v>171</v>
      </c>
      <c r="Z628">
        <v>0</v>
      </c>
      <c r="AA628">
        <v>171</v>
      </c>
      <c r="AB628">
        <v>0</v>
      </c>
      <c r="AC628">
        <v>42</v>
      </c>
      <c r="AD628">
        <v>33</v>
      </c>
      <c r="AE628">
        <v>0</v>
      </c>
      <c r="AF628">
        <v>0</v>
      </c>
      <c r="AG628">
        <v>0</v>
      </c>
      <c r="AH628" t="s">
        <v>267</v>
      </c>
      <c r="AI628" s="1">
        <v>44204.787187499998</v>
      </c>
      <c r="AJ628">
        <v>248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33</v>
      </c>
      <c r="AQ628">
        <v>0</v>
      </c>
      <c r="AR628">
        <v>0</v>
      </c>
      <c r="AS628">
        <v>0</v>
      </c>
      <c r="AT628" t="s">
        <v>90</v>
      </c>
      <c r="AU628" s="1">
        <v>44207.379421296297</v>
      </c>
      <c r="AV628">
        <v>148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33</v>
      </c>
      <c r="BC628">
        <v>0</v>
      </c>
      <c r="BD628">
        <v>0</v>
      </c>
      <c r="BE628">
        <v>0</v>
      </c>
    </row>
    <row r="629" spans="1:57" hidden="1" x14ac:dyDescent="0.45">
      <c r="A629" t="s">
        <v>1678</v>
      </c>
      <c r="B629" t="s">
        <v>79</v>
      </c>
      <c r="C629" t="s">
        <v>1679</v>
      </c>
      <c r="D629" t="s">
        <v>81</v>
      </c>
      <c r="E629" s="2" t="str">
        <f>HYPERLINK("capsilon://?command=openfolder&amp;siteaddress=FAM.docvelocity-na8.net&amp;folderid=FX7D367F90-71E3-FD2D-65A9-01882EE32272","FX2101570")</f>
        <v>FX2101570</v>
      </c>
      <c r="F629" t="s">
        <v>19</v>
      </c>
      <c r="G629" t="s">
        <v>19</v>
      </c>
      <c r="H629" t="s">
        <v>82</v>
      </c>
      <c r="I629" t="s">
        <v>1680</v>
      </c>
      <c r="J629">
        <v>419</v>
      </c>
      <c r="K629" t="s">
        <v>84</v>
      </c>
      <c r="L629" t="s">
        <v>85</v>
      </c>
      <c r="M629" t="s">
        <v>86</v>
      </c>
      <c r="N629">
        <v>1</v>
      </c>
      <c r="O629" s="1">
        <v>44204.761817129627</v>
      </c>
      <c r="P629" s="1">
        <v>44204.770613425928</v>
      </c>
      <c r="Q629">
        <v>237</v>
      </c>
      <c r="R629">
        <v>523</v>
      </c>
      <c r="S629" t="b">
        <v>0</v>
      </c>
      <c r="T629" t="s">
        <v>87</v>
      </c>
      <c r="U629" t="b">
        <v>0</v>
      </c>
      <c r="V629" t="s">
        <v>259</v>
      </c>
      <c r="W629" s="1">
        <v>44204.770613425928</v>
      </c>
      <c r="X629">
        <v>506</v>
      </c>
      <c r="Y629">
        <v>351</v>
      </c>
      <c r="Z629">
        <v>0</v>
      </c>
      <c r="AA629">
        <v>351</v>
      </c>
      <c r="AB629">
        <v>0</v>
      </c>
      <c r="AC629">
        <v>0</v>
      </c>
      <c r="AD629">
        <v>68</v>
      </c>
      <c r="AE629">
        <v>36</v>
      </c>
      <c r="AF629">
        <v>0</v>
      </c>
      <c r="AG629">
        <v>2</v>
      </c>
      <c r="AH629" t="s">
        <v>87</v>
      </c>
      <c r="AI629" t="s">
        <v>87</v>
      </c>
      <c r="AJ629" t="s">
        <v>87</v>
      </c>
      <c r="AK629" t="s">
        <v>87</v>
      </c>
      <c r="AL629" t="s">
        <v>87</v>
      </c>
      <c r="AM629" t="s">
        <v>87</v>
      </c>
      <c r="AN629" t="s">
        <v>87</v>
      </c>
      <c r="AO629" t="s">
        <v>87</v>
      </c>
      <c r="AP629" t="s">
        <v>87</v>
      </c>
      <c r="AQ629" t="s">
        <v>87</v>
      </c>
      <c r="AR629" t="s">
        <v>87</v>
      </c>
      <c r="AS629" t="s">
        <v>87</v>
      </c>
      <c r="AT629" t="s">
        <v>87</v>
      </c>
      <c r="AU629" t="s">
        <v>87</v>
      </c>
      <c r="AV629" t="s">
        <v>87</v>
      </c>
      <c r="AW629" t="s">
        <v>87</v>
      </c>
      <c r="AX629" t="s">
        <v>87</v>
      </c>
      <c r="AY629" t="s">
        <v>87</v>
      </c>
      <c r="AZ629" t="s">
        <v>87</v>
      </c>
      <c r="BA629" t="s">
        <v>87</v>
      </c>
      <c r="BB629" t="s">
        <v>87</v>
      </c>
      <c r="BC629" t="s">
        <v>87</v>
      </c>
      <c r="BD629" t="s">
        <v>87</v>
      </c>
      <c r="BE629" t="s">
        <v>87</v>
      </c>
    </row>
    <row r="630" spans="1:57" x14ac:dyDescent="0.45">
      <c r="A630" t="s">
        <v>1681</v>
      </c>
      <c r="B630" t="s">
        <v>79</v>
      </c>
      <c r="C630" t="s">
        <v>1679</v>
      </c>
      <c r="D630" t="s">
        <v>81</v>
      </c>
      <c r="E630" s="2" t="str">
        <f>HYPERLINK("capsilon://?command=openfolder&amp;siteaddress=FAM.docvelocity-na8.net&amp;folderid=FX7D367F90-71E3-FD2D-65A9-01882EE32272","FX2101570")</f>
        <v>FX2101570</v>
      </c>
      <c r="F630" t="s">
        <v>19</v>
      </c>
      <c r="G630" t="s">
        <v>19</v>
      </c>
      <c r="H630" t="s">
        <v>82</v>
      </c>
      <c r="I630" t="s">
        <v>1680</v>
      </c>
      <c r="J630">
        <v>80</v>
      </c>
      <c r="K630" t="s">
        <v>84</v>
      </c>
      <c r="L630" t="s">
        <v>85</v>
      </c>
      <c r="M630" t="s">
        <v>86</v>
      </c>
      <c r="N630">
        <v>3</v>
      </c>
      <c r="O630" s="1">
        <v>44204.771724537037</v>
      </c>
      <c r="P630" s="1">
        <v>44207.344398148147</v>
      </c>
      <c r="Q630">
        <v>217874</v>
      </c>
      <c r="R630">
        <v>4405</v>
      </c>
      <c r="S630" t="b">
        <v>0</v>
      </c>
      <c r="T630" t="s">
        <v>87</v>
      </c>
      <c r="U630" t="b">
        <v>1</v>
      </c>
      <c r="V630" t="s">
        <v>259</v>
      </c>
      <c r="W630" s="1">
        <v>44204.815428240741</v>
      </c>
      <c r="X630">
        <v>3670</v>
      </c>
      <c r="Y630">
        <v>434</v>
      </c>
      <c r="Z630">
        <v>0</v>
      </c>
      <c r="AA630">
        <v>434</v>
      </c>
      <c r="AB630">
        <v>37</v>
      </c>
      <c r="AC630">
        <v>226</v>
      </c>
      <c r="AD630">
        <v>-354</v>
      </c>
      <c r="AE630">
        <v>0</v>
      </c>
      <c r="AF630">
        <v>0</v>
      </c>
      <c r="AG630">
        <v>0</v>
      </c>
      <c r="AH630" t="s">
        <v>267</v>
      </c>
      <c r="AI630" s="1">
        <v>44204.82199074074</v>
      </c>
      <c r="AJ630">
        <v>564</v>
      </c>
      <c r="AK630">
        <v>2</v>
      </c>
      <c r="AL630">
        <v>0</v>
      </c>
      <c r="AM630">
        <v>2</v>
      </c>
      <c r="AN630">
        <v>37</v>
      </c>
      <c r="AO630">
        <v>2</v>
      </c>
      <c r="AP630">
        <v>-356</v>
      </c>
      <c r="AQ630">
        <v>0</v>
      </c>
      <c r="AR630">
        <v>0</v>
      </c>
      <c r="AS630">
        <v>0</v>
      </c>
      <c r="AT630" t="s">
        <v>90</v>
      </c>
      <c r="AU630" s="1">
        <v>44207.344398148147</v>
      </c>
      <c r="AV630">
        <v>98</v>
      </c>
      <c r="AW630">
        <v>0</v>
      </c>
      <c r="AX630">
        <v>0</v>
      </c>
      <c r="AY630">
        <v>0</v>
      </c>
      <c r="AZ630">
        <v>37</v>
      </c>
      <c r="BA630">
        <v>0</v>
      </c>
      <c r="BB630">
        <v>-356</v>
      </c>
      <c r="BC630">
        <v>0</v>
      </c>
      <c r="BD630">
        <v>0</v>
      </c>
      <c r="BE630">
        <v>0</v>
      </c>
    </row>
    <row r="631" spans="1:57" hidden="1" x14ac:dyDescent="0.45">
      <c r="A631" t="s">
        <v>1682</v>
      </c>
      <c r="B631" t="s">
        <v>79</v>
      </c>
      <c r="C631" t="s">
        <v>1683</v>
      </c>
      <c r="D631" t="s">
        <v>81</v>
      </c>
      <c r="E631" s="2" t="str">
        <f>HYPERLINK("capsilon://?command=openfolder&amp;siteaddress=FAM.docvelocity-na8.net&amp;folderid=FX9D4038A3-9F7D-AD87-D71A-841D799874D4","FX20126031")</f>
        <v>FX20126031</v>
      </c>
      <c r="F631" t="s">
        <v>19</v>
      </c>
      <c r="G631" t="s">
        <v>19</v>
      </c>
      <c r="H631" t="s">
        <v>82</v>
      </c>
      <c r="I631" t="s">
        <v>1684</v>
      </c>
      <c r="J631">
        <v>66</v>
      </c>
      <c r="K631" t="s">
        <v>84</v>
      </c>
      <c r="L631" t="s">
        <v>85</v>
      </c>
      <c r="M631" t="s">
        <v>86</v>
      </c>
      <c r="N631">
        <v>1</v>
      </c>
      <c r="O631" s="1">
        <v>44204.785196759258</v>
      </c>
      <c r="P631" s="1">
        <v>44204.787974537037</v>
      </c>
      <c r="Q631">
        <v>1</v>
      </c>
      <c r="R631">
        <v>239</v>
      </c>
      <c r="S631" t="b">
        <v>0</v>
      </c>
      <c r="T631" t="s">
        <v>87</v>
      </c>
      <c r="U631" t="b">
        <v>0</v>
      </c>
      <c r="V631" t="s">
        <v>168</v>
      </c>
      <c r="W631" s="1">
        <v>44204.787974537037</v>
      </c>
      <c r="X631">
        <v>239</v>
      </c>
      <c r="Y631">
        <v>51</v>
      </c>
      <c r="Z631">
        <v>0</v>
      </c>
      <c r="AA631">
        <v>51</v>
      </c>
      <c r="AB631">
        <v>0</v>
      </c>
      <c r="AC631">
        <v>0</v>
      </c>
      <c r="AD631">
        <v>15</v>
      </c>
      <c r="AE631">
        <v>52</v>
      </c>
      <c r="AF631">
        <v>0</v>
      </c>
      <c r="AG631">
        <v>1</v>
      </c>
      <c r="AH631" t="s">
        <v>87</v>
      </c>
      <c r="AI631" t="s">
        <v>87</v>
      </c>
      <c r="AJ631" t="s">
        <v>87</v>
      </c>
      <c r="AK631" t="s">
        <v>87</v>
      </c>
      <c r="AL631" t="s">
        <v>87</v>
      </c>
      <c r="AM631" t="s">
        <v>87</v>
      </c>
      <c r="AN631" t="s">
        <v>87</v>
      </c>
      <c r="AO631" t="s">
        <v>87</v>
      </c>
      <c r="AP631" t="s">
        <v>87</v>
      </c>
      <c r="AQ631" t="s">
        <v>87</v>
      </c>
      <c r="AR631" t="s">
        <v>87</v>
      </c>
      <c r="AS631" t="s">
        <v>87</v>
      </c>
      <c r="AT631" t="s">
        <v>87</v>
      </c>
      <c r="AU631" t="s">
        <v>87</v>
      </c>
      <c r="AV631" t="s">
        <v>87</v>
      </c>
      <c r="AW631" t="s">
        <v>87</v>
      </c>
      <c r="AX631" t="s">
        <v>87</v>
      </c>
      <c r="AY631" t="s">
        <v>87</v>
      </c>
      <c r="AZ631" t="s">
        <v>87</v>
      </c>
      <c r="BA631" t="s">
        <v>87</v>
      </c>
      <c r="BB631" t="s">
        <v>87</v>
      </c>
      <c r="BC631" t="s">
        <v>87</v>
      </c>
      <c r="BD631" t="s">
        <v>87</v>
      </c>
      <c r="BE631" t="s">
        <v>87</v>
      </c>
    </row>
    <row r="632" spans="1:57" x14ac:dyDescent="0.45">
      <c r="A632" t="s">
        <v>1685</v>
      </c>
      <c r="B632" t="s">
        <v>79</v>
      </c>
      <c r="C632" t="s">
        <v>1683</v>
      </c>
      <c r="D632" t="s">
        <v>81</v>
      </c>
      <c r="E632" s="2" t="str">
        <f>HYPERLINK("capsilon://?command=openfolder&amp;siteaddress=FAM.docvelocity-na8.net&amp;folderid=FX9D4038A3-9F7D-AD87-D71A-841D799874D4","FX20126031")</f>
        <v>FX20126031</v>
      </c>
      <c r="F632" t="s">
        <v>19</v>
      </c>
      <c r="G632" t="s">
        <v>19</v>
      </c>
      <c r="H632" t="s">
        <v>82</v>
      </c>
      <c r="I632" t="s">
        <v>1684</v>
      </c>
      <c r="J632">
        <v>38</v>
      </c>
      <c r="K632" t="s">
        <v>84</v>
      </c>
      <c r="L632" t="s">
        <v>85</v>
      </c>
      <c r="M632" t="s">
        <v>86</v>
      </c>
      <c r="N632">
        <v>3</v>
      </c>
      <c r="O632" s="1">
        <v>44204.788368055553</v>
      </c>
      <c r="P632" s="1">
        <v>44207.344467592593</v>
      </c>
      <c r="Q632">
        <v>220033</v>
      </c>
      <c r="R632">
        <v>814</v>
      </c>
      <c r="S632" t="b">
        <v>0</v>
      </c>
      <c r="T632" t="s">
        <v>87</v>
      </c>
      <c r="U632" t="b">
        <v>1</v>
      </c>
      <c r="V632" t="s">
        <v>168</v>
      </c>
      <c r="W632" s="1">
        <v>44204.7965625</v>
      </c>
      <c r="X632">
        <v>690</v>
      </c>
      <c r="Y632">
        <v>37</v>
      </c>
      <c r="Z632">
        <v>0</v>
      </c>
      <c r="AA632">
        <v>37</v>
      </c>
      <c r="AB632">
        <v>0</v>
      </c>
      <c r="AC632">
        <v>33</v>
      </c>
      <c r="AD632">
        <v>1</v>
      </c>
      <c r="AE632">
        <v>0</v>
      </c>
      <c r="AF632">
        <v>0</v>
      </c>
      <c r="AG632">
        <v>0</v>
      </c>
      <c r="AH632" t="s">
        <v>267</v>
      </c>
      <c r="AI632" s="1">
        <v>44204.798333333332</v>
      </c>
      <c r="AJ632">
        <v>104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 t="s">
        <v>90</v>
      </c>
      <c r="AU632" s="1">
        <v>44207.344467592593</v>
      </c>
      <c r="AV632">
        <v>5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</row>
    <row r="633" spans="1:57" hidden="1" x14ac:dyDescent="0.45">
      <c r="A633" t="s">
        <v>1686</v>
      </c>
      <c r="B633" t="s">
        <v>79</v>
      </c>
      <c r="C633" t="s">
        <v>1687</v>
      </c>
      <c r="D633" t="s">
        <v>81</v>
      </c>
      <c r="E633" s="2" t="str">
        <f>HYPERLINK("capsilon://?command=openfolder&amp;siteaddress=FAM.docvelocity-na8.net&amp;folderid=FX9D0E6379-6899-2BC5-C232-0029D35A94A4","FX20127757")</f>
        <v>FX20127757</v>
      </c>
      <c r="F633" t="s">
        <v>19</v>
      </c>
      <c r="G633" t="s">
        <v>19</v>
      </c>
      <c r="H633" t="s">
        <v>82</v>
      </c>
      <c r="I633" t="s">
        <v>1688</v>
      </c>
      <c r="J633">
        <v>66</v>
      </c>
      <c r="K633" t="s">
        <v>84</v>
      </c>
      <c r="L633" t="s">
        <v>85</v>
      </c>
      <c r="M633" t="s">
        <v>86</v>
      </c>
      <c r="N633">
        <v>1</v>
      </c>
      <c r="O633" s="1">
        <v>44204.796180555553</v>
      </c>
      <c r="P633" s="1">
        <v>44204.817719907405</v>
      </c>
      <c r="Q633">
        <v>1609</v>
      </c>
      <c r="R633">
        <v>252</v>
      </c>
      <c r="S633" t="b">
        <v>0</v>
      </c>
      <c r="T633" t="s">
        <v>87</v>
      </c>
      <c r="U633" t="b">
        <v>0</v>
      </c>
      <c r="V633" t="s">
        <v>259</v>
      </c>
      <c r="W633" s="1">
        <v>44204.817719907405</v>
      </c>
      <c r="X633">
        <v>197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66</v>
      </c>
      <c r="AE633">
        <v>52</v>
      </c>
      <c r="AF633">
        <v>0</v>
      </c>
      <c r="AG633">
        <v>1</v>
      </c>
      <c r="AH633" t="s">
        <v>87</v>
      </c>
      <c r="AI633" t="s">
        <v>87</v>
      </c>
      <c r="AJ633" t="s">
        <v>87</v>
      </c>
      <c r="AK633" t="s">
        <v>87</v>
      </c>
      <c r="AL633" t="s">
        <v>87</v>
      </c>
      <c r="AM633" t="s">
        <v>87</v>
      </c>
      <c r="AN633" t="s">
        <v>87</v>
      </c>
      <c r="AO633" t="s">
        <v>87</v>
      </c>
      <c r="AP633" t="s">
        <v>87</v>
      </c>
      <c r="AQ633" t="s">
        <v>87</v>
      </c>
      <c r="AR633" t="s">
        <v>87</v>
      </c>
      <c r="AS633" t="s">
        <v>87</v>
      </c>
      <c r="AT633" t="s">
        <v>87</v>
      </c>
      <c r="AU633" t="s">
        <v>87</v>
      </c>
      <c r="AV633" t="s">
        <v>87</v>
      </c>
      <c r="AW633" t="s">
        <v>87</v>
      </c>
      <c r="AX633" t="s">
        <v>87</v>
      </c>
      <c r="AY633" t="s">
        <v>87</v>
      </c>
      <c r="AZ633" t="s">
        <v>87</v>
      </c>
      <c r="BA633" t="s">
        <v>87</v>
      </c>
      <c r="BB633" t="s">
        <v>87</v>
      </c>
      <c r="BC633" t="s">
        <v>87</v>
      </c>
      <c r="BD633" t="s">
        <v>87</v>
      </c>
      <c r="BE633" t="s">
        <v>87</v>
      </c>
    </row>
    <row r="634" spans="1:57" x14ac:dyDescent="0.45">
      <c r="A634" t="s">
        <v>1689</v>
      </c>
      <c r="B634" t="s">
        <v>79</v>
      </c>
      <c r="C634" t="s">
        <v>1690</v>
      </c>
      <c r="D634" t="s">
        <v>81</v>
      </c>
      <c r="E634" s="2" t="str">
        <f>HYPERLINK("capsilon://?command=openfolder&amp;siteaddress=FAM.docvelocity-na8.net&amp;folderid=FX1A2E8D7D-E15E-ECB9-7B76-A0989EFD6F1B","FX20123647")</f>
        <v>FX20123647</v>
      </c>
      <c r="F634" t="s">
        <v>19</v>
      </c>
      <c r="G634" t="s">
        <v>19</v>
      </c>
      <c r="H634" t="s">
        <v>82</v>
      </c>
      <c r="I634" t="s">
        <v>1691</v>
      </c>
      <c r="J634">
        <v>130</v>
      </c>
      <c r="K634" t="s">
        <v>84</v>
      </c>
      <c r="L634" t="s">
        <v>85</v>
      </c>
      <c r="M634" t="s">
        <v>86</v>
      </c>
      <c r="N634">
        <v>3</v>
      </c>
      <c r="O634" s="1">
        <v>44204.80908564815</v>
      </c>
      <c r="P634" s="1">
        <v>44207.383090277777</v>
      </c>
      <c r="Q634">
        <v>221448</v>
      </c>
      <c r="R634">
        <v>946</v>
      </c>
      <c r="S634" t="b">
        <v>0</v>
      </c>
      <c r="T634" t="s">
        <v>87</v>
      </c>
      <c r="U634" t="b">
        <v>0</v>
      </c>
      <c r="V634" t="s">
        <v>142</v>
      </c>
      <c r="W634" s="1">
        <v>44204.821006944447</v>
      </c>
      <c r="X634">
        <v>369</v>
      </c>
      <c r="Y634">
        <v>122</v>
      </c>
      <c r="Z634">
        <v>0</v>
      </c>
      <c r="AA634">
        <v>122</v>
      </c>
      <c r="AB634">
        <v>0</v>
      </c>
      <c r="AC634">
        <v>41</v>
      </c>
      <c r="AD634">
        <v>8</v>
      </c>
      <c r="AE634">
        <v>0</v>
      </c>
      <c r="AF634">
        <v>0</v>
      </c>
      <c r="AG634">
        <v>0</v>
      </c>
      <c r="AH634" t="s">
        <v>267</v>
      </c>
      <c r="AI634" s="1">
        <v>44204.825011574074</v>
      </c>
      <c r="AJ634">
        <v>260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8</v>
      </c>
      <c r="AQ634">
        <v>0</v>
      </c>
      <c r="AR634">
        <v>0</v>
      </c>
      <c r="AS634">
        <v>0</v>
      </c>
      <c r="AT634" t="s">
        <v>90</v>
      </c>
      <c r="AU634" s="1">
        <v>44207.383090277777</v>
      </c>
      <c r="AV634">
        <v>317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8</v>
      </c>
      <c r="BC634">
        <v>0</v>
      </c>
      <c r="BD634">
        <v>0</v>
      </c>
      <c r="BE634">
        <v>0</v>
      </c>
    </row>
    <row r="635" spans="1:57" x14ac:dyDescent="0.45">
      <c r="A635" t="s">
        <v>1692</v>
      </c>
      <c r="B635" t="s">
        <v>79</v>
      </c>
      <c r="C635" t="s">
        <v>1687</v>
      </c>
      <c r="D635" t="s">
        <v>81</v>
      </c>
      <c r="E635" s="2" t="str">
        <f>HYPERLINK("capsilon://?command=openfolder&amp;siteaddress=FAM.docvelocity-na8.net&amp;folderid=FX9D0E6379-6899-2BC5-C232-0029D35A94A4","FX20127757")</f>
        <v>FX20127757</v>
      </c>
      <c r="F635" t="s">
        <v>19</v>
      </c>
      <c r="G635" t="s">
        <v>19</v>
      </c>
      <c r="H635" t="s">
        <v>82</v>
      </c>
      <c r="I635" t="s">
        <v>1688</v>
      </c>
      <c r="J635">
        <v>38</v>
      </c>
      <c r="K635" t="s">
        <v>84</v>
      </c>
      <c r="L635" t="s">
        <v>85</v>
      </c>
      <c r="M635" t="s">
        <v>86</v>
      </c>
      <c r="N635">
        <v>3</v>
      </c>
      <c r="O635" s="1">
        <v>44204.818009259259</v>
      </c>
      <c r="P635" s="1">
        <v>44207.344525462962</v>
      </c>
      <c r="Q635">
        <v>217541</v>
      </c>
      <c r="R635">
        <v>750</v>
      </c>
      <c r="S635" t="b">
        <v>0</v>
      </c>
      <c r="T635" t="s">
        <v>87</v>
      </c>
      <c r="U635" t="b">
        <v>1</v>
      </c>
      <c r="V635" t="s">
        <v>259</v>
      </c>
      <c r="W635" s="1">
        <v>44204.82576388889</v>
      </c>
      <c r="X635">
        <v>665</v>
      </c>
      <c r="Y635">
        <v>37</v>
      </c>
      <c r="Z635">
        <v>0</v>
      </c>
      <c r="AA635">
        <v>37</v>
      </c>
      <c r="AB635">
        <v>0</v>
      </c>
      <c r="AC635">
        <v>17</v>
      </c>
      <c r="AD635">
        <v>1</v>
      </c>
      <c r="AE635">
        <v>0</v>
      </c>
      <c r="AF635">
        <v>0</v>
      </c>
      <c r="AG635">
        <v>0</v>
      </c>
      <c r="AH635" t="s">
        <v>267</v>
      </c>
      <c r="AI635" s="1">
        <v>44204.826932870368</v>
      </c>
      <c r="AJ635">
        <v>81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 t="s">
        <v>90</v>
      </c>
      <c r="AU635" s="1">
        <v>44207.344525462962</v>
      </c>
      <c r="AV635">
        <v>4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</row>
    <row r="636" spans="1:57" hidden="1" x14ac:dyDescent="0.45">
      <c r="A636" t="s">
        <v>1693</v>
      </c>
      <c r="B636" t="s">
        <v>79</v>
      </c>
      <c r="C636" t="s">
        <v>1694</v>
      </c>
      <c r="D636" t="s">
        <v>81</v>
      </c>
      <c r="E636" s="2" t="str">
        <f>HYPERLINK("capsilon://?command=openfolder&amp;siteaddress=FAM.docvelocity-na8.net&amp;folderid=FXD80F3E95-85DC-A3C1-8B94-2C365488A410","FX20111599")</f>
        <v>FX20111599</v>
      </c>
      <c r="F636" t="s">
        <v>19</v>
      </c>
      <c r="G636" t="s">
        <v>19</v>
      </c>
      <c r="H636" t="s">
        <v>82</v>
      </c>
      <c r="I636" t="s">
        <v>1695</v>
      </c>
      <c r="J636">
        <v>66</v>
      </c>
      <c r="K636" t="s">
        <v>84</v>
      </c>
      <c r="L636" t="s">
        <v>85</v>
      </c>
      <c r="M636" t="s">
        <v>86</v>
      </c>
      <c r="N636">
        <v>3</v>
      </c>
      <c r="O636" s="1">
        <v>44204.818611111114</v>
      </c>
      <c r="P636" s="1">
        <v>44207.381296296298</v>
      </c>
      <c r="Q636">
        <v>221264</v>
      </c>
      <c r="R636">
        <v>152</v>
      </c>
      <c r="S636" t="b">
        <v>0</v>
      </c>
      <c r="T636" t="s">
        <v>87</v>
      </c>
      <c r="U636" t="b">
        <v>0</v>
      </c>
      <c r="V636" t="s">
        <v>142</v>
      </c>
      <c r="W636" s="1">
        <v>44204.822152777779</v>
      </c>
      <c r="X636">
        <v>98</v>
      </c>
      <c r="Y636">
        <v>0</v>
      </c>
      <c r="Z636">
        <v>0</v>
      </c>
      <c r="AA636">
        <v>0</v>
      </c>
      <c r="AB636">
        <v>52</v>
      </c>
      <c r="AC636">
        <v>0</v>
      </c>
      <c r="AD636">
        <v>66</v>
      </c>
      <c r="AE636">
        <v>0</v>
      </c>
      <c r="AF636">
        <v>0</v>
      </c>
      <c r="AG636">
        <v>0</v>
      </c>
      <c r="AH636" t="s">
        <v>267</v>
      </c>
      <c r="AI636" s="1">
        <v>44204.82534722222</v>
      </c>
      <c r="AJ636">
        <v>28</v>
      </c>
      <c r="AK636">
        <v>0</v>
      </c>
      <c r="AL636">
        <v>0</v>
      </c>
      <c r="AM636">
        <v>0</v>
      </c>
      <c r="AN636">
        <v>52</v>
      </c>
      <c r="AO636">
        <v>0</v>
      </c>
      <c r="AP636">
        <v>66</v>
      </c>
      <c r="AQ636">
        <v>0</v>
      </c>
      <c r="AR636">
        <v>0</v>
      </c>
      <c r="AS636">
        <v>0</v>
      </c>
      <c r="AT636" t="s">
        <v>549</v>
      </c>
      <c r="AU636" s="1">
        <v>44207.381296296298</v>
      </c>
      <c r="AV636">
        <v>26</v>
      </c>
      <c r="AW636">
        <v>0</v>
      </c>
      <c r="AX636">
        <v>0</v>
      </c>
      <c r="AY636">
        <v>0</v>
      </c>
      <c r="AZ636">
        <v>52</v>
      </c>
      <c r="BA636">
        <v>0</v>
      </c>
      <c r="BB636">
        <v>66</v>
      </c>
      <c r="BC636">
        <v>0</v>
      </c>
      <c r="BD636">
        <v>0</v>
      </c>
      <c r="BE636">
        <v>0</v>
      </c>
    </row>
    <row r="637" spans="1:57" x14ac:dyDescent="0.45">
      <c r="A637" t="s">
        <v>1696</v>
      </c>
      <c r="B637" t="s">
        <v>79</v>
      </c>
      <c r="C637" t="s">
        <v>1697</v>
      </c>
      <c r="D637" t="s">
        <v>81</v>
      </c>
      <c r="E637" s="2" t="str">
        <f>HYPERLINK("capsilon://?command=openfolder&amp;siteaddress=FAM.docvelocity-na8.net&amp;folderid=FXF3F5B971-23F6-D3C5-6D50-FA40F2A6EB03","FX201227433")</f>
        <v>FX201227433</v>
      </c>
      <c r="F637" t="s">
        <v>19</v>
      </c>
      <c r="G637" t="s">
        <v>19</v>
      </c>
      <c r="H637" t="s">
        <v>82</v>
      </c>
      <c r="I637" t="s">
        <v>1698</v>
      </c>
      <c r="J637">
        <v>38</v>
      </c>
      <c r="K637" t="s">
        <v>84</v>
      </c>
      <c r="L637" t="s">
        <v>85</v>
      </c>
      <c r="M637" t="s">
        <v>86</v>
      </c>
      <c r="N637">
        <v>3</v>
      </c>
      <c r="O637" s="1">
        <v>44204.831377314818</v>
      </c>
      <c r="P637" s="1">
        <v>44207.387974537036</v>
      </c>
      <c r="Q637">
        <v>219558</v>
      </c>
      <c r="R637">
        <v>1332</v>
      </c>
      <c r="S637" t="b">
        <v>0</v>
      </c>
      <c r="T637" t="s">
        <v>87</v>
      </c>
      <c r="U637" t="b">
        <v>0</v>
      </c>
      <c r="V637" t="s">
        <v>262</v>
      </c>
      <c r="W637" s="1">
        <v>44204.83898148148</v>
      </c>
      <c r="X637">
        <v>521</v>
      </c>
      <c r="Y637">
        <v>37</v>
      </c>
      <c r="Z637">
        <v>0</v>
      </c>
      <c r="AA637">
        <v>37</v>
      </c>
      <c r="AB637">
        <v>0</v>
      </c>
      <c r="AC637">
        <v>28</v>
      </c>
      <c r="AD637">
        <v>1</v>
      </c>
      <c r="AE637">
        <v>0</v>
      </c>
      <c r="AF637">
        <v>0</v>
      </c>
      <c r="AG637">
        <v>0</v>
      </c>
      <c r="AH637" t="s">
        <v>267</v>
      </c>
      <c r="AI637" s="1">
        <v>44204.843738425923</v>
      </c>
      <c r="AJ637">
        <v>252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 t="s">
        <v>90</v>
      </c>
      <c r="AU637" s="1">
        <v>44207.387974537036</v>
      </c>
      <c r="AV637">
        <v>6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</row>
    <row r="638" spans="1:57" x14ac:dyDescent="0.45">
      <c r="A638" t="s">
        <v>1699</v>
      </c>
      <c r="B638" t="s">
        <v>79</v>
      </c>
      <c r="C638" t="s">
        <v>892</v>
      </c>
      <c r="D638" t="s">
        <v>81</v>
      </c>
      <c r="E638" s="2" t="str">
        <f>HYPERLINK("capsilon://?command=openfolder&amp;siteaddress=FAM.docvelocity-na8.net&amp;folderid=FX5000F857-D4B2-CF8A-39ED-6FD38EDDA096","FX20127683")</f>
        <v>FX20127683</v>
      </c>
      <c r="F638" t="s">
        <v>19</v>
      </c>
      <c r="G638" t="s">
        <v>19</v>
      </c>
      <c r="H638" t="s">
        <v>82</v>
      </c>
      <c r="I638" t="s">
        <v>1700</v>
      </c>
      <c r="J638">
        <v>153</v>
      </c>
      <c r="K638" t="s">
        <v>84</v>
      </c>
      <c r="L638" t="s">
        <v>85</v>
      </c>
      <c r="M638" t="s">
        <v>86</v>
      </c>
      <c r="N638">
        <v>3</v>
      </c>
      <c r="O638" s="1">
        <v>44204.850578703707</v>
      </c>
      <c r="P638" s="1">
        <v>44207.384386574071</v>
      </c>
      <c r="Q638">
        <v>210209</v>
      </c>
      <c r="R638">
        <v>8712</v>
      </c>
      <c r="S638" t="b">
        <v>0</v>
      </c>
      <c r="T638" t="s">
        <v>87</v>
      </c>
      <c r="U638" t="b">
        <v>0</v>
      </c>
      <c r="V638" t="s">
        <v>105</v>
      </c>
      <c r="W638" s="1">
        <v>44207.182037037041</v>
      </c>
      <c r="X638">
        <v>3501</v>
      </c>
      <c r="Y638">
        <v>306</v>
      </c>
      <c r="Z638">
        <v>0</v>
      </c>
      <c r="AA638">
        <v>306</v>
      </c>
      <c r="AB638">
        <v>0</v>
      </c>
      <c r="AC638">
        <v>229</v>
      </c>
      <c r="AD638">
        <v>-153</v>
      </c>
      <c r="AE638">
        <v>0</v>
      </c>
      <c r="AF638">
        <v>0</v>
      </c>
      <c r="AG638">
        <v>0</v>
      </c>
      <c r="AH638" t="s">
        <v>89</v>
      </c>
      <c r="AI638" s="1">
        <v>44207.246504629627</v>
      </c>
      <c r="AJ638">
        <v>5029</v>
      </c>
      <c r="AK638">
        <v>6</v>
      </c>
      <c r="AL638">
        <v>0</v>
      </c>
      <c r="AM638">
        <v>6</v>
      </c>
      <c r="AN638">
        <v>0</v>
      </c>
      <c r="AO638">
        <v>5</v>
      </c>
      <c r="AP638">
        <v>-159</v>
      </c>
      <c r="AQ638">
        <v>0</v>
      </c>
      <c r="AR638">
        <v>0</v>
      </c>
      <c r="AS638">
        <v>0</v>
      </c>
      <c r="AT638" t="s">
        <v>90</v>
      </c>
      <c r="AU638" s="1">
        <v>44207.384386574071</v>
      </c>
      <c r="AV638">
        <v>112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-159</v>
      </c>
      <c r="BC638">
        <v>0</v>
      </c>
      <c r="BD638">
        <v>0</v>
      </c>
      <c r="BE638">
        <v>0</v>
      </c>
    </row>
    <row r="639" spans="1:57" x14ac:dyDescent="0.45">
      <c r="A639" t="s">
        <v>1701</v>
      </c>
      <c r="B639" t="s">
        <v>79</v>
      </c>
      <c r="C639" t="s">
        <v>1702</v>
      </c>
      <c r="D639" t="s">
        <v>81</v>
      </c>
      <c r="E639" s="2" t="str">
        <f>HYPERLINK("capsilon://?command=openfolder&amp;siteaddress=FAM.docvelocity-na8.net&amp;folderid=FX86A89EFD-FA82-E6A2-3E8C-6161C3B7F4A0","FX201227159")</f>
        <v>FX201227159</v>
      </c>
      <c r="F639" t="s">
        <v>19</v>
      </c>
      <c r="G639" t="s">
        <v>19</v>
      </c>
      <c r="H639" t="s">
        <v>82</v>
      </c>
      <c r="I639" t="s">
        <v>1703</v>
      </c>
      <c r="J639">
        <v>402</v>
      </c>
      <c r="K639" t="s">
        <v>84</v>
      </c>
      <c r="L639" t="s">
        <v>85</v>
      </c>
      <c r="M639" t="s">
        <v>86</v>
      </c>
      <c r="N639">
        <v>3</v>
      </c>
      <c r="O639" s="1">
        <v>44200.551770833335</v>
      </c>
      <c r="P639" s="1">
        <v>44201.362141203703</v>
      </c>
      <c r="Q639">
        <v>68183</v>
      </c>
      <c r="R639">
        <v>1833</v>
      </c>
      <c r="S639" t="b">
        <v>0</v>
      </c>
      <c r="T639" t="s">
        <v>87</v>
      </c>
      <c r="U639" t="b">
        <v>0</v>
      </c>
      <c r="V639" t="s">
        <v>242</v>
      </c>
      <c r="W639" s="1">
        <v>44200.672824074078</v>
      </c>
      <c r="X639">
        <v>1276</v>
      </c>
      <c r="Y639">
        <v>295</v>
      </c>
      <c r="Z639">
        <v>0</v>
      </c>
      <c r="AA639">
        <v>295</v>
      </c>
      <c r="AB639">
        <v>37</v>
      </c>
      <c r="AC639">
        <v>119</v>
      </c>
      <c r="AD639">
        <v>107</v>
      </c>
      <c r="AE639">
        <v>0</v>
      </c>
      <c r="AF639">
        <v>0</v>
      </c>
      <c r="AG639">
        <v>0</v>
      </c>
      <c r="AH639" t="s">
        <v>267</v>
      </c>
      <c r="AI639" s="1">
        <v>44200.679826388892</v>
      </c>
      <c r="AJ639">
        <v>480</v>
      </c>
      <c r="AK639">
        <v>2</v>
      </c>
      <c r="AL639">
        <v>0</v>
      </c>
      <c r="AM639">
        <v>2</v>
      </c>
      <c r="AN639">
        <v>37</v>
      </c>
      <c r="AO639">
        <v>1</v>
      </c>
      <c r="AP639">
        <v>105</v>
      </c>
      <c r="AQ639">
        <v>0</v>
      </c>
      <c r="AR639">
        <v>0</v>
      </c>
      <c r="AS639">
        <v>0</v>
      </c>
      <c r="AT639" t="s">
        <v>90</v>
      </c>
      <c r="AU639" s="1">
        <v>44201.362141203703</v>
      </c>
      <c r="AV639">
        <v>58</v>
      </c>
      <c r="AW639">
        <v>0</v>
      </c>
      <c r="AX639">
        <v>0</v>
      </c>
      <c r="AY639">
        <v>0</v>
      </c>
      <c r="AZ639">
        <v>37</v>
      </c>
      <c r="BA639">
        <v>0</v>
      </c>
      <c r="BB639">
        <v>105</v>
      </c>
      <c r="BC639">
        <v>0</v>
      </c>
      <c r="BD639">
        <v>0</v>
      </c>
      <c r="BE639">
        <v>0</v>
      </c>
    </row>
    <row r="640" spans="1:57" x14ac:dyDescent="0.45">
      <c r="A640" t="s">
        <v>1704</v>
      </c>
      <c r="B640" t="s">
        <v>79</v>
      </c>
      <c r="C640" t="s">
        <v>1705</v>
      </c>
      <c r="D640" t="s">
        <v>81</v>
      </c>
      <c r="E640" s="2" t="str">
        <f>HYPERLINK("capsilon://?command=openfolder&amp;siteaddress=FAM.docvelocity-na8.net&amp;folderid=FXECBFE50C-5F61-7C3C-AAEA-382C3219DEE9","FX201226261")</f>
        <v>FX201226261</v>
      </c>
      <c r="F640" t="s">
        <v>19</v>
      </c>
      <c r="G640" t="s">
        <v>19</v>
      </c>
      <c r="H640" t="s">
        <v>82</v>
      </c>
      <c r="I640" t="s">
        <v>1706</v>
      </c>
      <c r="J640">
        <v>66</v>
      </c>
      <c r="K640" t="s">
        <v>84</v>
      </c>
      <c r="L640" t="s">
        <v>85</v>
      </c>
      <c r="M640" t="s">
        <v>86</v>
      </c>
      <c r="N640">
        <v>3</v>
      </c>
      <c r="O640" s="1">
        <v>44205.410324074073</v>
      </c>
      <c r="P640" s="1">
        <v>44207.387048611112</v>
      </c>
      <c r="Q640">
        <v>168843</v>
      </c>
      <c r="R640">
        <v>1946</v>
      </c>
      <c r="S640" t="b">
        <v>0</v>
      </c>
      <c r="T640" t="s">
        <v>87</v>
      </c>
      <c r="U640" t="b">
        <v>0</v>
      </c>
      <c r="V640" t="s">
        <v>88</v>
      </c>
      <c r="W640" s="1">
        <v>44207.154490740744</v>
      </c>
      <c r="X640">
        <v>879</v>
      </c>
      <c r="Y640">
        <v>52</v>
      </c>
      <c r="Z640">
        <v>0</v>
      </c>
      <c r="AA640">
        <v>52</v>
      </c>
      <c r="AB640">
        <v>0</v>
      </c>
      <c r="AC640">
        <v>36</v>
      </c>
      <c r="AD640">
        <v>14</v>
      </c>
      <c r="AE640">
        <v>0</v>
      </c>
      <c r="AF640">
        <v>0</v>
      </c>
      <c r="AG640">
        <v>0</v>
      </c>
      <c r="AH640" t="s">
        <v>89</v>
      </c>
      <c r="AI640" s="1">
        <v>44207.173703703702</v>
      </c>
      <c r="AJ640">
        <v>809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14</v>
      </c>
      <c r="AQ640">
        <v>0</v>
      </c>
      <c r="AR640">
        <v>0</v>
      </c>
      <c r="AS640">
        <v>0</v>
      </c>
      <c r="AT640" t="s">
        <v>90</v>
      </c>
      <c r="AU640" s="1">
        <v>44207.387048611112</v>
      </c>
      <c r="AV640">
        <v>230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14</v>
      </c>
      <c r="BC640">
        <v>0</v>
      </c>
      <c r="BD640">
        <v>0</v>
      </c>
      <c r="BE640">
        <v>0</v>
      </c>
    </row>
    <row r="641" spans="1:57" x14ac:dyDescent="0.45">
      <c r="A641" t="s">
        <v>1707</v>
      </c>
      <c r="B641" t="s">
        <v>79</v>
      </c>
      <c r="C641" t="s">
        <v>1705</v>
      </c>
      <c r="D641" t="s">
        <v>81</v>
      </c>
      <c r="E641" s="2" t="str">
        <f>HYPERLINK("capsilon://?command=openfolder&amp;siteaddress=FAM.docvelocity-na8.net&amp;folderid=FXECBFE50C-5F61-7C3C-AAEA-382C3219DEE9","FX201226261")</f>
        <v>FX201226261</v>
      </c>
      <c r="F641" t="s">
        <v>19</v>
      </c>
      <c r="G641" t="s">
        <v>19</v>
      </c>
      <c r="H641" t="s">
        <v>82</v>
      </c>
      <c r="I641" t="s">
        <v>1708</v>
      </c>
      <c r="J641">
        <v>66</v>
      </c>
      <c r="K641" t="s">
        <v>84</v>
      </c>
      <c r="L641" t="s">
        <v>85</v>
      </c>
      <c r="M641" t="s">
        <v>86</v>
      </c>
      <c r="N641">
        <v>3</v>
      </c>
      <c r="O641" s="1">
        <v>44205.411099537036</v>
      </c>
      <c r="P641" s="1">
        <v>44207.38789351852</v>
      </c>
      <c r="Q641">
        <v>169407</v>
      </c>
      <c r="R641">
        <v>1388</v>
      </c>
      <c r="S641" t="b">
        <v>0</v>
      </c>
      <c r="T641" t="s">
        <v>87</v>
      </c>
      <c r="U641" t="b">
        <v>0</v>
      </c>
      <c r="V641" t="s">
        <v>1418</v>
      </c>
      <c r="W641" s="1">
        <v>44207.155150462961</v>
      </c>
      <c r="X641">
        <v>869</v>
      </c>
      <c r="Y641">
        <v>52</v>
      </c>
      <c r="Z641">
        <v>0</v>
      </c>
      <c r="AA641">
        <v>52</v>
      </c>
      <c r="AB641">
        <v>0</v>
      </c>
      <c r="AC641">
        <v>31</v>
      </c>
      <c r="AD641">
        <v>14</v>
      </c>
      <c r="AE641">
        <v>0</v>
      </c>
      <c r="AF641">
        <v>0</v>
      </c>
      <c r="AG641">
        <v>0</v>
      </c>
      <c r="AH641" t="s">
        <v>89</v>
      </c>
      <c r="AI641" s="1">
        <v>44207.178888888891</v>
      </c>
      <c r="AJ641">
        <v>447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13</v>
      </c>
      <c r="AQ641">
        <v>0</v>
      </c>
      <c r="AR641">
        <v>0</v>
      </c>
      <c r="AS641">
        <v>0</v>
      </c>
      <c r="AT641" t="s">
        <v>90</v>
      </c>
      <c r="AU641" s="1">
        <v>44207.38789351852</v>
      </c>
      <c r="AV641">
        <v>72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13</v>
      </c>
      <c r="BC641">
        <v>0</v>
      </c>
      <c r="BD641">
        <v>0</v>
      </c>
      <c r="BE641">
        <v>0</v>
      </c>
    </row>
    <row r="642" spans="1:57" x14ac:dyDescent="0.45">
      <c r="A642" t="s">
        <v>1709</v>
      </c>
      <c r="B642" t="s">
        <v>79</v>
      </c>
      <c r="C642" t="s">
        <v>734</v>
      </c>
      <c r="D642" t="s">
        <v>81</v>
      </c>
      <c r="E642" s="2" t="str">
        <f>HYPERLINK("capsilon://?command=openfolder&amp;siteaddress=FAM.docvelocity-na8.net&amp;folderid=FX0BE0AF46-9104-9684-334C-2CA6E6143C0D","FX201222575")</f>
        <v>FX201222575</v>
      </c>
      <c r="F642" t="s">
        <v>19</v>
      </c>
      <c r="G642" t="s">
        <v>19</v>
      </c>
      <c r="H642" t="s">
        <v>82</v>
      </c>
      <c r="I642" t="s">
        <v>1710</v>
      </c>
      <c r="J642">
        <v>66</v>
      </c>
      <c r="K642" t="s">
        <v>84</v>
      </c>
      <c r="L642" t="s">
        <v>85</v>
      </c>
      <c r="M642" t="s">
        <v>86</v>
      </c>
      <c r="N642">
        <v>3</v>
      </c>
      <c r="O642" s="1">
        <v>44205.412789351853</v>
      </c>
      <c r="P642" s="1">
        <v>44207.388055555559</v>
      </c>
      <c r="Q642">
        <v>169412</v>
      </c>
      <c r="R642">
        <v>1251</v>
      </c>
      <c r="S642" t="b">
        <v>0</v>
      </c>
      <c r="T642" t="s">
        <v>87</v>
      </c>
      <c r="U642" t="b">
        <v>0</v>
      </c>
      <c r="V642" t="s">
        <v>112</v>
      </c>
      <c r="W642" s="1">
        <v>44207.152071759258</v>
      </c>
      <c r="X642">
        <v>434</v>
      </c>
      <c r="Y642">
        <v>52</v>
      </c>
      <c r="Z642">
        <v>0</v>
      </c>
      <c r="AA642">
        <v>52</v>
      </c>
      <c r="AB642">
        <v>0</v>
      </c>
      <c r="AC642">
        <v>23</v>
      </c>
      <c r="AD642">
        <v>14</v>
      </c>
      <c r="AE642">
        <v>0</v>
      </c>
      <c r="AF642">
        <v>0</v>
      </c>
      <c r="AG642">
        <v>0</v>
      </c>
      <c r="AH642" t="s">
        <v>89</v>
      </c>
      <c r="AI642" s="1">
        <v>44207.188287037039</v>
      </c>
      <c r="AJ642">
        <v>811</v>
      </c>
      <c r="AK642">
        <v>3</v>
      </c>
      <c r="AL642">
        <v>0</v>
      </c>
      <c r="AM642">
        <v>3</v>
      </c>
      <c r="AN642">
        <v>0</v>
      </c>
      <c r="AO642">
        <v>2</v>
      </c>
      <c r="AP642">
        <v>11</v>
      </c>
      <c r="AQ642">
        <v>0</v>
      </c>
      <c r="AR642">
        <v>0</v>
      </c>
      <c r="AS642">
        <v>0</v>
      </c>
      <c r="AT642" t="s">
        <v>90</v>
      </c>
      <c r="AU642" s="1">
        <v>44207.388055555559</v>
      </c>
      <c r="AV642">
        <v>6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11</v>
      </c>
      <c r="BC642">
        <v>0</v>
      </c>
      <c r="BD642">
        <v>0</v>
      </c>
      <c r="BE642">
        <v>0</v>
      </c>
    </row>
    <row r="643" spans="1:57" x14ac:dyDescent="0.45">
      <c r="A643" t="s">
        <v>1711</v>
      </c>
      <c r="B643" t="s">
        <v>79</v>
      </c>
      <c r="C643" t="s">
        <v>1705</v>
      </c>
      <c r="D643" t="s">
        <v>81</v>
      </c>
      <c r="E643" s="2" t="str">
        <f>HYPERLINK("capsilon://?command=openfolder&amp;siteaddress=FAM.docvelocity-na8.net&amp;folderid=FXECBFE50C-5F61-7C3C-AAEA-382C3219DEE9","FX201226261")</f>
        <v>FX201226261</v>
      </c>
      <c r="F643" t="s">
        <v>19</v>
      </c>
      <c r="G643" t="s">
        <v>19</v>
      </c>
      <c r="H643" t="s">
        <v>82</v>
      </c>
      <c r="I643" t="s">
        <v>1712</v>
      </c>
      <c r="J643">
        <v>124</v>
      </c>
      <c r="K643" t="s">
        <v>84</v>
      </c>
      <c r="L643" t="s">
        <v>85</v>
      </c>
      <c r="M643" t="s">
        <v>86</v>
      </c>
      <c r="N643">
        <v>3</v>
      </c>
      <c r="O643" s="1">
        <v>44205.414340277777</v>
      </c>
      <c r="P643" s="1">
        <v>44207.388912037037</v>
      </c>
      <c r="Q643">
        <v>169801</v>
      </c>
      <c r="R643">
        <v>802</v>
      </c>
      <c r="S643" t="b">
        <v>0</v>
      </c>
      <c r="T643" t="s">
        <v>87</v>
      </c>
      <c r="U643" t="b">
        <v>0</v>
      </c>
      <c r="V643" t="s">
        <v>419</v>
      </c>
      <c r="W643" s="1">
        <v>44207.156076388892</v>
      </c>
      <c r="X643">
        <v>554</v>
      </c>
      <c r="Y643">
        <v>87</v>
      </c>
      <c r="Z643">
        <v>0</v>
      </c>
      <c r="AA643">
        <v>87</v>
      </c>
      <c r="AB643">
        <v>0</v>
      </c>
      <c r="AC643">
        <v>23</v>
      </c>
      <c r="AD643">
        <v>37</v>
      </c>
      <c r="AE643">
        <v>0</v>
      </c>
      <c r="AF643">
        <v>0</v>
      </c>
      <c r="AG643">
        <v>0</v>
      </c>
      <c r="AH643" t="s">
        <v>94</v>
      </c>
      <c r="AI643" s="1">
        <v>44207.193101851852</v>
      </c>
      <c r="AJ643">
        <v>175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37</v>
      </c>
      <c r="AQ643">
        <v>0</v>
      </c>
      <c r="AR643">
        <v>0</v>
      </c>
      <c r="AS643">
        <v>0</v>
      </c>
      <c r="AT643" t="s">
        <v>90</v>
      </c>
      <c r="AU643" s="1">
        <v>44207.388912037037</v>
      </c>
      <c r="AV643">
        <v>73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37</v>
      </c>
      <c r="BC643">
        <v>0</v>
      </c>
      <c r="BD643">
        <v>0</v>
      </c>
      <c r="BE643">
        <v>0</v>
      </c>
    </row>
    <row r="644" spans="1:57" x14ac:dyDescent="0.45">
      <c r="A644" t="s">
        <v>1713</v>
      </c>
      <c r="B644" t="s">
        <v>79</v>
      </c>
      <c r="C644" t="s">
        <v>1705</v>
      </c>
      <c r="D644" t="s">
        <v>81</v>
      </c>
      <c r="E644" s="2" t="str">
        <f>HYPERLINK("capsilon://?command=openfolder&amp;siteaddress=FAM.docvelocity-na8.net&amp;folderid=FXECBFE50C-5F61-7C3C-AAEA-382C3219DEE9","FX201226261")</f>
        <v>FX201226261</v>
      </c>
      <c r="F644" t="s">
        <v>19</v>
      </c>
      <c r="G644" t="s">
        <v>19</v>
      </c>
      <c r="H644" t="s">
        <v>82</v>
      </c>
      <c r="I644" t="s">
        <v>1714</v>
      </c>
      <c r="J644">
        <v>121</v>
      </c>
      <c r="K644" t="s">
        <v>84</v>
      </c>
      <c r="L644" t="s">
        <v>85</v>
      </c>
      <c r="M644" t="s">
        <v>86</v>
      </c>
      <c r="N644">
        <v>3</v>
      </c>
      <c r="O644" s="1">
        <v>44205.414490740739</v>
      </c>
      <c r="P644" s="1">
        <v>44207.391805555555</v>
      </c>
      <c r="Q644">
        <v>169776</v>
      </c>
      <c r="R644">
        <v>1064</v>
      </c>
      <c r="S644" t="b">
        <v>0</v>
      </c>
      <c r="T644" t="s">
        <v>87</v>
      </c>
      <c r="U644" t="b">
        <v>0</v>
      </c>
      <c r="V644" t="s">
        <v>112</v>
      </c>
      <c r="W644" s="1">
        <v>44207.158541666664</v>
      </c>
      <c r="X644">
        <v>558</v>
      </c>
      <c r="Y644">
        <v>87</v>
      </c>
      <c r="Z644">
        <v>0</v>
      </c>
      <c r="AA644">
        <v>87</v>
      </c>
      <c r="AB644">
        <v>0</v>
      </c>
      <c r="AC644">
        <v>22</v>
      </c>
      <c r="AD644">
        <v>34</v>
      </c>
      <c r="AE644">
        <v>0</v>
      </c>
      <c r="AF644">
        <v>0</v>
      </c>
      <c r="AG644">
        <v>0</v>
      </c>
      <c r="AH644" t="s">
        <v>94</v>
      </c>
      <c r="AI644" s="1">
        <v>44207.195717592593</v>
      </c>
      <c r="AJ644">
        <v>210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34</v>
      </c>
      <c r="AQ644">
        <v>0</v>
      </c>
      <c r="AR644">
        <v>0</v>
      </c>
      <c r="AS644">
        <v>0</v>
      </c>
      <c r="AT644" t="s">
        <v>549</v>
      </c>
      <c r="AU644" s="1">
        <v>44207.391805555555</v>
      </c>
      <c r="AV644">
        <v>289</v>
      </c>
      <c r="AW644">
        <v>1</v>
      </c>
      <c r="AX644">
        <v>0</v>
      </c>
      <c r="AY644">
        <v>1</v>
      </c>
      <c r="AZ644">
        <v>0</v>
      </c>
      <c r="BA644">
        <v>1</v>
      </c>
      <c r="BB644">
        <v>33</v>
      </c>
      <c r="BC644">
        <v>0</v>
      </c>
      <c r="BD644">
        <v>0</v>
      </c>
      <c r="BE644">
        <v>0</v>
      </c>
    </row>
    <row r="645" spans="1:57" hidden="1" x14ac:dyDescent="0.45">
      <c r="A645" t="s">
        <v>1715</v>
      </c>
      <c r="B645" t="s">
        <v>79</v>
      </c>
      <c r="C645" t="s">
        <v>1716</v>
      </c>
      <c r="D645" t="s">
        <v>81</v>
      </c>
      <c r="E645" s="2" t="str">
        <f>HYPERLINK("capsilon://?command=openfolder&amp;siteaddress=FAM.docvelocity-na8.net&amp;folderid=FX926E5EFA-37CC-F09A-12E0-1B96E4C819C1","FX201225132")</f>
        <v>FX201225132</v>
      </c>
      <c r="F645" t="s">
        <v>19</v>
      </c>
      <c r="G645" t="s">
        <v>19</v>
      </c>
      <c r="H645" t="s">
        <v>82</v>
      </c>
      <c r="I645" t="s">
        <v>1717</v>
      </c>
      <c r="J645">
        <v>26</v>
      </c>
      <c r="K645" t="s">
        <v>84</v>
      </c>
      <c r="L645" t="s">
        <v>85</v>
      </c>
      <c r="M645" t="s">
        <v>86</v>
      </c>
      <c r="N645">
        <v>1</v>
      </c>
      <c r="O645" s="1">
        <v>44205.417488425926</v>
      </c>
      <c r="P645" s="1">
        <v>44207.160162037035</v>
      </c>
      <c r="Q645">
        <v>150078</v>
      </c>
      <c r="R645">
        <v>489</v>
      </c>
      <c r="S645" t="b">
        <v>0</v>
      </c>
      <c r="T645" t="s">
        <v>87</v>
      </c>
      <c r="U645" t="b">
        <v>0</v>
      </c>
      <c r="V645" t="s">
        <v>88</v>
      </c>
      <c r="W645" s="1">
        <v>44207.160162037035</v>
      </c>
      <c r="X645">
        <v>489</v>
      </c>
      <c r="Y645">
        <v>0</v>
      </c>
      <c r="Z645">
        <v>0</v>
      </c>
      <c r="AA645">
        <v>0</v>
      </c>
      <c r="AB645">
        <v>0</v>
      </c>
      <c r="AC645">
        <v>4</v>
      </c>
      <c r="AD645">
        <v>26</v>
      </c>
      <c r="AE645">
        <v>21</v>
      </c>
      <c r="AF645">
        <v>0</v>
      </c>
      <c r="AG645">
        <v>4</v>
      </c>
      <c r="AH645" t="s">
        <v>87</v>
      </c>
      <c r="AI645" t="s">
        <v>87</v>
      </c>
      <c r="AJ645" t="s">
        <v>87</v>
      </c>
      <c r="AK645" t="s">
        <v>87</v>
      </c>
      <c r="AL645" t="s">
        <v>87</v>
      </c>
      <c r="AM645" t="s">
        <v>87</v>
      </c>
      <c r="AN645" t="s">
        <v>87</v>
      </c>
      <c r="AO645" t="s">
        <v>87</v>
      </c>
      <c r="AP645" t="s">
        <v>87</v>
      </c>
      <c r="AQ645" t="s">
        <v>87</v>
      </c>
      <c r="AR645" t="s">
        <v>87</v>
      </c>
      <c r="AS645" t="s">
        <v>87</v>
      </c>
      <c r="AT645" t="s">
        <v>87</v>
      </c>
      <c r="AU645" t="s">
        <v>87</v>
      </c>
      <c r="AV645" t="s">
        <v>87</v>
      </c>
      <c r="AW645" t="s">
        <v>87</v>
      </c>
      <c r="AX645" t="s">
        <v>87</v>
      </c>
      <c r="AY645" t="s">
        <v>87</v>
      </c>
      <c r="AZ645" t="s">
        <v>87</v>
      </c>
      <c r="BA645" t="s">
        <v>87</v>
      </c>
      <c r="BB645" t="s">
        <v>87</v>
      </c>
      <c r="BC645" t="s">
        <v>87</v>
      </c>
      <c r="BD645" t="s">
        <v>87</v>
      </c>
      <c r="BE645" t="s">
        <v>87</v>
      </c>
    </row>
    <row r="646" spans="1:57" x14ac:dyDescent="0.45">
      <c r="A646" t="s">
        <v>1718</v>
      </c>
      <c r="B646" t="s">
        <v>79</v>
      </c>
      <c r="C646" t="s">
        <v>1719</v>
      </c>
      <c r="D646" t="s">
        <v>81</v>
      </c>
      <c r="E646" s="2" t="str">
        <f>HYPERLINK("capsilon://?command=openfolder&amp;siteaddress=FAM.docvelocity-na8.net&amp;folderid=FXDE958D47-E5B8-5648-997F-9BF90D77A2FF","FX201228054")</f>
        <v>FX201228054</v>
      </c>
      <c r="F646" t="s">
        <v>19</v>
      </c>
      <c r="G646" t="s">
        <v>19</v>
      </c>
      <c r="H646" t="s">
        <v>82</v>
      </c>
      <c r="I646" t="s">
        <v>1720</v>
      </c>
      <c r="J646">
        <v>106</v>
      </c>
      <c r="K646" t="s">
        <v>84</v>
      </c>
      <c r="L646" t="s">
        <v>85</v>
      </c>
      <c r="M646" t="s">
        <v>86</v>
      </c>
      <c r="N646">
        <v>3</v>
      </c>
      <c r="O646" s="1">
        <v>44200.558842592596</v>
      </c>
      <c r="P646" s="1">
        <v>44201.363113425927</v>
      </c>
      <c r="Q646">
        <v>68423</v>
      </c>
      <c r="R646">
        <v>1066</v>
      </c>
      <c r="S646" t="b">
        <v>0</v>
      </c>
      <c r="T646" t="s">
        <v>87</v>
      </c>
      <c r="U646" t="b">
        <v>0</v>
      </c>
      <c r="V646" t="s">
        <v>266</v>
      </c>
      <c r="W646" s="1">
        <v>44200.66883101852</v>
      </c>
      <c r="X646">
        <v>775</v>
      </c>
      <c r="Y646">
        <v>118</v>
      </c>
      <c r="Z646">
        <v>0</v>
      </c>
      <c r="AA646">
        <v>118</v>
      </c>
      <c r="AB646">
        <v>37</v>
      </c>
      <c r="AC646">
        <v>62</v>
      </c>
      <c r="AD646">
        <v>-12</v>
      </c>
      <c r="AE646">
        <v>0</v>
      </c>
      <c r="AF646">
        <v>0</v>
      </c>
      <c r="AG646">
        <v>0</v>
      </c>
      <c r="AH646" t="s">
        <v>267</v>
      </c>
      <c r="AI646" s="1">
        <v>44200.674259259256</v>
      </c>
      <c r="AJ646">
        <v>208</v>
      </c>
      <c r="AK646">
        <v>0</v>
      </c>
      <c r="AL646">
        <v>0</v>
      </c>
      <c r="AM646">
        <v>0</v>
      </c>
      <c r="AN646">
        <v>37</v>
      </c>
      <c r="AO646">
        <v>0</v>
      </c>
      <c r="AP646">
        <v>-12</v>
      </c>
      <c r="AQ646">
        <v>0</v>
      </c>
      <c r="AR646">
        <v>0</v>
      </c>
      <c r="AS646">
        <v>0</v>
      </c>
      <c r="AT646" t="s">
        <v>90</v>
      </c>
      <c r="AU646" s="1">
        <v>44201.363113425927</v>
      </c>
      <c r="AV646">
        <v>83</v>
      </c>
      <c r="AW646">
        <v>0</v>
      </c>
      <c r="AX646">
        <v>0</v>
      </c>
      <c r="AY646">
        <v>0</v>
      </c>
      <c r="AZ646">
        <v>37</v>
      </c>
      <c r="BA646">
        <v>0</v>
      </c>
      <c r="BB646">
        <v>-12</v>
      </c>
      <c r="BC646">
        <v>0</v>
      </c>
      <c r="BD646">
        <v>0</v>
      </c>
      <c r="BE646">
        <v>0</v>
      </c>
    </row>
    <row r="647" spans="1:57" x14ac:dyDescent="0.45">
      <c r="A647" t="s">
        <v>1721</v>
      </c>
      <c r="B647" t="s">
        <v>79</v>
      </c>
      <c r="C647" t="s">
        <v>1722</v>
      </c>
      <c r="D647" t="s">
        <v>81</v>
      </c>
      <c r="E647" s="2" t="str">
        <f>HYPERLINK("capsilon://?command=openfolder&amp;siteaddress=FAM.docvelocity-na8.net&amp;folderid=FXB743C46B-EB3C-E965-1F38-9AE1DABA004D","FX201223491")</f>
        <v>FX201223491</v>
      </c>
      <c r="F647" t="s">
        <v>19</v>
      </c>
      <c r="G647" t="s">
        <v>19</v>
      </c>
      <c r="H647" t="s">
        <v>82</v>
      </c>
      <c r="I647" t="s">
        <v>1723</v>
      </c>
      <c r="J647">
        <v>66</v>
      </c>
      <c r="K647" t="s">
        <v>84</v>
      </c>
      <c r="L647" t="s">
        <v>85</v>
      </c>
      <c r="M647" t="s">
        <v>86</v>
      </c>
      <c r="N647">
        <v>3</v>
      </c>
      <c r="O647" s="1">
        <v>44207.31695601852</v>
      </c>
      <c r="P647" s="1">
        <v>44207.388993055552</v>
      </c>
      <c r="Q647">
        <v>4677</v>
      </c>
      <c r="R647">
        <v>1547</v>
      </c>
      <c r="S647" t="b">
        <v>0</v>
      </c>
      <c r="T647" t="s">
        <v>87</v>
      </c>
      <c r="U647" t="b">
        <v>0</v>
      </c>
      <c r="V647" t="s">
        <v>919</v>
      </c>
      <c r="W647" s="1">
        <v>44207.328125</v>
      </c>
      <c r="X647">
        <v>950</v>
      </c>
      <c r="Y647">
        <v>52</v>
      </c>
      <c r="Z647">
        <v>0</v>
      </c>
      <c r="AA647">
        <v>52</v>
      </c>
      <c r="AB647">
        <v>0</v>
      </c>
      <c r="AC647">
        <v>27</v>
      </c>
      <c r="AD647">
        <v>14</v>
      </c>
      <c r="AE647">
        <v>0</v>
      </c>
      <c r="AF647">
        <v>0</v>
      </c>
      <c r="AG647">
        <v>0</v>
      </c>
      <c r="AH647" t="s">
        <v>89</v>
      </c>
      <c r="AI647" s="1">
        <v>44207.34814814815</v>
      </c>
      <c r="AJ647">
        <v>590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14</v>
      </c>
      <c r="AQ647">
        <v>0</v>
      </c>
      <c r="AR647">
        <v>0</v>
      </c>
      <c r="AS647">
        <v>0</v>
      </c>
      <c r="AT647" t="s">
        <v>90</v>
      </c>
      <c r="AU647" s="1">
        <v>44207.388993055552</v>
      </c>
      <c r="AV647">
        <v>7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14</v>
      </c>
      <c r="BC647">
        <v>0</v>
      </c>
      <c r="BD647">
        <v>0</v>
      </c>
      <c r="BE647">
        <v>0</v>
      </c>
    </row>
    <row r="648" spans="1:57" hidden="1" x14ac:dyDescent="0.45">
      <c r="A648" t="s">
        <v>1724</v>
      </c>
      <c r="B648" t="s">
        <v>79</v>
      </c>
      <c r="C648" t="s">
        <v>1722</v>
      </c>
      <c r="D648" t="s">
        <v>81</v>
      </c>
      <c r="E648" s="2" t="str">
        <f>HYPERLINK("capsilon://?command=openfolder&amp;siteaddress=FAM.docvelocity-na8.net&amp;folderid=FXB743C46B-EB3C-E965-1F38-9AE1DABA004D","FX201223491")</f>
        <v>FX201223491</v>
      </c>
      <c r="F648" t="s">
        <v>19</v>
      </c>
      <c r="G648" t="s">
        <v>19</v>
      </c>
      <c r="H648" t="s">
        <v>82</v>
      </c>
      <c r="I648" t="s">
        <v>1725</v>
      </c>
      <c r="J648">
        <v>66</v>
      </c>
      <c r="K648" t="s">
        <v>84</v>
      </c>
      <c r="L648" t="s">
        <v>85</v>
      </c>
      <c r="M648" t="s">
        <v>86</v>
      </c>
      <c r="N648">
        <v>1</v>
      </c>
      <c r="O648" s="1">
        <v>44207.317650462966</v>
      </c>
      <c r="P648" s="1">
        <v>44207.327488425923</v>
      </c>
      <c r="Q648">
        <v>48</v>
      </c>
      <c r="R648">
        <v>802</v>
      </c>
      <c r="S648" t="b">
        <v>0</v>
      </c>
      <c r="T648" t="s">
        <v>87</v>
      </c>
      <c r="U648" t="b">
        <v>0</v>
      </c>
      <c r="V648" t="s">
        <v>419</v>
      </c>
      <c r="W648" s="1">
        <v>44207.327488425923</v>
      </c>
      <c r="X648">
        <v>802</v>
      </c>
      <c r="Y648">
        <v>0</v>
      </c>
      <c r="Z648">
        <v>0</v>
      </c>
      <c r="AA648">
        <v>0</v>
      </c>
      <c r="AB648">
        <v>0</v>
      </c>
      <c r="AC648">
        <v>9</v>
      </c>
      <c r="AD648">
        <v>66</v>
      </c>
      <c r="AE648">
        <v>52</v>
      </c>
      <c r="AF648">
        <v>0</v>
      </c>
      <c r="AG648">
        <v>1</v>
      </c>
      <c r="AH648" t="s">
        <v>87</v>
      </c>
      <c r="AI648" t="s">
        <v>87</v>
      </c>
      <c r="AJ648" t="s">
        <v>87</v>
      </c>
      <c r="AK648" t="s">
        <v>87</v>
      </c>
      <c r="AL648" t="s">
        <v>87</v>
      </c>
      <c r="AM648" t="s">
        <v>87</v>
      </c>
      <c r="AN648" t="s">
        <v>87</v>
      </c>
      <c r="AO648" t="s">
        <v>87</v>
      </c>
      <c r="AP648" t="s">
        <v>87</v>
      </c>
      <c r="AQ648" t="s">
        <v>87</v>
      </c>
      <c r="AR648" t="s">
        <v>87</v>
      </c>
      <c r="AS648" t="s">
        <v>87</v>
      </c>
      <c r="AT648" t="s">
        <v>87</v>
      </c>
      <c r="AU648" t="s">
        <v>87</v>
      </c>
      <c r="AV648" t="s">
        <v>87</v>
      </c>
      <c r="AW648" t="s">
        <v>87</v>
      </c>
      <c r="AX648" t="s">
        <v>87</v>
      </c>
      <c r="AY648" t="s">
        <v>87</v>
      </c>
      <c r="AZ648" t="s">
        <v>87</v>
      </c>
      <c r="BA648" t="s">
        <v>87</v>
      </c>
      <c r="BB648" t="s">
        <v>87</v>
      </c>
      <c r="BC648" t="s">
        <v>87</v>
      </c>
      <c r="BD648" t="s">
        <v>87</v>
      </c>
      <c r="BE648" t="s">
        <v>87</v>
      </c>
    </row>
    <row r="649" spans="1:57" x14ac:dyDescent="0.45">
      <c r="A649" t="s">
        <v>1726</v>
      </c>
      <c r="B649" t="s">
        <v>79</v>
      </c>
      <c r="C649" t="s">
        <v>1727</v>
      </c>
      <c r="D649" t="s">
        <v>81</v>
      </c>
      <c r="E649" s="2" t="str">
        <f>HYPERLINK("capsilon://?command=openfolder&amp;siteaddress=FAM.docvelocity-na8.net&amp;folderid=FXD9AD949D-97C4-E9EB-FE17-42A6D0186042","FX21012280")</f>
        <v>FX21012280</v>
      </c>
      <c r="F649" t="s">
        <v>19</v>
      </c>
      <c r="G649" t="s">
        <v>19</v>
      </c>
      <c r="H649" t="s">
        <v>82</v>
      </c>
      <c r="I649" t="s">
        <v>1728</v>
      </c>
      <c r="J649">
        <v>441</v>
      </c>
      <c r="K649" t="s">
        <v>84</v>
      </c>
      <c r="L649" t="s">
        <v>85</v>
      </c>
      <c r="M649" t="s">
        <v>86</v>
      </c>
      <c r="N649">
        <v>3</v>
      </c>
      <c r="O649" s="1">
        <v>44207.324502314812</v>
      </c>
      <c r="P649" s="1">
        <v>44207.493356481478</v>
      </c>
      <c r="Q649">
        <v>3711</v>
      </c>
      <c r="R649">
        <v>10878</v>
      </c>
      <c r="S649" t="b">
        <v>0</v>
      </c>
      <c r="T649" t="s">
        <v>87</v>
      </c>
      <c r="U649" t="b">
        <v>0</v>
      </c>
      <c r="V649" t="s">
        <v>88</v>
      </c>
      <c r="W649" s="1">
        <v>44207.399386574078</v>
      </c>
      <c r="X649">
        <v>6466</v>
      </c>
      <c r="Y649">
        <v>406</v>
      </c>
      <c r="Z649">
        <v>0</v>
      </c>
      <c r="AA649">
        <v>406</v>
      </c>
      <c r="AB649">
        <v>37</v>
      </c>
      <c r="AC649">
        <v>214</v>
      </c>
      <c r="AD649">
        <v>35</v>
      </c>
      <c r="AE649">
        <v>0</v>
      </c>
      <c r="AF649">
        <v>0</v>
      </c>
      <c r="AG649">
        <v>0</v>
      </c>
      <c r="AH649" t="s">
        <v>89</v>
      </c>
      <c r="AI649" s="1">
        <v>44207.463564814818</v>
      </c>
      <c r="AJ649">
        <v>4362</v>
      </c>
      <c r="AK649">
        <v>3</v>
      </c>
      <c r="AL649">
        <v>0</v>
      </c>
      <c r="AM649">
        <v>3</v>
      </c>
      <c r="AN649">
        <v>37</v>
      </c>
      <c r="AO649">
        <v>2</v>
      </c>
      <c r="AP649">
        <v>32</v>
      </c>
      <c r="AQ649">
        <v>0</v>
      </c>
      <c r="AR649">
        <v>0</v>
      </c>
      <c r="AS649">
        <v>0</v>
      </c>
      <c r="AT649" t="s">
        <v>90</v>
      </c>
      <c r="AU649" s="1">
        <v>44207.493356481478</v>
      </c>
      <c r="AV649">
        <v>28</v>
      </c>
      <c r="AW649">
        <v>0</v>
      </c>
      <c r="AX649">
        <v>0</v>
      </c>
      <c r="AY649">
        <v>0</v>
      </c>
      <c r="AZ649">
        <v>37</v>
      </c>
      <c r="BA649">
        <v>0</v>
      </c>
      <c r="BB649">
        <v>32</v>
      </c>
      <c r="BC649">
        <v>0</v>
      </c>
      <c r="BD649">
        <v>0</v>
      </c>
      <c r="BE649">
        <v>0</v>
      </c>
    </row>
    <row r="650" spans="1:57" x14ac:dyDescent="0.45">
      <c r="A650" t="s">
        <v>1729</v>
      </c>
      <c r="B650" t="s">
        <v>79</v>
      </c>
      <c r="C650" t="s">
        <v>1392</v>
      </c>
      <c r="D650" t="s">
        <v>81</v>
      </c>
      <c r="E650" s="2" t="str">
        <f>HYPERLINK("capsilon://?command=openfolder&amp;siteaddress=FAM.docvelocity-na8.net&amp;folderid=FXC0926AD1-9DE5-5F4C-9B30-FF101B29F2A3","FX21012399")</f>
        <v>FX21012399</v>
      </c>
      <c r="F650" t="s">
        <v>19</v>
      </c>
      <c r="G650" t="s">
        <v>19</v>
      </c>
      <c r="H650" t="s">
        <v>82</v>
      </c>
      <c r="I650" t="s">
        <v>1730</v>
      </c>
      <c r="J650">
        <v>66</v>
      </c>
      <c r="K650" t="s">
        <v>84</v>
      </c>
      <c r="L650" t="s">
        <v>85</v>
      </c>
      <c r="M650" t="s">
        <v>86</v>
      </c>
      <c r="N650">
        <v>3</v>
      </c>
      <c r="O650" s="1">
        <v>44207.326215277775</v>
      </c>
      <c r="P650" s="1">
        <v>44207.389918981484</v>
      </c>
      <c r="Q650">
        <v>3766</v>
      </c>
      <c r="R650">
        <v>1738</v>
      </c>
      <c r="S650" t="b">
        <v>0</v>
      </c>
      <c r="T650" t="s">
        <v>87</v>
      </c>
      <c r="U650" t="b">
        <v>0</v>
      </c>
      <c r="V650" t="s">
        <v>1418</v>
      </c>
      <c r="W650" s="1">
        <v>44207.344027777777</v>
      </c>
      <c r="X650">
        <v>1528</v>
      </c>
      <c r="Y650">
        <v>52</v>
      </c>
      <c r="Z650">
        <v>0</v>
      </c>
      <c r="AA650">
        <v>52</v>
      </c>
      <c r="AB650">
        <v>0</v>
      </c>
      <c r="AC650">
        <v>18</v>
      </c>
      <c r="AD650">
        <v>14</v>
      </c>
      <c r="AE650">
        <v>0</v>
      </c>
      <c r="AF650">
        <v>0</v>
      </c>
      <c r="AG650">
        <v>0</v>
      </c>
      <c r="AH650" t="s">
        <v>94</v>
      </c>
      <c r="AI650" s="1">
        <v>44207.35796296296</v>
      </c>
      <c r="AJ650">
        <v>131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14</v>
      </c>
      <c r="AQ650">
        <v>0</v>
      </c>
      <c r="AR650">
        <v>0</v>
      </c>
      <c r="AS650">
        <v>0</v>
      </c>
      <c r="AT650" t="s">
        <v>90</v>
      </c>
      <c r="AU650" s="1">
        <v>44207.389918981484</v>
      </c>
      <c r="AV650">
        <v>79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14</v>
      </c>
      <c r="BC650">
        <v>0</v>
      </c>
      <c r="BD650">
        <v>0</v>
      </c>
      <c r="BE650">
        <v>0</v>
      </c>
    </row>
    <row r="651" spans="1:57" x14ac:dyDescent="0.45">
      <c r="A651" t="s">
        <v>1731</v>
      </c>
      <c r="B651" t="s">
        <v>79</v>
      </c>
      <c r="C651" t="s">
        <v>1722</v>
      </c>
      <c r="D651" t="s">
        <v>81</v>
      </c>
      <c r="E651" s="2" t="str">
        <f>HYPERLINK("capsilon://?command=openfolder&amp;siteaddress=FAM.docvelocity-na8.net&amp;folderid=FXB743C46B-EB3C-E965-1F38-9AE1DABA004D","FX201223491")</f>
        <v>FX201223491</v>
      </c>
      <c r="F651" t="s">
        <v>19</v>
      </c>
      <c r="G651" t="s">
        <v>19</v>
      </c>
      <c r="H651" t="s">
        <v>82</v>
      </c>
      <c r="I651" t="s">
        <v>1725</v>
      </c>
      <c r="J651">
        <v>38</v>
      </c>
      <c r="K651" t="s">
        <v>84</v>
      </c>
      <c r="L651" t="s">
        <v>85</v>
      </c>
      <c r="M651" t="s">
        <v>86</v>
      </c>
      <c r="N651">
        <v>3</v>
      </c>
      <c r="O651" s="1">
        <v>44207.327696759261</v>
      </c>
      <c r="P651" s="1">
        <v>44207.358854166669</v>
      </c>
      <c r="Q651">
        <v>538</v>
      </c>
      <c r="R651">
        <v>2154</v>
      </c>
      <c r="S651" t="b">
        <v>0</v>
      </c>
      <c r="T651" t="s">
        <v>87</v>
      </c>
      <c r="U651" t="b">
        <v>1</v>
      </c>
      <c r="V651" t="s">
        <v>919</v>
      </c>
      <c r="W651" s="1">
        <v>44207.343391203707</v>
      </c>
      <c r="X651">
        <v>1318</v>
      </c>
      <c r="Y651">
        <v>37</v>
      </c>
      <c r="Z651">
        <v>0</v>
      </c>
      <c r="AA651">
        <v>37</v>
      </c>
      <c r="AB651">
        <v>0</v>
      </c>
      <c r="AC651">
        <v>31</v>
      </c>
      <c r="AD651">
        <v>1</v>
      </c>
      <c r="AE651">
        <v>0</v>
      </c>
      <c r="AF651">
        <v>0</v>
      </c>
      <c r="AG651">
        <v>0</v>
      </c>
      <c r="AH651" t="s">
        <v>89</v>
      </c>
      <c r="AI651" s="1">
        <v>44207.357106481482</v>
      </c>
      <c r="AJ651">
        <v>773</v>
      </c>
      <c r="AK651">
        <v>4</v>
      </c>
      <c r="AL651">
        <v>0</v>
      </c>
      <c r="AM651">
        <v>4</v>
      </c>
      <c r="AN651">
        <v>0</v>
      </c>
      <c r="AO651">
        <v>3</v>
      </c>
      <c r="AP651">
        <v>-3</v>
      </c>
      <c r="AQ651">
        <v>0</v>
      </c>
      <c r="AR651">
        <v>0</v>
      </c>
      <c r="AS651">
        <v>0</v>
      </c>
      <c r="AT651" t="s">
        <v>90</v>
      </c>
      <c r="AU651" s="1">
        <v>44207.358854166669</v>
      </c>
      <c r="AV651">
        <v>63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-3</v>
      </c>
      <c r="BC651">
        <v>0</v>
      </c>
      <c r="BD651">
        <v>0</v>
      </c>
      <c r="BE651">
        <v>0</v>
      </c>
    </row>
    <row r="652" spans="1:57" x14ac:dyDescent="0.45">
      <c r="A652" t="s">
        <v>1732</v>
      </c>
      <c r="B652" t="s">
        <v>79</v>
      </c>
      <c r="C652" t="s">
        <v>1467</v>
      </c>
      <c r="D652" t="s">
        <v>81</v>
      </c>
      <c r="E652" s="2" t="str">
        <f>HYPERLINK("capsilon://?command=openfolder&amp;siteaddress=FAM.docvelocity-na8.net&amp;folderid=FX9543C315-22D9-3DD2-06FC-7445FC033186","FX21011406")</f>
        <v>FX21011406</v>
      </c>
      <c r="F652" t="s">
        <v>19</v>
      </c>
      <c r="G652" t="s">
        <v>19</v>
      </c>
      <c r="H652" t="s">
        <v>82</v>
      </c>
      <c r="I652" t="s">
        <v>1733</v>
      </c>
      <c r="J652">
        <v>66</v>
      </c>
      <c r="K652" t="s">
        <v>84</v>
      </c>
      <c r="L652" t="s">
        <v>85</v>
      </c>
      <c r="M652" t="s">
        <v>86</v>
      </c>
      <c r="N652">
        <v>3</v>
      </c>
      <c r="O652" s="1">
        <v>44207.328472222223</v>
      </c>
      <c r="P652" s="1">
        <v>44207.390740740739</v>
      </c>
      <c r="Q652">
        <v>2855</v>
      </c>
      <c r="R652">
        <v>2525</v>
      </c>
      <c r="S652" t="b">
        <v>0</v>
      </c>
      <c r="T652" t="s">
        <v>87</v>
      </c>
      <c r="U652" t="b">
        <v>0</v>
      </c>
      <c r="V652" t="s">
        <v>419</v>
      </c>
      <c r="W652" s="1">
        <v>44207.35050925926</v>
      </c>
      <c r="X652">
        <v>1590</v>
      </c>
      <c r="Y652">
        <v>52</v>
      </c>
      <c r="Z652">
        <v>0</v>
      </c>
      <c r="AA652">
        <v>52</v>
      </c>
      <c r="AB652">
        <v>0</v>
      </c>
      <c r="AC652">
        <v>39</v>
      </c>
      <c r="AD652">
        <v>14</v>
      </c>
      <c r="AE652">
        <v>0</v>
      </c>
      <c r="AF652">
        <v>0</v>
      </c>
      <c r="AG652">
        <v>0</v>
      </c>
      <c r="AH652" t="s">
        <v>89</v>
      </c>
      <c r="AI652" s="1">
        <v>44207.367118055554</v>
      </c>
      <c r="AJ652">
        <v>865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14</v>
      </c>
      <c r="AQ652">
        <v>0</v>
      </c>
      <c r="AR652">
        <v>0</v>
      </c>
      <c r="AS652">
        <v>0</v>
      </c>
      <c r="AT652" t="s">
        <v>90</v>
      </c>
      <c r="AU652" s="1">
        <v>44207.390740740739</v>
      </c>
      <c r="AV652">
        <v>70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14</v>
      </c>
      <c r="BC652">
        <v>0</v>
      </c>
      <c r="BD652">
        <v>0</v>
      </c>
      <c r="BE652">
        <v>0</v>
      </c>
    </row>
    <row r="653" spans="1:57" x14ac:dyDescent="0.45">
      <c r="A653" t="s">
        <v>1734</v>
      </c>
      <c r="B653" t="s">
        <v>79</v>
      </c>
      <c r="C653" t="s">
        <v>1735</v>
      </c>
      <c r="D653" t="s">
        <v>81</v>
      </c>
      <c r="E653" s="2" t="str">
        <f>HYPERLINK("capsilon://?command=openfolder&amp;siteaddress=FAM.docvelocity-na8.net&amp;folderid=FX50306794-1F14-E6FB-04FE-086521DDC88E","FX201225716")</f>
        <v>FX201225716</v>
      </c>
      <c r="F653" t="s">
        <v>19</v>
      </c>
      <c r="G653" t="s">
        <v>19</v>
      </c>
      <c r="H653" t="s">
        <v>82</v>
      </c>
      <c r="I653" t="s">
        <v>1736</v>
      </c>
      <c r="J653">
        <v>26</v>
      </c>
      <c r="K653" t="s">
        <v>84</v>
      </c>
      <c r="L653" t="s">
        <v>85</v>
      </c>
      <c r="M653" t="s">
        <v>86</v>
      </c>
      <c r="N653">
        <v>3</v>
      </c>
      <c r="O653" s="1">
        <v>44207.335914351854</v>
      </c>
      <c r="P653" s="1">
        <v>44207.390787037039</v>
      </c>
      <c r="Q653">
        <v>4344</v>
      </c>
      <c r="R653">
        <v>397</v>
      </c>
      <c r="S653" t="b">
        <v>0</v>
      </c>
      <c r="T653" t="s">
        <v>87</v>
      </c>
      <c r="U653" t="b">
        <v>0</v>
      </c>
      <c r="V653" t="s">
        <v>112</v>
      </c>
      <c r="W653" s="1">
        <v>44207.340162037035</v>
      </c>
      <c r="X653">
        <v>300</v>
      </c>
      <c r="Y653">
        <v>21</v>
      </c>
      <c r="Z653">
        <v>0</v>
      </c>
      <c r="AA653">
        <v>21</v>
      </c>
      <c r="AB653">
        <v>0</v>
      </c>
      <c r="AC653">
        <v>4</v>
      </c>
      <c r="AD653">
        <v>5</v>
      </c>
      <c r="AE653">
        <v>0</v>
      </c>
      <c r="AF653">
        <v>0</v>
      </c>
      <c r="AG653">
        <v>0</v>
      </c>
      <c r="AH653" t="s">
        <v>94</v>
      </c>
      <c r="AI653" s="1">
        <v>44207.359050925923</v>
      </c>
      <c r="AJ653">
        <v>93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5</v>
      </c>
      <c r="AQ653">
        <v>0</v>
      </c>
      <c r="AR653">
        <v>0</v>
      </c>
      <c r="AS653">
        <v>0</v>
      </c>
      <c r="AT653" t="s">
        <v>90</v>
      </c>
      <c r="AU653" s="1">
        <v>44207.390787037039</v>
      </c>
      <c r="AV653">
        <v>4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5</v>
      </c>
      <c r="BC653">
        <v>0</v>
      </c>
      <c r="BD653">
        <v>0</v>
      </c>
      <c r="BE653">
        <v>0</v>
      </c>
    </row>
    <row r="654" spans="1:57" x14ac:dyDescent="0.45">
      <c r="A654" t="s">
        <v>1737</v>
      </c>
      <c r="B654" t="s">
        <v>79</v>
      </c>
      <c r="C654" t="s">
        <v>1738</v>
      </c>
      <c r="D654" t="s">
        <v>81</v>
      </c>
      <c r="E654" s="2" t="str">
        <f>HYPERLINK("capsilon://?command=openfolder&amp;siteaddress=FAM.docvelocity-na8.net&amp;folderid=FX602EC573-E733-CC7B-5C16-7F22B1663EC7","FX201225212")</f>
        <v>FX201225212</v>
      </c>
      <c r="F654" t="s">
        <v>19</v>
      </c>
      <c r="G654" t="s">
        <v>19</v>
      </c>
      <c r="H654" t="s">
        <v>82</v>
      </c>
      <c r="I654" t="s">
        <v>1739</v>
      </c>
      <c r="J654">
        <v>66</v>
      </c>
      <c r="K654" t="s">
        <v>84</v>
      </c>
      <c r="L654" t="s">
        <v>85</v>
      </c>
      <c r="M654" t="s">
        <v>86</v>
      </c>
      <c r="N654">
        <v>3</v>
      </c>
      <c r="O654" s="1">
        <v>44207.338506944441</v>
      </c>
      <c r="P654" s="1">
        <v>44207.391157407408</v>
      </c>
      <c r="Q654">
        <v>3362</v>
      </c>
      <c r="R654">
        <v>1187</v>
      </c>
      <c r="S654" t="b">
        <v>0</v>
      </c>
      <c r="T654" t="s">
        <v>87</v>
      </c>
      <c r="U654" t="b">
        <v>0</v>
      </c>
      <c r="V654" t="s">
        <v>112</v>
      </c>
      <c r="W654" s="1">
        <v>44207.348090277781</v>
      </c>
      <c r="X654">
        <v>684</v>
      </c>
      <c r="Y654">
        <v>52</v>
      </c>
      <c r="Z654">
        <v>0</v>
      </c>
      <c r="AA654">
        <v>52</v>
      </c>
      <c r="AB654">
        <v>0</v>
      </c>
      <c r="AC654">
        <v>25</v>
      </c>
      <c r="AD654">
        <v>14</v>
      </c>
      <c r="AE654">
        <v>0</v>
      </c>
      <c r="AF654">
        <v>0</v>
      </c>
      <c r="AG654">
        <v>0</v>
      </c>
      <c r="AH654" t="s">
        <v>94</v>
      </c>
      <c r="AI654" s="1">
        <v>44207.364733796298</v>
      </c>
      <c r="AJ654">
        <v>459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14</v>
      </c>
      <c r="AQ654">
        <v>0</v>
      </c>
      <c r="AR654">
        <v>0</v>
      </c>
      <c r="AS654">
        <v>0</v>
      </c>
      <c r="AT654" t="s">
        <v>90</v>
      </c>
      <c r="AU654" s="1">
        <v>44207.391157407408</v>
      </c>
      <c r="AV654">
        <v>31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14</v>
      </c>
      <c r="BC654">
        <v>0</v>
      </c>
      <c r="BD654">
        <v>0</v>
      </c>
      <c r="BE654">
        <v>0</v>
      </c>
    </row>
    <row r="655" spans="1:57" x14ac:dyDescent="0.45">
      <c r="A655" t="s">
        <v>1740</v>
      </c>
      <c r="B655" t="s">
        <v>79</v>
      </c>
      <c r="C655" t="s">
        <v>1741</v>
      </c>
      <c r="D655" t="s">
        <v>81</v>
      </c>
      <c r="E655" s="2" t="str">
        <f>HYPERLINK("capsilon://?command=openfolder&amp;siteaddress=FAM.docvelocity-na8.net&amp;folderid=FX25DA7FA2-45B8-96F4-70B6-BC686D841E48","FX20126767")</f>
        <v>FX20126767</v>
      </c>
      <c r="F655" t="s">
        <v>19</v>
      </c>
      <c r="G655" t="s">
        <v>19</v>
      </c>
      <c r="H655" t="s">
        <v>82</v>
      </c>
      <c r="I655" t="s">
        <v>1742</v>
      </c>
      <c r="J655">
        <v>38</v>
      </c>
      <c r="K655" t="s">
        <v>84</v>
      </c>
      <c r="L655" t="s">
        <v>85</v>
      </c>
      <c r="M655" t="s">
        <v>86</v>
      </c>
      <c r="N655">
        <v>3</v>
      </c>
      <c r="O655" s="1">
        <v>44207.367037037038</v>
      </c>
      <c r="P655" s="1">
        <v>44207.391250000001</v>
      </c>
      <c r="Q655">
        <v>1229</v>
      </c>
      <c r="R655">
        <v>863</v>
      </c>
      <c r="S655" t="b">
        <v>0</v>
      </c>
      <c r="T655" t="s">
        <v>87</v>
      </c>
      <c r="U655" t="b">
        <v>0</v>
      </c>
      <c r="V655" t="s">
        <v>919</v>
      </c>
      <c r="W655" s="1">
        <v>44207.373032407406</v>
      </c>
      <c r="X655">
        <v>517</v>
      </c>
      <c r="Y655">
        <v>37</v>
      </c>
      <c r="Z655">
        <v>0</v>
      </c>
      <c r="AA655">
        <v>37</v>
      </c>
      <c r="AB655">
        <v>0</v>
      </c>
      <c r="AC655">
        <v>14</v>
      </c>
      <c r="AD655">
        <v>1</v>
      </c>
      <c r="AE655">
        <v>0</v>
      </c>
      <c r="AF655">
        <v>0</v>
      </c>
      <c r="AG655">
        <v>0</v>
      </c>
      <c r="AH655" t="s">
        <v>89</v>
      </c>
      <c r="AI655" s="1">
        <v>44207.377268518518</v>
      </c>
      <c r="AJ655">
        <v>338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0</v>
      </c>
      <c r="AR655">
        <v>0</v>
      </c>
      <c r="AS655">
        <v>0</v>
      </c>
      <c r="AT655" t="s">
        <v>90</v>
      </c>
      <c r="AU655" s="1">
        <v>44207.391250000001</v>
      </c>
      <c r="AV655">
        <v>8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</row>
    <row r="656" spans="1:57" x14ac:dyDescent="0.45">
      <c r="A656" t="s">
        <v>1743</v>
      </c>
      <c r="B656" t="s">
        <v>79</v>
      </c>
      <c r="C656" t="s">
        <v>1744</v>
      </c>
      <c r="D656" t="s">
        <v>81</v>
      </c>
      <c r="E656" s="2" t="str">
        <f>HYPERLINK("capsilon://?command=openfolder&amp;siteaddress=FAM.docvelocity-na8.net&amp;folderid=FX3BF0C8C7-99FD-23FD-8902-C662DC7BE696","FX21013073")</f>
        <v>FX21013073</v>
      </c>
      <c r="F656" t="s">
        <v>19</v>
      </c>
      <c r="G656" t="s">
        <v>19</v>
      </c>
      <c r="H656" t="s">
        <v>82</v>
      </c>
      <c r="I656" t="s">
        <v>1745</v>
      </c>
      <c r="J656">
        <v>230</v>
      </c>
      <c r="K656" t="s">
        <v>84</v>
      </c>
      <c r="L656" t="s">
        <v>85</v>
      </c>
      <c r="M656" t="s">
        <v>86</v>
      </c>
      <c r="N656">
        <v>3</v>
      </c>
      <c r="O656" s="1">
        <v>44207.36822916667</v>
      </c>
      <c r="P656" s="1">
        <v>44207.417546296296</v>
      </c>
      <c r="Q656">
        <v>152</v>
      </c>
      <c r="R656">
        <v>4109</v>
      </c>
      <c r="S656" t="b">
        <v>0</v>
      </c>
      <c r="T656" t="s">
        <v>87</v>
      </c>
      <c r="U656" t="b">
        <v>0</v>
      </c>
      <c r="V656" t="s">
        <v>112</v>
      </c>
      <c r="W656" s="1">
        <v>44207.38989583333</v>
      </c>
      <c r="X656">
        <v>1780</v>
      </c>
      <c r="Y656">
        <v>207</v>
      </c>
      <c r="Z656">
        <v>0</v>
      </c>
      <c r="AA656">
        <v>207</v>
      </c>
      <c r="AB656">
        <v>0</v>
      </c>
      <c r="AC656">
        <v>62</v>
      </c>
      <c r="AD656">
        <v>23</v>
      </c>
      <c r="AE656">
        <v>0</v>
      </c>
      <c r="AF656">
        <v>0</v>
      </c>
      <c r="AG656">
        <v>0</v>
      </c>
      <c r="AH656" t="s">
        <v>89</v>
      </c>
      <c r="AI656" s="1">
        <v>44207.41306712963</v>
      </c>
      <c r="AJ656">
        <v>1947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23</v>
      </c>
      <c r="AQ656">
        <v>0</v>
      </c>
      <c r="AR656">
        <v>0</v>
      </c>
      <c r="AS656">
        <v>0</v>
      </c>
      <c r="AT656" t="s">
        <v>549</v>
      </c>
      <c r="AU656" s="1">
        <v>44207.417546296296</v>
      </c>
      <c r="AV656">
        <v>382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23</v>
      </c>
      <c r="BC656">
        <v>0</v>
      </c>
      <c r="BD656">
        <v>0</v>
      </c>
      <c r="BE656">
        <v>0</v>
      </c>
    </row>
    <row r="657" spans="1:57" x14ac:dyDescent="0.45">
      <c r="A657" t="s">
        <v>1746</v>
      </c>
      <c r="B657" t="s">
        <v>79</v>
      </c>
      <c r="C657" t="s">
        <v>1747</v>
      </c>
      <c r="D657" t="s">
        <v>81</v>
      </c>
      <c r="E657" s="2" t="str">
        <f>HYPERLINK("capsilon://?command=openfolder&amp;siteaddress=FAM.docvelocity-na8.net&amp;folderid=FXE1888908-30BC-28F8-BF0A-F5F38852866C","FX20118306")</f>
        <v>FX20118306</v>
      </c>
      <c r="F657" t="s">
        <v>19</v>
      </c>
      <c r="G657" t="s">
        <v>19</v>
      </c>
      <c r="H657" t="s">
        <v>82</v>
      </c>
      <c r="I657" t="s">
        <v>1748</v>
      </c>
      <c r="J657">
        <v>98</v>
      </c>
      <c r="K657" t="s">
        <v>84</v>
      </c>
      <c r="L657" t="s">
        <v>85</v>
      </c>
      <c r="M657" t="s">
        <v>86</v>
      </c>
      <c r="N657">
        <v>3</v>
      </c>
      <c r="O657" s="1">
        <v>44207.370300925926</v>
      </c>
      <c r="P657" s="1">
        <v>44207.392280092594</v>
      </c>
      <c r="Q657">
        <v>738</v>
      </c>
      <c r="R657">
        <v>1161</v>
      </c>
      <c r="S657" t="b">
        <v>0</v>
      </c>
      <c r="T657" t="s">
        <v>87</v>
      </c>
      <c r="U657" t="b">
        <v>0</v>
      </c>
      <c r="V657" t="s">
        <v>105</v>
      </c>
      <c r="W657" s="1">
        <v>44207.37599537037</v>
      </c>
      <c r="X657">
        <v>356</v>
      </c>
      <c r="Y657">
        <v>64</v>
      </c>
      <c r="Z657">
        <v>0</v>
      </c>
      <c r="AA657">
        <v>64</v>
      </c>
      <c r="AB657">
        <v>0</v>
      </c>
      <c r="AC657">
        <v>3</v>
      </c>
      <c r="AD657">
        <v>34</v>
      </c>
      <c r="AE657">
        <v>0</v>
      </c>
      <c r="AF657">
        <v>0</v>
      </c>
      <c r="AG657">
        <v>0</v>
      </c>
      <c r="AH657" t="s">
        <v>89</v>
      </c>
      <c r="AI657" s="1">
        <v>44207.385578703703</v>
      </c>
      <c r="AJ657">
        <v>717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34</v>
      </c>
      <c r="AQ657">
        <v>0</v>
      </c>
      <c r="AR657">
        <v>0</v>
      </c>
      <c r="AS657">
        <v>0</v>
      </c>
      <c r="AT657" t="s">
        <v>90</v>
      </c>
      <c r="AU657" s="1">
        <v>44207.392280092594</v>
      </c>
      <c r="AV657">
        <v>88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34</v>
      </c>
      <c r="BC657">
        <v>0</v>
      </c>
      <c r="BD657">
        <v>0</v>
      </c>
      <c r="BE657">
        <v>0</v>
      </c>
    </row>
    <row r="658" spans="1:57" hidden="1" x14ac:dyDescent="0.45">
      <c r="A658" t="s">
        <v>1749</v>
      </c>
      <c r="B658" t="s">
        <v>79</v>
      </c>
      <c r="C658" t="s">
        <v>1750</v>
      </c>
      <c r="D658" t="s">
        <v>81</v>
      </c>
      <c r="E658" s="2" t="str">
        <f>HYPERLINK("capsilon://?command=openfolder&amp;siteaddress=FAM.docvelocity-na8.net&amp;folderid=FXFDDA9F1B-AD13-A8E4-31F2-57D60C1C8A92","FX20114121")</f>
        <v>FX20114121</v>
      </c>
      <c r="F658" t="s">
        <v>19</v>
      </c>
      <c r="G658" t="s">
        <v>19</v>
      </c>
      <c r="H658" t="s">
        <v>82</v>
      </c>
      <c r="I658" t="s">
        <v>1751</v>
      </c>
      <c r="J658">
        <v>66</v>
      </c>
      <c r="K658" t="s">
        <v>84</v>
      </c>
      <c r="L658" t="s">
        <v>85</v>
      </c>
      <c r="M658" t="s">
        <v>86</v>
      </c>
      <c r="N658">
        <v>3</v>
      </c>
      <c r="O658" s="1">
        <v>44207.372604166667</v>
      </c>
      <c r="P658" s="1">
        <v>44207.391851851855</v>
      </c>
      <c r="Q658">
        <v>1446</v>
      </c>
      <c r="R658">
        <v>217</v>
      </c>
      <c r="S658" t="b">
        <v>0</v>
      </c>
      <c r="T658" t="s">
        <v>87</v>
      </c>
      <c r="U658" t="b">
        <v>0</v>
      </c>
      <c r="V658" t="s">
        <v>919</v>
      </c>
      <c r="W658" s="1">
        <v>44207.374756944446</v>
      </c>
      <c r="X658">
        <v>148</v>
      </c>
      <c r="Y658">
        <v>0</v>
      </c>
      <c r="Z658">
        <v>0</v>
      </c>
      <c r="AA658">
        <v>0</v>
      </c>
      <c r="AB658">
        <v>52</v>
      </c>
      <c r="AC658">
        <v>0</v>
      </c>
      <c r="AD658">
        <v>66</v>
      </c>
      <c r="AE658">
        <v>0</v>
      </c>
      <c r="AF658">
        <v>0</v>
      </c>
      <c r="AG658">
        <v>0</v>
      </c>
      <c r="AH658" t="s">
        <v>94</v>
      </c>
      <c r="AI658" s="1">
        <v>44207.381006944444</v>
      </c>
      <c r="AJ658">
        <v>65</v>
      </c>
      <c r="AK658">
        <v>0</v>
      </c>
      <c r="AL658">
        <v>0</v>
      </c>
      <c r="AM658">
        <v>0</v>
      </c>
      <c r="AN658">
        <v>52</v>
      </c>
      <c r="AO658">
        <v>0</v>
      </c>
      <c r="AP658">
        <v>66</v>
      </c>
      <c r="AQ658">
        <v>0</v>
      </c>
      <c r="AR658">
        <v>0</v>
      </c>
      <c r="AS658">
        <v>0</v>
      </c>
      <c r="AT658" t="s">
        <v>549</v>
      </c>
      <c r="AU658" s="1">
        <v>44207.391851851855</v>
      </c>
      <c r="AV658">
        <v>4</v>
      </c>
      <c r="AW658">
        <v>0</v>
      </c>
      <c r="AX658">
        <v>0</v>
      </c>
      <c r="AY658">
        <v>0</v>
      </c>
      <c r="AZ658">
        <v>52</v>
      </c>
      <c r="BA658">
        <v>0</v>
      </c>
      <c r="BB658">
        <v>66</v>
      </c>
      <c r="BC658">
        <v>0</v>
      </c>
      <c r="BD658">
        <v>0</v>
      </c>
      <c r="BE658">
        <v>0</v>
      </c>
    </row>
    <row r="659" spans="1:57" hidden="1" x14ac:dyDescent="0.45">
      <c r="A659" t="s">
        <v>1752</v>
      </c>
      <c r="B659" t="s">
        <v>79</v>
      </c>
      <c r="C659" t="s">
        <v>1750</v>
      </c>
      <c r="D659" t="s">
        <v>81</v>
      </c>
      <c r="E659" s="2" t="str">
        <f>HYPERLINK("capsilon://?command=openfolder&amp;siteaddress=FAM.docvelocity-na8.net&amp;folderid=FXFDDA9F1B-AD13-A8E4-31F2-57D60C1C8A92","FX20114121")</f>
        <v>FX20114121</v>
      </c>
      <c r="F659" t="s">
        <v>19</v>
      </c>
      <c r="G659" t="s">
        <v>19</v>
      </c>
      <c r="H659" t="s">
        <v>82</v>
      </c>
      <c r="I659" t="s">
        <v>1753</v>
      </c>
      <c r="J659">
        <v>66</v>
      </c>
      <c r="K659" t="s">
        <v>84</v>
      </c>
      <c r="L659" t="s">
        <v>85</v>
      </c>
      <c r="M659" t="s">
        <v>86</v>
      </c>
      <c r="N659">
        <v>3</v>
      </c>
      <c r="O659" s="1">
        <v>44207.37290509259</v>
      </c>
      <c r="P659" s="1">
        <v>44207.391921296294</v>
      </c>
      <c r="Q659">
        <v>1488</v>
      </c>
      <c r="R659">
        <v>155</v>
      </c>
      <c r="S659" t="b">
        <v>0</v>
      </c>
      <c r="T659" t="s">
        <v>87</v>
      </c>
      <c r="U659" t="b">
        <v>0</v>
      </c>
      <c r="V659" t="s">
        <v>919</v>
      </c>
      <c r="W659" s="1">
        <v>44207.376030092593</v>
      </c>
      <c r="X659">
        <v>110</v>
      </c>
      <c r="Y659">
        <v>0</v>
      </c>
      <c r="Z659">
        <v>0</v>
      </c>
      <c r="AA659">
        <v>0</v>
      </c>
      <c r="AB659">
        <v>52</v>
      </c>
      <c r="AC659">
        <v>0</v>
      </c>
      <c r="AD659">
        <v>66</v>
      </c>
      <c r="AE659">
        <v>0</v>
      </c>
      <c r="AF659">
        <v>0</v>
      </c>
      <c r="AG659">
        <v>0</v>
      </c>
      <c r="AH659" t="s">
        <v>94</v>
      </c>
      <c r="AI659" s="1">
        <v>44207.381481481483</v>
      </c>
      <c r="AJ659">
        <v>40</v>
      </c>
      <c r="AK659">
        <v>0</v>
      </c>
      <c r="AL659">
        <v>0</v>
      </c>
      <c r="AM659">
        <v>0</v>
      </c>
      <c r="AN659">
        <v>52</v>
      </c>
      <c r="AO659">
        <v>0</v>
      </c>
      <c r="AP659">
        <v>66</v>
      </c>
      <c r="AQ659">
        <v>0</v>
      </c>
      <c r="AR659">
        <v>0</v>
      </c>
      <c r="AS659">
        <v>0</v>
      </c>
      <c r="AT659" t="s">
        <v>549</v>
      </c>
      <c r="AU659" s="1">
        <v>44207.391921296294</v>
      </c>
      <c r="AV659">
        <v>5</v>
      </c>
      <c r="AW659">
        <v>0</v>
      </c>
      <c r="AX659">
        <v>0</v>
      </c>
      <c r="AY659">
        <v>0</v>
      </c>
      <c r="AZ659">
        <v>52</v>
      </c>
      <c r="BA659">
        <v>0</v>
      </c>
      <c r="BB659">
        <v>66</v>
      </c>
      <c r="BC659">
        <v>0</v>
      </c>
      <c r="BD659">
        <v>0</v>
      </c>
      <c r="BE659">
        <v>0</v>
      </c>
    </row>
    <row r="660" spans="1:57" hidden="1" x14ac:dyDescent="0.45">
      <c r="A660" t="s">
        <v>1754</v>
      </c>
      <c r="B660" t="s">
        <v>79</v>
      </c>
      <c r="C660" t="s">
        <v>1755</v>
      </c>
      <c r="D660" t="s">
        <v>81</v>
      </c>
      <c r="E660" s="2" t="str">
        <f>HYPERLINK("capsilon://?command=openfolder&amp;siteaddress=FAM.docvelocity-na8.net&amp;folderid=FX775F73F1-08F7-249D-2963-F9CEFAE6FC5B","FX20125235")</f>
        <v>FX20125235</v>
      </c>
      <c r="F660" t="s">
        <v>19</v>
      </c>
      <c r="G660" t="s">
        <v>19</v>
      </c>
      <c r="H660" t="s">
        <v>82</v>
      </c>
      <c r="I660" t="s">
        <v>1756</v>
      </c>
      <c r="J660">
        <v>31</v>
      </c>
      <c r="K660" t="s">
        <v>84</v>
      </c>
      <c r="L660" t="s">
        <v>85</v>
      </c>
      <c r="M660" t="s">
        <v>86</v>
      </c>
      <c r="N660">
        <v>1</v>
      </c>
      <c r="O660" s="1">
        <v>44207.375092592592</v>
      </c>
      <c r="P660" s="1">
        <v>44207.399444444447</v>
      </c>
      <c r="Q660">
        <v>303</v>
      </c>
      <c r="R660">
        <v>1801</v>
      </c>
      <c r="S660" t="b">
        <v>0</v>
      </c>
      <c r="T660" t="s">
        <v>87</v>
      </c>
      <c r="U660" t="b">
        <v>0</v>
      </c>
      <c r="V660" t="s">
        <v>1418</v>
      </c>
      <c r="W660" s="1">
        <v>44207.399444444447</v>
      </c>
      <c r="X660">
        <v>1448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31</v>
      </c>
      <c r="AE660">
        <v>27</v>
      </c>
      <c r="AF660">
        <v>0</v>
      </c>
      <c r="AG660">
        <v>4</v>
      </c>
      <c r="AH660" t="s">
        <v>87</v>
      </c>
      <c r="AI660" t="s">
        <v>87</v>
      </c>
      <c r="AJ660" t="s">
        <v>87</v>
      </c>
      <c r="AK660" t="s">
        <v>87</v>
      </c>
      <c r="AL660" t="s">
        <v>87</v>
      </c>
      <c r="AM660" t="s">
        <v>87</v>
      </c>
      <c r="AN660" t="s">
        <v>87</v>
      </c>
      <c r="AO660" t="s">
        <v>87</v>
      </c>
      <c r="AP660" t="s">
        <v>87</v>
      </c>
      <c r="AQ660" t="s">
        <v>87</v>
      </c>
      <c r="AR660" t="s">
        <v>87</v>
      </c>
      <c r="AS660" t="s">
        <v>87</v>
      </c>
      <c r="AT660" t="s">
        <v>87</v>
      </c>
      <c r="AU660" t="s">
        <v>87</v>
      </c>
      <c r="AV660" t="s">
        <v>87</v>
      </c>
      <c r="AW660" t="s">
        <v>87</v>
      </c>
      <c r="AX660" t="s">
        <v>87</v>
      </c>
      <c r="AY660" t="s">
        <v>87</v>
      </c>
      <c r="AZ660" t="s">
        <v>87</v>
      </c>
      <c r="BA660" t="s">
        <v>87</v>
      </c>
      <c r="BB660" t="s">
        <v>87</v>
      </c>
      <c r="BC660" t="s">
        <v>87</v>
      </c>
      <c r="BD660" t="s">
        <v>87</v>
      </c>
      <c r="BE660" t="s">
        <v>87</v>
      </c>
    </row>
    <row r="661" spans="1:57" hidden="1" x14ac:dyDescent="0.45">
      <c r="A661" t="s">
        <v>1757</v>
      </c>
      <c r="B661" t="s">
        <v>79</v>
      </c>
      <c r="C661" t="s">
        <v>625</v>
      </c>
      <c r="D661" t="s">
        <v>81</v>
      </c>
      <c r="E661" s="2" t="str">
        <f>HYPERLINK("capsilon://?command=openfolder&amp;siteaddress=FAM.docvelocity-na8.net&amp;folderid=FX5C57F058-895C-485D-BDD6-4594D033D31B","FX201110601")</f>
        <v>FX201110601</v>
      </c>
      <c r="F661" t="s">
        <v>19</v>
      </c>
      <c r="G661" t="s">
        <v>19</v>
      </c>
      <c r="H661" t="s">
        <v>82</v>
      </c>
      <c r="I661" t="s">
        <v>1758</v>
      </c>
      <c r="J661">
        <v>66</v>
      </c>
      <c r="K661" t="s">
        <v>84</v>
      </c>
      <c r="L661" t="s">
        <v>85</v>
      </c>
      <c r="M661" t="s">
        <v>86</v>
      </c>
      <c r="N661">
        <v>3</v>
      </c>
      <c r="O661" s="1">
        <v>44207.387060185189</v>
      </c>
      <c r="P661" s="1">
        <v>44207.417592592596</v>
      </c>
      <c r="Q661">
        <v>2479</v>
      </c>
      <c r="R661">
        <v>159</v>
      </c>
      <c r="S661" t="b">
        <v>0</v>
      </c>
      <c r="T661" t="s">
        <v>87</v>
      </c>
      <c r="U661" t="b">
        <v>0</v>
      </c>
      <c r="V661" t="s">
        <v>919</v>
      </c>
      <c r="W661" s="1">
        <v>44207.388298611113</v>
      </c>
      <c r="X661">
        <v>105</v>
      </c>
      <c r="Y661">
        <v>0</v>
      </c>
      <c r="Z661">
        <v>0</v>
      </c>
      <c r="AA661">
        <v>0</v>
      </c>
      <c r="AB661">
        <v>52</v>
      </c>
      <c r="AC661">
        <v>0</v>
      </c>
      <c r="AD661">
        <v>66</v>
      </c>
      <c r="AE661">
        <v>0</v>
      </c>
      <c r="AF661">
        <v>0</v>
      </c>
      <c r="AG661">
        <v>0</v>
      </c>
      <c r="AH661" t="s">
        <v>94</v>
      </c>
      <c r="AI661" s="1">
        <v>44207.392476851855</v>
      </c>
      <c r="AJ661">
        <v>39</v>
      </c>
      <c r="AK661">
        <v>0</v>
      </c>
      <c r="AL661">
        <v>0</v>
      </c>
      <c r="AM661">
        <v>0</v>
      </c>
      <c r="AN661">
        <v>52</v>
      </c>
      <c r="AO661">
        <v>0</v>
      </c>
      <c r="AP661">
        <v>66</v>
      </c>
      <c r="AQ661">
        <v>0</v>
      </c>
      <c r="AR661">
        <v>0</v>
      </c>
      <c r="AS661">
        <v>0</v>
      </c>
      <c r="AT661" t="s">
        <v>549</v>
      </c>
      <c r="AU661" s="1">
        <v>44207.417592592596</v>
      </c>
      <c r="AV661">
        <v>3</v>
      </c>
      <c r="AW661">
        <v>0</v>
      </c>
      <c r="AX661">
        <v>0</v>
      </c>
      <c r="AY661">
        <v>0</v>
      </c>
      <c r="AZ661">
        <v>52</v>
      </c>
      <c r="BA661">
        <v>0</v>
      </c>
      <c r="BB661">
        <v>66</v>
      </c>
      <c r="BC661">
        <v>0</v>
      </c>
      <c r="BD661">
        <v>0</v>
      </c>
      <c r="BE661">
        <v>0</v>
      </c>
    </row>
    <row r="662" spans="1:57" x14ac:dyDescent="0.45">
      <c r="A662" t="s">
        <v>1759</v>
      </c>
      <c r="B662" t="s">
        <v>79</v>
      </c>
      <c r="C662" t="s">
        <v>816</v>
      </c>
      <c r="D662" t="s">
        <v>81</v>
      </c>
      <c r="E662" s="2" t="str">
        <f>HYPERLINK("capsilon://?command=openfolder&amp;siteaddress=FAM.docvelocity-na8.net&amp;folderid=FX87C9FAE3-85E9-A0CA-1618-8E40FC65148B","FX201226381")</f>
        <v>FX201226381</v>
      </c>
      <c r="F662" t="s">
        <v>19</v>
      </c>
      <c r="G662" t="s">
        <v>19</v>
      </c>
      <c r="H662" t="s">
        <v>82</v>
      </c>
      <c r="I662" t="s">
        <v>1760</v>
      </c>
      <c r="J662">
        <v>66</v>
      </c>
      <c r="K662" t="s">
        <v>84</v>
      </c>
      <c r="L662" t="s">
        <v>85</v>
      </c>
      <c r="M662" t="s">
        <v>86</v>
      </c>
      <c r="N662">
        <v>3</v>
      </c>
      <c r="O662" s="1">
        <v>44207.388020833336</v>
      </c>
      <c r="P662" s="1">
        <v>44207.452824074076</v>
      </c>
      <c r="Q662">
        <v>3897</v>
      </c>
      <c r="R662">
        <v>1702</v>
      </c>
      <c r="S662" t="b">
        <v>0</v>
      </c>
      <c r="T662" t="s">
        <v>87</v>
      </c>
      <c r="U662" t="b">
        <v>0</v>
      </c>
      <c r="V662" t="s">
        <v>919</v>
      </c>
      <c r="W662" s="1">
        <v>44207.395844907405</v>
      </c>
      <c r="X662">
        <v>652</v>
      </c>
      <c r="Y662">
        <v>52</v>
      </c>
      <c r="Z662">
        <v>0</v>
      </c>
      <c r="AA662">
        <v>52</v>
      </c>
      <c r="AB662">
        <v>0</v>
      </c>
      <c r="AC662">
        <v>21</v>
      </c>
      <c r="AD662">
        <v>14</v>
      </c>
      <c r="AE662">
        <v>0</v>
      </c>
      <c r="AF662">
        <v>0</v>
      </c>
      <c r="AG662">
        <v>0</v>
      </c>
      <c r="AH662" t="s">
        <v>94</v>
      </c>
      <c r="AI662" s="1">
        <v>44207.432118055556</v>
      </c>
      <c r="AJ662">
        <v>50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14</v>
      </c>
      <c r="AQ662">
        <v>0</v>
      </c>
      <c r="AR662">
        <v>0</v>
      </c>
      <c r="AS662">
        <v>0</v>
      </c>
      <c r="AT662" t="s">
        <v>549</v>
      </c>
      <c r="AU662" s="1">
        <v>44207.452824074076</v>
      </c>
      <c r="AV662">
        <v>132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14</v>
      </c>
      <c r="BC662">
        <v>0</v>
      </c>
      <c r="BD662">
        <v>0</v>
      </c>
      <c r="BE662">
        <v>0</v>
      </c>
    </row>
    <row r="663" spans="1:57" x14ac:dyDescent="0.45">
      <c r="A663" t="s">
        <v>1761</v>
      </c>
      <c r="B663" t="s">
        <v>79</v>
      </c>
      <c r="C663" t="s">
        <v>540</v>
      </c>
      <c r="D663" t="s">
        <v>81</v>
      </c>
      <c r="E663" s="2" t="str">
        <f>HYPERLINK("capsilon://?command=openfolder&amp;siteaddress=FAM.docvelocity-na8.net&amp;folderid=FX29539A4A-20C6-2970-CFDF-2F325CF9FCF4","FX2101676")</f>
        <v>FX2101676</v>
      </c>
      <c r="F663" t="s">
        <v>19</v>
      </c>
      <c r="G663" t="s">
        <v>19</v>
      </c>
      <c r="H663" t="s">
        <v>82</v>
      </c>
      <c r="I663" t="s">
        <v>1762</v>
      </c>
      <c r="J663">
        <v>66</v>
      </c>
      <c r="K663" t="s">
        <v>84</v>
      </c>
      <c r="L663" t="s">
        <v>85</v>
      </c>
      <c r="M663" t="s">
        <v>86</v>
      </c>
      <c r="N663">
        <v>3</v>
      </c>
      <c r="O663" s="1">
        <v>44207.392916666664</v>
      </c>
      <c r="P663" s="1">
        <v>44207.451296296298</v>
      </c>
      <c r="Q663">
        <v>3378</v>
      </c>
      <c r="R663">
        <v>1666</v>
      </c>
      <c r="S663" t="b">
        <v>0</v>
      </c>
      <c r="T663" t="s">
        <v>87</v>
      </c>
      <c r="U663" t="b">
        <v>0</v>
      </c>
      <c r="V663" t="s">
        <v>112</v>
      </c>
      <c r="W663" s="1">
        <v>44207.398888888885</v>
      </c>
      <c r="X663">
        <v>475</v>
      </c>
      <c r="Y663">
        <v>52</v>
      </c>
      <c r="Z663">
        <v>0</v>
      </c>
      <c r="AA663">
        <v>52</v>
      </c>
      <c r="AB663">
        <v>0</v>
      </c>
      <c r="AC663">
        <v>22</v>
      </c>
      <c r="AD663">
        <v>14</v>
      </c>
      <c r="AE663">
        <v>0</v>
      </c>
      <c r="AF663">
        <v>0</v>
      </c>
      <c r="AG663">
        <v>0</v>
      </c>
      <c r="AH663" t="s">
        <v>94</v>
      </c>
      <c r="AI663" s="1">
        <v>44207.435659722221</v>
      </c>
      <c r="AJ663">
        <v>305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14</v>
      </c>
      <c r="AQ663">
        <v>0</v>
      </c>
      <c r="AR663">
        <v>0</v>
      </c>
      <c r="AS663">
        <v>0</v>
      </c>
      <c r="AT663" t="s">
        <v>549</v>
      </c>
      <c r="AU663" s="1">
        <v>44207.451296296298</v>
      </c>
      <c r="AV663">
        <v>818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14</v>
      </c>
      <c r="BC663">
        <v>0</v>
      </c>
      <c r="BD663">
        <v>0</v>
      </c>
      <c r="BE663">
        <v>0</v>
      </c>
    </row>
    <row r="664" spans="1:57" x14ac:dyDescent="0.45">
      <c r="A664" t="s">
        <v>1763</v>
      </c>
      <c r="B664" t="s">
        <v>79</v>
      </c>
      <c r="C664" t="s">
        <v>1571</v>
      </c>
      <c r="D664" t="s">
        <v>81</v>
      </c>
      <c r="E664" s="2" t="str">
        <f>HYPERLINK("capsilon://?command=openfolder&amp;siteaddress=FAM.docvelocity-na8.net&amp;folderid=FX43649D66-108E-60D7-551C-DC196F2E9ADC","FX20127729")</f>
        <v>FX20127729</v>
      </c>
      <c r="F664" t="s">
        <v>19</v>
      </c>
      <c r="G664" t="s">
        <v>19</v>
      </c>
      <c r="H664" t="s">
        <v>82</v>
      </c>
      <c r="I664" t="s">
        <v>1764</v>
      </c>
      <c r="J664">
        <v>266</v>
      </c>
      <c r="K664" t="s">
        <v>84</v>
      </c>
      <c r="L664" t="s">
        <v>85</v>
      </c>
      <c r="M664" t="s">
        <v>86</v>
      </c>
      <c r="N664">
        <v>3</v>
      </c>
      <c r="O664" s="1">
        <v>44207.397372685184</v>
      </c>
      <c r="P664" s="1">
        <v>44207.49695601852</v>
      </c>
      <c r="Q664">
        <v>3411</v>
      </c>
      <c r="R664">
        <v>5193</v>
      </c>
      <c r="S664" t="b">
        <v>0</v>
      </c>
      <c r="T664" t="s">
        <v>87</v>
      </c>
      <c r="U664" t="b">
        <v>0</v>
      </c>
      <c r="V664" t="s">
        <v>919</v>
      </c>
      <c r="W664" s="1">
        <v>44207.425925925927</v>
      </c>
      <c r="X664">
        <v>2371</v>
      </c>
      <c r="Y664">
        <v>259</v>
      </c>
      <c r="Z664">
        <v>0</v>
      </c>
      <c r="AA664">
        <v>259</v>
      </c>
      <c r="AB664">
        <v>0</v>
      </c>
      <c r="AC664">
        <v>13</v>
      </c>
      <c r="AD664">
        <v>7</v>
      </c>
      <c r="AE664">
        <v>0</v>
      </c>
      <c r="AF664">
        <v>0</v>
      </c>
      <c r="AG664">
        <v>0</v>
      </c>
      <c r="AH664" t="s">
        <v>94</v>
      </c>
      <c r="AI664" s="1">
        <v>44207.483599537038</v>
      </c>
      <c r="AJ664">
        <v>1304</v>
      </c>
      <c r="AK664">
        <v>5</v>
      </c>
      <c r="AL664">
        <v>0</v>
      </c>
      <c r="AM664">
        <v>5</v>
      </c>
      <c r="AN664">
        <v>0</v>
      </c>
      <c r="AO664">
        <v>2</v>
      </c>
      <c r="AP664">
        <v>2</v>
      </c>
      <c r="AQ664">
        <v>0</v>
      </c>
      <c r="AR664">
        <v>0</v>
      </c>
      <c r="AS664">
        <v>0</v>
      </c>
      <c r="AT664" t="s">
        <v>90</v>
      </c>
      <c r="AU664" s="1">
        <v>44207.49695601852</v>
      </c>
      <c r="AV664">
        <v>311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2</v>
      </c>
      <c r="BC664">
        <v>0</v>
      </c>
      <c r="BD664">
        <v>0</v>
      </c>
      <c r="BE664">
        <v>0</v>
      </c>
    </row>
    <row r="665" spans="1:57" x14ac:dyDescent="0.45">
      <c r="A665" t="s">
        <v>1765</v>
      </c>
      <c r="B665" t="s">
        <v>79</v>
      </c>
      <c r="C665" t="s">
        <v>1766</v>
      </c>
      <c r="D665" t="s">
        <v>81</v>
      </c>
      <c r="E665" s="2" t="str">
        <f>HYPERLINK("capsilon://?command=openfolder&amp;siteaddress=FAM.docvelocity-na8.net&amp;folderid=FX7C3E8BAA-50AE-23C2-615D-CB05B90AF90F","FX201015122")</f>
        <v>FX201015122</v>
      </c>
      <c r="F665" t="s">
        <v>19</v>
      </c>
      <c r="G665" t="s">
        <v>19</v>
      </c>
      <c r="H665" t="s">
        <v>82</v>
      </c>
      <c r="I665" t="s">
        <v>1767</v>
      </c>
      <c r="J665">
        <v>65</v>
      </c>
      <c r="K665" t="s">
        <v>84</v>
      </c>
      <c r="L665" t="s">
        <v>85</v>
      </c>
      <c r="M665" t="s">
        <v>86</v>
      </c>
      <c r="N665">
        <v>3</v>
      </c>
      <c r="O665" s="1">
        <v>44207.398888888885</v>
      </c>
      <c r="P665" s="1">
        <v>44207.497361111113</v>
      </c>
      <c r="Q665">
        <v>8044</v>
      </c>
      <c r="R665">
        <v>464</v>
      </c>
      <c r="S665" t="b">
        <v>0</v>
      </c>
      <c r="T665" t="s">
        <v>87</v>
      </c>
      <c r="U665" t="b">
        <v>0</v>
      </c>
      <c r="V665" t="s">
        <v>112</v>
      </c>
      <c r="W665" s="1">
        <v>44207.403020833335</v>
      </c>
      <c r="X665">
        <v>356</v>
      </c>
      <c r="Y665">
        <v>33</v>
      </c>
      <c r="Z665">
        <v>0</v>
      </c>
      <c r="AA665">
        <v>33</v>
      </c>
      <c r="AB665">
        <v>0</v>
      </c>
      <c r="AC665">
        <v>9</v>
      </c>
      <c r="AD665">
        <v>32</v>
      </c>
      <c r="AE665">
        <v>0</v>
      </c>
      <c r="AF665">
        <v>0</v>
      </c>
      <c r="AG665">
        <v>0</v>
      </c>
      <c r="AH665" t="s">
        <v>267</v>
      </c>
      <c r="AI665" s="1">
        <v>44207.464571759258</v>
      </c>
      <c r="AJ665">
        <v>73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32</v>
      </c>
      <c r="AQ665">
        <v>0</v>
      </c>
      <c r="AR665">
        <v>0</v>
      </c>
      <c r="AS665">
        <v>0</v>
      </c>
      <c r="AT665" t="s">
        <v>90</v>
      </c>
      <c r="AU665" s="1">
        <v>44207.497361111113</v>
      </c>
      <c r="AV665">
        <v>35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32</v>
      </c>
      <c r="BC665">
        <v>0</v>
      </c>
      <c r="BD665">
        <v>0</v>
      </c>
      <c r="BE665">
        <v>0</v>
      </c>
    </row>
    <row r="666" spans="1:57" x14ac:dyDescent="0.45">
      <c r="A666" t="s">
        <v>1768</v>
      </c>
      <c r="B666" t="s">
        <v>79</v>
      </c>
      <c r="C666" t="s">
        <v>1755</v>
      </c>
      <c r="D666" t="s">
        <v>81</v>
      </c>
      <c r="E666" s="2" t="str">
        <f>HYPERLINK("capsilon://?command=openfolder&amp;siteaddress=FAM.docvelocity-na8.net&amp;folderid=FX775F73F1-08F7-249D-2963-F9CEFAE6FC5B","FX20125235")</f>
        <v>FX20125235</v>
      </c>
      <c r="F666" t="s">
        <v>19</v>
      </c>
      <c r="G666" t="s">
        <v>19</v>
      </c>
      <c r="H666" t="s">
        <v>82</v>
      </c>
      <c r="I666" t="s">
        <v>1756</v>
      </c>
      <c r="J666">
        <v>124</v>
      </c>
      <c r="K666" t="s">
        <v>84</v>
      </c>
      <c r="L666" t="s">
        <v>85</v>
      </c>
      <c r="M666" t="s">
        <v>86</v>
      </c>
      <c r="N666">
        <v>3</v>
      </c>
      <c r="O666" s="1">
        <v>44207.40016203704</v>
      </c>
      <c r="P666" s="1">
        <v>44207.493020833332</v>
      </c>
      <c r="Q666">
        <v>1428</v>
      </c>
      <c r="R666">
        <v>6595</v>
      </c>
      <c r="S666" t="b">
        <v>0</v>
      </c>
      <c r="T666" t="s">
        <v>87</v>
      </c>
      <c r="U666" t="b">
        <v>1</v>
      </c>
      <c r="V666" t="s">
        <v>88</v>
      </c>
      <c r="W666" s="1">
        <v>44207.450648148151</v>
      </c>
      <c r="X666">
        <v>4322</v>
      </c>
      <c r="Y666">
        <v>173</v>
      </c>
      <c r="Z666">
        <v>0</v>
      </c>
      <c r="AA666">
        <v>173</v>
      </c>
      <c r="AB666">
        <v>0</v>
      </c>
      <c r="AC666">
        <v>157</v>
      </c>
      <c r="AD666">
        <v>-49</v>
      </c>
      <c r="AE666">
        <v>0</v>
      </c>
      <c r="AF666">
        <v>0</v>
      </c>
      <c r="AG666">
        <v>0</v>
      </c>
      <c r="AH666" t="s">
        <v>89</v>
      </c>
      <c r="AI666" s="1">
        <v>44207.478032407409</v>
      </c>
      <c r="AJ666">
        <v>1249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-49</v>
      </c>
      <c r="AQ666">
        <v>0</v>
      </c>
      <c r="AR666">
        <v>0</v>
      </c>
      <c r="AS666">
        <v>0</v>
      </c>
      <c r="AT666" t="s">
        <v>90</v>
      </c>
      <c r="AU666" s="1">
        <v>44207.493020833332</v>
      </c>
      <c r="AV666">
        <v>424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-49</v>
      </c>
      <c r="BC666">
        <v>0</v>
      </c>
      <c r="BD666">
        <v>0</v>
      </c>
      <c r="BE666">
        <v>0</v>
      </c>
    </row>
    <row r="667" spans="1:57" x14ac:dyDescent="0.45">
      <c r="A667" t="s">
        <v>1769</v>
      </c>
      <c r="B667" t="s">
        <v>79</v>
      </c>
      <c r="C667" t="s">
        <v>961</v>
      </c>
      <c r="D667" t="s">
        <v>81</v>
      </c>
      <c r="E667" s="2" t="str">
        <f>HYPERLINK("capsilon://?command=openfolder&amp;siteaddress=FAM.docvelocity-na8.net&amp;folderid=FXFFE894BB-EB75-370B-7EE4-E05106163C2E","FX201225295")</f>
        <v>FX201225295</v>
      </c>
      <c r="F667" t="s">
        <v>19</v>
      </c>
      <c r="G667" t="s">
        <v>19</v>
      </c>
      <c r="H667" t="s">
        <v>82</v>
      </c>
      <c r="I667" t="s">
        <v>1770</v>
      </c>
      <c r="J667">
        <v>52</v>
      </c>
      <c r="K667" t="s">
        <v>84</v>
      </c>
      <c r="L667" t="s">
        <v>85</v>
      </c>
      <c r="M667" t="s">
        <v>86</v>
      </c>
      <c r="N667">
        <v>3</v>
      </c>
      <c r="O667" s="1">
        <v>44200.560046296298</v>
      </c>
      <c r="P667" s="1">
        <v>44201.363182870373</v>
      </c>
      <c r="Q667">
        <v>66994</v>
      </c>
      <c r="R667">
        <v>2397</v>
      </c>
      <c r="S667" t="b">
        <v>0</v>
      </c>
      <c r="T667" t="s">
        <v>87</v>
      </c>
      <c r="U667" t="b">
        <v>0</v>
      </c>
      <c r="V667" t="s">
        <v>255</v>
      </c>
      <c r="W667" s="1">
        <v>44200.667210648149</v>
      </c>
      <c r="X667">
        <v>594</v>
      </c>
      <c r="Y667">
        <v>42</v>
      </c>
      <c r="Z667">
        <v>0</v>
      </c>
      <c r="AA667">
        <v>42</v>
      </c>
      <c r="AB667">
        <v>0</v>
      </c>
      <c r="AC667">
        <v>30</v>
      </c>
      <c r="AD667">
        <v>10</v>
      </c>
      <c r="AE667">
        <v>0</v>
      </c>
      <c r="AF667">
        <v>0</v>
      </c>
      <c r="AG667">
        <v>0</v>
      </c>
      <c r="AH667" t="s">
        <v>267</v>
      </c>
      <c r="AI667" s="1">
        <v>44200.717534722222</v>
      </c>
      <c r="AJ667">
        <v>1798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10</v>
      </c>
      <c r="AQ667">
        <v>0</v>
      </c>
      <c r="AR667">
        <v>0</v>
      </c>
      <c r="AS667">
        <v>0</v>
      </c>
      <c r="AT667" t="s">
        <v>90</v>
      </c>
      <c r="AU667" s="1">
        <v>44201.363182870373</v>
      </c>
      <c r="AV667">
        <v>5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10</v>
      </c>
      <c r="BC667">
        <v>0</v>
      </c>
      <c r="BD667">
        <v>0</v>
      </c>
      <c r="BE667">
        <v>0</v>
      </c>
    </row>
    <row r="668" spans="1:57" x14ac:dyDescent="0.45">
      <c r="A668" t="s">
        <v>1771</v>
      </c>
      <c r="B668" t="s">
        <v>79</v>
      </c>
      <c r="C668" t="s">
        <v>1772</v>
      </c>
      <c r="D668" t="s">
        <v>81</v>
      </c>
      <c r="E668" s="2" t="str">
        <f>HYPERLINK("capsilon://?command=openfolder&amp;siteaddress=FAM.docvelocity-na8.net&amp;folderid=FX659E627D-FCC9-2485-F6CB-237F1EB0F2F6","FX20122564")</f>
        <v>FX20122564</v>
      </c>
      <c r="F668" t="s">
        <v>19</v>
      </c>
      <c r="G668" t="s">
        <v>19</v>
      </c>
      <c r="H668" t="s">
        <v>82</v>
      </c>
      <c r="I668" t="s">
        <v>1773</v>
      </c>
      <c r="J668">
        <v>217</v>
      </c>
      <c r="K668" t="s">
        <v>84</v>
      </c>
      <c r="L668" t="s">
        <v>85</v>
      </c>
      <c r="M668" t="s">
        <v>86</v>
      </c>
      <c r="N668">
        <v>3</v>
      </c>
      <c r="O668" s="1">
        <v>44207.411412037036</v>
      </c>
      <c r="P668" s="1">
        <v>44207.502060185187</v>
      </c>
      <c r="Q668">
        <v>3578</v>
      </c>
      <c r="R668">
        <v>4254</v>
      </c>
      <c r="S668" t="b">
        <v>0</v>
      </c>
      <c r="T668" t="s">
        <v>87</v>
      </c>
      <c r="U668" t="b">
        <v>0</v>
      </c>
      <c r="V668" t="s">
        <v>112</v>
      </c>
      <c r="W668" s="1">
        <v>44207.44458333333</v>
      </c>
      <c r="X668">
        <v>2858</v>
      </c>
      <c r="Y668">
        <v>219</v>
      </c>
      <c r="Z668">
        <v>0</v>
      </c>
      <c r="AA668">
        <v>219</v>
      </c>
      <c r="AB668">
        <v>0</v>
      </c>
      <c r="AC668">
        <v>115</v>
      </c>
      <c r="AD668">
        <v>-2</v>
      </c>
      <c r="AE668">
        <v>0</v>
      </c>
      <c r="AF668">
        <v>0</v>
      </c>
      <c r="AG668">
        <v>0</v>
      </c>
      <c r="AH668" t="s">
        <v>128</v>
      </c>
      <c r="AI668" s="1">
        <v>44207.478483796294</v>
      </c>
      <c r="AJ668">
        <v>643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-2</v>
      </c>
      <c r="AQ668">
        <v>0</v>
      </c>
      <c r="AR668">
        <v>0</v>
      </c>
      <c r="AS668">
        <v>0</v>
      </c>
      <c r="AT668" t="s">
        <v>90</v>
      </c>
      <c r="AU668" s="1">
        <v>44207.502060185187</v>
      </c>
      <c r="AV668">
        <v>406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-2</v>
      </c>
      <c r="BC668">
        <v>0</v>
      </c>
      <c r="BD668">
        <v>0</v>
      </c>
      <c r="BE668">
        <v>0</v>
      </c>
    </row>
    <row r="669" spans="1:57" hidden="1" x14ac:dyDescent="0.45">
      <c r="A669" t="s">
        <v>1774</v>
      </c>
      <c r="B669" t="s">
        <v>79</v>
      </c>
      <c r="C669" t="s">
        <v>1775</v>
      </c>
      <c r="D669" t="s">
        <v>81</v>
      </c>
      <c r="E669" s="2" t="str">
        <f>HYPERLINK("capsilon://?command=openfolder&amp;siteaddress=FAM.docvelocity-na8.net&amp;folderid=FXB7F8E020-82D5-976C-056D-C47D92A32B22","FX20112169")</f>
        <v>FX20112169</v>
      </c>
      <c r="F669" t="s">
        <v>19</v>
      </c>
      <c r="G669" t="s">
        <v>19</v>
      </c>
      <c r="H669" t="s">
        <v>82</v>
      </c>
      <c r="I669" t="s">
        <v>1776</v>
      </c>
      <c r="J669">
        <v>66</v>
      </c>
      <c r="K669" t="s">
        <v>84</v>
      </c>
      <c r="L669" t="s">
        <v>85</v>
      </c>
      <c r="M669" t="s">
        <v>86</v>
      </c>
      <c r="N669">
        <v>3</v>
      </c>
      <c r="O669" s="1">
        <v>44207.414212962962</v>
      </c>
      <c r="P669" s="1">
        <v>44207.510937500003</v>
      </c>
      <c r="Q669">
        <v>8213</v>
      </c>
      <c r="R669">
        <v>144</v>
      </c>
      <c r="S669" t="b">
        <v>0</v>
      </c>
      <c r="T669" t="s">
        <v>87</v>
      </c>
      <c r="U669" t="b">
        <v>0</v>
      </c>
      <c r="V669" t="s">
        <v>1418</v>
      </c>
      <c r="W669" s="1">
        <v>44207.415995370371</v>
      </c>
      <c r="X669">
        <v>108</v>
      </c>
      <c r="Y669">
        <v>0</v>
      </c>
      <c r="Z669">
        <v>0</v>
      </c>
      <c r="AA669">
        <v>0</v>
      </c>
      <c r="AB669">
        <v>52</v>
      </c>
      <c r="AC669">
        <v>0</v>
      </c>
      <c r="AD669">
        <v>66</v>
      </c>
      <c r="AE669">
        <v>0</v>
      </c>
      <c r="AF669">
        <v>0</v>
      </c>
      <c r="AG669">
        <v>0</v>
      </c>
      <c r="AH669" t="s">
        <v>267</v>
      </c>
      <c r="AI669" s="1">
        <v>44207.471574074072</v>
      </c>
      <c r="AJ669">
        <v>33</v>
      </c>
      <c r="AK669">
        <v>0</v>
      </c>
      <c r="AL669">
        <v>0</v>
      </c>
      <c r="AM669">
        <v>0</v>
      </c>
      <c r="AN669">
        <v>52</v>
      </c>
      <c r="AO669">
        <v>0</v>
      </c>
      <c r="AP669">
        <v>66</v>
      </c>
      <c r="AQ669">
        <v>0</v>
      </c>
      <c r="AR669">
        <v>0</v>
      </c>
      <c r="AS669">
        <v>0</v>
      </c>
      <c r="AT669" t="s">
        <v>90</v>
      </c>
      <c r="AU669" s="1">
        <v>44207.510937500003</v>
      </c>
      <c r="AV669">
        <v>3</v>
      </c>
      <c r="AW669">
        <v>0</v>
      </c>
      <c r="AX669">
        <v>0</v>
      </c>
      <c r="AY669">
        <v>0</v>
      </c>
      <c r="AZ669">
        <v>52</v>
      </c>
      <c r="BA669">
        <v>0</v>
      </c>
      <c r="BB669">
        <v>66</v>
      </c>
      <c r="BC669">
        <v>0</v>
      </c>
      <c r="BD669">
        <v>0</v>
      </c>
      <c r="BE669">
        <v>0</v>
      </c>
    </row>
    <row r="670" spans="1:57" hidden="1" x14ac:dyDescent="0.45">
      <c r="A670" t="s">
        <v>1777</v>
      </c>
      <c r="B670" t="s">
        <v>79</v>
      </c>
      <c r="C670" t="s">
        <v>1775</v>
      </c>
      <c r="D670" t="s">
        <v>81</v>
      </c>
      <c r="E670" s="2" t="str">
        <f>HYPERLINK("capsilon://?command=openfolder&amp;siteaddress=FAM.docvelocity-na8.net&amp;folderid=FXB7F8E020-82D5-976C-056D-C47D92A32B22","FX20112169")</f>
        <v>FX20112169</v>
      </c>
      <c r="F670" t="s">
        <v>19</v>
      </c>
      <c r="G670" t="s">
        <v>19</v>
      </c>
      <c r="H670" t="s">
        <v>82</v>
      </c>
      <c r="I670" t="s">
        <v>1778</v>
      </c>
      <c r="J670">
        <v>66</v>
      </c>
      <c r="K670" t="s">
        <v>84</v>
      </c>
      <c r="L670" t="s">
        <v>85</v>
      </c>
      <c r="M670" t="s">
        <v>86</v>
      </c>
      <c r="N670">
        <v>3</v>
      </c>
      <c r="O670" s="1">
        <v>44207.414398148147</v>
      </c>
      <c r="P670" s="1">
        <v>44207.510972222219</v>
      </c>
      <c r="Q670">
        <v>8074</v>
      </c>
      <c r="R670">
        <v>270</v>
      </c>
      <c r="S670" t="b">
        <v>0</v>
      </c>
      <c r="T670" t="s">
        <v>87</v>
      </c>
      <c r="U670" t="b">
        <v>0</v>
      </c>
      <c r="V670" t="s">
        <v>105</v>
      </c>
      <c r="W670" s="1">
        <v>44207.417523148149</v>
      </c>
      <c r="X670">
        <v>227</v>
      </c>
      <c r="Y670">
        <v>0</v>
      </c>
      <c r="Z670">
        <v>0</v>
      </c>
      <c r="AA670">
        <v>0</v>
      </c>
      <c r="AB670">
        <v>52</v>
      </c>
      <c r="AC670">
        <v>0</v>
      </c>
      <c r="AD670">
        <v>66</v>
      </c>
      <c r="AE670">
        <v>0</v>
      </c>
      <c r="AF670">
        <v>0</v>
      </c>
      <c r="AG670">
        <v>0</v>
      </c>
      <c r="AH670" t="s">
        <v>267</v>
      </c>
      <c r="AI670" s="1">
        <v>44207.472048611111</v>
      </c>
      <c r="AJ670">
        <v>40</v>
      </c>
      <c r="AK670">
        <v>0</v>
      </c>
      <c r="AL670">
        <v>0</v>
      </c>
      <c r="AM670">
        <v>0</v>
      </c>
      <c r="AN670">
        <v>52</v>
      </c>
      <c r="AO670">
        <v>0</v>
      </c>
      <c r="AP670">
        <v>66</v>
      </c>
      <c r="AQ670">
        <v>0</v>
      </c>
      <c r="AR670">
        <v>0</v>
      </c>
      <c r="AS670">
        <v>0</v>
      </c>
      <c r="AT670" t="s">
        <v>90</v>
      </c>
      <c r="AU670" s="1">
        <v>44207.510972222219</v>
      </c>
      <c r="AV670">
        <v>3</v>
      </c>
      <c r="AW670">
        <v>0</v>
      </c>
      <c r="AX670">
        <v>0</v>
      </c>
      <c r="AY670">
        <v>0</v>
      </c>
      <c r="AZ670">
        <v>52</v>
      </c>
      <c r="BA670">
        <v>0</v>
      </c>
      <c r="BB670">
        <v>66</v>
      </c>
      <c r="BC670">
        <v>0</v>
      </c>
      <c r="BD670">
        <v>0</v>
      </c>
      <c r="BE670">
        <v>0</v>
      </c>
    </row>
    <row r="671" spans="1:57" hidden="1" x14ac:dyDescent="0.45">
      <c r="A671" t="s">
        <v>1779</v>
      </c>
      <c r="B671" t="s">
        <v>79</v>
      </c>
      <c r="C671" t="s">
        <v>854</v>
      </c>
      <c r="D671" t="s">
        <v>81</v>
      </c>
      <c r="E671" s="2" t="str">
        <f>HYPERLINK("capsilon://?command=openfolder&amp;siteaddress=FAM.docvelocity-na8.net&amp;folderid=FX260FD5A5-6DCB-1B1A-1371-0D43A37BC893","FX2011193")</f>
        <v>FX2011193</v>
      </c>
      <c r="F671" t="s">
        <v>19</v>
      </c>
      <c r="G671" t="s">
        <v>19</v>
      </c>
      <c r="H671" t="s">
        <v>82</v>
      </c>
      <c r="I671" t="s">
        <v>1780</v>
      </c>
      <c r="J671">
        <v>66</v>
      </c>
      <c r="K671" t="s">
        <v>84</v>
      </c>
      <c r="L671" t="s">
        <v>85</v>
      </c>
      <c r="M671" t="s">
        <v>86</v>
      </c>
      <c r="N671">
        <v>3</v>
      </c>
      <c r="O671" s="1">
        <v>44207.416620370372</v>
      </c>
      <c r="P671" s="1">
        <v>44207.511006944442</v>
      </c>
      <c r="Q671">
        <v>7869</v>
      </c>
      <c r="R671">
        <v>286</v>
      </c>
      <c r="S671" t="b">
        <v>0</v>
      </c>
      <c r="T671" t="s">
        <v>87</v>
      </c>
      <c r="U671" t="b">
        <v>0</v>
      </c>
      <c r="V671" t="s">
        <v>105</v>
      </c>
      <c r="W671" s="1">
        <v>44207.420590277776</v>
      </c>
      <c r="X671">
        <v>264</v>
      </c>
      <c r="Y671">
        <v>0</v>
      </c>
      <c r="Z671">
        <v>0</v>
      </c>
      <c r="AA671">
        <v>0</v>
      </c>
      <c r="AB671">
        <v>52</v>
      </c>
      <c r="AC671">
        <v>0</v>
      </c>
      <c r="AD671">
        <v>66</v>
      </c>
      <c r="AE671">
        <v>0</v>
      </c>
      <c r="AF671">
        <v>0</v>
      </c>
      <c r="AG671">
        <v>0</v>
      </c>
      <c r="AH671" t="s">
        <v>267</v>
      </c>
      <c r="AI671" s="1">
        <v>44207.472303240742</v>
      </c>
      <c r="AJ671">
        <v>20</v>
      </c>
      <c r="AK671">
        <v>0</v>
      </c>
      <c r="AL671">
        <v>0</v>
      </c>
      <c r="AM671">
        <v>0</v>
      </c>
      <c r="AN671">
        <v>52</v>
      </c>
      <c r="AO671">
        <v>0</v>
      </c>
      <c r="AP671">
        <v>66</v>
      </c>
      <c r="AQ671">
        <v>0</v>
      </c>
      <c r="AR671">
        <v>0</v>
      </c>
      <c r="AS671">
        <v>0</v>
      </c>
      <c r="AT671" t="s">
        <v>90</v>
      </c>
      <c r="AU671" s="1">
        <v>44207.511006944442</v>
      </c>
      <c r="AV671">
        <v>2</v>
      </c>
      <c r="AW671">
        <v>0</v>
      </c>
      <c r="AX671">
        <v>0</v>
      </c>
      <c r="AY671">
        <v>0</v>
      </c>
      <c r="AZ671">
        <v>52</v>
      </c>
      <c r="BA671">
        <v>0</v>
      </c>
      <c r="BB671">
        <v>66</v>
      </c>
      <c r="BC671">
        <v>0</v>
      </c>
      <c r="BD671">
        <v>0</v>
      </c>
      <c r="BE671">
        <v>0</v>
      </c>
    </row>
    <row r="672" spans="1:57" x14ac:dyDescent="0.45">
      <c r="A672" t="s">
        <v>1781</v>
      </c>
      <c r="B672" t="s">
        <v>79</v>
      </c>
      <c r="C672" t="s">
        <v>1782</v>
      </c>
      <c r="D672" t="s">
        <v>81</v>
      </c>
      <c r="E672" s="2" t="str">
        <f>HYPERLINK("capsilon://?command=openfolder&amp;siteaddress=FAM.docvelocity-na8.net&amp;folderid=FX3CFC0749-4F64-2312-9834-05B2E7C99639","FX20121096")</f>
        <v>FX20121096</v>
      </c>
      <c r="F672" t="s">
        <v>19</v>
      </c>
      <c r="G672" t="s">
        <v>19</v>
      </c>
      <c r="H672" t="s">
        <v>82</v>
      </c>
      <c r="I672" t="s">
        <v>1783</v>
      </c>
      <c r="J672">
        <v>50</v>
      </c>
      <c r="K672" t="s">
        <v>84</v>
      </c>
      <c r="L672" t="s">
        <v>85</v>
      </c>
      <c r="M672" t="s">
        <v>86</v>
      </c>
      <c r="N672">
        <v>3</v>
      </c>
      <c r="O672" s="1">
        <v>44207.419027777774</v>
      </c>
      <c r="P672" s="1">
        <v>44207.511284722219</v>
      </c>
      <c r="Q672">
        <v>7299</v>
      </c>
      <c r="R672">
        <v>672</v>
      </c>
      <c r="S672" t="b">
        <v>0</v>
      </c>
      <c r="T672" t="s">
        <v>87</v>
      </c>
      <c r="U672" t="b">
        <v>0</v>
      </c>
      <c r="V672" t="s">
        <v>1418</v>
      </c>
      <c r="W672" s="1">
        <v>44207.425821759258</v>
      </c>
      <c r="X672">
        <v>545</v>
      </c>
      <c r="Y672">
        <v>46</v>
      </c>
      <c r="Z672">
        <v>0</v>
      </c>
      <c r="AA672">
        <v>46</v>
      </c>
      <c r="AB672">
        <v>0</v>
      </c>
      <c r="AC672">
        <v>20</v>
      </c>
      <c r="AD672">
        <v>4</v>
      </c>
      <c r="AE672">
        <v>0</v>
      </c>
      <c r="AF672">
        <v>0</v>
      </c>
      <c r="AG672">
        <v>0</v>
      </c>
      <c r="AH672" t="s">
        <v>267</v>
      </c>
      <c r="AI672" s="1">
        <v>44207.47351851852</v>
      </c>
      <c r="AJ672">
        <v>104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4</v>
      </c>
      <c r="AQ672">
        <v>0</v>
      </c>
      <c r="AR672">
        <v>0</v>
      </c>
      <c r="AS672">
        <v>0</v>
      </c>
      <c r="AT672" t="s">
        <v>90</v>
      </c>
      <c r="AU672" s="1">
        <v>44207.511284722219</v>
      </c>
      <c r="AV672">
        <v>23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4</v>
      </c>
      <c r="BC672">
        <v>0</v>
      </c>
      <c r="BD672">
        <v>0</v>
      </c>
      <c r="BE672">
        <v>0</v>
      </c>
    </row>
    <row r="673" spans="1:57" x14ac:dyDescent="0.45">
      <c r="A673" t="s">
        <v>1784</v>
      </c>
      <c r="B673" t="s">
        <v>79</v>
      </c>
      <c r="C673" t="s">
        <v>1782</v>
      </c>
      <c r="D673" t="s">
        <v>81</v>
      </c>
      <c r="E673" s="2" t="str">
        <f>HYPERLINK("capsilon://?command=openfolder&amp;siteaddress=FAM.docvelocity-na8.net&amp;folderid=FX3CFC0749-4F64-2312-9834-05B2E7C99639","FX20121096")</f>
        <v>FX20121096</v>
      </c>
      <c r="F673" t="s">
        <v>19</v>
      </c>
      <c r="G673" t="s">
        <v>19</v>
      </c>
      <c r="H673" t="s">
        <v>82</v>
      </c>
      <c r="I673" t="s">
        <v>1785</v>
      </c>
      <c r="J673">
        <v>55</v>
      </c>
      <c r="K673" t="s">
        <v>84</v>
      </c>
      <c r="L673" t="s">
        <v>85</v>
      </c>
      <c r="M673" t="s">
        <v>86</v>
      </c>
      <c r="N673">
        <v>3</v>
      </c>
      <c r="O673" s="1">
        <v>44207.419733796298</v>
      </c>
      <c r="P673" s="1">
        <v>44207.511365740742</v>
      </c>
      <c r="Q673">
        <v>7024</v>
      </c>
      <c r="R673">
        <v>893</v>
      </c>
      <c r="S673" t="b">
        <v>0</v>
      </c>
      <c r="T673" t="s">
        <v>87</v>
      </c>
      <c r="U673" t="b">
        <v>0</v>
      </c>
      <c r="V673" t="s">
        <v>105</v>
      </c>
      <c r="W673" s="1">
        <v>44207.428888888891</v>
      </c>
      <c r="X673">
        <v>716</v>
      </c>
      <c r="Y673">
        <v>51</v>
      </c>
      <c r="Z673">
        <v>0</v>
      </c>
      <c r="AA673">
        <v>51</v>
      </c>
      <c r="AB673">
        <v>0</v>
      </c>
      <c r="AC673">
        <v>14</v>
      </c>
      <c r="AD673">
        <v>4</v>
      </c>
      <c r="AE673">
        <v>0</v>
      </c>
      <c r="AF673">
        <v>0</v>
      </c>
      <c r="AG673">
        <v>0</v>
      </c>
      <c r="AH673" t="s">
        <v>267</v>
      </c>
      <c r="AI673" s="1">
        <v>44207.47550925926</v>
      </c>
      <c r="AJ673">
        <v>171</v>
      </c>
      <c r="AK673">
        <v>2</v>
      </c>
      <c r="AL673">
        <v>0</v>
      </c>
      <c r="AM673">
        <v>2</v>
      </c>
      <c r="AN673">
        <v>0</v>
      </c>
      <c r="AO673">
        <v>2</v>
      </c>
      <c r="AP673">
        <v>2</v>
      </c>
      <c r="AQ673">
        <v>0</v>
      </c>
      <c r="AR673">
        <v>0</v>
      </c>
      <c r="AS673">
        <v>0</v>
      </c>
      <c r="AT673" t="s">
        <v>90</v>
      </c>
      <c r="AU673" s="1">
        <v>44207.511365740742</v>
      </c>
      <c r="AV673">
        <v>6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2</v>
      </c>
      <c r="BC673">
        <v>0</v>
      </c>
      <c r="BD673">
        <v>0</v>
      </c>
      <c r="BE673">
        <v>0</v>
      </c>
    </row>
    <row r="674" spans="1:57" hidden="1" x14ac:dyDescent="0.45">
      <c r="A674" t="s">
        <v>1786</v>
      </c>
      <c r="B674" t="s">
        <v>79</v>
      </c>
      <c r="C674" t="s">
        <v>1787</v>
      </c>
      <c r="D674" t="s">
        <v>81</v>
      </c>
      <c r="E674" s="2" t="str">
        <f>HYPERLINK("capsilon://?command=openfolder&amp;siteaddress=FAM.docvelocity-na8.net&amp;folderid=FX852742BC-16B0-1C0D-9A30-251C2186CCEC","FX20111438")</f>
        <v>FX20111438</v>
      </c>
      <c r="F674" t="s">
        <v>19</v>
      </c>
      <c r="G674" t="s">
        <v>19</v>
      </c>
      <c r="H674" t="s">
        <v>82</v>
      </c>
      <c r="I674" t="s">
        <v>1788</v>
      </c>
      <c r="J674">
        <v>66</v>
      </c>
      <c r="K674" t="s">
        <v>84</v>
      </c>
      <c r="L674" t="s">
        <v>85</v>
      </c>
      <c r="M674" t="s">
        <v>86</v>
      </c>
      <c r="N674">
        <v>3</v>
      </c>
      <c r="O674" s="1">
        <v>44207.42019675926</v>
      </c>
      <c r="P674" s="1">
        <v>44207.511400462965</v>
      </c>
      <c r="Q674">
        <v>7702</v>
      </c>
      <c r="R674">
        <v>178</v>
      </c>
      <c r="S674" t="b">
        <v>0</v>
      </c>
      <c r="T674" t="s">
        <v>87</v>
      </c>
      <c r="U674" t="b">
        <v>0</v>
      </c>
      <c r="V674" t="s">
        <v>419</v>
      </c>
      <c r="W674" s="1">
        <v>44207.425266203703</v>
      </c>
      <c r="X674">
        <v>155</v>
      </c>
      <c r="Y674">
        <v>0</v>
      </c>
      <c r="Z674">
        <v>0</v>
      </c>
      <c r="AA674">
        <v>0</v>
      </c>
      <c r="AB674">
        <v>52</v>
      </c>
      <c r="AC674">
        <v>0</v>
      </c>
      <c r="AD674">
        <v>66</v>
      </c>
      <c r="AE674">
        <v>0</v>
      </c>
      <c r="AF674">
        <v>0</v>
      </c>
      <c r="AG674">
        <v>0</v>
      </c>
      <c r="AH674" t="s">
        <v>267</v>
      </c>
      <c r="AI674" s="1">
        <v>44207.475798611114</v>
      </c>
      <c r="AJ674">
        <v>21</v>
      </c>
      <c r="AK674">
        <v>0</v>
      </c>
      <c r="AL674">
        <v>0</v>
      </c>
      <c r="AM674">
        <v>0</v>
      </c>
      <c r="AN674">
        <v>52</v>
      </c>
      <c r="AO674">
        <v>0</v>
      </c>
      <c r="AP674">
        <v>66</v>
      </c>
      <c r="AQ674">
        <v>0</v>
      </c>
      <c r="AR674">
        <v>0</v>
      </c>
      <c r="AS674">
        <v>0</v>
      </c>
      <c r="AT674" t="s">
        <v>90</v>
      </c>
      <c r="AU674" s="1">
        <v>44207.511400462965</v>
      </c>
      <c r="AV674">
        <v>2</v>
      </c>
      <c r="AW674">
        <v>0</v>
      </c>
      <c r="AX674">
        <v>0</v>
      </c>
      <c r="AY674">
        <v>0</v>
      </c>
      <c r="AZ674">
        <v>52</v>
      </c>
      <c r="BA674">
        <v>0</v>
      </c>
      <c r="BB674">
        <v>66</v>
      </c>
      <c r="BC674">
        <v>0</v>
      </c>
      <c r="BD674">
        <v>0</v>
      </c>
      <c r="BE674">
        <v>0</v>
      </c>
    </row>
    <row r="675" spans="1:57" x14ac:dyDescent="0.45">
      <c r="A675" t="s">
        <v>1789</v>
      </c>
      <c r="B675" t="s">
        <v>79</v>
      </c>
      <c r="C675" t="s">
        <v>721</v>
      </c>
      <c r="D675" t="s">
        <v>81</v>
      </c>
      <c r="E675" s="2" t="str">
        <f>HYPERLINK("capsilon://?command=openfolder&amp;siteaddress=FAM.docvelocity-na8.net&amp;folderid=FX7BF04A2E-0FFA-3648-2B8D-3432717D2FF5","FX201210988")</f>
        <v>FX201210988</v>
      </c>
      <c r="F675" t="s">
        <v>19</v>
      </c>
      <c r="G675" t="s">
        <v>19</v>
      </c>
      <c r="H675" t="s">
        <v>82</v>
      </c>
      <c r="I675" t="s">
        <v>1790</v>
      </c>
      <c r="J675">
        <v>93</v>
      </c>
      <c r="K675" t="s">
        <v>84</v>
      </c>
      <c r="L675" t="s">
        <v>85</v>
      </c>
      <c r="M675" t="s">
        <v>86</v>
      </c>
      <c r="N675">
        <v>3</v>
      </c>
      <c r="O675" s="1">
        <v>44207.421354166669</v>
      </c>
      <c r="P675" s="1">
        <v>44207.662002314813</v>
      </c>
      <c r="Q675">
        <v>11316</v>
      </c>
      <c r="R675">
        <v>9476</v>
      </c>
      <c r="S675" t="b">
        <v>0</v>
      </c>
      <c r="T675" t="s">
        <v>87</v>
      </c>
      <c r="U675" t="b">
        <v>0</v>
      </c>
      <c r="V675" t="s">
        <v>419</v>
      </c>
      <c r="W675" s="1">
        <v>44207.525740740741</v>
      </c>
      <c r="X675">
        <v>8680</v>
      </c>
      <c r="Y675">
        <v>238</v>
      </c>
      <c r="Z675">
        <v>0</v>
      </c>
      <c r="AA675">
        <v>238</v>
      </c>
      <c r="AB675">
        <v>0</v>
      </c>
      <c r="AC675">
        <v>196</v>
      </c>
      <c r="AD675">
        <v>-145</v>
      </c>
      <c r="AE675">
        <v>0</v>
      </c>
      <c r="AF675">
        <v>0</v>
      </c>
      <c r="AG675">
        <v>0</v>
      </c>
      <c r="AH675" t="s">
        <v>128</v>
      </c>
      <c r="AI675" s="1">
        <v>44207.535115740742</v>
      </c>
      <c r="AJ675">
        <v>731</v>
      </c>
      <c r="AK675">
        <v>4</v>
      </c>
      <c r="AL675">
        <v>0</v>
      </c>
      <c r="AM675">
        <v>4</v>
      </c>
      <c r="AN675">
        <v>0</v>
      </c>
      <c r="AO675">
        <v>4</v>
      </c>
      <c r="AP675">
        <v>-149</v>
      </c>
      <c r="AQ675">
        <v>0</v>
      </c>
      <c r="AR675">
        <v>0</v>
      </c>
      <c r="AS675">
        <v>0</v>
      </c>
      <c r="AT675" t="s">
        <v>549</v>
      </c>
      <c r="AU675" s="1">
        <v>44207.662002314813</v>
      </c>
      <c r="AV675">
        <v>30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-149</v>
      </c>
      <c r="BC675">
        <v>0</v>
      </c>
      <c r="BD675">
        <v>0</v>
      </c>
      <c r="BE675">
        <v>0</v>
      </c>
    </row>
    <row r="676" spans="1:57" x14ac:dyDescent="0.45">
      <c r="A676" t="s">
        <v>1791</v>
      </c>
      <c r="B676" t="s">
        <v>79</v>
      </c>
      <c r="C676" t="s">
        <v>1792</v>
      </c>
      <c r="D676" t="s">
        <v>81</v>
      </c>
      <c r="E676" s="2" t="str">
        <f>HYPERLINK("capsilon://?command=openfolder&amp;siteaddress=FAM.docvelocity-na8.net&amp;folderid=FX3CD6E15D-9CB5-7947-D4E2-B5223FBB1C2E","FX21014440")</f>
        <v>FX21014440</v>
      </c>
      <c r="F676" t="s">
        <v>19</v>
      </c>
      <c r="G676" t="s">
        <v>19</v>
      </c>
      <c r="H676" t="s">
        <v>82</v>
      </c>
      <c r="I676" t="s">
        <v>1793</v>
      </c>
      <c r="J676">
        <v>243</v>
      </c>
      <c r="K676" t="s">
        <v>84</v>
      </c>
      <c r="L676" t="s">
        <v>85</v>
      </c>
      <c r="M676" t="s">
        <v>86</v>
      </c>
      <c r="N676">
        <v>3</v>
      </c>
      <c r="O676" s="1">
        <v>44207.431018518517</v>
      </c>
      <c r="P676" s="1">
        <v>44207.512060185189</v>
      </c>
      <c r="Q676">
        <v>3281</v>
      </c>
      <c r="R676">
        <v>3721</v>
      </c>
      <c r="S676" t="b">
        <v>0</v>
      </c>
      <c r="T676" t="s">
        <v>87</v>
      </c>
      <c r="U676" t="b">
        <v>0</v>
      </c>
      <c r="V676" t="s">
        <v>1418</v>
      </c>
      <c r="W676" s="1">
        <v>44207.468900462962</v>
      </c>
      <c r="X676">
        <v>3106</v>
      </c>
      <c r="Y676">
        <v>224</v>
      </c>
      <c r="Z676">
        <v>0</v>
      </c>
      <c r="AA676">
        <v>224</v>
      </c>
      <c r="AB676">
        <v>0</v>
      </c>
      <c r="AC676">
        <v>100</v>
      </c>
      <c r="AD676">
        <v>19</v>
      </c>
      <c r="AE676">
        <v>0</v>
      </c>
      <c r="AF676">
        <v>0</v>
      </c>
      <c r="AG676">
        <v>0</v>
      </c>
      <c r="AH676" t="s">
        <v>267</v>
      </c>
      <c r="AI676" s="1">
        <v>44207.48228009259</v>
      </c>
      <c r="AJ676">
        <v>559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19</v>
      </c>
      <c r="AQ676">
        <v>0</v>
      </c>
      <c r="AR676">
        <v>0</v>
      </c>
      <c r="AS676">
        <v>0</v>
      </c>
      <c r="AT676" t="s">
        <v>90</v>
      </c>
      <c r="AU676" s="1">
        <v>44207.512060185189</v>
      </c>
      <c r="AV676">
        <v>56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19</v>
      </c>
      <c r="BC676">
        <v>0</v>
      </c>
      <c r="BD676">
        <v>0</v>
      </c>
      <c r="BE676">
        <v>0</v>
      </c>
    </row>
    <row r="677" spans="1:57" hidden="1" x14ac:dyDescent="0.45">
      <c r="A677" t="s">
        <v>1794</v>
      </c>
      <c r="B677" t="s">
        <v>79</v>
      </c>
      <c r="C677" t="s">
        <v>1795</v>
      </c>
      <c r="D677" t="s">
        <v>81</v>
      </c>
      <c r="E677" s="2" t="str">
        <f>HYPERLINK("capsilon://?command=openfolder&amp;siteaddress=FAM.docvelocity-na8.net&amp;folderid=FXAC8501FB-6EF9-FF17-0F7D-736895E86501","FX20121762")</f>
        <v>FX20121762</v>
      </c>
      <c r="F677" t="s">
        <v>19</v>
      </c>
      <c r="G677" t="s">
        <v>19</v>
      </c>
      <c r="H677" t="s">
        <v>82</v>
      </c>
      <c r="I677" t="s">
        <v>1796</v>
      </c>
      <c r="J677">
        <v>486</v>
      </c>
      <c r="K677" t="s">
        <v>84</v>
      </c>
      <c r="L677" t="s">
        <v>85</v>
      </c>
      <c r="M677" t="s">
        <v>81</v>
      </c>
      <c r="N677">
        <v>2</v>
      </c>
      <c r="O677" s="1">
        <v>44207.434930555559</v>
      </c>
      <c r="P677" s="1">
        <v>44207.450243055559</v>
      </c>
      <c r="Q677">
        <v>1225</v>
      </c>
      <c r="R677">
        <v>98</v>
      </c>
      <c r="S677" t="b">
        <v>0</v>
      </c>
      <c r="T677" t="s">
        <v>1797</v>
      </c>
      <c r="U677" t="b">
        <v>0</v>
      </c>
      <c r="V677" t="s">
        <v>919</v>
      </c>
      <c r="W677" s="1">
        <v>44207.443842592591</v>
      </c>
      <c r="X677">
        <v>93</v>
      </c>
      <c r="Y677">
        <v>98</v>
      </c>
      <c r="Z677">
        <v>0</v>
      </c>
      <c r="AA677">
        <v>98</v>
      </c>
      <c r="AB677">
        <v>0</v>
      </c>
      <c r="AC677">
        <v>0</v>
      </c>
      <c r="AD677">
        <v>388</v>
      </c>
      <c r="AE677">
        <v>0</v>
      </c>
      <c r="AF677">
        <v>0</v>
      </c>
      <c r="AG677">
        <v>0</v>
      </c>
      <c r="AH677" t="s">
        <v>1797</v>
      </c>
      <c r="AI677" s="1">
        <v>44207.450243055559</v>
      </c>
      <c r="AJ677">
        <v>5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388</v>
      </c>
      <c r="AQ677">
        <v>0</v>
      </c>
      <c r="AR677">
        <v>0</v>
      </c>
      <c r="AS677">
        <v>0</v>
      </c>
      <c r="AT677" t="s">
        <v>87</v>
      </c>
      <c r="AU677" t="s">
        <v>87</v>
      </c>
      <c r="AV677" t="s">
        <v>87</v>
      </c>
      <c r="AW677" t="s">
        <v>87</v>
      </c>
      <c r="AX677" t="s">
        <v>87</v>
      </c>
      <c r="AY677" t="s">
        <v>87</v>
      </c>
      <c r="AZ677" t="s">
        <v>87</v>
      </c>
      <c r="BA677" t="s">
        <v>87</v>
      </c>
      <c r="BB677" t="s">
        <v>87</v>
      </c>
      <c r="BC677" t="s">
        <v>87</v>
      </c>
      <c r="BD677" t="s">
        <v>87</v>
      </c>
      <c r="BE677" t="s">
        <v>87</v>
      </c>
    </row>
    <row r="678" spans="1:57" x14ac:dyDescent="0.45">
      <c r="A678" t="s">
        <v>1798</v>
      </c>
      <c r="B678" t="s">
        <v>79</v>
      </c>
      <c r="C678" t="s">
        <v>1799</v>
      </c>
      <c r="D678" t="s">
        <v>81</v>
      </c>
      <c r="E678" s="2" t="str">
        <f>HYPERLINK("capsilon://?command=openfolder&amp;siteaddress=FAM.docvelocity-na8.net&amp;folderid=FX6CA02299-EEFB-4FEB-B6BC-D7AD6A9820C7","FX21013647")</f>
        <v>FX21013647</v>
      </c>
      <c r="F678" t="s">
        <v>19</v>
      </c>
      <c r="G678" t="s">
        <v>19</v>
      </c>
      <c r="H678" t="s">
        <v>82</v>
      </c>
      <c r="I678" t="s">
        <v>1800</v>
      </c>
      <c r="J678">
        <v>88</v>
      </c>
      <c r="K678" t="s">
        <v>84</v>
      </c>
      <c r="L678" t="s">
        <v>85</v>
      </c>
      <c r="M678" t="s">
        <v>86</v>
      </c>
      <c r="N678">
        <v>3</v>
      </c>
      <c r="O678" s="1">
        <v>44207.436145833337</v>
      </c>
      <c r="P678" s="1">
        <v>44207.516979166663</v>
      </c>
      <c r="Q678">
        <v>2873</v>
      </c>
      <c r="R678">
        <v>4111</v>
      </c>
      <c r="S678" t="b">
        <v>0</v>
      </c>
      <c r="T678" t="s">
        <v>87</v>
      </c>
      <c r="U678" t="b">
        <v>0</v>
      </c>
      <c r="V678" t="s">
        <v>919</v>
      </c>
      <c r="W678" s="1">
        <v>44207.479212962964</v>
      </c>
      <c r="X678">
        <v>3055</v>
      </c>
      <c r="Y678">
        <v>122</v>
      </c>
      <c r="Z678">
        <v>0</v>
      </c>
      <c r="AA678">
        <v>122</v>
      </c>
      <c r="AB678">
        <v>0</v>
      </c>
      <c r="AC678">
        <v>78</v>
      </c>
      <c r="AD678">
        <v>-34</v>
      </c>
      <c r="AE678">
        <v>0</v>
      </c>
      <c r="AF678">
        <v>0</v>
      </c>
      <c r="AG678">
        <v>0</v>
      </c>
      <c r="AH678" t="s">
        <v>128</v>
      </c>
      <c r="AI678" s="1">
        <v>44207.487939814811</v>
      </c>
      <c r="AJ678">
        <v>632</v>
      </c>
      <c r="AK678">
        <v>8</v>
      </c>
      <c r="AL678">
        <v>0</v>
      </c>
      <c r="AM678">
        <v>8</v>
      </c>
      <c r="AN678">
        <v>0</v>
      </c>
      <c r="AO678">
        <v>8</v>
      </c>
      <c r="AP678">
        <v>-42</v>
      </c>
      <c r="AQ678">
        <v>0</v>
      </c>
      <c r="AR678">
        <v>0</v>
      </c>
      <c r="AS678">
        <v>0</v>
      </c>
      <c r="AT678" t="s">
        <v>90</v>
      </c>
      <c r="AU678" s="1">
        <v>44207.516979166663</v>
      </c>
      <c r="AV678">
        <v>424</v>
      </c>
      <c r="AW678">
        <v>2</v>
      </c>
      <c r="AX678">
        <v>0</v>
      </c>
      <c r="AY678">
        <v>2</v>
      </c>
      <c r="AZ678">
        <v>0</v>
      </c>
      <c r="BA678">
        <v>2</v>
      </c>
      <c r="BB678">
        <v>-44</v>
      </c>
      <c r="BC678">
        <v>0</v>
      </c>
      <c r="BD678">
        <v>0</v>
      </c>
      <c r="BE678">
        <v>0</v>
      </c>
    </row>
    <row r="679" spans="1:57" x14ac:dyDescent="0.45">
      <c r="A679" t="s">
        <v>1801</v>
      </c>
      <c r="B679" t="s">
        <v>79</v>
      </c>
      <c r="C679" t="s">
        <v>1719</v>
      </c>
      <c r="D679" t="s">
        <v>81</v>
      </c>
      <c r="E679" s="2" t="str">
        <f>HYPERLINK("capsilon://?command=openfolder&amp;siteaddress=FAM.docvelocity-na8.net&amp;folderid=FXDE958D47-E5B8-5648-997F-9BF90D77A2FF","FX201228054")</f>
        <v>FX201228054</v>
      </c>
      <c r="F679" t="s">
        <v>19</v>
      </c>
      <c r="G679" t="s">
        <v>19</v>
      </c>
      <c r="H679" t="s">
        <v>82</v>
      </c>
      <c r="I679" t="s">
        <v>1802</v>
      </c>
      <c r="J679">
        <v>34</v>
      </c>
      <c r="K679" t="s">
        <v>84</v>
      </c>
      <c r="L679" t="s">
        <v>85</v>
      </c>
      <c r="M679" t="s">
        <v>86</v>
      </c>
      <c r="N679">
        <v>3</v>
      </c>
      <c r="O679" s="1">
        <v>44200.561956018515</v>
      </c>
      <c r="P679" s="1">
        <v>44201.363310185188</v>
      </c>
      <c r="Q679">
        <v>68451</v>
      </c>
      <c r="R679">
        <v>786</v>
      </c>
      <c r="S679" t="b">
        <v>0</v>
      </c>
      <c r="T679" t="s">
        <v>87</v>
      </c>
      <c r="U679" t="b">
        <v>0</v>
      </c>
      <c r="V679" t="s">
        <v>142</v>
      </c>
      <c r="W679" s="1">
        <v>44200.667430555557</v>
      </c>
      <c r="X679">
        <v>296</v>
      </c>
      <c r="Y679">
        <v>44</v>
      </c>
      <c r="Z679">
        <v>0</v>
      </c>
      <c r="AA679">
        <v>44</v>
      </c>
      <c r="AB679">
        <v>0</v>
      </c>
      <c r="AC679">
        <v>30</v>
      </c>
      <c r="AD679">
        <v>-10</v>
      </c>
      <c r="AE679">
        <v>0</v>
      </c>
      <c r="AF679">
        <v>0</v>
      </c>
      <c r="AG679">
        <v>0</v>
      </c>
      <c r="AH679" t="s">
        <v>128</v>
      </c>
      <c r="AI679" s="1">
        <v>44200.723495370374</v>
      </c>
      <c r="AJ679">
        <v>479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-10</v>
      </c>
      <c r="AQ679">
        <v>0</v>
      </c>
      <c r="AR679">
        <v>0</v>
      </c>
      <c r="AS679">
        <v>0</v>
      </c>
      <c r="AT679" t="s">
        <v>90</v>
      </c>
      <c r="AU679" s="1">
        <v>44201.363310185188</v>
      </c>
      <c r="AV679">
        <v>11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-10</v>
      </c>
      <c r="BC679">
        <v>0</v>
      </c>
      <c r="BD679">
        <v>0</v>
      </c>
      <c r="BE679">
        <v>0</v>
      </c>
    </row>
    <row r="680" spans="1:57" x14ac:dyDescent="0.45">
      <c r="A680" t="s">
        <v>1803</v>
      </c>
      <c r="B680" t="s">
        <v>79</v>
      </c>
      <c r="C680" t="s">
        <v>1804</v>
      </c>
      <c r="D680" t="s">
        <v>81</v>
      </c>
      <c r="E680" s="2" t="str">
        <f>HYPERLINK("capsilon://?command=openfolder&amp;siteaddress=FAM.docvelocity-na8.net&amp;folderid=FXF5AD3739-7DB6-2CD4-9A11-CD79220DAA70","FX21011990")</f>
        <v>FX21011990</v>
      </c>
      <c r="F680" t="s">
        <v>19</v>
      </c>
      <c r="G680" t="s">
        <v>19</v>
      </c>
      <c r="H680" t="s">
        <v>82</v>
      </c>
      <c r="I680" t="s">
        <v>1805</v>
      </c>
      <c r="J680">
        <v>38</v>
      </c>
      <c r="K680" t="s">
        <v>84</v>
      </c>
      <c r="L680" t="s">
        <v>85</v>
      </c>
      <c r="M680" t="s">
        <v>86</v>
      </c>
      <c r="N680">
        <v>3</v>
      </c>
      <c r="O680" s="1">
        <v>44207.454259259262</v>
      </c>
      <c r="P680" s="1">
        <v>44207.517233796294</v>
      </c>
      <c r="Q680">
        <v>3984</v>
      </c>
      <c r="R680">
        <v>1457</v>
      </c>
      <c r="S680" t="b">
        <v>0</v>
      </c>
      <c r="T680" t="s">
        <v>87</v>
      </c>
      <c r="U680" t="b">
        <v>0</v>
      </c>
      <c r="V680" t="s">
        <v>179</v>
      </c>
      <c r="W680" s="1">
        <v>44207.459583333337</v>
      </c>
      <c r="X680">
        <v>460</v>
      </c>
      <c r="Y680">
        <v>37</v>
      </c>
      <c r="Z680">
        <v>0</v>
      </c>
      <c r="AA680">
        <v>37</v>
      </c>
      <c r="AB680">
        <v>0</v>
      </c>
      <c r="AC680">
        <v>5</v>
      </c>
      <c r="AD680">
        <v>1</v>
      </c>
      <c r="AE680">
        <v>0</v>
      </c>
      <c r="AF680">
        <v>0</v>
      </c>
      <c r="AG680">
        <v>0</v>
      </c>
      <c r="AH680" t="s">
        <v>89</v>
      </c>
      <c r="AI680" s="1">
        <v>44207.489340277774</v>
      </c>
      <c r="AJ680">
        <v>976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 t="s">
        <v>90</v>
      </c>
      <c r="AU680" s="1">
        <v>44207.517233796294</v>
      </c>
      <c r="AV680">
        <v>21</v>
      </c>
      <c r="AW680">
        <v>1</v>
      </c>
      <c r="AX680">
        <v>0</v>
      </c>
      <c r="AY680">
        <v>1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</row>
    <row r="681" spans="1:57" x14ac:dyDescent="0.45">
      <c r="A681" t="s">
        <v>1806</v>
      </c>
      <c r="B681" t="s">
        <v>79</v>
      </c>
      <c r="C681" t="s">
        <v>1807</v>
      </c>
      <c r="D681" t="s">
        <v>81</v>
      </c>
      <c r="E681" s="2" t="str">
        <f>HYPERLINK("capsilon://?command=openfolder&amp;siteaddress=FAM.docvelocity-na8.net&amp;folderid=FXBC5B85A4-60BC-18B7-C50E-83AEAC80491C","FX201227108")</f>
        <v>FX201227108</v>
      </c>
      <c r="F681" t="s">
        <v>19</v>
      </c>
      <c r="G681" t="s">
        <v>19</v>
      </c>
      <c r="H681" t="s">
        <v>82</v>
      </c>
      <c r="I681" t="s">
        <v>1808</v>
      </c>
      <c r="J681">
        <v>31</v>
      </c>
      <c r="K681" t="s">
        <v>84</v>
      </c>
      <c r="L681" t="s">
        <v>85</v>
      </c>
      <c r="M681" t="s">
        <v>86</v>
      </c>
      <c r="N681">
        <v>3</v>
      </c>
      <c r="O681" s="1">
        <v>44207.458726851852</v>
      </c>
      <c r="P681" s="1">
        <v>44207.517604166664</v>
      </c>
      <c r="Q681">
        <v>4035</v>
      </c>
      <c r="R681">
        <v>1052</v>
      </c>
      <c r="S681" t="b">
        <v>0</v>
      </c>
      <c r="T681" t="s">
        <v>87</v>
      </c>
      <c r="U681" t="b">
        <v>0</v>
      </c>
      <c r="V681" t="s">
        <v>160</v>
      </c>
      <c r="W681" s="1">
        <v>44207.468449074076</v>
      </c>
      <c r="X681">
        <v>839</v>
      </c>
      <c r="Y681">
        <v>66</v>
      </c>
      <c r="Z681">
        <v>0</v>
      </c>
      <c r="AA681">
        <v>66</v>
      </c>
      <c r="AB681">
        <v>0</v>
      </c>
      <c r="AC681">
        <v>54</v>
      </c>
      <c r="AD681">
        <v>-35</v>
      </c>
      <c r="AE681">
        <v>0</v>
      </c>
      <c r="AF681">
        <v>0</v>
      </c>
      <c r="AG681">
        <v>0</v>
      </c>
      <c r="AH681" t="s">
        <v>128</v>
      </c>
      <c r="AI681" s="1">
        <v>44207.48060185185</v>
      </c>
      <c r="AJ681">
        <v>182</v>
      </c>
      <c r="AK681">
        <v>1</v>
      </c>
      <c r="AL681">
        <v>0</v>
      </c>
      <c r="AM681">
        <v>1</v>
      </c>
      <c r="AN681">
        <v>0</v>
      </c>
      <c r="AO681">
        <v>1</v>
      </c>
      <c r="AP681">
        <v>-36</v>
      </c>
      <c r="AQ681">
        <v>0</v>
      </c>
      <c r="AR681">
        <v>0</v>
      </c>
      <c r="AS681">
        <v>0</v>
      </c>
      <c r="AT681" t="s">
        <v>90</v>
      </c>
      <c r="AU681" s="1">
        <v>44207.517604166664</v>
      </c>
      <c r="AV681">
        <v>31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-36</v>
      </c>
      <c r="BC681">
        <v>0</v>
      </c>
      <c r="BD681">
        <v>0</v>
      </c>
      <c r="BE681">
        <v>0</v>
      </c>
    </row>
    <row r="682" spans="1:57" x14ac:dyDescent="0.45">
      <c r="A682" t="s">
        <v>1809</v>
      </c>
      <c r="B682" t="s">
        <v>79</v>
      </c>
      <c r="C682" t="s">
        <v>1810</v>
      </c>
      <c r="D682" t="s">
        <v>81</v>
      </c>
      <c r="E682" s="2" t="str">
        <f>HYPERLINK("capsilon://?command=openfolder&amp;siteaddress=FAM.docvelocity-na8.net&amp;folderid=FX71938DD3-F67D-011A-DBAD-4E2AFD32DA8B","FX21014640")</f>
        <v>FX21014640</v>
      </c>
      <c r="F682" t="s">
        <v>19</v>
      </c>
      <c r="G682" t="s">
        <v>19</v>
      </c>
      <c r="H682" t="s">
        <v>82</v>
      </c>
      <c r="I682" t="s">
        <v>1811</v>
      </c>
      <c r="J682">
        <v>429</v>
      </c>
      <c r="K682" t="s">
        <v>84</v>
      </c>
      <c r="L682" t="s">
        <v>85</v>
      </c>
      <c r="M682" t="s">
        <v>86</v>
      </c>
      <c r="N682">
        <v>3</v>
      </c>
      <c r="O682" s="1">
        <v>44207.4609375</v>
      </c>
      <c r="P682" s="1">
        <v>44207.670416666668</v>
      </c>
      <c r="Q682">
        <v>12466</v>
      </c>
      <c r="R682">
        <v>5633</v>
      </c>
      <c r="S682" t="b">
        <v>0</v>
      </c>
      <c r="T682" t="s">
        <v>87</v>
      </c>
      <c r="U682" t="b">
        <v>0</v>
      </c>
      <c r="V682" t="s">
        <v>171</v>
      </c>
      <c r="W682" s="1">
        <v>44207.49894675926</v>
      </c>
      <c r="X682">
        <v>3283</v>
      </c>
      <c r="Y682">
        <v>356</v>
      </c>
      <c r="Z682">
        <v>0</v>
      </c>
      <c r="AA682">
        <v>356</v>
      </c>
      <c r="AB682">
        <v>74</v>
      </c>
      <c r="AC682">
        <v>197</v>
      </c>
      <c r="AD682">
        <v>73</v>
      </c>
      <c r="AE682">
        <v>0</v>
      </c>
      <c r="AF682">
        <v>0</v>
      </c>
      <c r="AG682">
        <v>0</v>
      </c>
      <c r="AH682" t="s">
        <v>267</v>
      </c>
      <c r="AI682" s="1">
        <v>44207.515451388892</v>
      </c>
      <c r="AJ682">
        <v>1353</v>
      </c>
      <c r="AK682">
        <v>6</v>
      </c>
      <c r="AL682">
        <v>0</v>
      </c>
      <c r="AM682">
        <v>6</v>
      </c>
      <c r="AN682">
        <v>74</v>
      </c>
      <c r="AO682">
        <v>5</v>
      </c>
      <c r="AP682">
        <v>67</v>
      </c>
      <c r="AQ682">
        <v>0</v>
      </c>
      <c r="AR682">
        <v>0</v>
      </c>
      <c r="AS682">
        <v>0</v>
      </c>
      <c r="AT682" t="s">
        <v>549</v>
      </c>
      <c r="AU682" s="1">
        <v>44207.670416666668</v>
      </c>
      <c r="AV682">
        <v>42</v>
      </c>
      <c r="AW682">
        <v>0</v>
      </c>
      <c r="AX682">
        <v>0</v>
      </c>
      <c r="AY682">
        <v>0</v>
      </c>
      <c r="AZ682">
        <v>74</v>
      </c>
      <c r="BA682">
        <v>0</v>
      </c>
      <c r="BB682">
        <v>67</v>
      </c>
      <c r="BC682">
        <v>0</v>
      </c>
      <c r="BD682">
        <v>0</v>
      </c>
      <c r="BE682">
        <v>0</v>
      </c>
    </row>
    <row r="683" spans="1:57" x14ac:dyDescent="0.45">
      <c r="A683" t="s">
        <v>1812</v>
      </c>
      <c r="B683" t="s">
        <v>79</v>
      </c>
      <c r="C683" t="s">
        <v>1813</v>
      </c>
      <c r="D683" t="s">
        <v>81</v>
      </c>
      <c r="E683" s="2" t="str">
        <f>HYPERLINK("capsilon://?command=openfolder&amp;siteaddress=FAM.docvelocity-na8.net&amp;folderid=FXAE719068-275A-653A-D570-296AC5E7EAF5","FX21014017")</f>
        <v>FX21014017</v>
      </c>
      <c r="F683" t="s">
        <v>19</v>
      </c>
      <c r="G683" t="s">
        <v>19</v>
      </c>
      <c r="H683" t="s">
        <v>82</v>
      </c>
      <c r="I683" t="s">
        <v>1814</v>
      </c>
      <c r="J683">
        <v>38</v>
      </c>
      <c r="K683" t="s">
        <v>84</v>
      </c>
      <c r="L683" t="s">
        <v>85</v>
      </c>
      <c r="M683" t="s">
        <v>86</v>
      </c>
      <c r="N683">
        <v>3</v>
      </c>
      <c r="O683" s="1">
        <v>44207.463599537034</v>
      </c>
      <c r="P683" s="1">
        <v>44207.670555555553</v>
      </c>
      <c r="Q683">
        <v>16485</v>
      </c>
      <c r="R683">
        <v>1396</v>
      </c>
      <c r="S683" t="b">
        <v>0</v>
      </c>
      <c r="T683" t="s">
        <v>87</v>
      </c>
      <c r="U683" t="b">
        <v>0</v>
      </c>
      <c r="V683" t="s">
        <v>179</v>
      </c>
      <c r="W683" s="1">
        <v>44207.471979166665</v>
      </c>
      <c r="X683">
        <v>723</v>
      </c>
      <c r="Y683">
        <v>37</v>
      </c>
      <c r="Z683">
        <v>0</v>
      </c>
      <c r="AA683">
        <v>37</v>
      </c>
      <c r="AB683">
        <v>0</v>
      </c>
      <c r="AC683">
        <v>9</v>
      </c>
      <c r="AD683">
        <v>1</v>
      </c>
      <c r="AE683">
        <v>0</v>
      </c>
      <c r="AF683">
        <v>0</v>
      </c>
      <c r="AG683">
        <v>0</v>
      </c>
      <c r="AH683" t="s">
        <v>108</v>
      </c>
      <c r="AI683" s="1">
        <v>44207.489583333336</v>
      </c>
      <c r="AJ683">
        <v>482</v>
      </c>
      <c r="AK683">
        <v>3</v>
      </c>
      <c r="AL683">
        <v>0</v>
      </c>
      <c r="AM683">
        <v>3</v>
      </c>
      <c r="AN683">
        <v>0</v>
      </c>
      <c r="AO683">
        <v>2</v>
      </c>
      <c r="AP683">
        <v>-2</v>
      </c>
      <c r="AQ683">
        <v>0</v>
      </c>
      <c r="AR683">
        <v>0</v>
      </c>
      <c r="AS683">
        <v>0</v>
      </c>
      <c r="AT683" t="s">
        <v>549</v>
      </c>
      <c r="AU683" s="1">
        <v>44207.670555555553</v>
      </c>
      <c r="AV683">
        <v>11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-2</v>
      </c>
      <c r="BC683">
        <v>0</v>
      </c>
      <c r="BD683">
        <v>0</v>
      </c>
      <c r="BE683">
        <v>0</v>
      </c>
    </row>
    <row r="684" spans="1:57" hidden="1" x14ac:dyDescent="0.45">
      <c r="A684" t="s">
        <v>1815</v>
      </c>
      <c r="B684" t="s">
        <v>79</v>
      </c>
      <c r="C684" t="s">
        <v>1816</v>
      </c>
      <c r="D684" t="s">
        <v>81</v>
      </c>
      <c r="E684" s="2" t="str">
        <f>HYPERLINK("capsilon://?command=openfolder&amp;siteaddress=FAM.docvelocity-na8.net&amp;folderid=FX73743C97-D62F-71FD-BA03-5CB0264B34C7","FX2012998")</f>
        <v>FX2012998</v>
      </c>
      <c r="F684" t="s">
        <v>19</v>
      </c>
      <c r="G684" t="s">
        <v>19</v>
      </c>
      <c r="H684" t="s">
        <v>82</v>
      </c>
      <c r="I684" t="s">
        <v>1817</v>
      </c>
      <c r="J684">
        <v>58</v>
      </c>
      <c r="K684" t="s">
        <v>84</v>
      </c>
      <c r="L684" t="s">
        <v>85</v>
      </c>
      <c r="M684" t="s">
        <v>86</v>
      </c>
      <c r="N684">
        <v>1</v>
      </c>
      <c r="O684" s="1">
        <v>44207.466990740744</v>
      </c>
      <c r="P684" s="1">
        <v>44207.471377314818</v>
      </c>
      <c r="Q684">
        <v>108</v>
      </c>
      <c r="R684">
        <v>271</v>
      </c>
      <c r="S684" t="b">
        <v>0</v>
      </c>
      <c r="T684" t="s">
        <v>87</v>
      </c>
      <c r="U684" t="b">
        <v>0</v>
      </c>
      <c r="V684" t="s">
        <v>146</v>
      </c>
      <c r="W684" s="1">
        <v>44207.471377314818</v>
      </c>
      <c r="X684">
        <v>271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58</v>
      </c>
      <c r="AE684">
        <v>0</v>
      </c>
      <c r="AF684">
        <v>0</v>
      </c>
      <c r="AG684">
        <v>2</v>
      </c>
      <c r="AH684" t="s">
        <v>87</v>
      </c>
      <c r="AI684" t="s">
        <v>87</v>
      </c>
      <c r="AJ684" t="s">
        <v>87</v>
      </c>
      <c r="AK684" t="s">
        <v>87</v>
      </c>
      <c r="AL684" t="s">
        <v>87</v>
      </c>
      <c r="AM684" t="s">
        <v>87</v>
      </c>
      <c r="AN684" t="s">
        <v>87</v>
      </c>
      <c r="AO684" t="s">
        <v>87</v>
      </c>
      <c r="AP684" t="s">
        <v>87</v>
      </c>
      <c r="AQ684" t="s">
        <v>87</v>
      </c>
      <c r="AR684" t="s">
        <v>87</v>
      </c>
      <c r="AS684" t="s">
        <v>87</v>
      </c>
      <c r="AT684" t="s">
        <v>87</v>
      </c>
      <c r="AU684" t="s">
        <v>87</v>
      </c>
      <c r="AV684" t="s">
        <v>87</v>
      </c>
      <c r="AW684" t="s">
        <v>87</v>
      </c>
      <c r="AX684" t="s">
        <v>87</v>
      </c>
      <c r="AY684" t="s">
        <v>87</v>
      </c>
      <c r="AZ684" t="s">
        <v>87</v>
      </c>
      <c r="BA684" t="s">
        <v>87</v>
      </c>
      <c r="BB684" t="s">
        <v>87</v>
      </c>
      <c r="BC684" t="s">
        <v>87</v>
      </c>
      <c r="BD684" t="s">
        <v>87</v>
      </c>
      <c r="BE684" t="s">
        <v>87</v>
      </c>
    </row>
    <row r="685" spans="1:57" x14ac:dyDescent="0.45">
      <c r="A685" t="s">
        <v>1818</v>
      </c>
      <c r="B685" t="s">
        <v>79</v>
      </c>
      <c r="C685" t="s">
        <v>1819</v>
      </c>
      <c r="D685" t="s">
        <v>81</v>
      </c>
      <c r="E685" s="2" t="str">
        <f>HYPERLINK("capsilon://?command=openfolder&amp;siteaddress=FAM.docvelocity-na8.net&amp;folderid=FX17FFEE39-B3A0-ED32-847F-A645F2C855A1","FX201228094")</f>
        <v>FX201228094</v>
      </c>
      <c r="F685" t="s">
        <v>19</v>
      </c>
      <c r="G685" t="s">
        <v>19</v>
      </c>
      <c r="H685" t="s">
        <v>82</v>
      </c>
      <c r="I685" t="s">
        <v>1820</v>
      </c>
      <c r="J685">
        <v>402</v>
      </c>
      <c r="K685" t="s">
        <v>84</v>
      </c>
      <c r="L685" t="s">
        <v>85</v>
      </c>
      <c r="M685" t="s">
        <v>86</v>
      </c>
      <c r="N685">
        <v>3</v>
      </c>
      <c r="O685" s="1">
        <v>44207.471006944441</v>
      </c>
      <c r="P685" s="1">
        <v>44207.680243055554</v>
      </c>
      <c r="Q685">
        <v>8763</v>
      </c>
      <c r="R685">
        <v>9315</v>
      </c>
      <c r="S685" t="b">
        <v>0</v>
      </c>
      <c r="T685" t="s">
        <v>87</v>
      </c>
      <c r="U685" t="b">
        <v>0</v>
      </c>
      <c r="V685" t="s">
        <v>160</v>
      </c>
      <c r="W685" s="1">
        <v>44207.536493055559</v>
      </c>
      <c r="X685">
        <v>5657</v>
      </c>
      <c r="Y685">
        <v>821</v>
      </c>
      <c r="Z685">
        <v>0</v>
      </c>
      <c r="AA685">
        <v>821</v>
      </c>
      <c r="AB685">
        <v>0</v>
      </c>
      <c r="AC685">
        <v>644</v>
      </c>
      <c r="AD685">
        <v>-419</v>
      </c>
      <c r="AE685">
        <v>0</v>
      </c>
      <c r="AF685">
        <v>0</v>
      </c>
      <c r="AG685">
        <v>0</v>
      </c>
      <c r="AH685" t="s">
        <v>128</v>
      </c>
      <c r="AI685" s="1">
        <v>44207.570810185185</v>
      </c>
      <c r="AJ685">
        <v>2822</v>
      </c>
      <c r="AK685">
        <v>23</v>
      </c>
      <c r="AL685">
        <v>0</v>
      </c>
      <c r="AM685">
        <v>23</v>
      </c>
      <c r="AN685">
        <v>0</v>
      </c>
      <c r="AO685">
        <v>23</v>
      </c>
      <c r="AP685">
        <v>-442</v>
      </c>
      <c r="AQ685">
        <v>0</v>
      </c>
      <c r="AR685">
        <v>0</v>
      </c>
      <c r="AS685">
        <v>0</v>
      </c>
      <c r="AT685" t="s">
        <v>549</v>
      </c>
      <c r="AU685" s="1">
        <v>44207.680243055554</v>
      </c>
      <c r="AV685">
        <v>836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-442</v>
      </c>
      <c r="BC685">
        <v>0</v>
      </c>
      <c r="BD685">
        <v>0</v>
      </c>
      <c r="BE685">
        <v>0</v>
      </c>
    </row>
    <row r="686" spans="1:57" x14ac:dyDescent="0.45">
      <c r="A686" t="s">
        <v>1821</v>
      </c>
      <c r="B686" t="s">
        <v>79</v>
      </c>
      <c r="C686" t="s">
        <v>1816</v>
      </c>
      <c r="D686" t="s">
        <v>81</v>
      </c>
      <c r="E686" s="2" t="str">
        <f>HYPERLINK("capsilon://?command=openfolder&amp;siteaddress=FAM.docvelocity-na8.net&amp;folderid=FX73743C97-D62F-71FD-BA03-5CB0264B34C7","FX2012998")</f>
        <v>FX2012998</v>
      </c>
      <c r="F686" t="s">
        <v>19</v>
      </c>
      <c r="G686" t="s">
        <v>19</v>
      </c>
      <c r="H686" t="s">
        <v>82</v>
      </c>
      <c r="I686" t="s">
        <v>1817</v>
      </c>
      <c r="J686">
        <v>92</v>
      </c>
      <c r="K686" t="s">
        <v>84</v>
      </c>
      <c r="L686" t="s">
        <v>85</v>
      </c>
      <c r="M686" t="s">
        <v>86</v>
      </c>
      <c r="N686">
        <v>3</v>
      </c>
      <c r="O686" s="1">
        <v>44207.473043981481</v>
      </c>
      <c r="P686" s="1">
        <v>44207.51090277778</v>
      </c>
      <c r="Q686">
        <v>321</v>
      </c>
      <c r="R686">
        <v>2950</v>
      </c>
      <c r="S686" t="b">
        <v>0</v>
      </c>
      <c r="T686" t="s">
        <v>87</v>
      </c>
      <c r="U686" t="b">
        <v>1</v>
      </c>
      <c r="V686" t="s">
        <v>179</v>
      </c>
      <c r="W686" s="1">
        <v>44207.491655092592</v>
      </c>
      <c r="X686">
        <v>1607</v>
      </c>
      <c r="Y686">
        <v>78</v>
      </c>
      <c r="Z686">
        <v>0</v>
      </c>
      <c r="AA686">
        <v>78</v>
      </c>
      <c r="AB686">
        <v>0</v>
      </c>
      <c r="AC686">
        <v>35</v>
      </c>
      <c r="AD686">
        <v>14</v>
      </c>
      <c r="AE686">
        <v>0</v>
      </c>
      <c r="AF686">
        <v>0</v>
      </c>
      <c r="AG686">
        <v>0</v>
      </c>
      <c r="AH686" t="s">
        <v>128</v>
      </c>
      <c r="AI686" s="1">
        <v>44207.498865740738</v>
      </c>
      <c r="AJ686">
        <v>580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14</v>
      </c>
      <c r="AQ686">
        <v>0</v>
      </c>
      <c r="AR686">
        <v>0</v>
      </c>
      <c r="AS686">
        <v>0</v>
      </c>
      <c r="AT686" t="s">
        <v>90</v>
      </c>
      <c r="AU686" s="1">
        <v>44207.51090277778</v>
      </c>
      <c r="AV686">
        <v>763</v>
      </c>
      <c r="AW686">
        <v>1</v>
      </c>
      <c r="AX686">
        <v>0</v>
      </c>
      <c r="AY686">
        <v>1</v>
      </c>
      <c r="AZ686">
        <v>39</v>
      </c>
      <c r="BA686">
        <v>1</v>
      </c>
      <c r="BB686">
        <v>13</v>
      </c>
      <c r="BC686">
        <v>0</v>
      </c>
      <c r="BD686">
        <v>0</v>
      </c>
      <c r="BE686">
        <v>0</v>
      </c>
    </row>
    <row r="687" spans="1:57" x14ac:dyDescent="0.45">
      <c r="A687" t="s">
        <v>1822</v>
      </c>
      <c r="B687" t="s">
        <v>79</v>
      </c>
      <c r="C687" t="s">
        <v>1823</v>
      </c>
      <c r="D687" t="s">
        <v>81</v>
      </c>
      <c r="E687" s="2" t="str">
        <f>HYPERLINK("capsilon://?command=openfolder&amp;siteaddress=FAM.docvelocity-na8.net&amp;folderid=FXEDAC15E3-75C0-9DF3-AFAE-B25228B26482","FX21014944")</f>
        <v>FX21014944</v>
      </c>
      <c r="F687" t="s">
        <v>19</v>
      </c>
      <c r="G687" t="s">
        <v>19</v>
      </c>
      <c r="H687" t="s">
        <v>82</v>
      </c>
      <c r="I687" t="s">
        <v>1824</v>
      </c>
      <c r="J687">
        <v>169</v>
      </c>
      <c r="K687" t="s">
        <v>84</v>
      </c>
      <c r="L687" t="s">
        <v>85</v>
      </c>
      <c r="M687" t="s">
        <v>86</v>
      </c>
      <c r="N687">
        <v>3</v>
      </c>
      <c r="O687" s="1">
        <v>44207.502511574072</v>
      </c>
      <c r="P687" s="1">
        <v>44207.688460648147</v>
      </c>
      <c r="Q687">
        <v>10352</v>
      </c>
      <c r="R687">
        <v>5714</v>
      </c>
      <c r="S687" t="b">
        <v>0</v>
      </c>
      <c r="T687" t="s">
        <v>87</v>
      </c>
      <c r="U687" t="b">
        <v>0</v>
      </c>
      <c r="V687" t="s">
        <v>179</v>
      </c>
      <c r="W687" s="1">
        <v>44207.553622685184</v>
      </c>
      <c r="X687">
        <v>4415</v>
      </c>
      <c r="Y687">
        <v>174</v>
      </c>
      <c r="Z687">
        <v>0</v>
      </c>
      <c r="AA687">
        <v>174</v>
      </c>
      <c r="AB687">
        <v>0</v>
      </c>
      <c r="AC687">
        <v>161</v>
      </c>
      <c r="AD687">
        <v>-5</v>
      </c>
      <c r="AE687">
        <v>0</v>
      </c>
      <c r="AF687">
        <v>0</v>
      </c>
      <c r="AG687">
        <v>0</v>
      </c>
      <c r="AH687" t="s">
        <v>267</v>
      </c>
      <c r="AI687" s="1">
        <v>44207.562847222223</v>
      </c>
      <c r="AJ687">
        <v>590</v>
      </c>
      <c r="AK687">
        <v>1</v>
      </c>
      <c r="AL687">
        <v>0</v>
      </c>
      <c r="AM687">
        <v>1</v>
      </c>
      <c r="AN687">
        <v>0</v>
      </c>
      <c r="AO687">
        <v>0</v>
      </c>
      <c r="AP687">
        <v>-6</v>
      </c>
      <c r="AQ687">
        <v>0</v>
      </c>
      <c r="AR687">
        <v>0</v>
      </c>
      <c r="AS687">
        <v>0</v>
      </c>
      <c r="AT687" t="s">
        <v>549</v>
      </c>
      <c r="AU687" s="1">
        <v>44207.688460648147</v>
      </c>
      <c r="AV687">
        <v>709</v>
      </c>
      <c r="AW687">
        <v>2</v>
      </c>
      <c r="AX687">
        <v>0</v>
      </c>
      <c r="AY687">
        <v>2</v>
      </c>
      <c r="AZ687">
        <v>0</v>
      </c>
      <c r="BA687">
        <v>2</v>
      </c>
      <c r="BB687">
        <v>-8</v>
      </c>
      <c r="BC687">
        <v>0</v>
      </c>
      <c r="BD687">
        <v>0</v>
      </c>
      <c r="BE687">
        <v>0</v>
      </c>
    </row>
    <row r="688" spans="1:57" hidden="1" x14ac:dyDescent="0.45">
      <c r="A688" t="s">
        <v>1825</v>
      </c>
      <c r="B688" t="s">
        <v>79</v>
      </c>
      <c r="C688" t="s">
        <v>1826</v>
      </c>
      <c r="D688" t="s">
        <v>81</v>
      </c>
      <c r="E688" s="2" t="str">
        <f>HYPERLINK("capsilon://?command=openfolder&amp;siteaddress=FAM.docvelocity-na8.net&amp;folderid=FXB08F0610-02F2-088D-5BDD-A239FE0FEC0C","FX201110438")</f>
        <v>FX201110438</v>
      </c>
      <c r="F688" t="s">
        <v>19</v>
      </c>
      <c r="G688" t="s">
        <v>19</v>
      </c>
      <c r="H688" t="s">
        <v>82</v>
      </c>
      <c r="I688" t="s">
        <v>1827</v>
      </c>
      <c r="J688">
        <v>66</v>
      </c>
      <c r="K688" t="s">
        <v>84</v>
      </c>
      <c r="L688" t="s">
        <v>85</v>
      </c>
      <c r="M688" t="s">
        <v>86</v>
      </c>
      <c r="N688">
        <v>1</v>
      </c>
      <c r="O688" s="1">
        <v>44207.502557870372</v>
      </c>
      <c r="P688" s="1">
        <v>44207.504525462966</v>
      </c>
      <c r="Q688">
        <v>1</v>
      </c>
      <c r="R688">
        <v>169</v>
      </c>
      <c r="S688" t="b">
        <v>0</v>
      </c>
      <c r="T688" t="s">
        <v>87</v>
      </c>
      <c r="U688" t="b">
        <v>0</v>
      </c>
      <c r="V688" t="s">
        <v>168</v>
      </c>
      <c r="W688" s="1">
        <v>44207.504525462966</v>
      </c>
      <c r="X688">
        <v>169</v>
      </c>
      <c r="Y688">
        <v>52</v>
      </c>
      <c r="Z688">
        <v>0</v>
      </c>
      <c r="AA688">
        <v>52</v>
      </c>
      <c r="AB688">
        <v>0</v>
      </c>
      <c r="AC688">
        <v>0</v>
      </c>
      <c r="AD688">
        <v>14</v>
      </c>
      <c r="AE688">
        <v>52</v>
      </c>
      <c r="AF688">
        <v>0</v>
      </c>
      <c r="AG688">
        <v>1</v>
      </c>
      <c r="AH688" t="s">
        <v>87</v>
      </c>
      <c r="AI688" t="s">
        <v>87</v>
      </c>
      <c r="AJ688" t="s">
        <v>87</v>
      </c>
      <c r="AK688" t="s">
        <v>87</v>
      </c>
      <c r="AL688" t="s">
        <v>87</v>
      </c>
      <c r="AM688" t="s">
        <v>87</v>
      </c>
      <c r="AN688" t="s">
        <v>87</v>
      </c>
      <c r="AO688" t="s">
        <v>87</v>
      </c>
      <c r="AP688" t="s">
        <v>87</v>
      </c>
      <c r="AQ688" t="s">
        <v>87</v>
      </c>
      <c r="AR688" t="s">
        <v>87</v>
      </c>
      <c r="AS688" t="s">
        <v>87</v>
      </c>
      <c r="AT688" t="s">
        <v>87</v>
      </c>
      <c r="AU688" t="s">
        <v>87</v>
      </c>
      <c r="AV688" t="s">
        <v>87</v>
      </c>
      <c r="AW688" t="s">
        <v>87</v>
      </c>
      <c r="AX688" t="s">
        <v>87</v>
      </c>
      <c r="AY688" t="s">
        <v>87</v>
      </c>
      <c r="AZ688" t="s">
        <v>87</v>
      </c>
      <c r="BA688" t="s">
        <v>87</v>
      </c>
      <c r="BB688" t="s">
        <v>87</v>
      </c>
      <c r="BC688" t="s">
        <v>87</v>
      </c>
      <c r="BD688" t="s">
        <v>87</v>
      </c>
      <c r="BE688" t="s">
        <v>87</v>
      </c>
    </row>
    <row r="689" spans="1:57" x14ac:dyDescent="0.45">
      <c r="A689" t="s">
        <v>1828</v>
      </c>
      <c r="B689" t="s">
        <v>79</v>
      </c>
      <c r="C689" t="s">
        <v>1826</v>
      </c>
      <c r="D689" t="s">
        <v>81</v>
      </c>
      <c r="E689" s="2" t="str">
        <f>HYPERLINK("capsilon://?command=openfolder&amp;siteaddress=FAM.docvelocity-na8.net&amp;folderid=FXB08F0610-02F2-088D-5BDD-A239FE0FEC0C","FX201110438")</f>
        <v>FX201110438</v>
      </c>
      <c r="F689" t="s">
        <v>19</v>
      </c>
      <c r="G689" t="s">
        <v>19</v>
      </c>
      <c r="H689" t="s">
        <v>82</v>
      </c>
      <c r="I689" t="s">
        <v>1827</v>
      </c>
      <c r="J689">
        <v>38</v>
      </c>
      <c r="K689" t="s">
        <v>84</v>
      </c>
      <c r="L689" t="s">
        <v>85</v>
      </c>
      <c r="M689" t="s">
        <v>86</v>
      </c>
      <c r="N689">
        <v>3</v>
      </c>
      <c r="O689" s="1">
        <v>44207.504814814813</v>
      </c>
      <c r="P689" s="1">
        <v>44207.603900462964</v>
      </c>
      <c r="Q689">
        <v>7001</v>
      </c>
      <c r="R689">
        <v>1560</v>
      </c>
      <c r="S689" t="b">
        <v>0</v>
      </c>
      <c r="T689" t="s">
        <v>87</v>
      </c>
      <c r="U689" t="b">
        <v>1</v>
      </c>
      <c r="V689" t="s">
        <v>168</v>
      </c>
      <c r="W689" s="1">
        <v>44207.513865740744</v>
      </c>
      <c r="X689">
        <v>752</v>
      </c>
      <c r="Y689">
        <v>37</v>
      </c>
      <c r="Z689">
        <v>0</v>
      </c>
      <c r="AA689">
        <v>37</v>
      </c>
      <c r="AB689">
        <v>0</v>
      </c>
      <c r="AC689">
        <v>33</v>
      </c>
      <c r="AD689">
        <v>1</v>
      </c>
      <c r="AE689">
        <v>0</v>
      </c>
      <c r="AF689">
        <v>0</v>
      </c>
      <c r="AG689">
        <v>0</v>
      </c>
      <c r="AH689" t="s">
        <v>89</v>
      </c>
      <c r="AI689" s="1">
        <v>44207.523229166669</v>
      </c>
      <c r="AJ689">
        <v>777</v>
      </c>
      <c r="AK689">
        <v>2</v>
      </c>
      <c r="AL689">
        <v>0</v>
      </c>
      <c r="AM689">
        <v>2</v>
      </c>
      <c r="AN689">
        <v>0</v>
      </c>
      <c r="AO689">
        <v>0</v>
      </c>
      <c r="AP689">
        <v>-1</v>
      </c>
      <c r="AQ689">
        <v>0</v>
      </c>
      <c r="AR689">
        <v>0</v>
      </c>
      <c r="AS689">
        <v>0</v>
      </c>
      <c r="AT689" t="s">
        <v>90</v>
      </c>
      <c r="AU689" s="1">
        <v>44207.603900462964</v>
      </c>
      <c r="AV689">
        <v>5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-1</v>
      </c>
      <c r="BC689">
        <v>0</v>
      </c>
      <c r="BD689">
        <v>0</v>
      </c>
      <c r="BE689">
        <v>0</v>
      </c>
    </row>
    <row r="690" spans="1:57" x14ac:dyDescent="0.45">
      <c r="A690" t="s">
        <v>1829</v>
      </c>
      <c r="B690" t="s">
        <v>79</v>
      </c>
      <c r="C690" t="s">
        <v>1830</v>
      </c>
      <c r="D690" t="s">
        <v>81</v>
      </c>
      <c r="E690" s="2" t="str">
        <f>HYPERLINK("capsilon://?command=openfolder&amp;siteaddress=FAM.docvelocity-na8.net&amp;folderid=FX3A39E883-64B5-5717-71C3-442BFCBFF5A2","FX21014057")</f>
        <v>FX21014057</v>
      </c>
      <c r="F690" t="s">
        <v>19</v>
      </c>
      <c r="G690" t="s">
        <v>19</v>
      </c>
      <c r="H690" t="s">
        <v>82</v>
      </c>
      <c r="I690" t="s">
        <v>1831</v>
      </c>
      <c r="J690">
        <v>137</v>
      </c>
      <c r="K690" t="s">
        <v>84</v>
      </c>
      <c r="L690" t="s">
        <v>85</v>
      </c>
      <c r="M690" t="s">
        <v>86</v>
      </c>
      <c r="N690">
        <v>3</v>
      </c>
      <c r="O690" s="1">
        <v>44207.506053240744</v>
      </c>
      <c r="P690" s="1">
        <v>44207.692974537036</v>
      </c>
      <c r="Q690">
        <v>11566</v>
      </c>
      <c r="R690">
        <v>4584</v>
      </c>
      <c r="S690" t="b">
        <v>0</v>
      </c>
      <c r="T690" t="s">
        <v>87</v>
      </c>
      <c r="U690" t="b">
        <v>0</v>
      </c>
      <c r="V690" t="s">
        <v>146</v>
      </c>
      <c r="W690" s="1">
        <v>44207.539386574077</v>
      </c>
      <c r="X690">
        <v>2879</v>
      </c>
      <c r="Y690">
        <v>133</v>
      </c>
      <c r="Z690">
        <v>0</v>
      </c>
      <c r="AA690">
        <v>133</v>
      </c>
      <c r="AB690">
        <v>0</v>
      </c>
      <c r="AC690">
        <v>64</v>
      </c>
      <c r="AD690">
        <v>4</v>
      </c>
      <c r="AE690">
        <v>0</v>
      </c>
      <c r="AF690">
        <v>0</v>
      </c>
      <c r="AG690">
        <v>0</v>
      </c>
      <c r="AH690" t="s">
        <v>267</v>
      </c>
      <c r="AI690" s="1">
        <v>44207.567650462966</v>
      </c>
      <c r="AJ690">
        <v>116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4</v>
      </c>
      <c r="AQ690">
        <v>0</v>
      </c>
      <c r="AR690">
        <v>0</v>
      </c>
      <c r="AS690">
        <v>0</v>
      </c>
      <c r="AT690" t="s">
        <v>549</v>
      </c>
      <c r="AU690" s="1">
        <v>44207.692974537036</v>
      </c>
      <c r="AV690">
        <v>389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4</v>
      </c>
      <c r="BC690">
        <v>0</v>
      </c>
      <c r="BD690">
        <v>0</v>
      </c>
      <c r="BE690">
        <v>0</v>
      </c>
    </row>
    <row r="691" spans="1:57" x14ac:dyDescent="0.45">
      <c r="A691" t="s">
        <v>1832</v>
      </c>
      <c r="B691" t="s">
        <v>79</v>
      </c>
      <c r="C691" t="s">
        <v>1833</v>
      </c>
      <c r="D691" t="s">
        <v>81</v>
      </c>
      <c r="E691" s="2" t="str">
        <f>HYPERLINK("capsilon://?command=openfolder&amp;siteaddress=FAM.docvelocity-na8.net&amp;folderid=FX6F83D6BB-8C97-E18C-2C9B-B11AB460085E","FX21012777")</f>
        <v>FX21012777</v>
      </c>
      <c r="F691" t="s">
        <v>19</v>
      </c>
      <c r="G691" t="s">
        <v>19</v>
      </c>
      <c r="H691" t="s">
        <v>82</v>
      </c>
      <c r="I691" t="s">
        <v>1834</v>
      </c>
      <c r="J691">
        <v>126</v>
      </c>
      <c r="K691" t="s">
        <v>84</v>
      </c>
      <c r="L691" t="s">
        <v>85</v>
      </c>
      <c r="M691" t="s">
        <v>86</v>
      </c>
      <c r="N691">
        <v>3</v>
      </c>
      <c r="O691" s="1">
        <v>44207.506226851852</v>
      </c>
      <c r="P691" s="1">
        <v>44207.698865740742</v>
      </c>
      <c r="Q691">
        <v>13271</v>
      </c>
      <c r="R691">
        <v>3373</v>
      </c>
      <c r="S691" t="b">
        <v>0</v>
      </c>
      <c r="T691" t="s">
        <v>87</v>
      </c>
      <c r="U691" t="b">
        <v>0</v>
      </c>
      <c r="V691" t="s">
        <v>919</v>
      </c>
      <c r="W691" s="1">
        <v>44207.524386574078</v>
      </c>
      <c r="X691">
        <v>1545</v>
      </c>
      <c r="Y691">
        <v>156</v>
      </c>
      <c r="Z691">
        <v>0</v>
      </c>
      <c r="AA691">
        <v>156</v>
      </c>
      <c r="AB691">
        <v>0</v>
      </c>
      <c r="AC691">
        <v>81</v>
      </c>
      <c r="AD691">
        <v>-30</v>
      </c>
      <c r="AE691">
        <v>0</v>
      </c>
      <c r="AF691">
        <v>0</v>
      </c>
      <c r="AG691">
        <v>0</v>
      </c>
      <c r="AH691" t="s">
        <v>132</v>
      </c>
      <c r="AI691" s="1">
        <v>44207.538159722222</v>
      </c>
      <c r="AJ691">
        <v>1186</v>
      </c>
      <c r="AK691">
        <v>6</v>
      </c>
      <c r="AL691">
        <v>0</v>
      </c>
      <c r="AM691">
        <v>6</v>
      </c>
      <c r="AN691">
        <v>0</v>
      </c>
      <c r="AO691">
        <v>15</v>
      </c>
      <c r="AP691">
        <v>-36</v>
      </c>
      <c r="AQ691">
        <v>0</v>
      </c>
      <c r="AR691">
        <v>0</v>
      </c>
      <c r="AS691">
        <v>0</v>
      </c>
      <c r="AT691" t="s">
        <v>549</v>
      </c>
      <c r="AU691" s="1">
        <v>44207.698865740742</v>
      </c>
      <c r="AV691">
        <v>508</v>
      </c>
      <c r="AW691">
        <v>1</v>
      </c>
      <c r="AX691">
        <v>0</v>
      </c>
      <c r="AY691">
        <v>1</v>
      </c>
      <c r="AZ691">
        <v>0</v>
      </c>
      <c r="BA691">
        <v>1</v>
      </c>
      <c r="BB691">
        <v>-37</v>
      </c>
      <c r="BC691">
        <v>0</v>
      </c>
      <c r="BD691">
        <v>0</v>
      </c>
      <c r="BE691">
        <v>0</v>
      </c>
    </row>
    <row r="692" spans="1:57" x14ac:dyDescent="0.45">
      <c r="A692" t="s">
        <v>1835</v>
      </c>
      <c r="B692" t="s">
        <v>79</v>
      </c>
      <c r="C692" t="s">
        <v>1836</v>
      </c>
      <c r="D692" t="s">
        <v>81</v>
      </c>
      <c r="E692" s="2" t="str">
        <f>HYPERLINK("capsilon://?command=openfolder&amp;siteaddress=FAM.docvelocity-na8.net&amp;folderid=FX20567E68-FBCD-1C97-1718-D9D15094B91C","FX201224484")</f>
        <v>FX201224484</v>
      </c>
      <c r="F692" t="s">
        <v>19</v>
      </c>
      <c r="G692" t="s">
        <v>19</v>
      </c>
      <c r="H692" t="s">
        <v>82</v>
      </c>
      <c r="I692" t="s">
        <v>1837</v>
      </c>
      <c r="J692">
        <v>124</v>
      </c>
      <c r="K692" t="s">
        <v>84</v>
      </c>
      <c r="L692" t="s">
        <v>85</v>
      </c>
      <c r="M692" t="s">
        <v>86</v>
      </c>
      <c r="N692">
        <v>3</v>
      </c>
      <c r="O692" s="1">
        <v>44200.56590277778</v>
      </c>
      <c r="P692" s="1">
        <v>44201.370266203703</v>
      </c>
      <c r="Q692">
        <v>67654</v>
      </c>
      <c r="R692">
        <v>1843</v>
      </c>
      <c r="S692" t="b">
        <v>0</v>
      </c>
      <c r="T692" t="s">
        <v>87</v>
      </c>
      <c r="U692" t="b">
        <v>0</v>
      </c>
      <c r="V692" t="s">
        <v>255</v>
      </c>
      <c r="W692" s="1">
        <v>44200.677025462966</v>
      </c>
      <c r="X692">
        <v>847</v>
      </c>
      <c r="Y692">
        <v>136</v>
      </c>
      <c r="Z692">
        <v>0</v>
      </c>
      <c r="AA692">
        <v>136</v>
      </c>
      <c r="AB692">
        <v>0</v>
      </c>
      <c r="AC692">
        <v>86</v>
      </c>
      <c r="AD692">
        <v>-12</v>
      </c>
      <c r="AE692">
        <v>0</v>
      </c>
      <c r="AF692">
        <v>0</v>
      </c>
      <c r="AG692">
        <v>0</v>
      </c>
      <c r="AH692" t="s">
        <v>267</v>
      </c>
      <c r="AI692" s="1">
        <v>44200.724664351852</v>
      </c>
      <c r="AJ692">
        <v>395</v>
      </c>
      <c r="AK692">
        <v>3</v>
      </c>
      <c r="AL692">
        <v>0</v>
      </c>
      <c r="AM692">
        <v>3</v>
      </c>
      <c r="AN692">
        <v>0</v>
      </c>
      <c r="AO692">
        <v>2</v>
      </c>
      <c r="AP692">
        <v>-15</v>
      </c>
      <c r="AQ692">
        <v>0</v>
      </c>
      <c r="AR692">
        <v>0</v>
      </c>
      <c r="AS692">
        <v>0</v>
      </c>
      <c r="AT692" t="s">
        <v>90</v>
      </c>
      <c r="AU692" s="1">
        <v>44201.370266203703</v>
      </c>
      <c r="AV692">
        <v>601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-15</v>
      </c>
      <c r="BC692">
        <v>0</v>
      </c>
      <c r="BD692">
        <v>0</v>
      </c>
      <c r="BE692">
        <v>0</v>
      </c>
    </row>
    <row r="693" spans="1:57" x14ac:dyDescent="0.45">
      <c r="A693" t="s">
        <v>1838</v>
      </c>
      <c r="B693" t="s">
        <v>79</v>
      </c>
      <c r="C693" t="s">
        <v>1357</v>
      </c>
      <c r="D693" t="s">
        <v>81</v>
      </c>
      <c r="E693" s="2" t="str">
        <f>HYPERLINK("capsilon://?command=openfolder&amp;siteaddress=FAM.docvelocity-na8.net&amp;folderid=FX90858789-497E-44E5-72F9-4156405E14CC","FX20127914")</f>
        <v>FX20127914</v>
      </c>
      <c r="F693" t="s">
        <v>19</v>
      </c>
      <c r="G693" t="s">
        <v>19</v>
      </c>
      <c r="H693" t="s">
        <v>82</v>
      </c>
      <c r="I693" t="s">
        <v>1839</v>
      </c>
      <c r="J693">
        <v>34</v>
      </c>
      <c r="K693" t="s">
        <v>84</v>
      </c>
      <c r="L693" t="s">
        <v>85</v>
      </c>
      <c r="M693" t="s">
        <v>86</v>
      </c>
      <c r="N693">
        <v>3</v>
      </c>
      <c r="O693" s="1">
        <v>44207.517638888887</v>
      </c>
      <c r="P693" s="1">
        <v>44207.700821759259</v>
      </c>
      <c r="Q693">
        <v>13997</v>
      </c>
      <c r="R693">
        <v>1830</v>
      </c>
      <c r="S693" t="b">
        <v>0</v>
      </c>
      <c r="T693" t="s">
        <v>87</v>
      </c>
      <c r="U693" t="b">
        <v>0</v>
      </c>
      <c r="V693" t="s">
        <v>171</v>
      </c>
      <c r="W693" s="1">
        <v>44207.53396990741</v>
      </c>
      <c r="X693">
        <v>1410</v>
      </c>
      <c r="Y693">
        <v>71</v>
      </c>
      <c r="Z693">
        <v>0</v>
      </c>
      <c r="AA693">
        <v>71</v>
      </c>
      <c r="AB693">
        <v>0</v>
      </c>
      <c r="AC693">
        <v>56</v>
      </c>
      <c r="AD693">
        <v>-37</v>
      </c>
      <c r="AE693">
        <v>0</v>
      </c>
      <c r="AF693">
        <v>0</v>
      </c>
      <c r="AG693">
        <v>0</v>
      </c>
      <c r="AH693" t="s">
        <v>128</v>
      </c>
      <c r="AI693" s="1">
        <v>44207.538136574076</v>
      </c>
      <c r="AJ693">
        <v>252</v>
      </c>
      <c r="AK693">
        <v>1</v>
      </c>
      <c r="AL693">
        <v>0</v>
      </c>
      <c r="AM693">
        <v>1</v>
      </c>
      <c r="AN693">
        <v>0</v>
      </c>
      <c r="AO693">
        <v>1</v>
      </c>
      <c r="AP693">
        <v>-38</v>
      </c>
      <c r="AQ693">
        <v>0</v>
      </c>
      <c r="AR693">
        <v>0</v>
      </c>
      <c r="AS693">
        <v>0</v>
      </c>
      <c r="AT693" t="s">
        <v>549</v>
      </c>
      <c r="AU693" s="1">
        <v>44207.700821759259</v>
      </c>
      <c r="AV693">
        <v>168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-38</v>
      </c>
      <c r="BC693">
        <v>0</v>
      </c>
      <c r="BD693">
        <v>0</v>
      </c>
      <c r="BE693">
        <v>0</v>
      </c>
    </row>
    <row r="694" spans="1:57" x14ac:dyDescent="0.45">
      <c r="A694" t="s">
        <v>1840</v>
      </c>
      <c r="B694" t="s">
        <v>79</v>
      </c>
      <c r="C694" t="s">
        <v>1755</v>
      </c>
      <c r="D694" t="s">
        <v>81</v>
      </c>
      <c r="E694" s="2" t="str">
        <f>HYPERLINK("capsilon://?command=openfolder&amp;siteaddress=FAM.docvelocity-na8.net&amp;folderid=FX775F73F1-08F7-249D-2963-F9CEFAE6FC5B","FX20125235")</f>
        <v>FX20125235</v>
      </c>
      <c r="F694" t="s">
        <v>19</v>
      </c>
      <c r="G694" t="s">
        <v>19</v>
      </c>
      <c r="H694" t="s">
        <v>82</v>
      </c>
      <c r="I694" t="s">
        <v>1841</v>
      </c>
      <c r="J694">
        <v>66</v>
      </c>
      <c r="K694" t="s">
        <v>84</v>
      </c>
      <c r="L694" t="s">
        <v>85</v>
      </c>
      <c r="M694" t="s">
        <v>86</v>
      </c>
      <c r="N694">
        <v>3</v>
      </c>
      <c r="O694" s="1">
        <v>44207.520162037035</v>
      </c>
      <c r="P694" s="1">
        <v>44207.707881944443</v>
      </c>
      <c r="Q694">
        <v>13720</v>
      </c>
      <c r="R694">
        <v>2499</v>
      </c>
      <c r="S694" t="b">
        <v>0</v>
      </c>
      <c r="T694" t="s">
        <v>87</v>
      </c>
      <c r="U694" t="b">
        <v>0</v>
      </c>
      <c r="V694" t="s">
        <v>168</v>
      </c>
      <c r="W694" s="1">
        <v>44207.537187499998</v>
      </c>
      <c r="X694">
        <v>1470</v>
      </c>
      <c r="Y694">
        <v>52</v>
      </c>
      <c r="Z694">
        <v>0</v>
      </c>
      <c r="AA694">
        <v>52</v>
      </c>
      <c r="AB694">
        <v>0</v>
      </c>
      <c r="AC694">
        <v>37</v>
      </c>
      <c r="AD694">
        <v>14</v>
      </c>
      <c r="AE694">
        <v>0</v>
      </c>
      <c r="AF694">
        <v>0</v>
      </c>
      <c r="AG694">
        <v>0</v>
      </c>
      <c r="AH694" t="s">
        <v>132</v>
      </c>
      <c r="AI694" s="1">
        <v>44207.542939814812</v>
      </c>
      <c r="AJ694">
        <v>412</v>
      </c>
      <c r="AK694">
        <v>2</v>
      </c>
      <c r="AL694">
        <v>0</v>
      </c>
      <c r="AM694">
        <v>2</v>
      </c>
      <c r="AN694">
        <v>0</v>
      </c>
      <c r="AO694">
        <v>18</v>
      </c>
      <c r="AP694">
        <v>12</v>
      </c>
      <c r="AQ694">
        <v>0</v>
      </c>
      <c r="AR694">
        <v>0</v>
      </c>
      <c r="AS694">
        <v>0</v>
      </c>
      <c r="AT694" t="s">
        <v>549</v>
      </c>
      <c r="AU694" s="1">
        <v>44207.707881944443</v>
      </c>
      <c r="AV694">
        <v>609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12</v>
      </c>
      <c r="BC694">
        <v>0</v>
      </c>
      <c r="BD694">
        <v>0</v>
      </c>
      <c r="BE694">
        <v>0</v>
      </c>
    </row>
    <row r="695" spans="1:57" hidden="1" x14ac:dyDescent="0.45">
      <c r="A695" t="s">
        <v>1842</v>
      </c>
      <c r="B695" t="s">
        <v>79</v>
      </c>
      <c r="C695" t="s">
        <v>1843</v>
      </c>
      <c r="D695" t="s">
        <v>81</v>
      </c>
      <c r="E695" s="2" t="str">
        <f>HYPERLINK("capsilon://?command=openfolder&amp;siteaddress=FAM.docvelocity-na8.net&amp;folderid=FX6D67153B-E595-A8E5-DA22-63C32124BF54","FX20114787")</f>
        <v>FX20114787</v>
      </c>
      <c r="F695" t="s">
        <v>19</v>
      </c>
      <c r="G695" t="s">
        <v>19</v>
      </c>
      <c r="H695" t="s">
        <v>82</v>
      </c>
      <c r="I695" t="s">
        <v>1844</v>
      </c>
      <c r="J695">
        <v>66</v>
      </c>
      <c r="K695" t="s">
        <v>84</v>
      </c>
      <c r="L695" t="s">
        <v>85</v>
      </c>
      <c r="M695" t="s">
        <v>86</v>
      </c>
      <c r="N695">
        <v>3</v>
      </c>
      <c r="O695" s="1">
        <v>44207.523263888892</v>
      </c>
      <c r="P695" s="1">
        <v>44207.707928240743</v>
      </c>
      <c r="Q695">
        <v>15786</v>
      </c>
      <c r="R695">
        <v>169</v>
      </c>
      <c r="S695" t="b">
        <v>0</v>
      </c>
      <c r="T695" t="s">
        <v>87</v>
      </c>
      <c r="U695" t="b">
        <v>0</v>
      </c>
      <c r="V695" t="s">
        <v>255</v>
      </c>
      <c r="W695" s="1">
        <v>44207.525011574071</v>
      </c>
      <c r="X695">
        <v>102</v>
      </c>
      <c r="Y695">
        <v>0</v>
      </c>
      <c r="Z695">
        <v>0</v>
      </c>
      <c r="AA695">
        <v>0</v>
      </c>
      <c r="AB695">
        <v>52</v>
      </c>
      <c r="AC695">
        <v>0</v>
      </c>
      <c r="AD695">
        <v>66</v>
      </c>
      <c r="AE695">
        <v>0</v>
      </c>
      <c r="AF695">
        <v>0</v>
      </c>
      <c r="AG695">
        <v>0</v>
      </c>
      <c r="AH695" t="s">
        <v>128</v>
      </c>
      <c r="AI695" s="1">
        <v>44207.52616898148</v>
      </c>
      <c r="AJ695">
        <v>63</v>
      </c>
      <c r="AK695">
        <v>0</v>
      </c>
      <c r="AL695">
        <v>0</v>
      </c>
      <c r="AM695">
        <v>0</v>
      </c>
      <c r="AN695">
        <v>52</v>
      </c>
      <c r="AO695">
        <v>0</v>
      </c>
      <c r="AP695">
        <v>66</v>
      </c>
      <c r="AQ695">
        <v>0</v>
      </c>
      <c r="AR695">
        <v>0</v>
      </c>
      <c r="AS695">
        <v>0</v>
      </c>
      <c r="AT695" t="s">
        <v>549</v>
      </c>
      <c r="AU695" s="1">
        <v>44207.707928240743</v>
      </c>
      <c r="AV695">
        <v>4</v>
      </c>
      <c r="AW695">
        <v>0</v>
      </c>
      <c r="AX695">
        <v>0</v>
      </c>
      <c r="AY695">
        <v>0</v>
      </c>
      <c r="AZ695">
        <v>52</v>
      </c>
      <c r="BA695">
        <v>0</v>
      </c>
      <c r="BB695">
        <v>66</v>
      </c>
      <c r="BC695">
        <v>0</v>
      </c>
      <c r="BD695">
        <v>0</v>
      </c>
      <c r="BE695">
        <v>0</v>
      </c>
    </row>
    <row r="696" spans="1:57" x14ac:dyDescent="0.45">
      <c r="A696" t="s">
        <v>1845</v>
      </c>
      <c r="B696" t="s">
        <v>79</v>
      </c>
      <c r="C696" t="s">
        <v>1846</v>
      </c>
      <c r="D696" t="s">
        <v>81</v>
      </c>
      <c r="E696" s="2" t="str">
        <f>HYPERLINK("capsilon://?command=openfolder&amp;siteaddress=FAM.docvelocity-na8.net&amp;folderid=FXE5907FF0-558C-3A56-BC62-9F9824FFE9C5","FX201114935")</f>
        <v>FX201114935</v>
      </c>
      <c r="F696" t="s">
        <v>19</v>
      </c>
      <c r="G696" t="s">
        <v>19</v>
      </c>
      <c r="H696" t="s">
        <v>82</v>
      </c>
      <c r="I696" t="s">
        <v>1847</v>
      </c>
      <c r="J696">
        <v>172</v>
      </c>
      <c r="K696" t="s">
        <v>84</v>
      </c>
      <c r="L696" t="s">
        <v>85</v>
      </c>
      <c r="M696" t="s">
        <v>86</v>
      </c>
      <c r="N696">
        <v>3</v>
      </c>
      <c r="O696" s="1">
        <v>44207.528784722221</v>
      </c>
      <c r="P696" s="1">
        <v>44207.710069444445</v>
      </c>
      <c r="Q696">
        <v>13232</v>
      </c>
      <c r="R696">
        <v>2431</v>
      </c>
      <c r="S696" t="b">
        <v>0</v>
      </c>
      <c r="T696" t="s">
        <v>87</v>
      </c>
      <c r="U696" t="b">
        <v>0</v>
      </c>
      <c r="V696" t="s">
        <v>259</v>
      </c>
      <c r="W696" s="1">
        <v>44207.544328703705</v>
      </c>
      <c r="X696">
        <v>1248</v>
      </c>
      <c r="Y696">
        <v>154</v>
      </c>
      <c r="Z696">
        <v>0</v>
      </c>
      <c r="AA696">
        <v>154</v>
      </c>
      <c r="AB696">
        <v>0</v>
      </c>
      <c r="AC696">
        <v>37</v>
      </c>
      <c r="AD696">
        <v>18</v>
      </c>
      <c r="AE696">
        <v>0</v>
      </c>
      <c r="AF696">
        <v>0</v>
      </c>
      <c r="AG696">
        <v>0</v>
      </c>
      <c r="AH696" t="s">
        <v>267</v>
      </c>
      <c r="AI696" s="1">
        <v>44207.571562500001</v>
      </c>
      <c r="AJ696">
        <v>337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18</v>
      </c>
      <c r="AQ696">
        <v>0</v>
      </c>
      <c r="AR696">
        <v>0</v>
      </c>
      <c r="AS696">
        <v>0</v>
      </c>
      <c r="AT696" t="s">
        <v>549</v>
      </c>
      <c r="AU696" s="1">
        <v>44207.710069444445</v>
      </c>
      <c r="AV696">
        <v>185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18</v>
      </c>
      <c r="BC696">
        <v>0</v>
      </c>
      <c r="BD696">
        <v>0</v>
      </c>
      <c r="BE696">
        <v>0</v>
      </c>
    </row>
    <row r="697" spans="1:57" x14ac:dyDescent="0.45">
      <c r="A697" t="s">
        <v>1848</v>
      </c>
      <c r="B697" t="s">
        <v>79</v>
      </c>
      <c r="C697" t="s">
        <v>693</v>
      </c>
      <c r="D697" t="s">
        <v>81</v>
      </c>
      <c r="E697" s="2" t="str">
        <f>HYPERLINK("capsilon://?command=openfolder&amp;siteaddress=FAM.docvelocity-na8.net&amp;folderid=FX105BEBDA-E3C6-C836-6B65-285D6ACE4919","FX20128066")</f>
        <v>FX20128066</v>
      </c>
      <c r="F697" t="s">
        <v>19</v>
      </c>
      <c r="G697" t="s">
        <v>19</v>
      </c>
      <c r="H697" t="s">
        <v>82</v>
      </c>
      <c r="I697" t="s">
        <v>1849</v>
      </c>
      <c r="J697">
        <v>124</v>
      </c>
      <c r="K697" t="s">
        <v>84</v>
      </c>
      <c r="L697" t="s">
        <v>85</v>
      </c>
      <c r="M697" t="s">
        <v>86</v>
      </c>
      <c r="N697">
        <v>3</v>
      </c>
      <c r="O697" s="1">
        <v>44207.52920138889</v>
      </c>
      <c r="P697" s="1">
        <v>44207.710115740738</v>
      </c>
      <c r="Q697">
        <v>13680</v>
      </c>
      <c r="R697">
        <v>1951</v>
      </c>
      <c r="S697" t="b">
        <v>0</v>
      </c>
      <c r="T697" t="s">
        <v>87</v>
      </c>
      <c r="U697" t="b">
        <v>0</v>
      </c>
      <c r="V697" t="s">
        <v>262</v>
      </c>
      <c r="W697" s="1">
        <v>44207.548530092594</v>
      </c>
      <c r="X697">
        <v>1562</v>
      </c>
      <c r="Y697">
        <v>123</v>
      </c>
      <c r="Z697">
        <v>0</v>
      </c>
      <c r="AA697">
        <v>123</v>
      </c>
      <c r="AB697">
        <v>0</v>
      </c>
      <c r="AC697">
        <v>57</v>
      </c>
      <c r="AD697">
        <v>1</v>
      </c>
      <c r="AE697">
        <v>-12</v>
      </c>
      <c r="AF697">
        <v>0</v>
      </c>
      <c r="AG697">
        <v>0</v>
      </c>
      <c r="AH697" t="s">
        <v>267</v>
      </c>
      <c r="AI697" s="1">
        <v>44207.575312499997</v>
      </c>
      <c r="AJ697">
        <v>323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 t="s">
        <v>90</v>
      </c>
      <c r="AU697" s="1">
        <v>44207.710115740738</v>
      </c>
      <c r="AV697">
        <v>66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</row>
    <row r="698" spans="1:57" hidden="1" x14ac:dyDescent="0.45">
      <c r="A698" t="s">
        <v>1850</v>
      </c>
      <c r="B698" t="s">
        <v>79</v>
      </c>
      <c r="C698" t="s">
        <v>1851</v>
      </c>
      <c r="D698" t="s">
        <v>81</v>
      </c>
      <c r="E698" s="2" t="str">
        <f>HYPERLINK("capsilon://?command=openfolder&amp;siteaddress=FAM.docvelocity-na8.net&amp;folderid=FXCFEF6669-67EC-0427-29AE-AB5770F6D5CD","FX201227196")</f>
        <v>FX201227196</v>
      </c>
      <c r="F698" t="s">
        <v>19</v>
      </c>
      <c r="G698" t="s">
        <v>19</v>
      </c>
      <c r="H698" t="s">
        <v>82</v>
      </c>
      <c r="I698" t="s">
        <v>1852</v>
      </c>
      <c r="J698">
        <v>66</v>
      </c>
      <c r="K698" t="s">
        <v>84</v>
      </c>
      <c r="L698" t="s">
        <v>85</v>
      </c>
      <c r="M698" t="s">
        <v>86</v>
      </c>
      <c r="N698">
        <v>1</v>
      </c>
      <c r="O698" s="1">
        <v>44207.532037037039</v>
      </c>
      <c r="P698" s="1">
        <v>44207.556851851848</v>
      </c>
      <c r="Q698">
        <v>168</v>
      </c>
      <c r="R698">
        <v>1976</v>
      </c>
      <c r="S698" t="b">
        <v>0</v>
      </c>
      <c r="T698" t="s">
        <v>87</v>
      </c>
      <c r="U698" t="b">
        <v>0</v>
      </c>
      <c r="V698" t="s">
        <v>171</v>
      </c>
      <c r="W698" s="1">
        <v>44207.556851851848</v>
      </c>
      <c r="X698">
        <v>1976</v>
      </c>
      <c r="Y698">
        <v>17</v>
      </c>
      <c r="Z698">
        <v>0</v>
      </c>
      <c r="AA698">
        <v>17</v>
      </c>
      <c r="AB698">
        <v>0</v>
      </c>
      <c r="AC698">
        <v>17</v>
      </c>
      <c r="AD698">
        <v>49</v>
      </c>
      <c r="AE698">
        <v>52</v>
      </c>
      <c r="AF698">
        <v>0</v>
      </c>
      <c r="AG698">
        <v>1</v>
      </c>
      <c r="AH698" t="s">
        <v>87</v>
      </c>
      <c r="AI698" t="s">
        <v>87</v>
      </c>
      <c r="AJ698" t="s">
        <v>87</v>
      </c>
      <c r="AK698" t="s">
        <v>87</v>
      </c>
      <c r="AL698" t="s">
        <v>87</v>
      </c>
      <c r="AM698" t="s">
        <v>87</v>
      </c>
      <c r="AN698" t="s">
        <v>87</v>
      </c>
      <c r="AO698" t="s">
        <v>87</v>
      </c>
      <c r="AP698" t="s">
        <v>87</v>
      </c>
      <c r="AQ698" t="s">
        <v>87</v>
      </c>
      <c r="AR698" t="s">
        <v>87</v>
      </c>
      <c r="AS698" t="s">
        <v>87</v>
      </c>
      <c r="AT698" t="s">
        <v>87</v>
      </c>
      <c r="AU698" t="s">
        <v>87</v>
      </c>
      <c r="AV698" t="s">
        <v>87</v>
      </c>
      <c r="AW698" t="s">
        <v>87</v>
      </c>
      <c r="AX698" t="s">
        <v>87</v>
      </c>
      <c r="AY698" t="s">
        <v>87</v>
      </c>
      <c r="AZ698" t="s">
        <v>87</v>
      </c>
      <c r="BA698" t="s">
        <v>87</v>
      </c>
      <c r="BB698" t="s">
        <v>87</v>
      </c>
      <c r="BC698" t="s">
        <v>87</v>
      </c>
      <c r="BD698" t="s">
        <v>87</v>
      </c>
      <c r="BE698" t="s">
        <v>87</v>
      </c>
    </row>
    <row r="699" spans="1:57" hidden="1" x14ac:dyDescent="0.45">
      <c r="A699" t="s">
        <v>1853</v>
      </c>
      <c r="B699" t="s">
        <v>79</v>
      </c>
      <c r="C699" t="s">
        <v>1854</v>
      </c>
      <c r="D699" t="s">
        <v>81</v>
      </c>
      <c r="E699" s="2" t="str">
        <f>HYPERLINK("capsilon://?command=openfolder&amp;siteaddress=FAM.docvelocity-na8.net&amp;folderid=FXCE8906D1-E3DD-E924-D848-EDA77A1C2FD8","FX201227271")</f>
        <v>FX201227271</v>
      </c>
      <c r="F699" t="s">
        <v>19</v>
      </c>
      <c r="G699" t="s">
        <v>19</v>
      </c>
      <c r="H699" t="s">
        <v>82</v>
      </c>
      <c r="I699" t="s">
        <v>1855</v>
      </c>
      <c r="J699">
        <v>66</v>
      </c>
      <c r="K699" t="s">
        <v>84</v>
      </c>
      <c r="L699" t="s">
        <v>85</v>
      </c>
      <c r="M699" t="s">
        <v>86</v>
      </c>
      <c r="N699">
        <v>1</v>
      </c>
      <c r="O699" s="1">
        <v>44207.532395833332</v>
      </c>
      <c r="P699" s="1">
        <v>44207.536168981482</v>
      </c>
      <c r="Q699">
        <v>172</v>
      </c>
      <c r="R699">
        <v>154</v>
      </c>
      <c r="S699" t="b">
        <v>0</v>
      </c>
      <c r="T699" t="s">
        <v>87</v>
      </c>
      <c r="U699" t="b">
        <v>0</v>
      </c>
      <c r="V699" t="s">
        <v>255</v>
      </c>
      <c r="W699" s="1">
        <v>44207.536168981482</v>
      </c>
      <c r="X699">
        <v>113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66</v>
      </c>
      <c r="AE699">
        <v>52</v>
      </c>
      <c r="AF699">
        <v>0</v>
      </c>
      <c r="AG699">
        <v>1</v>
      </c>
      <c r="AH699" t="s">
        <v>87</v>
      </c>
      <c r="AI699" t="s">
        <v>87</v>
      </c>
      <c r="AJ699" t="s">
        <v>87</v>
      </c>
      <c r="AK699" t="s">
        <v>87</v>
      </c>
      <c r="AL699" t="s">
        <v>87</v>
      </c>
      <c r="AM699" t="s">
        <v>87</v>
      </c>
      <c r="AN699" t="s">
        <v>87</v>
      </c>
      <c r="AO699" t="s">
        <v>87</v>
      </c>
      <c r="AP699" t="s">
        <v>87</v>
      </c>
      <c r="AQ699" t="s">
        <v>87</v>
      </c>
      <c r="AR699" t="s">
        <v>87</v>
      </c>
      <c r="AS699" t="s">
        <v>87</v>
      </c>
      <c r="AT699" t="s">
        <v>87</v>
      </c>
      <c r="AU699" t="s">
        <v>87</v>
      </c>
      <c r="AV699" t="s">
        <v>87</v>
      </c>
      <c r="AW699" t="s">
        <v>87</v>
      </c>
      <c r="AX699" t="s">
        <v>87</v>
      </c>
      <c r="AY699" t="s">
        <v>87</v>
      </c>
      <c r="AZ699" t="s">
        <v>87</v>
      </c>
      <c r="BA699" t="s">
        <v>87</v>
      </c>
      <c r="BB699" t="s">
        <v>87</v>
      </c>
      <c r="BC699" t="s">
        <v>87</v>
      </c>
      <c r="BD699" t="s">
        <v>87</v>
      </c>
      <c r="BE699" t="s">
        <v>87</v>
      </c>
    </row>
    <row r="700" spans="1:57" hidden="1" x14ac:dyDescent="0.45">
      <c r="A700" t="s">
        <v>1856</v>
      </c>
      <c r="B700" t="s">
        <v>79</v>
      </c>
      <c r="C700" t="s">
        <v>1857</v>
      </c>
      <c r="D700" t="s">
        <v>81</v>
      </c>
      <c r="E700" s="2" t="str">
        <f>HYPERLINK("capsilon://?command=openfolder&amp;siteaddress=FAM.docvelocity-na8.net&amp;folderid=FX1C2E191B-12CD-49B4-EFC9-8743FAF09BE6","FX201111808")</f>
        <v>FX201111808</v>
      </c>
      <c r="F700" t="s">
        <v>19</v>
      </c>
      <c r="G700" t="s">
        <v>19</v>
      </c>
      <c r="H700" t="s">
        <v>82</v>
      </c>
      <c r="I700" t="s">
        <v>1858</v>
      </c>
      <c r="J700">
        <v>26</v>
      </c>
      <c r="K700" t="s">
        <v>84</v>
      </c>
      <c r="L700" t="s">
        <v>85</v>
      </c>
      <c r="M700" t="s">
        <v>86</v>
      </c>
      <c r="N700">
        <v>1</v>
      </c>
      <c r="O700" s="1">
        <v>44207.53334490741</v>
      </c>
      <c r="P700" s="1">
        <v>44207.537534722222</v>
      </c>
      <c r="Q700">
        <v>244</v>
      </c>
      <c r="R700">
        <v>118</v>
      </c>
      <c r="S700" t="b">
        <v>0</v>
      </c>
      <c r="T700" t="s">
        <v>87</v>
      </c>
      <c r="U700" t="b">
        <v>0</v>
      </c>
      <c r="V700" t="s">
        <v>255</v>
      </c>
      <c r="W700" s="1">
        <v>44207.537534722222</v>
      </c>
      <c r="X700">
        <v>118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26</v>
      </c>
      <c r="AE700">
        <v>21</v>
      </c>
      <c r="AF700">
        <v>0</v>
      </c>
      <c r="AG700">
        <v>2</v>
      </c>
      <c r="AH700" t="s">
        <v>87</v>
      </c>
      <c r="AI700" t="s">
        <v>87</v>
      </c>
      <c r="AJ700" t="s">
        <v>87</v>
      </c>
      <c r="AK700" t="s">
        <v>87</v>
      </c>
      <c r="AL700" t="s">
        <v>87</v>
      </c>
      <c r="AM700" t="s">
        <v>87</v>
      </c>
      <c r="AN700" t="s">
        <v>87</v>
      </c>
      <c r="AO700" t="s">
        <v>87</v>
      </c>
      <c r="AP700" t="s">
        <v>87</v>
      </c>
      <c r="AQ700" t="s">
        <v>87</v>
      </c>
      <c r="AR700" t="s">
        <v>87</v>
      </c>
      <c r="AS700" t="s">
        <v>87</v>
      </c>
      <c r="AT700" t="s">
        <v>87</v>
      </c>
      <c r="AU700" t="s">
        <v>87</v>
      </c>
      <c r="AV700" t="s">
        <v>87</v>
      </c>
      <c r="AW700" t="s">
        <v>87</v>
      </c>
      <c r="AX700" t="s">
        <v>87</v>
      </c>
      <c r="AY700" t="s">
        <v>87</v>
      </c>
      <c r="AZ700" t="s">
        <v>87</v>
      </c>
      <c r="BA700" t="s">
        <v>87</v>
      </c>
      <c r="BB700" t="s">
        <v>87</v>
      </c>
      <c r="BC700" t="s">
        <v>87</v>
      </c>
      <c r="BD700" t="s">
        <v>87</v>
      </c>
      <c r="BE700" t="s">
        <v>87</v>
      </c>
    </row>
    <row r="701" spans="1:57" x14ac:dyDescent="0.45">
      <c r="A701" t="s">
        <v>1859</v>
      </c>
      <c r="B701" t="s">
        <v>79</v>
      </c>
      <c r="C701" t="s">
        <v>1860</v>
      </c>
      <c r="D701" t="s">
        <v>81</v>
      </c>
      <c r="E701" s="2" t="str">
        <f>HYPERLINK("capsilon://?command=openfolder&amp;siteaddress=FAM.docvelocity-na8.net&amp;folderid=FXD7B6C596-EFBB-0B7C-9AF0-AC3A57981880","FX21013980")</f>
        <v>FX21013980</v>
      </c>
      <c r="F701" t="s">
        <v>19</v>
      </c>
      <c r="G701" t="s">
        <v>19</v>
      </c>
      <c r="H701" t="s">
        <v>82</v>
      </c>
      <c r="I701" t="s">
        <v>1861</v>
      </c>
      <c r="J701">
        <v>194</v>
      </c>
      <c r="K701" t="s">
        <v>84</v>
      </c>
      <c r="L701" t="s">
        <v>85</v>
      </c>
      <c r="M701" t="s">
        <v>86</v>
      </c>
      <c r="N701">
        <v>3</v>
      </c>
      <c r="O701" s="1">
        <v>44207.533483796295</v>
      </c>
      <c r="P701" s="1">
        <v>44207.712916666664</v>
      </c>
      <c r="Q701">
        <v>10670</v>
      </c>
      <c r="R701">
        <v>4833</v>
      </c>
      <c r="S701" t="b">
        <v>0</v>
      </c>
      <c r="T701" t="s">
        <v>87</v>
      </c>
      <c r="U701" t="b">
        <v>0</v>
      </c>
      <c r="V701" t="s">
        <v>259</v>
      </c>
      <c r="W701" s="1">
        <v>44207.605578703704</v>
      </c>
      <c r="X701">
        <v>4024</v>
      </c>
      <c r="Y701">
        <v>237</v>
      </c>
      <c r="Z701">
        <v>0</v>
      </c>
      <c r="AA701">
        <v>237</v>
      </c>
      <c r="AB701">
        <v>0</v>
      </c>
      <c r="AC701">
        <v>166</v>
      </c>
      <c r="AD701">
        <v>-43</v>
      </c>
      <c r="AE701">
        <v>0</v>
      </c>
      <c r="AF701">
        <v>0</v>
      </c>
      <c r="AG701">
        <v>0</v>
      </c>
      <c r="AH701" t="s">
        <v>267</v>
      </c>
      <c r="AI701" s="1">
        <v>44207.612025462964</v>
      </c>
      <c r="AJ701">
        <v>514</v>
      </c>
      <c r="AK701">
        <v>12</v>
      </c>
      <c r="AL701">
        <v>0</v>
      </c>
      <c r="AM701">
        <v>12</v>
      </c>
      <c r="AN701">
        <v>0</v>
      </c>
      <c r="AO701">
        <v>12</v>
      </c>
      <c r="AP701">
        <v>-55</v>
      </c>
      <c r="AQ701">
        <v>0</v>
      </c>
      <c r="AR701">
        <v>0</v>
      </c>
      <c r="AS701">
        <v>0</v>
      </c>
      <c r="AT701" t="s">
        <v>549</v>
      </c>
      <c r="AU701" s="1">
        <v>44207.712916666664</v>
      </c>
      <c r="AV701">
        <v>246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-55</v>
      </c>
      <c r="BC701">
        <v>0</v>
      </c>
      <c r="BD701">
        <v>0</v>
      </c>
      <c r="BE701">
        <v>0</v>
      </c>
    </row>
    <row r="702" spans="1:57" x14ac:dyDescent="0.45">
      <c r="A702" t="s">
        <v>1862</v>
      </c>
      <c r="B702" t="s">
        <v>79</v>
      </c>
      <c r="C702" t="s">
        <v>1863</v>
      </c>
      <c r="D702" t="s">
        <v>81</v>
      </c>
      <c r="E702" s="2" t="str">
        <f>HYPERLINK("capsilon://?command=openfolder&amp;siteaddress=FAM.docvelocity-na8.net&amp;folderid=FX2F9E6C7F-FC90-4EE8-6AA3-EDBFFF0FEE98","FX21014068")</f>
        <v>FX21014068</v>
      </c>
      <c r="F702" t="s">
        <v>19</v>
      </c>
      <c r="G702" t="s">
        <v>19</v>
      </c>
      <c r="H702" t="s">
        <v>82</v>
      </c>
      <c r="I702" t="s">
        <v>1864</v>
      </c>
      <c r="J702">
        <v>38</v>
      </c>
      <c r="K702" t="s">
        <v>84</v>
      </c>
      <c r="L702" t="s">
        <v>85</v>
      </c>
      <c r="M702" t="s">
        <v>86</v>
      </c>
      <c r="N702">
        <v>3</v>
      </c>
      <c r="O702" s="1">
        <v>44207.533518518518</v>
      </c>
      <c r="P702" s="1">
        <v>44207.710162037038</v>
      </c>
      <c r="Q702">
        <v>14899</v>
      </c>
      <c r="R702">
        <v>363</v>
      </c>
      <c r="S702" t="b">
        <v>0</v>
      </c>
      <c r="T702" t="s">
        <v>87</v>
      </c>
      <c r="U702" t="b">
        <v>0</v>
      </c>
      <c r="V702" t="s">
        <v>160</v>
      </c>
      <c r="W702" s="1">
        <v>44207.54005787037</v>
      </c>
      <c r="X702">
        <v>213</v>
      </c>
      <c r="Y702">
        <v>37</v>
      </c>
      <c r="Z702">
        <v>0</v>
      </c>
      <c r="AA702">
        <v>37</v>
      </c>
      <c r="AB702">
        <v>0</v>
      </c>
      <c r="AC702">
        <v>4</v>
      </c>
      <c r="AD702">
        <v>1</v>
      </c>
      <c r="AE702">
        <v>0</v>
      </c>
      <c r="AF702">
        <v>0</v>
      </c>
      <c r="AG702">
        <v>0</v>
      </c>
      <c r="AH702" t="s">
        <v>132</v>
      </c>
      <c r="AI702" s="1">
        <v>44207.544444444444</v>
      </c>
      <c r="AJ702">
        <v>129</v>
      </c>
      <c r="AK702">
        <v>2</v>
      </c>
      <c r="AL702">
        <v>0</v>
      </c>
      <c r="AM702">
        <v>2</v>
      </c>
      <c r="AN702">
        <v>0</v>
      </c>
      <c r="AO702">
        <v>0</v>
      </c>
      <c r="AP702">
        <v>-1</v>
      </c>
      <c r="AQ702">
        <v>0</v>
      </c>
      <c r="AR702">
        <v>0</v>
      </c>
      <c r="AS702">
        <v>0</v>
      </c>
      <c r="AT702" t="s">
        <v>90</v>
      </c>
      <c r="AU702" s="1">
        <v>44207.710162037038</v>
      </c>
      <c r="AV702">
        <v>4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-1</v>
      </c>
      <c r="BC702">
        <v>0</v>
      </c>
      <c r="BD702">
        <v>0</v>
      </c>
      <c r="BE702">
        <v>0</v>
      </c>
    </row>
    <row r="703" spans="1:57" x14ac:dyDescent="0.45">
      <c r="A703" t="s">
        <v>1865</v>
      </c>
      <c r="B703" t="s">
        <v>79</v>
      </c>
      <c r="C703" t="s">
        <v>1854</v>
      </c>
      <c r="D703" t="s">
        <v>81</v>
      </c>
      <c r="E703" s="2" t="str">
        <f>HYPERLINK("capsilon://?command=openfolder&amp;siteaddress=FAM.docvelocity-na8.net&amp;folderid=FXCE8906D1-E3DD-E924-D848-EDA77A1C2FD8","FX201227271")</f>
        <v>FX201227271</v>
      </c>
      <c r="F703" t="s">
        <v>19</v>
      </c>
      <c r="G703" t="s">
        <v>19</v>
      </c>
      <c r="H703" t="s">
        <v>82</v>
      </c>
      <c r="I703" t="s">
        <v>1855</v>
      </c>
      <c r="J703">
        <v>66</v>
      </c>
      <c r="K703" t="s">
        <v>84</v>
      </c>
      <c r="L703" t="s">
        <v>85</v>
      </c>
      <c r="M703" t="s">
        <v>86</v>
      </c>
      <c r="N703">
        <v>3</v>
      </c>
      <c r="O703" s="1">
        <v>44207.53670138889</v>
      </c>
      <c r="P703" s="1">
        <v>44207.604259259257</v>
      </c>
      <c r="Q703">
        <v>3650</v>
      </c>
      <c r="R703">
        <v>2187</v>
      </c>
      <c r="S703" t="b">
        <v>0</v>
      </c>
      <c r="T703" t="s">
        <v>87</v>
      </c>
      <c r="U703" t="b">
        <v>1</v>
      </c>
      <c r="V703" t="s">
        <v>168</v>
      </c>
      <c r="W703" s="1">
        <v>44207.559606481482</v>
      </c>
      <c r="X703">
        <v>1934</v>
      </c>
      <c r="Y703">
        <v>52</v>
      </c>
      <c r="Z703">
        <v>0</v>
      </c>
      <c r="AA703">
        <v>52</v>
      </c>
      <c r="AB703">
        <v>0</v>
      </c>
      <c r="AC703">
        <v>31</v>
      </c>
      <c r="AD703">
        <v>14</v>
      </c>
      <c r="AE703">
        <v>0</v>
      </c>
      <c r="AF703">
        <v>0</v>
      </c>
      <c r="AG703">
        <v>0</v>
      </c>
      <c r="AH703" t="s">
        <v>267</v>
      </c>
      <c r="AI703" s="1">
        <v>44207.565439814818</v>
      </c>
      <c r="AJ703">
        <v>223</v>
      </c>
      <c r="AK703">
        <v>7</v>
      </c>
      <c r="AL703">
        <v>0</v>
      </c>
      <c r="AM703">
        <v>7</v>
      </c>
      <c r="AN703">
        <v>0</v>
      </c>
      <c r="AO703">
        <v>6</v>
      </c>
      <c r="AP703">
        <v>7</v>
      </c>
      <c r="AQ703">
        <v>0</v>
      </c>
      <c r="AR703">
        <v>0</v>
      </c>
      <c r="AS703">
        <v>0</v>
      </c>
      <c r="AT703" t="s">
        <v>90</v>
      </c>
      <c r="AU703" s="1">
        <v>44207.604259259257</v>
      </c>
      <c r="AV703">
        <v>30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7</v>
      </c>
      <c r="BC703">
        <v>0</v>
      </c>
      <c r="BD703">
        <v>0</v>
      </c>
      <c r="BE703">
        <v>0</v>
      </c>
    </row>
    <row r="704" spans="1:57" x14ac:dyDescent="0.45">
      <c r="A704" t="s">
        <v>1866</v>
      </c>
      <c r="B704" t="s">
        <v>79</v>
      </c>
      <c r="C704" t="s">
        <v>1867</v>
      </c>
      <c r="D704" t="s">
        <v>81</v>
      </c>
      <c r="E704" s="2" t="str">
        <f>HYPERLINK("capsilon://?command=openfolder&amp;siteaddress=FAM.docvelocity-na8.net&amp;folderid=FX8B76999A-32BA-6B7A-A6D6-DD08E30694B6","FX201224318")</f>
        <v>FX201224318</v>
      </c>
      <c r="F704" t="s">
        <v>19</v>
      </c>
      <c r="G704" t="s">
        <v>19</v>
      </c>
      <c r="H704" t="s">
        <v>82</v>
      </c>
      <c r="I704" t="s">
        <v>1868</v>
      </c>
      <c r="J704">
        <v>435</v>
      </c>
      <c r="K704" t="s">
        <v>84</v>
      </c>
      <c r="L704" t="s">
        <v>85</v>
      </c>
      <c r="M704" t="s">
        <v>86</v>
      </c>
      <c r="N704">
        <v>3</v>
      </c>
      <c r="O704" s="1">
        <v>44200.569305555553</v>
      </c>
      <c r="P704" s="1">
        <v>44201.371793981481</v>
      </c>
      <c r="Q704">
        <v>66831</v>
      </c>
      <c r="R704">
        <v>2504</v>
      </c>
      <c r="S704" t="b">
        <v>0</v>
      </c>
      <c r="T704" t="s">
        <v>87</v>
      </c>
      <c r="U704" t="b">
        <v>0</v>
      </c>
      <c r="V704" t="s">
        <v>142</v>
      </c>
      <c r="W704" s="1">
        <v>44200.682847222219</v>
      </c>
      <c r="X704">
        <v>1331</v>
      </c>
      <c r="Y704">
        <v>306</v>
      </c>
      <c r="Z704">
        <v>0</v>
      </c>
      <c r="AA704">
        <v>306</v>
      </c>
      <c r="AB704">
        <v>62</v>
      </c>
      <c r="AC704">
        <v>116</v>
      </c>
      <c r="AD704">
        <v>129</v>
      </c>
      <c r="AE704">
        <v>0</v>
      </c>
      <c r="AF704">
        <v>0</v>
      </c>
      <c r="AG704">
        <v>0</v>
      </c>
      <c r="AH704" t="s">
        <v>128</v>
      </c>
      <c r="AI704" s="1">
        <v>44200.735555555555</v>
      </c>
      <c r="AJ704">
        <v>1041</v>
      </c>
      <c r="AK704">
        <v>0</v>
      </c>
      <c r="AL704">
        <v>0</v>
      </c>
      <c r="AM704">
        <v>0</v>
      </c>
      <c r="AN704">
        <v>62</v>
      </c>
      <c r="AO704">
        <v>1</v>
      </c>
      <c r="AP704">
        <v>129</v>
      </c>
      <c r="AQ704">
        <v>0</v>
      </c>
      <c r="AR704">
        <v>0</v>
      </c>
      <c r="AS704">
        <v>0</v>
      </c>
      <c r="AT704" t="s">
        <v>90</v>
      </c>
      <c r="AU704" s="1">
        <v>44201.371793981481</v>
      </c>
      <c r="AV704">
        <v>132</v>
      </c>
      <c r="AW704">
        <v>0</v>
      </c>
      <c r="AX704">
        <v>0</v>
      </c>
      <c r="AY704">
        <v>0</v>
      </c>
      <c r="AZ704">
        <v>62</v>
      </c>
      <c r="BA704">
        <v>0</v>
      </c>
      <c r="BB704">
        <v>129</v>
      </c>
      <c r="BC704">
        <v>0</v>
      </c>
      <c r="BD704">
        <v>0</v>
      </c>
      <c r="BE704">
        <v>0</v>
      </c>
    </row>
    <row r="705" spans="1:57" x14ac:dyDescent="0.45">
      <c r="A705" t="s">
        <v>1869</v>
      </c>
      <c r="B705" t="s">
        <v>79</v>
      </c>
      <c r="C705" t="s">
        <v>1857</v>
      </c>
      <c r="D705" t="s">
        <v>81</v>
      </c>
      <c r="E705" s="2" t="str">
        <f>HYPERLINK("capsilon://?command=openfolder&amp;siteaddress=FAM.docvelocity-na8.net&amp;folderid=FX1C2E191B-12CD-49B4-EFC9-8743FAF09BE6","FX201111808")</f>
        <v>FX201111808</v>
      </c>
      <c r="F705" t="s">
        <v>19</v>
      </c>
      <c r="G705" t="s">
        <v>19</v>
      </c>
      <c r="H705" t="s">
        <v>82</v>
      </c>
      <c r="I705" t="s">
        <v>1858</v>
      </c>
      <c r="J705">
        <v>52</v>
      </c>
      <c r="K705" t="s">
        <v>84</v>
      </c>
      <c r="L705" t="s">
        <v>85</v>
      </c>
      <c r="M705" t="s">
        <v>86</v>
      </c>
      <c r="N705">
        <v>3</v>
      </c>
      <c r="O705" s="1">
        <v>44207.537905092591</v>
      </c>
      <c r="P705" s="1">
        <v>44207.604722222219</v>
      </c>
      <c r="Q705">
        <v>2687</v>
      </c>
      <c r="R705">
        <v>3086</v>
      </c>
      <c r="S705" t="b">
        <v>0</v>
      </c>
      <c r="T705" t="s">
        <v>87</v>
      </c>
      <c r="U705" t="b">
        <v>1</v>
      </c>
      <c r="V705" t="s">
        <v>146</v>
      </c>
      <c r="W705" s="1">
        <v>44207.572418981479</v>
      </c>
      <c r="X705">
        <v>2853</v>
      </c>
      <c r="Y705">
        <v>42</v>
      </c>
      <c r="Z705">
        <v>0</v>
      </c>
      <c r="AA705">
        <v>42</v>
      </c>
      <c r="AB705">
        <v>0</v>
      </c>
      <c r="AC705">
        <v>36</v>
      </c>
      <c r="AD705">
        <v>10</v>
      </c>
      <c r="AE705">
        <v>0</v>
      </c>
      <c r="AF705">
        <v>0</v>
      </c>
      <c r="AG705">
        <v>0</v>
      </c>
      <c r="AH705" t="s">
        <v>128</v>
      </c>
      <c r="AI705" s="1">
        <v>44207.577465277776</v>
      </c>
      <c r="AJ705">
        <v>194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10</v>
      </c>
      <c r="AQ705">
        <v>0</v>
      </c>
      <c r="AR705">
        <v>0</v>
      </c>
      <c r="AS705">
        <v>0</v>
      </c>
      <c r="AT705" t="s">
        <v>90</v>
      </c>
      <c r="AU705" s="1">
        <v>44207.604722222219</v>
      </c>
      <c r="AV705">
        <v>39</v>
      </c>
      <c r="AW705">
        <v>0</v>
      </c>
      <c r="AX705">
        <v>0</v>
      </c>
      <c r="AY705">
        <v>0</v>
      </c>
      <c r="AZ705">
        <v>21</v>
      </c>
      <c r="BA705">
        <v>0</v>
      </c>
      <c r="BB705">
        <v>10</v>
      </c>
      <c r="BC705">
        <v>0</v>
      </c>
      <c r="BD705">
        <v>0</v>
      </c>
      <c r="BE705">
        <v>0</v>
      </c>
    </row>
    <row r="706" spans="1:57" hidden="1" x14ac:dyDescent="0.45">
      <c r="A706" t="s">
        <v>1870</v>
      </c>
      <c r="B706" t="s">
        <v>79</v>
      </c>
      <c r="C706" t="s">
        <v>1871</v>
      </c>
      <c r="D706" t="s">
        <v>81</v>
      </c>
      <c r="E706" s="2" t="str">
        <f>HYPERLINK("capsilon://?command=openfolder&amp;siteaddress=FAM.docvelocity-na8.net&amp;folderid=FX6DBE14CA-DEA6-20CC-74B5-14F9BDEFDAA1","FX20125296")</f>
        <v>FX20125296</v>
      </c>
      <c r="F706" t="s">
        <v>19</v>
      </c>
      <c r="G706" t="s">
        <v>19</v>
      </c>
      <c r="H706" t="s">
        <v>82</v>
      </c>
      <c r="I706" t="s">
        <v>1872</v>
      </c>
      <c r="J706">
        <v>31</v>
      </c>
      <c r="K706" t="s">
        <v>84</v>
      </c>
      <c r="L706" t="s">
        <v>85</v>
      </c>
      <c r="M706" t="s">
        <v>86</v>
      </c>
      <c r="N706">
        <v>1</v>
      </c>
      <c r="O706" s="1">
        <v>44200.569432870368</v>
      </c>
      <c r="P706" s="1">
        <v>44200.671423611115</v>
      </c>
      <c r="Q706">
        <v>8589</v>
      </c>
      <c r="R706">
        <v>223</v>
      </c>
      <c r="S706" t="b">
        <v>0</v>
      </c>
      <c r="T706" t="s">
        <v>87</v>
      </c>
      <c r="U706" t="b">
        <v>0</v>
      </c>
      <c r="V706" t="s">
        <v>266</v>
      </c>
      <c r="W706" s="1">
        <v>44200.671423611115</v>
      </c>
      <c r="X706">
        <v>223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31</v>
      </c>
      <c r="AE706">
        <v>27</v>
      </c>
      <c r="AF706">
        <v>0</v>
      </c>
      <c r="AG706">
        <v>2</v>
      </c>
      <c r="AH706" t="s">
        <v>87</v>
      </c>
      <c r="AI706" t="s">
        <v>87</v>
      </c>
      <c r="AJ706" t="s">
        <v>87</v>
      </c>
      <c r="AK706" t="s">
        <v>87</v>
      </c>
      <c r="AL706" t="s">
        <v>87</v>
      </c>
      <c r="AM706" t="s">
        <v>87</v>
      </c>
      <c r="AN706" t="s">
        <v>87</v>
      </c>
      <c r="AO706" t="s">
        <v>87</v>
      </c>
      <c r="AP706" t="s">
        <v>87</v>
      </c>
      <c r="AQ706" t="s">
        <v>87</v>
      </c>
      <c r="AR706" t="s">
        <v>87</v>
      </c>
      <c r="AS706" t="s">
        <v>87</v>
      </c>
      <c r="AT706" t="s">
        <v>87</v>
      </c>
      <c r="AU706" t="s">
        <v>87</v>
      </c>
      <c r="AV706" t="s">
        <v>87</v>
      </c>
      <c r="AW706" t="s">
        <v>87</v>
      </c>
      <c r="AX706" t="s">
        <v>87</v>
      </c>
      <c r="AY706" t="s">
        <v>87</v>
      </c>
      <c r="AZ706" t="s">
        <v>87</v>
      </c>
      <c r="BA706" t="s">
        <v>87</v>
      </c>
      <c r="BB706" t="s">
        <v>87</v>
      </c>
      <c r="BC706" t="s">
        <v>87</v>
      </c>
      <c r="BD706" t="s">
        <v>87</v>
      </c>
      <c r="BE706" t="s">
        <v>87</v>
      </c>
    </row>
    <row r="707" spans="1:57" hidden="1" x14ac:dyDescent="0.45">
      <c r="A707" t="s">
        <v>1873</v>
      </c>
      <c r="B707" t="s">
        <v>79</v>
      </c>
      <c r="C707" t="s">
        <v>1871</v>
      </c>
      <c r="D707" t="s">
        <v>81</v>
      </c>
      <c r="E707" s="2" t="str">
        <f>HYPERLINK("capsilon://?command=openfolder&amp;siteaddress=FAM.docvelocity-na8.net&amp;folderid=FX6DBE14CA-DEA6-20CC-74B5-14F9BDEFDAA1","FX20125296")</f>
        <v>FX20125296</v>
      </c>
      <c r="F707" t="s">
        <v>19</v>
      </c>
      <c r="G707" t="s">
        <v>19</v>
      </c>
      <c r="H707" t="s">
        <v>82</v>
      </c>
      <c r="I707" t="s">
        <v>1874</v>
      </c>
      <c r="J707">
        <v>31</v>
      </c>
      <c r="K707" t="s">
        <v>84</v>
      </c>
      <c r="L707" t="s">
        <v>85</v>
      </c>
      <c r="M707" t="s">
        <v>86</v>
      </c>
      <c r="N707">
        <v>1</v>
      </c>
      <c r="O707" s="1">
        <v>44200.57</v>
      </c>
      <c r="P707" s="1">
        <v>44200.675081018519</v>
      </c>
      <c r="Q707">
        <v>8764</v>
      </c>
      <c r="R707">
        <v>315</v>
      </c>
      <c r="S707" t="b">
        <v>0</v>
      </c>
      <c r="T707" t="s">
        <v>87</v>
      </c>
      <c r="U707" t="b">
        <v>0</v>
      </c>
      <c r="V707" t="s">
        <v>266</v>
      </c>
      <c r="W707" s="1">
        <v>44200.675081018519</v>
      </c>
      <c r="X707">
        <v>315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31</v>
      </c>
      <c r="AE707">
        <v>27</v>
      </c>
      <c r="AF707">
        <v>0</v>
      </c>
      <c r="AG707">
        <v>3</v>
      </c>
      <c r="AH707" t="s">
        <v>87</v>
      </c>
      <c r="AI707" t="s">
        <v>87</v>
      </c>
      <c r="AJ707" t="s">
        <v>87</v>
      </c>
      <c r="AK707" t="s">
        <v>87</v>
      </c>
      <c r="AL707" t="s">
        <v>87</v>
      </c>
      <c r="AM707" t="s">
        <v>87</v>
      </c>
      <c r="AN707" t="s">
        <v>87</v>
      </c>
      <c r="AO707" t="s">
        <v>87</v>
      </c>
      <c r="AP707" t="s">
        <v>87</v>
      </c>
      <c r="AQ707" t="s">
        <v>87</v>
      </c>
      <c r="AR707" t="s">
        <v>87</v>
      </c>
      <c r="AS707" t="s">
        <v>87</v>
      </c>
      <c r="AT707" t="s">
        <v>87</v>
      </c>
      <c r="AU707" t="s">
        <v>87</v>
      </c>
      <c r="AV707" t="s">
        <v>87</v>
      </c>
      <c r="AW707" t="s">
        <v>87</v>
      </c>
      <c r="AX707" t="s">
        <v>87</v>
      </c>
      <c r="AY707" t="s">
        <v>87</v>
      </c>
      <c r="AZ707" t="s">
        <v>87</v>
      </c>
      <c r="BA707" t="s">
        <v>87</v>
      </c>
      <c r="BB707" t="s">
        <v>87</v>
      </c>
      <c r="BC707" t="s">
        <v>87</v>
      </c>
      <c r="BD707" t="s">
        <v>87</v>
      </c>
      <c r="BE707" t="s">
        <v>87</v>
      </c>
    </row>
    <row r="708" spans="1:57" hidden="1" x14ac:dyDescent="0.45">
      <c r="A708" t="s">
        <v>1875</v>
      </c>
      <c r="B708" t="s">
        <v>79</v>
      </c>
      <c r="C708" t="s">
        <v>1876</v>
      </c>
      <c r="D708" t="s">
        <v>81</v>
      </c>
      <c r="E708" s="2" t="str">
        <f>HYPERLINK("capsilon://?command=openfolder&amp;siteaddress=FAM.docvelocity-na8.net&amp;folderid=FX0860BE9F-9F25-E1C6-90D9-25BCF2574AED","FX20127323")</f>
        <v>FX20127323</v>
      </c>
      <c r="F708" t="s">
        <v>19</v>
      </c>
      <c r="G708" t="s">
        <v>19</v>
      </c>
      <c r="H708" t="s">
        <v>82</v>
      </c>
      <c r="I708" t="s">
        <v>1877</v>
      </c>
      <c r="J708">
        <v>66</v>
      </c>
      <c r="K708" t="s">
        <v>84</v>
      </c>
      <c r="L708" t="s">
        <v>85</v>
      </c>
      <c r="M708" t="s">
        <v>86</v>
      </c>
      <c r="N708">
        <v>1</v>
      </c>
      <c r="O708" s="1">
        <v>44207.543668981481</v>
      </c>
      <c r="P708" s="1">
        <v>44207.545081018521</v>
      </c>
      <c r="Q708">
        <v>1</v>
      </c>
      <c r="R708">
        <v>121</v>
      </c>
      <c r="S708" t="b">
        <v>0</v>
      </c>
      <c r="T708" t="s">
        <v>87</v>
      </c>
      <c r="U708" t="b">
        <v>0</v>
      </c>
      <c r="V708" t="s">
        <v>160</v>
      </c>
      <c r="W708" s="1">
        <v>44207.545081018521</v>
      </c>
      <c r="X708">
        <v>121</v>
      </c>
      <c r="Y708">
        <v>52</v>
      </c>
      <c r="Z708">
        <v>0</v>
      </c>
      <c r="AA708">
        <v>52</v>
      </c>
      <c r="AB708">
        <v>0</v>
      </c>
      <c r="AC708">
        <v>0</v>
      </c>
      <c r="AD708">
        <v>14</v>
      </c>
      <c r="AE708">
        <v>52</v>
      </c>
      <c r="AF708">
        <v>0</v>
      </c>
      <c r="AG708">
        <v>1</v>
      </c>
      <c r="AH708" t="s">
        <v>87</v>
      </c>
      <c r="AI708" t="s">
        <v>87</v>
      </c>
      <c r="AJ708" t="s">
        <v>87</v>
      </c>
      <c r="AK708" t="s">
        <v>87</v>
      </c>
      <c r="AL708" t="s">
        <v>87</v>
      </c>
      <c r="AM708" t="s">
        <v>87</v>
      </c>
      <c r="AN708" t="s">
        <v>87</v>
      </c>
      <c r="AO708" t="s">
        <v>87</v>
      </c>
      <c r="AP708" t="s">
        <v>87</v>
      </c>
      <c r="AQ708" t="s">
        <v>87</v>
      </c>
      <c r="AR708" t="s">
        <v>87</v>
      </c>
      <c r="AS708" t="s">
        <v>87</v>
      </c>
      <c r="AT708" t="s">
        <v>87</v>
      </c>
      <c r="AU708" t="s">
        <v>87</v>
      </c>
      <c r="AV708" t="s">
        <v>87</v>
      </c>
      <c r="AW708" t="s">
        <v>87</v>
      </c>
      <c r="AX708" t="s">
        <v>87</v>
      </c>
      <c r="AY708" t="s">
        <v>87</v>
      </c>
      <c r="AZ708" t="s">
        <v>87</v>
      </c>
      <c r="BA708" t="s">
        <v>87</v>
      </c>
      <c r="BB708" t="s">
        <v>87</v>
      </c>
      <c r="BC708" t="s">
        <v>87</v>
      </c>
      <c r="BD708" t="s">
        <v>87</v>
      </c>
      <c r="BE708" t="s">
        <v>87</v>
      </c>
    </row>
    <row r="709" spans="1:57" x14ac:dyDescent="0.45">
      <c r="A709" t="s">
        <v>1878</v>
      </c>
      <c r="B709" t="s">
        <v>79</v>
      </c>
      <c r="C709" t="s">
        <v>1876</v>
      </c>
      <c r="D709" t="s">
        <v>81</v>
      </c>
      <c r="E709" s="2" t="str">
        <f>HYPERLINK("capsilon://?command=openfolder&amp;siteaddress=FAM.docvelocity-na8.net&amp;folderid=FX0860BE9F-9F25-E1C6-90D9-25BCF2574AED","FX20127323")</f>
        <v>FX20127323</v>
      </c>
      <c r="F709" t="s">
        <v>19</v>
      </c>
      <c r="G709" t="s">
        <v>19</v>
      </c>
      <c r="H709" t="s">
        <v>82</v>
      </c>
      <c r="I709" t="s">
        <v>1877</v>
      </c>
      <c r="J709">
        <v>38</v>
      </c>
      <c r="K709" t="s">
        <v>84</v>
      </c>
      <c r="L709" t="s">
        <v>85</v>
      </c>
      <c r="M709" t="s">
        <v>86</v>
      </c>
      <c r="N709">
        <v>3</v>
      </c>
      <c r="O709" s="1">
        <v>44207.545613425929</v>
      </c>
      <c r="P709" s="1">
        <v>44207.604861111111</v>
      </c>
      <c r="Q709">
        <v>3776</v>
      </c>
      <c r="R709">
        <v>1343</v>
      </c>
      <c r="S709" t="b">
        <v>0</v>
      </c>
      <c r="T709" t="s">
        <v>87</v>
      </c>
      <c r="U709" t="b">
        <v>1</v>
      </c>
      <c r="V709" t="s">
        <v>160</v>
      </c>
      <c r="W709" s="1">
        <v>44207.560231481482</v>
      </c>
      <c r="X709">
        <v>1262</v>
      </c>
      <c r="Y709">
        <v>37</v>
      </c>
      <c r="Z709">
        <v>0</v>
      </c>
      <c r="AA709">
        <v>37</v>
      </c>
      <c r="AB709">
        <v>0</v>
      </c>
      <c r="AC709">
        <v>19</v>
      </c>
      <c r="AD709">
        <v>1</v>
      </c>
      <c r="AE709">
        <v>0</v>
      </c>
      <c r="AF709">
        <v>0</v>
      </c>
      <c r="AG709">
        <v>0</v>
      </c>
      <c r="AH709" t="s">
        <v>267</v>
      </c>
      <c r="AI709" s="1">
        <v>44207.566296296296</v>
      </c>
      <c r="AJ709">
        <v>73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 t="s">
        <v>90</v>
      </c>
      <c r="AU709" s="1">
        <v>44207.604861111111</v>
      </c>
      <c r="AV709">
        <v>8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</row>
    <row r="710" spans="1:57" x14ac:dyDescent="0.45">
      <c r="A710" t="s">
        <v>1879</v>
      </c>
      <c r="B710" t="s">
        <v>79</v>
      </c>
      <c r="C710" t="s">
        <v>1880</v>
      </c>
      <c r="D710" t="s">
        <v>81</v>
      </c>
      <c r="E710" s="2" t="str">
        <f>HYPERLINK("capsilon://?command=openfolder&amp;siteaddress=FAM.docvelocity-na8.net&amp;folderid=FX3792F2BC-98C0-1084-8E3B-13E26A7CD474","FX201227903")</f>
        <v>FX201227903</v>
      </c>
      <c r="F710" t="s">
        <v>19</v>
      </c>
      <c r="G710" t="s">
        <v>19</v>
      </c>
      <c r="H710" t="s">
        <v>82</v>
      </c>
      <c r="I710" t="s">
        <v>1881</v>
      </c>
      <c r="J710">
        <v>38</v>
      </c>
      <c r="K710" t="s">
        <v>84</v>
      </c>
      <c r="L710" t="s">
        <v>85</v>
      </c>
      <c r="M710" t="s">
        <v>86</v>
      </c>
      <c r="N710">
        <v>3</v>
      </c>
      <c r="O710" s="1">
        <v>44207.546377314815</v>
      </c>
      <c r="P710" s="1">
        <v>44207.710231481484</v>
      </c>
      <c r="Q710">
        <v>13116</v>
      </c>
      <c r="R710">
        <v>1041</v>
      </c>
      <c r="S710" t="b">
        <v>0</v>
      </c>
      <c r="T710" t="s">
        <v>87</v>
      </c>
      <c r="U710" t="b">
        <v>0</v>
      </c>
      <c r="V710" t="s">
        <v>259</v>
      </c>
      <c r="W710" s="1">
        <v>44207.559004629627</v>
      </c>
      <c r="X710">
        <v>966</v>
      </c>
      <c r="Y710">
        <v>37</v>
      </c>
      <c r="Z710">
        <v>0</v>
      </c>
      <c r="AA710">
        <v>37</v>
      </c>
      <c r="AB710">
        <v>0</v>
      </c>
      <c r="AC710">
        <v>33</v>
      </c>
      <c r="AD710">
        <v>1</v>
      </c>
      <c r="AE710">
        <v>0</v>
      </c>
      <c r="AF710">
        <v>0</v>
      </c>
      <c r="AG710">
        <v>0</v>
      </c>
      <c r="AH710" t="s">
        <v>267</v>
      </c>
      <c r="AI710" s="1">
        <v>44207.57613425926</v>
      </c>
      <c r="AJ710">
        <v>70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 t="s">
        <v>90</v>
      </c>
      <c r="AU710" s="1">
        <v>44207.710231481484</v>
      </c>
      <c r="AV710">
        <v>5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</row>
    <row r="711" spans="1:57" x14ac:dyDescent="0.45">
      <c r="A711" t="s">
        <v>1882</v>
      </c>
      <c r="B711" t="s">
        <v>79</v>
      </c>
      <c r="C711" t="s">
        <v>1880</v>
      </c>
      <c r="D711" t="s">
        <v>81</v>
      </c>
      <c r="E711" s="2" t="str">
        <f>HYPERLINK("capsilon://?command=openfolder&amp;siteaddress=FAM.docvelocity-na8.net&amp;folderid=FX3792F2BC-98C0-1084-8E3B-13E26A7CD474","FX201227903")</f>
        <v>FX201227903</v>
      </c>
      <c r="F711" t="s">
        <v>19</v>
      </c>
      <c r="G711" t="s">
        <v>19</v>
      </c>
      <c r="H711" t="s">
        <v>82</v>
      </c>
      <c r="I711" t="s">
        <v>1883</v>
      </c>
      <c r="J711">
        <v>38</v>
      </c>
      <c r="K711" t="s">
        <v>84</v>
      </c>
      <c r="L711" t="s">
        <v>85</v>
      </c>
      <c r="M711" t="s">
        <v>86</v>
      </c>
      <c r="N711">
        <v>3</v>
      </c>
      <c r="O711" s="1">
        <v>44207.547847222224</v>
      </c>
      <c r="P711" s="1">
        <v>44207.710289351853</v>
      </c>
      <c r="Q711">
        <v>13168</v>
      </c>
      <c r="R711">
        <v>867</v>
      </c>
      <c r="S711" t="b">
        <v>0</v>
      </c>
      <c r="T711" t="s">
        <v>87</v>
      </c>
      <c r="U711" t="b">
        <v>0</v>
      </c>
      <c r="V711" t="s">
        <v>262</v>
      </c>
      <c r="W711" s="1">
        <v>44207.557523148149</v>
      </c>
      <c r="X711">
        <v>776</v>
      </c>
      <c r="Y711">
        <v>37</v>
      </c>
      <c r="Z711">
        <v>0</v>
      </c>
      <c r="AA711">
        <v>37</v>
      </c>
      <c r="AB711">
        <v>0</v>
      </c>
      <c r="AC711">
        <v>33</v>
      </c>
      <c r="AD711">
        <v>1</v>
      </c>
      <c r="AE711">
        <v>0</v>
      </c>
      <c r="AF711">
        <v>0</v>
      </c>
      <c r="AG711">
        <v>0</v>
      </c>
      <c r="AH711" t="s">
        <v>267</v>
      </c>
      <c r="AI711" s="1">
        <v>44207.577152777776</v>
      </c>
      <c r="AJ711">
        <v>87</v>
      </c>
      <c r="AK711">
        <v>2</v>
      </c>
      <c r="AL711">
        <v>0</v>
      </c>
      <c r="AM711">
        <v>2</v>
      </c>
      <c r="AN711">
        <v>0</v>
      </c>
      <c r="AO711">
        <v>1</v>
      </c>
      <c r="AP711">
        <v>-1</v>
      </c>
      <c r="AQ711">
        <v>0</v>
      </c>
      <c r="AR711">
        <v>0</v>
      </c>
      <c r="AS711">
        <v>0</v>
      </c>
      <c r="AT711" t="s">
        <v>90</v>
      </c>
      <c r="AU711" s="1">
        <v>44207.710289351853</v>
      </c>
      <c r="AV711">
        <v>4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-1</v>
      </c>
      <c r="BC711">
        <v>0</v>
      </c>
      <c r="BD711">
        <v>0</v>
      </c>
      <c r="BE711">
        <v>0</v>
      </c>
    </row>
    <row r="712" spans="1:57" hidden="1" x14ac:dyDescent="0.45">
      <c r="A712" t="s">
        <v>1884</v>
      </c>
      <c r="B712" t="s">
        <v>79</v>
      </c>
      <c r="C712" t="s">
        <v>1876</v>
      </c>
      <c r="D712" t="s">
        <v>81</v>
      </c>
      <c r="E712" s="2" t="str">
        <f>HYPERLINK("capsilon://?command=openfolder&amp;siteaddress=FAM.docvelocity-na8.net&amp;folderid=FX0860BE9F-9F25-E1C6-90D9-25BCF2574AED","FX20127323")</f>
        <v>FX20127323</v>
      </c>
      <c r="F712" t="s">
        <v>19</v>
      </c>
      <c r="G712" t="s">
        <v>19</v>
      </c>
      <c r="H712" t="s">
        <v>82</v>
      </c>
      <c r="I712" t="s">
        <v>1885</v>
      </c>
      <c r="J712">
        <v>66</v>
      </c>
      <c r="K712" t="s">
        <v>84</v>
      </c>
      <c r="L712" t="s">
        <v>85</v>
      </c>
      <c r="M712" t="s">
        <v>86</v>
      </c>
      <c r="N712">
        <v>1</v>
      </c>
      <c r="O712" s="1">
        <v>44207.550358796296</v>
      </c>
      <c r="P712" s="1">
        <v>44207.555833333332</v>
      </c>
      <c r="Q712">
        <v>283</v>
      </c>
      <c r="R712">
        <v>190</v>
      </c>
      <c r="S712" t="b">
        <v>0</v>
      </c>
      <c r="T712" t="s">
        <v>87</v>
      </c>
      <c r="U712" t="b">
        <v>0</v>
      </c>
      <c r="V712" t="s">
        <v>179</v>
      </c>
      <c r="W712" s="1">
        <v>44207.555833333332</v>
      </c>
      <c r="X712">
        <v>190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66</v>
      </c>
      <c r="AE712">
        <v>52</v>
      </c>
      <c r="AF712">
        <v>0</v>
      </c>
      <c r="AG712">
        <v>1</v>
      </c>
      <c r="AH712" t="s">
        <v>87</v>
      </c>
      <c r="AI712" t="s">
        <v>87</v>
      </c>
      <c r="AJ712" t="s">
        <v>87</v>
      </c>
      <c r="AK712" t="s">
        <v>87</v>
      </c>
      <c r="AL712" t="s">
        <v>87</v>
      </c>
      <c r="AM712" t="s">
        <v>87</v>
      </c>
      <c r="AN712" t="s">
        <v>87</v>
      </c>
      <c r="AO712" t="s">
        <v>87</v>
      </c>
      <c r="AP712" t="s">
        <v>87</v>
      </c>
      <c r="AQ712" t="s">
        <v>87</v>
      </c>
      <c r="AR712" t="s">
        <v>87</v>
      </c>
      <c r="AS712" t="s">
        <v>87</v>
      </c>
      <c r="AT712" t="s">
        <v>87</v>
      </c>
      <c r="AU712" t="s">
        <v>87</v>
      </c>
      <c r="AV712" t="s">
        <v>87</v>
      </c>
      <c r="AW712" t="s">
        <v>87</v>
      </c>
      <c r="AX712" t="s">
        <v>87</v>
      </c>
      <c r="AY712" t="s">
        <v>87</v>
      </c>
      <c r="AZ712" t="s">
        <v>87</v>
      </c>
      <c r="BA712" t="s">
        <v>87</v>
      </c>
      <c r="BB712" t="s">
        <v>87</v>
      </c>
      <c r="BC712" t="s">
        <v>87</v>
      </c>
      <c r="BD712" t="s">
        <v>87</v>
      </c>
      <c r="BE712" t="s">
        <v>87</v>
      </c>
    </row>
    <row r="713" spans="1:57" x14ac:dyDescent="0.45">
      <c r="A713" t="s">
        <v>1886</v>
      </c>
      <c r="B713" t="s">
        <v>79</v>
      </c>
      <c r="C713" t="s">
        <v>1887</v>
      </c>
      <c r="D713" t="s">
        <v>81</v>
      </c>
      <c r="E713" s="2" t="str">
        <f>HYPERLINK("capsilon://?command=openfolder&amp;siteaddress=FAM.docvelocity-na8.net&amp;folderid=FX021EDB7D-623E-04B6-33FB-4D006857F15B","FX21013182")</f>
        <v>FX21013182</v>
      </c>
      <c r="F713" t="s">
        <v>19</v>
      </c>
      <c r="G713" t="s">
        <v>19</v>
      </c>
      <c r="H713" t="s">
        <v>82</v>
      </c>
      <c r="I713" t="s">
        <v>1888</v>
      </c>
      <c r="J713">
        <v>172</v>
      </c>
      <c r="K713" t="s">
        <v>84</v>
      </c>
      <c r="L713" t="s">
        <v>85</v>
      </c>
      <c r="M713" t="s">
        <v>86</v>
      </c>
      <c r="N713">
        <v>3</v>
      </c>
      <c r="O713" s="1">
        <v>44207.550729166665</v>
      </c>
      <c r="P713" s="1">
        <v>44207.71230324074</v>
      </c>
      <c r="Q713">
        <v>11530</v>
      </c>
      <c r="R713">
        <v>2430</v>
      </c>
      <c r="S713" t="b">
        <v>0</v>
      </c>
      <c r="T713" t="s">
        <v>87</v>
      </c>
      <c r="U713" t="b">
        <v>0</v>
      </c>
      <c r="V713" t="s">
        <v>179</v>
      </c>
      <c r="W713" s="1">
        <v>44207.576793981483</v>
      </c>
      <c r="X713">
        <v>1810</v>
      </c>
      <c r="Y713">
        <v>144</v>
      </c>
      <c r="Z713">
        <v>0</v>
      </c>
      <c r="AA713">
        <v>144</v>
      </c>
      <c r="AB713">
        <v>0</v>
      </c>
      <c r="AC713">
        <v>48</v>
      </c>
      <c r="AD713">
        <v>28</v>
      </c>
      <c r="AE713">
        <v>0</v>
      </c>
      <c r="AF713">
        <v>0</v>
      </c>
      <c r="AG713">
        <v>0</v>
      </c>
      <c r="AH713" t="s">
        <v>128</v>
      </c>
      <c r="AI713" s="1">
        <v>44207.582650462966</v>
      </c>
      <c r="AJ713">
        <v>447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28</v>
      </c>
      <c r="AQ713">
        <v>0</v>
      </c>
      <c r="AR713">
        <v>0</v>
      </c>
      <c r="AS713">
        <v>0</v>
      </c>
      <c r="AT713" t="s">
        <v>90</v>
      </c>
      <c r="AU713" s="1">
        <v>44207.71230324074</v>
      </c>
      <c r="AV713">
        <v>173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28</v>
      </c>
      <c r="BC713">
        <v>0</v>
      </c>
      <c r="BD713">
        <v>0</v>
      </c>
      <c r="BE713">
        <v>0</v>
      </c>
    </row>
    <row r="714" spans="1:57" hidden="1" x14ac:dyDescent="0.45">
      <c r="A714" t="s">
        <v>1889</v>
      </c>
      <c r="B714" t="s">
        <v>79</v>
      </c>
      <c r="C714" t="s">
        <v>1890</v>
      </c>
      <c r="D714" t="s">
        <v>81</v>
      </c>
      <c r="E714" s="2" t="str">
        <f>HYPERLINK("capsilon://?command=openfolder&amp;siteaddress=FAM.docvelocity-na8.net&amp;folderid=FXA2660F5D-D7CA-DD78-A601-1795C871FF8A","FX20126951")</f>
        <v>FX20126951</v>
      </c>
      <c r="F714" t="s">
        <v>19</v>
      </c>
      <c r="G714" t="s">
        <v>19</v>
      </c>
      <c r="H714" t="s">
        <v>82</v>
      </c>
      <c r="I714" t="s">
        <v>1891</v>
      </c>
      <c r="J714">
        <v>66</v>
      </c>
      <c r="K714" t="s">
        <v>84</v>
      </c>
      <c r="L714" t="s">
        <v>85</v>
      </c>
      <c r="M714" t="s">
        <v>86</v>
      </c>
      <c r="N714">
        <v>1</v>
      </c>
      <c r="O714" s="1">
        <v>44207.554872685185</v>
      </c>
      <c r="P714" s="1">
        <v>44207.56082175926</v>
      </c>
      <c r="Q714">
        <v>364</v>
      </c>
      <c r="R714">
        <v>150</v>
      </c>
      <c r="S714" t="b">
        <v>0</v>
      </c>
      <c r="T714" t="s">
        <v>87</v>
      </c>
      <c r="U714" t="b">
        <v>0</v>
      </c>
      <c r="V714" t="s">
        <v>255</v>
      </c>
      <c r="W714" s="1">
        <v>44207.56082175926</v>
      </c>
      <c r="X714">
        <v>150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66</v>
      </c>
      <c r="AE714">
        <v>52</v>
      </c>
      <c r="AF714">
        <v>0</v>
      </c>
      <c r="AG714">
        <v>1</v>
      </c>
      <c r="AH714" t="s">
        <v>87</v>
      </c>
      <c r="AI714" t="s">
        <v>87</v>
      </c>
      <c r="AJ714" t="s">
        <v>87</v>
      </c>
      <c r="AK714" t="s">
        <v>87</v>
      </c>
      <c r="AL714" t="s">
        <v>87</v>
      </c>
      <c r="AM714" t="s">
        <v>87</v>
      </c>
      <c r="AN714" t="s">
        <v>87</v>
      </c>
      <c r="AO714" t="s">
        <v>87</v>
      </c>
      <c r="AP714" t="s">
        <v>87</v>
      </c>
      <c r="AQ714" t="s">
        <v>87</v>
      </c>
      <c r="AR714" t="s">
        <v>87</v>
      </c>
      <c r="AS714" t="s">
        <v>87</v>
      </c>
      <c r="AT714" t="s">
        <v>87</v>
      </c>
      <c r="AU714" t="s">
        <v>87</v>
      </c>
      <c r="AV714" t="s">
        <v>87</v>
      </c>
      <c r="AW714" t="s">
        <v>87</v>
      </c>
      <c r="AX714" t="s">
        <v>87</v>
      </c>
      <c r="AY714" t="s">
        <v>87</v>
      </c>
      <c r="AZ714" t="s">
        <v>87</v>
      </c>
      <c r="BA714" t="s">
        <v>87</v>
      </c>
      <c r="BB714" t="s">
        <v>87</v>
      </c>
      <c r="BC714" t="s">
        <v>87</v>
      </c>
      <c r="BD714" t="s">
        <v>87</v>
      </c>
      <c r="BE714" t="s">
        <v>87</v>
      </c>
    </row>
    <row r="715" spans="1:57" x14ac:dyDescent="0.45">
      <c r="A715" t="s">
        <v>1892</v>
      </c>
      <c r="B715" t="s">
        <v>79</v>
      </c>
      <c r="C715" t="s">
        <v>1876</v>
      </c>
      <c r="D715" t="s">
        <v>81</v>
      </c>
      <c r="E715" s="2" t="str">
        <f>HYPERLINK("capsilon://?command=openfolder&amp;siteaddress=FAM.docvelocity-na8.net&amp;folderid=FX0860BE9F-9F25-E1C6-90D9-25BCF2574AED","FX20127323")</f>
        <v>FX20127323</v>
      </c>
      <c r="F715" t="s">
        <v>19</v>
      </c>
      <c r="G715" t="s">
        <v>19</v>
      </c>
      <c r="H715" t="s">
        <v>82</v>
      </c>
      <c r="I715" t="s">
        <v>1885</v>
      </c>
      <c r="J715">
        <v>38</v>
      </c>
      <c r="K715" t="s">
        <v>84</v>
      </c>
      <c r="L715" t="s">
        <v>85</v>
      </c>
      <c r="M715" t="s">
        <v>86</v>
      </c>
      <c r="N715">
        <v>3</v>
      </c>
      <c r="O715" s="1">
        <v>44207.556296296294</v>
      </c>
      <c r="P715" s="1">
        <v>44207.604942129627</v>
      </c>
      <c r="Q715">
        <v>2389</v>
      </c>
      <c r="R715">
        <v>1814</v>
      </c>
      <c r="S715" t="b">
        <v>0</v>
      </c>
      <c r="T715" t="s">
        <v>87</v>
      </c>
      <c r="U715" t="b">
        <v>1</v>
      </c>
      <c r="V715" t="s">
        <v>171</v>
      </c>
      <c r="W715" s="1">
        <v>44207.576990740738</v>
      </c>
      <c r="X715">
        <v>1460</v>
      </c>
      <c r="Y715">
        <v>37</v>
      </c>
      <c r="Z715">
        <v>0</v>
      </c>
      <c r="AA715">
        <v>37</v>
      </c>
      <c r="AB715">
        <v>0</v>
      </c>
      <c r="AC715">
        <v>33</v>
      </c>
      <c r="AD715">
        <v>1</v>
      </c>
      <c r="AE715">
        <v>0</v>
      </c>
      <c r="AF715">
        <v>0</v>
      </c>
      <c r="AG715">
        <v>0</v>
      </c>
      <c r="AH715" t="s">
        <v>267</v>
      </c>
      <c r="AI715" s="1">
        <v>44207.5780787037</v>
      </c>
      <c r="AJ715">
        <v>79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 t="s">
        <v>90</v>
      </c>
      <c r="AU715" s="1">
        <v>44207.604942129627</v>
      </c>
      <c r="AV715">
        <v>6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</row>
    <row r="716" spans="1:57" x14ac:dyDescent="0.45">
      <c r="A716" t="s">
        <v>1893</v>
      </c>
      <c r="B716" t="s">
        <v>79</v>
      </c>
      <c r="C716" t="s">
        <v>1894</v>
      </c>
      <c r="D716" t="s">
        <v>81</v>
      </c>
      <c r="E716" s="2" t="str">
        <f>HYPERLINK("capsilon://?command=openfolder&amp;siteaddress=FAM.docvelocity-na8.net&amp;folderid=FX5533E2E3-38B5-ABE2-D8DA-EC494CC394C1","FX201225718")</f>
        <v>FX201225718</v>
      </c>
      <c r="F716" t="s">
        <v>19</v>
      </c>
      <c r="G716" t="s">
        <v>19</v>
      </c>
      <c r="H716" t="s">
        <v>82</v>
      </c>
      <c r="I716" t="s">
        <v>1895</v>
      </c>
      <c r="J716">
        <v>26</v>
      </c>
      <c r="K716" t="s">
        <v>84</v>
      </c>
      <c r="L716" t="s">
        <v>85</v>
      </c>
      <c r="M716" t="s">
        <v>86</v>
      </c>
      <c r="N716">
        <v>3</v>
      </c>
      <c r="O716" s="1">
        <v>44207.55672453704</v>
      </c>
      <c r="P716" s="1">
        <v>44207.712361111109</v>
      </c>
      <c r="Q716">
        <v>13060</v>
      </c>
      <c r="R716">
        <v>387</v>
      </c>
      <c r="S716" t="b">
        <v>0</v>
      </c>
      <c r="T716" t="s">
        <v>87</v>
      </c>
      <c r="U716" t="b">
        <v>0</v>
      </c>
      <c r="V716" t="s">
        <v>168</v>
      </c>
      <c r="W716" s="1">
        <v>44207.563379629632</v>
      </c>
      <c r="X716">
        <v>325</v>
      </c>
      <c r="Y716">
        <v>21</v>
      </c>
      <c r="Z716">
        <v>0</v>
      </c>
      <c r="AA716">
        <v>21</v>
      </c>
      <c r="AB716">
        <v>0</v>
      </c>
      <c r="AC716">
        <v>17</v>
      </c>
      <c r="AD716">
        <v>5</v>
      </c>
      <c r="AE716">
        <v>0</v>
      </c>
      <c r="AF716">
        <v>0</v>
      </c>
      <c r="AG716">
        <v>0</v>
      </c>
      <c r="AH716" t="s">
        <v>267</v>
      </c>
      <c r="AI716" s="1">
        <v>44207.578761574077</v>
      </c>
      <c r="AJ716">
        <v>58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5</v>
      </c>
      <c r="AQ716">
        <v>0</v>
      </c>
      <c r="AR716">
        <v>0</v>
      </c>
      <c r="AS716">
        <v>0</v>
      </c>
      <c r="AT716" t="s">
        <v>90</v>
      </c>
      <c r="AU716" s="1">
        <v>44207.712361111109</v>
      </c>
      <c r="AV716">
        <v>4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5</v>
      </c>
      <c r="BC716">
        <v>0</v>
      </c>
      <c r="BD716">
        <v>0</v>
      </c>
      <c r="BE716">
        <v>0</v>
      </c>
    </row>
    <row r="717" spans="1:57" x14ac:dyDescent="0.45">
      <c r="A717" t="s">
        <v>1896</v>
      </c>
      <c r="B717" t="s">
        <v>79</v>
      </c>
      <c r="C717" t="s">
        <v>1851</v>
      </c>
      <c r="D717" t="s">
        <v>81</v>
      </c>
      <c r="E717" s="2" t="str">
        <f>HYPERLINK("capsilon://?command=openfolder&amp;siteaddress=FAM.docvelocity-na8.net&amp;folderid=FXCFEF6669-67EC-0427-29AE-AB5770F6D5CD","FX201227196")</f>
        <v>FX201227196</v>
      </c>
      <c r="F717" t="s">
        <v>19</v>
      </c>
      <c r="G717" t="s">
        <v>19</v>
      </c>
      <c r="H717" t="s">
        <v>82</v>
      </c>
      <c r="I717" t="s">
        <v>1852</v>
      </c>
      <c r="J717">
        <v>66</v>
      </c>
      <c r="K717" t="s">
        <v>84</v>
      </c>
      <c r="L717" t="s">
        <v>85</v>
      </c>
      <c r="M717" t="s">
        <v>86</v>
      </c>
      <c r="N717">
        <v>3</v>
      </c>
      <c r="O717" s="1">
        <v>44207.557337962964</v>
      </c>
      <c r="P717" s="1">
        <v>44207.661354166667</v>
      </c>
      <c r="Q717">
        <v>7401</v>
      </c>
      <c r="R717">
        <v>1586</v>
      </c>
      <c r="S717" t="b">
        <v>0</v>
      </c>
      <c r="T717" t="s">
        <v>87</v>
      </c>
      <c r="U717" t="b">
        <v>1</v>
      </c>
      <c r="V717" t="s">
        <v>262</v>
      </c>
      <c r="W717" s="1">
        <v>44207.572245370371</v>
      </c>
      <c r="X717">
        <v>1271</v>
      </c>
      <c r="Y717">
        <v>52</v>
      </c>
      <c r="Z717">
        <v>0</v>
      </c>
      <c r="AA717">
        <v>52</v>
      </c>
      <c r="AB717">
        <v>0</v>
      </c>
      <c r="AC717">
        <v>43</v>
      </c>
      <c r="AD717">
        <v>14</v>
      </c>
      <c r="AE717">
        <v>0</v>
      </c>
      <c r="AF717">
        <v>0</v>
      </c>
      <c r="AG717">
        <v>0</v>
      </c>
      <c r="AH717" t="s">
        <v>128</v>
      </c>
      <c r="AI717" s="1">
        <v>44207.575208333335</v>
      </c>
      <c r="AJ717">
        <v>244</v>
      </c>
      <c r="AK717">
        <v>1</v>
      </c>
      <c r="AL717">
        <v>0</v>
      </c>
      <c r="AM717">
        <v>1</v>
      </c>
      <c r="AN717">
        <v>0</v>
      </c>
      <c r="AO717">
        <v>1</v>
      </c>
      <c r="AP717">
        <v>13</v>
      </c>
      <c r="AQ717">
        <v>0</v>
      </c>
      <c r="AR717">
        <v>0</v>
      </c>
      <c r="AS717">
        <v>0</v>
      </c>
      <c r="AT717" t="s">
        <v>549</v>
      </c>
      <c r="AU717" s="1">
        <v>44207.661354166667</v>
      </c>
      <c r="AV717">
        <v>51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13</v>
      </c>
      <c r="BC717">
        <v>0</v>
      </c>
      <c r="BD717">
        <v>0</v>
      </c>
      <c r="BE717">
        <v>0</v>
      </c>
    </row>
    <row r="718" spans="1:57" x14ac:dyDescent="0.45">
      <c r="A718" t="s">
        <v>1897</v>
      </c>
      <c r="B718" t="s">
        <v>79</v>
      </c>
      <c r="C718" t="s">
        <v>1898</v>
      </c>
      <c r="D718" t="s">
        <v>81</v>
      </c>
      <c r="E718" s="2" t="str">
        <f>HYPERLINK("capsilon://?command=openfolder&amp;siteaddress=FAM.docvelocity-na8.net&amp;folderid=FX1255F96A-A839-EE0D-E3EF-8EE2058FFE33","FX201016049")</f>
        <v>FX201016049</v>
      </c>
      <c r="F718" t="s">
        <v>19</v>
      </c>
      <c r="G718" t="s">
        <v>19</v>
      </c>
      <c r="H718" t="s">
        <v>82</v>
      </c>
      <c r="I718" t="s">
        <v>1899</v>
      </c>
      <c r="J718">
        <v>199</v>
      </c>
      <c r="K718" t="s">
        <v>84</v>
      </c>
      <c r="L718" t="s">
        <v>85</v>
      </c>
      <c r="M718" t="s">
        <v>86</v>
      </c>
      <c r="N718">
        <v>3</v>
      </c>
      <c r="O718" s="1">
        <v>44207.558148148149</v>
      </c>
      <c r="P718" s="1">
        <v>44207.713784722226</v>
      </c>
      <c r="Q718">
        <v>11944</v>
      </c>
      <c r="R718">
        <v>1503</v>
      </c>
      <c r="S718" t="b">
        <v>0</v>
      </c>
      <c r="T718" t="s">
        <v>87</v>
      </c>
      <c r="U718" t="b">
        <v>0</v>
      </c>
      <c r="V718" t="s">
        <v>160</v>
      </c>
      <c r="W718" s="1">
        <v>44207.574004629627</v>
      </c>
      <c r="X718">
        <v>1189</v>
      </c>
      <c r="Y718">
        <v>153</v>
      </c>
      <c r="Z718">
        <v>0</v>
      </c>
      <c r="AA718">
        <v>153</v>
      </c>
      <c r="AB718">
        <v>0</v>
      </c>
      <c r="AC718">
        <v>49</v>
      </c>
      <c r="AD718">
        <v>46</v>
      </c>
      <c r="AE718">
        <v>0</v>
      </c>
      <c r="AF718">
        <v>0</v>
      </c>
      <c r="AG718">
        <v>0</v>
      </c>
      <c r="AH718" t="s">
        <v>267</v>
      </c>
      <c r="AI718" s="1">
        <v>44207.580983796295</v>
      </c>
      <c r="AJ718">
        <v>192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46</v>
      </c>
      <c r="AQ718">
        <v>0</v>
      </c>
      <c r="AR718">
        <v>0</v>
      </c>
      <c r="AS718">
        <v>0</v>
      </c>
      <c r="AT718" t="s">
        <v>90</v>
      </c>
      <c r="AU718" s="1">
        <v>44207.713784722226</v>
      </c>
      <c r="AV718">
        <v>122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46</v>
      </c>
      <c r="BC718">
        <v>0</v>
      </c>
      <c r="BD718">
        <v>0</v>
      </c>
      <c r="BE718">
        <v>0</v>
      </c>
    </row>
    <row r="719" spans="1:57" x14ac:dyDescent="0.45">
      <c r="A719" t="s">
        <v>1900</v>
      </c>
      <c r="B719" t="s">
        <v>79</v>
      </c>
      <c r="C719" t="s">
        <v>1901</v>
      </c>
      <c r="D719" t="s">
        <v>81</v>
      </c>
      <c r="E719" s="2" t="str">
        <f>HYPERLINK("capsilon://?command=openfolder&amp;siteaddress=FAM.docvelocity-na8.net&amp;folderid=FX25FD2389-E8D7-8457-FD88-5D23D9A03A03","FX21014687")</f>
        <v>FX21014687</v>
      </c>
      <c r="F719" t="s">
        <v>19</v>
      </c>
      <c r="G719" t="s">
        <v>19</v>
      </c>
      <c r="H719" t="s">
        <v>82</v>
      </c>
      <c r="I719" t="s">
        <v>1902</v>
      </c>
      <c r="J719">
        <v>76</v>
      </c>
      <c r="K719" t="s">
        <v>84</v>
      </c>
      <c r="L719" t="s">
        <v>85</v>
      </c>
      <c r="M719" t="s">
        <v>86</v>
      </c>
      <c r="N719">
        <v>3</v>
      </c>
      <c r="O719" s="1">
        <v>44207.55841435185</v>
      </c>
      <c r="P719" s="1">
        <v>44207.713055555556</v>
      </c>
      <c r="Q719">
        <v>11860</v>
      </c>
      <c r="R719">
        <v>1501</v>
      </c>
      <c r="S719" t="b">
        <v>0</v>
      </c>
      <c r="T719" t="s">
        <v>87</v>
      </c>
      <c r="U719" t="b">
        <v>0</v>
      </c>
      <c r="V719" t="s">
        <v>255</v>
      </c>
      <c r="W719" s="1">
        <v>44207.576689814814</v>
      </c>
      <c r="X719">
        <v>1370</v>
      </c>
      <c r="Y719">
        <v>74</v>
      </c>
      <c r="Z719">
        <v>0</v>
      </c>
      <c r="AA719">
        <v>74</v>
      </c>
      <c r="AB719">
        <v>0</v>
      </c>
      <c r="AC719">
        <v>27</v>
      </c>
      <c r="AD719">
        <v>2</v>
      </c>
      <c r="AE719">
        <v>0</v>
      </c>
      <c r="AF719">
        <v>0</v>
      </c>
      <c r="AG719">
        <v>0</v>
      </c>
      <c r="AH719" t="s">
        <v>267</v>
      </c>
      <c r="AI719" s="1">
        <v>44207.582372685189</v>
      </c>
      <c r="AJ719">
        <v>119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2</v>
      </c>
      <c r="AQ719">
        <v>0</v>
      </c>
      <c r="AR719">
        <v>0</v>
      </c>
      <c r="AS719">
        <v>0</v>
      </c>
      <c r="AT719" t="s">
        <v>549</v>
      </c>
      <c r="AU719" s="1">
        <v>44207.713055555556</v>
      </c>
      <c r="AV719">
        <v>12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2</v>
      </c>
      <c r="BC719">
        <v>0</v>
      </c>
      <c r="BD719">
        <v>0</v>
      </c>
      <c r="BE719">
        <v>0</v>
      </c>
    </row>
    <row r="720" spans="1:57" x14ac:dyDescent="0.45">
      <c r="A720" t="s">
        <v>1903</v>
      </c>
      <c r="B720" t="s">
        <v>79</v>
      </c>
      <c r="C720" t="s">
        <v>1904</v>
      </c>
      <c r="D720" t="s">
        <v>81</v>
      </c>
      <c r="E720" s="2" t="str">
        <f>HYPERLINK("capsilon://?command=openfolder&amp;siteaddress=FAM.docvelocity-na8.net&amp;folderid=FX04E65871-9792-89EC-D3A6-1A022FF69598","FX21012565")</f>
        <v>FX21012565</v>
      </c>
      <c r="F720" t="s">
        <v>19</v>
      </c>
      <c r="G720" t="s">
        <v>19</v>
      </c>
      <c r="H720" t="s">
        <v>82</v>
      </c>
      <c r="I720" t="s">
        <v>1905</v>
      </c>
      <c r="J720">
        <v>88</v>
      </c>
      <c r="K720" t="s">
        <v>84</v>
      </c>
      <c r="L720" t="s">
        <v>85</v>
      </c>
      <c r="M720" t="s">
        <v>86</v>
      </c>
      <c r="N720">
        <v>3</v>
      </c>
      <c r="O720" s="1">
        <v>44207.558472222219</v>
      </c>
      <c r="P720" s="1">
        <v>44207.715277777781</v>
      </c>
      <c r="Q720">
        <v>10581</v>
      </c>
      <c r="R720">
        <v>2967</v>
      </c>
      <c r="S720" t="b">
        <v>0</v>
      </c>
      <c r="T720" t="s">
        <v>87</v>
      </c>
      <c r="U720" t="b">
        <v>0</v>
      </c>
      <c r="V720" t="s">
        <v>242</v>
      </c>
      <c r="W720" s="1">
        <v>44207.593287037038</v>
      </c>
      <c r="X720">
        <v>2397</v>
      </c>
      <c r="Y720">
        <v>92</v>
      </c>
      <c r="Z720">
        <v>0</v>
      </c>
      <c r="AA720">
        <v>92</v>
      </c>
      <c r="AB720">
        <v>0</v>
      </c>
      <c r="AC720">
        <v>78</v>
      </c>
      <c r="AD720">
        <v>-4</v>
      </c>
      <c r="AE720">
        <v>0</v>
      </c>
      <c r="AF720">
        <v>0</v>
      </c>
      <c r="AG720">
        <v>0</v>
      </c>
      <c r="AH720" t="s">
        <v>267</v>
      </c>
      <c r="AI720" s="1">
        <v>44207.597685185188</v>
      </c>
      <c r="AJ720">
        <v>378</v>
      </c>
      <c r="AK720">
        <v>4</v>
      </c>
      <c r="AL720">
        <v>0</v>
      </c>
      <c r="AM720">
        <v>4</v>
      </c>
      <c r="AN720">
        <v>0</v>
      </c>
      <c r="AO720">
        <v>3</v>
      </c>
      <c r="AP720">
        <v>-8</v>
      </c>
      <c r="AQ720">
        <v>0</v>
      </c>
      <c r="AR720">
        <v>0</v>
      </c>
      <c r="AS720">
        <v>0</v>
      </c>
      <c r="AT720" t="s">
        <v>549</v>
      </c>
      <c r="AU720" s="1">
        <v>44207.715277777781</v>
      </c>
      <c r="AV720">
        <v>192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-8</v>
      </c>
      <c r="BC720">
        <v>0</v>
      </c>
      <c r="BD720">
        <v>0</v>
      </c>
      <c r="BE720">
        <v>0</v>
      </c>
    </row>
    <row r="721" spans="1:57" x14ac:dyDescent="0.45">
      <c r="A721" t="s">
        <v>1906</v>
      </c>
      <c r="B721" t="s">
        <v>79</v>
      </c>
      <c r="C721" t="s">
        <v>1907</v>
      </c>
      <c r="D721" t="s">
        <v>81</v>
      </c>
      <c r="E721" s="2" t="str">
        <f>HYPERLINK("capsilon://?command=openfolder&amp;siteaddress=FAM.docvelocity-na8.net&amp;folderid=FX390FA58A-E981-19BB-CAC0-4A4422CF1AE1","FX201223462")</f>
        <v>FX201223462</v>
      </c>
      <c r="F721" t="s">
        <v>19</v>
      </c>
      <c r="G721" t="s">
        <v>19</v>
      </c>
      <c r="H721" t="s">
        <v>82</v>
      </c>
      <c r="I721" t="s">
        <v>1908</v>
      </c>
      <c r="J721">
        <v>66</v>
      </c>
      <c r="K721" t="s">
        <v>84</v>
      </c>
      <c r="L721" t="s">
        <v>85</v>
      </c>
      <c r="M721" t="s">
        <v>86</v>
      </c>
      <c r="N721">
        <v>3</v>
      </c>
      <c r="O721" s="1">
        <v>44207.558912037035</v>
      </c>
      <c r="P721" s="1">
        <v>44207.713877314818</v>
      </c>
      <c r="Q721">
        <v>11141</v>
      </c>
      <c r="R721">
        <v>2248</v>
      </c>
      <c r="S721" t="b">
        <v>0</v>
      </c>
      <c r="T721" t="s">
        <v>87</v>
      </c>
      <c r="U721" t="b">
        <v>0</v>
      </c>
      <c r="V721" t="s">
        <v>168</v>
      </c>
      <c r="W721" s="1">
        <v>44207.591886574075</v>
      </c>
      <c r="X721">
        <v>1835</v>
      </c>
      <c r="Y721">
        <v>52</v>
      </c>
      <c r="Z721">
        <v>0</v>
      </c>
      <c r="AA721">
        <v>52</v>
      </c>
      <c r="AB721">
        <v>0</v>
      </c>
      <c r="AC721">
        <v>37</v>
      </c>
      <c r="AD721">
        <v>14</v>
      </c>
      <c r="AE721">
        <v>0</v>
      </c>
      <c r="AF721">
        <v>0</v>
      </c>
      <c r="AG721">
        <v>0</v>
      </c>
      <c r="AH721" t="s">
        <v>128</v>
      </c>
      <c r="AI721" s="1">
        <v>44207.596886574072</v>
      </c>
      <c r="AJ721">
        <v>405</v>
      </c>
      <c r="AK721">
        <v>4</v>
      </c>
      <c r="AL721">
        <v>0</v>
      </c>
      <c r="AM721">
        <v>4</v>
      </c>
      <c r="AN721">
        <v>0</v>
      </c>
      <c r="AO721">
        <v>4</v>
      </c>
      <c r="AP721">
        <v>10</v>
      </c>
      <c r="AQ721">
        <v>0</v>
      </c>
      <c r="AR721">
        <v>0</v>
      </c>
      <c r="AS721">
        <v>0</v>
      </c>
      <c r="AT721" t="s">
        <v>90</v>
      </c>
      <c r="AU721" s="1">
        <v>44207.713877314818</v>
      </c>
      <c r="AV721">
        <v>8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10</v>
      </c>
      <c r="BC721">
        <v>0</v>
      </c>
      <c r="BD721">
        <v>0</v>
      </c>
      <c r="BE721">
        <v>0</v>
      </c>
    </row>
    <row r="722" spans="1:57" hidden="1" x14ac:dyDescent="0.45">
      <c r="A722" t="s">
        <v>1909</v>
      </c>
      <c r="B722" t="s">
        <v>79</v>
      </c>
      <c r="C722" t="s">
        <v>1149</v>
      </c>
      <c r="D722" t="s">
        <v>81</v>
      </c>
      <c r="E722" s="2" t="str">
        <f>HYPERLINK("capsilon://?command=openfolder&amp;siteaddress=FAM.docvelocity-na8.net&amp;folderid=FXF5CA5CD7-5FC7-2730-9CFE-0F9165670136","FX201116794")</f>
        <v>FX201116794</v>
      </c>
      <c r="F722" t="s">
        <v>19</v>
      </c>
      <c r="G722" t="s">
        <v>19</v>
      </c>
      <c r="H722" t="s">
        <v>82</v>
      </c>
      <c r="I722" t="s">
        <v>1910</v>
      </c>
      <c r="J722">
        <v>66</v>
      </c>
      <c r="K722" t="s">
        <v>84</v>
      </c>
      <c r="L722" t="s">
        <v>85</v>
      </c>
      <c r="M722" t="s">
        <v>86</v>
      </c>
      <c r="N722">
        <v>3</v>
      </c>
      <c r="O722" s="1">
        <v>44207.558958333335</v>
      </c>
      <c r="P722" s="1">
        <v>44207.713935185187</v>
      </c>
      <c r="Q722">
        <v>13238</v>
      </c>
      <c r="R722">
        <v>152</v>
      </c>
      <c r="S722" t="b">
        <v>0</v>
      </c>
      <c r="T722" t="s">
        <v>87</v>
      </c>
      <c r="U722" t="b">
        <v>0</v>
      </c>
      <c r="V722" t="s">
        <v>262</v>
      </c>
      <c r="W722" s="1">
        <v>44207.573645833334</v>
      </c>
      <c r="X722">
        <v>120</v>
      </c>
      <c r="Y722">
        <v>0</v>
      </c>
      <c r="Z722">
        <v>0</v>
      </c>
      <c r="AA722">
        <v>0</v>
      </c>
      <c r="AB722">
        <v>52</v>
      </c>
      <c r="AC722">
        <v>0</v>
      </c>
      <c r="AD722">
        <v>66</v>
      </c>
      <c r="AE722">
        <v>0</v>
      </c>
      <c r="AF722">
        <v>0</v>
      </c>
      <c r="AG722">
        <v>0</v>
      </c>
      <c r="AH722" t="s">
        <v>267</v>
      </c>
      <c r="AI722" s="1">
        <v>44207.582696759258</v>
      </c>
      <c r="AJ722">
        <v>28</v>
      </c>
      <c r="AK722">
        <v>0</v>
      </c>
      <c r="AL722">
        <v>0</v>
      </c>
      <c r="AM722">
        <v>0</v>
      </c>
      <c r="AN722">
        <v>52</v>
      </c>
      <c r="AO722">
        <v>0</v>
      </c>
      <c r="AP722">
        <v>66</v>
      </c>
      <c r="AQ722">
        <v>0</v>
      </c>
      <c r="AR722">
        <v>0</v>
      </c>
      <c r="AS722">
        <v>0</v>
      </c>
      <c r="AT722" t="s">
        <v>90</v>
      </c>
      <c r="AU722" s="1">
        <v>44207.713935185187</v>
      </c>
      <c r="AV722">
        <v>4</v>
      </c>
      <c r="AW722">
        <v>0</v>
      </c>
      <c r="AX722">
        <v>0</v>
      </c>
      <c r="AY722">
        <v>0</v>
      </c>
      <c r="AZ722">
        <v>52</v>
      </c>
      <c r="BA722">
        <v>0</v>
      </c>
      <c r="BB722">
        <v>66</v>
      </c>
      <c r="BC722">
        <v>0</v>
      </c>
      <c r="BD722">
        <v>0</v>
      </c>
      <c r="BE722">
        <v>0</v>
      </c>
    </row>
    <row r="723" spans="1:57" hidden="1" x14ac:dyDescent="0.45">
      <c r="A723" t="s">
        <v>1911</v>
      </c>
      <c r="B723" t="s">
        <v>79</v>
      </c>
      <c r="C723" t="s">
        <v>1149</v>
      </c>
      <c r="D723" t="s">
        <v>81</v>
      </c>
      <c r="E723" s="2" t="str">
        <f>HYPERLINK("capsilon://?command=openfolder&amp;siteaddress=FAM.docvelocity-na8.net&amp;folderid=FXF5CA5CD7-5FC7-2730-9CFE-0F9165670136","FX201116794")</f>
        <v>FX201116794</v>
      </c>
      <c r="F723" t="s">
        <v>19</v>
      </c>
      <c r="G723" t="s">
        <v>19</v>
      </c>
      <c r="H723" t="s">
        <v>82</v>
      </c>
      <c r="I723" t="s">
        <v>1912</v>
      </c>
      <c r="J723">
        <v>66</v>
      </c>
      <c r="K723" t="s">
        <v>84</v>
      </c>
      <c r="L723" t="s">
        <v>85</v>
      </c>
      <c r="M723" t="s">
        <v>86</v>
      </c>
      <c r="N723">
        <v>3</v>
      </c>
      <c r="O723" s="1">
        <v>44207.559224537035</v>
      </c>
      <c r="P723" s="1">
        <v>44207.713969907411</v>
      </c>
      <c r="Q723">
        <v>13003</v>
      </c>
      <c r="R723">
        <v>367</v>
      </c>
      <c r="S723" t="b">
        <v>0</v>
      </c>
      <c r="T723" t="s">
        <v>87</v>
      </c>
      <c r="U723" t="b">
        <v>0</v>
      </c>
      <c r="V723" t="s">
        <v>146</v>
      </c>
      <c r="W723" s="1">
        <v>44207.575810185182</v>
      </c>
      <c r="X723">
        <v>292</v>
      </c>
      <c r="Y723">
        <v>0</v>
      </c>
      <c r="Z723">
        <v>0</v>
      </c>
      <c r="AA723">
        <v>0</v>
      </c>
      <c r="AB723">
        <v>52</v>
      </c>
      <c r="AC723">
        <v>0</v>
      </c>
      <c r="AD723">
        <v>66</v>
      </c>
      <c r="AE723">
        <v>0</v>
      </c>
      <c r="AF723">
        <v>0</v>
      </c>
      <c r="AG723">
        <v>0</v>
      </c>
      <c r="AH723" t="s">
        <v>128</v>
      </c>
      <c r="AI723" s="1">
        <v>44207.583483796298</v>
      </c>
      <c r="AJ723">
        <v>72</v>
      </c>
      <c r="AK723">
        <v>0</v>
      </c>
      <c r="AL723">
        <v>0</v>
      </c>
      <c r="AM723">
        <v>0</v>
      </c>
      <c r="AN723">
        <v>52</v>
      </c>
      <c r="AO723">
        <v>0</v>
      </c>
      <c r="AP723">
        <v>66</v>
      </c>
      <c r="AQ723">
        <v>0</v>
      </c>
      <c r="AR723">
        <v>0</v>
      </c>
      <c r="AS723">
        <v>0</v>
      </c>
      <c r="AT723" t="s">
        <v>90</v>
      </c>
      <c r="AU723" s="1">
        <v>44207.713969907411</v>
      </c>
      <c r="AV723">
        <v>3</v>
      </c>
      <c r="AW723">
        <v>0</v>
      </c>
      <c r="AX723">
        <v>0</v>
      </c>
      <c r="AY723">
        <v>0</v>
      </c>
      <c r="AZ723">
        <v>52</v>
      </c>
      <c r="BA723">
        <v>0</v>
      </c>
      <c r="BB723">
        <v>66</v>
      </c>
      <c r="BC723">
        <v>0</v>
      </c>
      <c r="BD723">
        <v>0</v>
      </c>
      <c r="BE723">
        <v>0</v>
      </c>
    </row>
    <row r="724" spans="1:57" hidden="1" x14ac:dyDescent="0.45">
      <c r="A724" t="s">
        <v>1913</v>
      </c>
      <c r="B724" t="s">
        <v>79</v>
      </c>
      <c r="C724" t="s">
        <v>1149</v>
      </c>
      <c r="D724" t="s">
        <v>81</v>
      </c>
      <c r="E724" s="2" t="str">
        <f>HYPERLINK("capsilon://?command=openfolder&amp;siteaddress=FAM.docvelocity-na8.net&amp;folderid=FXF5CA5CD7-5FC7-2730-9CFE-0F9165670136","FX201116794")</f>
        <v>FX201116794</v>
      </c>
      <c r="F724" t="s">
        <v>19</v>
      </c>
      <c r="G724" t="s">
        <v>19</v>
      </c>
      <c r="H724" t="s">
        <v>82</v>
      </c>
      <c r="I724" t="s">
        <v>1914</v>
      </c>
      <c r="J724">
        <v>66</v>
      </c>
      <c r="K724" t="s">
        <v>84</v>
      </c>
      <c r="L724" t="s">
        <v>85</v>
      </c>
      <c r="M724" t="s">
        <v>86</v>
      </c>
      <c r="N724">
        <v>3</v>
      </c>
      <c r="O724" s="1">
        <v>44207.561064814814</v>
      </c>
      <c r="P724" s="1">
        <v>44207.714004629626</v>
      </c>
      <c r="Q724">
        <v>13130</v>
      </c>
      <c r="R724">
        <v>84</v>
      </c>
      <c r="S724" t="b">
        <v>0</v>
      </c>
      <c r="T724" t="s">
        <v>87</v>
      </c>
      <c r="U724" t="b">
        <v>0</v>
      </c>
      <c r="V724" t="s">
        <v>262</v>
      </c>
      <c r="W724" s="1">
        <v>44207.57435185185</v>
      </c>
      <c r="X724">
        <v>60</v>
      </c>
      <c r="Y724">
        <v>0</v>
      </c>
      <c r="Z724">
        <v>0</v>
      </c>
      <c r="AA724">
        <v>0</v>
      </c>
      <c r="AB724">
        <v>52</v>
      </c>
      <c r="AC724">
        <v>1</v>
      </c>
      <c r="AD724">
        <v>66</v>
      </c>
      <c r="AE724">
        <v>0</v>
      </c>
      <c r="AF724">
        <v>0</v>
      </c>
      <c r="AG724">
        <v>0</v>
      </c>
      <c r="AH724" t="s">
        <v>267</v>
      </c>
      <c r="AI724" s="1">
        <v>44207.582951388889</v>
      </c>
      <c r="AJ724">
        <v>22</v>
      </c>
      <c r="AK724">
        <v>0</v>
      </c>
      <c r="AL724">
        <v>0</v>
      </c>
      <c r="AM724">
        <v>0</v>
      </c>
      <c r="AN724">
        <v>52</v>
      </c>
      <c r="AO724">
        <v>0</v>
      </c>
      <c r="AP724">
        <v>66</v>
      </c>
      <c r="AQ724">
        <v>0</v>
      </c>
      <c r="AR724">
        <v>0</v>
      </c>
      <c r="AS724">
        <v>0</v>
      </c>
      <c r="AT724" t="s">
        <v>90</v>
      </c>
      <c r="AU724" s="1">
        <v>44207.714004629626</v>
      </c>
      <c r="AV724">
        <v>2</v>
      </c>
      <c r="AW724">
        <v>0</v>
      </c>
      <c r="AX724">
        <v>0</v>
      </c>
      <c r="AY724">
        <v>0</v>
      </c>
      <c r="AZ724">
        <v>52</v>
      </c>
      <c r="BA724">
        <v>0</v>
      </c>
      <c r="BB724">
        <v>66</v>
      </c>
      <c r="BC724">
        <v>0</v>
      </c>
      <c r="BD724">
        <v>0</v>
      </c>
      <c r="BE724">
        <v>0</v>
      </c>
    </row>
    <row r="725" spans="1:57" x14ac:dyDescent="0.45">
      <c r="A725" t="s">
        <v>1915</v>
      </c>
      <c r="B725" t="s">
        <v>79</v>
      </c>
      <c r="C725" t="s">
        <v>1890</v>
      </c>
      <c r="D725" t="s">
        <v>81</v>
      </c>
      <c r="E725" s="2" t="str">
        <f>HYPERLINK("capsilon://?command=openfolder&amp;siteaddress=FAM.docvelocity-na8.net&amp;folderid=FXA2660F5D-D7CA-DD78-A601-1795C871FF8A","FX20126951")</f>
        <v>FX20126951</v>
      </c>
      <c r="F725" t="s">
        <v>19</v>
      </c>
      <c r="G725" t="s">
        <v>19</v>
      </c>
      <c r="H725" t="s">
        <v>82</v>
      </c>
      <c r="I725" t="s">
        <v>1891</v>
      </c>
      <c r="J725">
        <v>38</v>
      </c>
      <c r="K725" t="s">
        <v>84</v>
      </c>
      <c r="L725" t="s">
        <v>85</v>
      </c>
      <c r="M725" t="s">
        <v>86</v>
      </c>
      <c r="N725">
        <v>3</v>
      </c>
      <c r="O725" s="1">
        <v>44207.561168981483</v>
      </c>
      <c r="P725" s="1">
        <v>44207.661458333336</v>
      </c>
      <c r="Q725">
        <v>7897</v>
      </c>
      <c r="R725">
        <v>768</v>
      </c>
      <c r="S725" t="b">
        <v>0</v>
      </c>
      <c r="T725" t="s">
        <v>87</v>
      </c>
      <c r="U725" t="b">
        <v>1</v>
      </c>
      <c r="V725" t="s">
        <v>168</v>
      </c>
      <c r="W725" s="1">
        <v>44207.570636574077</v>
      </c>
      <c r="X725">
        <v>626</v>
      </c>
      <c r="Y725">
        <v>37</v>
      </c>
      <c r="Z725">
        <v>0</v>
      </c>
      <c r="AA725">
        <v>37</v>
      </c>
      <c r="AB725">
        <v>0</v>
      </c>
      <c r="AC725">
        <v>26</v>
      </c>
      <c r="AD725">
        <v>1</v>
      </c>
      <c r="AE725">
        <v>0</v>
      </c>
      <c r="AF725">
        <v>0</v>
      </c>
      <c r="AG725">
        <v>0</v>
      </c>
      <c r="AH725" t="s">
        <v>128</v>
      </c>
      <c r="AI725" s="1">
        <v>44207.572372685187</v>
      </c>
      <c r="AJ725">
        <v>134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 t="s">
        <v>549</v>
      </c>
      <c r="AU725" s="1">
        <v>44207.661458333336</v>
      </c>
      <c r="AV725">
        <v>8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0</v>
      </c>
    </row>
    <row r="726" spans="1:57" x14ac:dyDescent="0.45">
      <c r="A726" t="s">
        <v>1916</v>
      </c>
      <c r="B726" t="s">
        <v>79</v>
      </c>
      <c r="C726" t="s">
        <v>1917</v>
      </c>
      <c r="D726" t="s">
        <v>81</v>
      </c>
      <c r="E726" s="2" t="str">
        <f>HYPERLINK("capsilon://?command=openfolder&amp;siteaddress=FAM.docvelocity-na8.net&amp;folderid=FX3C64C6B0-E18B-5B0D-8C9F-8B425AA49CA1","FX201224316")</f>
        <v>FX201224316</v>
      </c>
      <c r="F726" t="s">
        <v>19</v>
      </c>
      <c r="G726" t="s">
        <v>19</v>
      </c>
      <c r="H726" t="s">
        <v>82</v>
      </c>
      <c r="I726" t="s">
        <v>1918</v>
      </c>
      <c r="J726">
        <v>38</v>
      </c>
      <c r="K726" t="s">
        <v>84</v>
      </c>
      <c r="L726" t="s">
        <v>85</v>
      </c>
      <c r="M726" t="s">
        <v>86</v>
      </c>
      <c r="N726">
        <v>3</v>
      </c>
      <c r="O726" s="1">
        <v>44207.565937500003</v>
      </c>
      <c r="P726" s="1">
        <v>44207.714062500003</v>
      </c>
      <c r="Q726">
        <v>12217</v>
      </c>
      <c r="R726">
        <v>581</v>
      </c>
      <c r="S726" t="b">
        <v>0</v>
      </c>
      <c r="T726" t="s">
        <v>87</v>
      </c>
      <c r="U726" t="b">
        <v>0</v>
      </c>
      <c r="V726" t="s">
        <v>160</v>
      </c>
      <c r="W726" s="1">
        <v>44207.580034722225</v>
      </c>
      <c r="X726">
        <v>520</v>
      </c>
      <c r="Y726">
        <v>37</v>
      </c>
      <c r="Z726">
        <v>0</v>
      </c>
      <c r="AA726">
        <v>37</v>
      </c>
      <c r="AB726">
        <v>0</v>
      </c>
      <c r="AC726">
        <v>34</v>
      </c>
      <c r="AD726">
        <v>1</v>
      </c>
      <c r="AE726">
        <v>0</v>
      </c>
      <c r="AF726">
        <v>0</v>
      </c>
      <c r="AG726">
        <v>0</v>
      </c>
      <c r="AH726" t="s">
        <v>267</v>
      </c>
      <c r="AI726" s="1">
        <v>44207.583622685182</v>
      </c>
      <c r="AJ726">
        <v>57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 t="s">
        <v>90</v>
      </c>
      <c r="AU726" s="1">
        <v>44207.714062500003</v>
      </c>
      <c r="AV726">
        <v>4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</row>
    <row r="727" spans="1:57" x14ac:dyDescent="0.45">
      <c r="A727" t="s">
        <v>1919</v>
      </c>
      <c r="B727" t="s">
        <v>79</v>
      </c>
      <c r="C727" t="s">
        <v>1920</v>
      </c>
      <c r="D727" t="s">
        <v>81</v>
      </c>
      <c r="E727" s="2" t="str">
        <f>HYPERLINK("capsilon://?command=openfolder&amp;siteaddress=FAM.docvelocity-na8.net&amp;folderid=FX8FA26505-21C0-609D-38F5-C077ACB97EFA","FX21011133")</f>
        <v>FX21011133</v>
      </c>
      <c r="F727" t="s">
        <v>19</v>
      </c>
      <c r="G727" t="s">
        <v>19</v>
      </c>
      <c r="H727" t="s">
        <v>82</v>
      </c>
      <c r="I727" t="s">
        <v>1921</v>
      </c>
      <c r="J727">
        <v>140</v>
      </c>
      <c r="K727" t="s">
        <v>84</v>
      </c>
      <c r="L727" t="s">
        <v>85</v>
      </c>
      <c r="M727" t="s">
        <v>86</v>
      </c>
      <c r="N727">
        <v>3</v>
      </c>
      <c r="O727" s="1">
        <v>44207.566064814811</v>
      </c>
      <c r="P727" s="1">
        <v>44207.714930555558</v>
      </c>
      <c r="Q727">
        <v>10387</v>
      </c>
      <c r="R727">
        <v>2475</v>
      </c>
      <c r="S727" t="b">
        <v>0</v>
      </c>
      <c r="T727" t="s">
        <v>87</v>
      </c>
      <c r="U727" t="b">
        <v>0</v>
      </c>
      <c r="V727" t="s">
        <v>262</v>
      </c>
      <c r="W727" s="1">
        <v>44207.596238425926</v>
      </c>
      <c r="X727">
        <v>1890</v>
      </c>
      <c r="Y727">
        <v>147</v>
      </c>
      <c r="Z727">
        <v>0</v>
      </c>
      <c r="AA727">
        <v>147</v>
      </c>
      <c r="AB727">
        <v>0</v>
      </c>
      <c r="AC727">
        <v>65</v>
      </c>
      <c r="AD727">
        <v>-7</v>
      </c>
      <c r="AE727">
        <v>0</v>
      </c>
      <c r="AF727">
        <v>0</v>
      </c>
      <c r="AG727">
        <v>0</v>
      </c>
      <c r="AH727" t="s">
        <v>267</v>
      </c>
      <c r="AI727" s="1">
        <v>44207.60361111111</v>
      </c>
      <c r="AJ727">
        <v>511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-7</v>
      </c>
      <c r="AQ727">
        <v>0</v>
      </c>
      <c r="AR727">
        <v>0</v>
      </c>
      <c r="AS727">
        <v>0</v>
      </c>
      <c r="AT727" t="s">
        <v>90</v>
      </c>
      <c r="AU727" s="1">
        <v>44207.714930555558</v>
      </c>
      <c r="AV727">
        <v>74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-7</v>
      </c>
      <c r="BC727">
        <v>0</v>
      </c>
      <c r="BD727">
        <v>0</v>
      </c>
      <c r="BE727">
        <v>0</v>
      </c>
    </row>
    <row r="728" spans="1:57" hidden="1" x14ac:dyDescent="0.45">
      <c r="A728" t="s">
        <v>1922</v>
      </c>
      <c r="B728" t="s">
        <v>79</v>
      </c>
      <c r="C728" t="s">
        <v>1871</v>
      </c>
      <c r="D728" t="s">
        <v>81</v>
      </c>
      <c r="E728" s="2" t="str">
        <f>HYPERLINK("capsilon://?command=openfolder&amp;siteaddress=FAM.docvelocity-na8.net&amp;folderid=FX6DBE14CA-DEA6-20CC-74B5-14F9BDEFDAA1","FX20125296")</f>
        <v>FX20125296</v>
      </c>
      <c r="F728" t="s">
        <v>19</v>
      </c>
      <c r="G728" t="s">
        <v>19</v>
      </c>
      <c r="H728" t="s">
        <v>82</v>
      </c>
      <c r="I728" t="s">
        <v>1923</v>
      </c>
      <c r="J728">
        <v>26</v>
      </c>
      <c r="K728" t="s">
        <v>84</v>
      </c>
      <c r="L728" t="s">
        <v>85</v>
      </c>
      <c r="M728" t="s">
        <v>86</v>
      </c>
      <c r="N728">
        <v>1</v>
      </c>
      <c r="O728" s="1">
        <v>44200.572997685187</v>
      </c>
      <c r="P728" s="1">
        <v>44200.676064814812</v>
      </c>
      <c r="Q728">
        <v>8812</v>
      </c>
      <c r="R728">
        <v>93</v>
      </c>
      <c r="S728" t="b">
        <v>0</v>
      </c>
      <c r="T728" t="s">
        <v>87</v>
      </c>
      <c r="U728" t="b">
        <v>0</v>
      </c>
      <c r="V728" t="s">
        <v>242</v>
      </c>
      <c r="W728" s="1">
        <v>44200.676064814812</v>
      </c>
      <c r="X728">
        <v>93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26</v>
      </c>
      <c r="AE728">
        <v>21</v>
      </c>
      <c r="AF728">
        <v>0</v>
      </c>
      <c r="AG728">
        <v>1</v>
      </c>
      <c r="AH728" t="s">
        <v>87</v>
      </c>
      <c r="AI728" t="s">
        <v>87</v>
      </c>
      <c r="AJ728" t="s">
        <v>87</v>
      </c>
      <c r="AK728" t="s">
        <v>87</v>
      </c>
      <c r="AL728" t="s">
        <v>87</v>
      </c>
      <c r="AM728" t="s">
        <v>87</v>
      </c>
      <c r="AN728" t="s">
        <v>87</v>
      </c>
      <c r="AO728" t="s">
        <v>87</v>
      </c>
      <c r="AP728" t="s">
        <v>87</v>
      </c>
      <c r="AQ728" t="s">
        <v>87</v>
      </c>
      <c r="AR728" t="s">
        <v>87</v>
      </c>
      <c r="AS728" t="s">
        <v>87</v>
      </c>
      <c r="AT728" t="s">
        <v>87</v>
      </c>
      <c r="AU728" t="s">
        <v>87</v>
      </c>
      <c r="AV728" t="s">
        <v>87</v>
      </c>
      <c r="AW728" t="s">
        <v>87</v>
      </c>
      <c r="AX728" t="s">
        <v>87</v>
      </c>
      <c r="AY728" t="s">
        <v>87</v>
      </c>
      <c r="AZ728" t="s">
        <v>87</v>
      </c>
      <c r="BA728" t="s">
        <v>87</v>
      </c>
      <c r="BB728" t="s">
        <v>87</v>
      </c>
      <c r="BC728" t="s">
        <v>87</v>
      </c>
      <c r="BD728" t="s">
        <v>87</v>
      </c>
      <c r="BE728" t="s">
        <v>87</v>
      </c>
    </row>
    <row r="729" spans="1:57" hidden="1" x14ac:dyDescent="0.45">
      <c r="A729" t="s">
        <v>1924</v>
      </c>
      <c r="B729" t="s">
        <v>79</v>
      </c>
      <c r="C729" t="s">
        <v>1925</v>
      </c>
      <c r="D729" t="s">
        <v>81</v>
      </c>
      <c r="E729" s="2" t="str">
        <f>HYPERLINK("capsilon://?command=openfolder&amp;siteaddress=FAM.docvelocity-na8.net&amp;folderid=FXE74319A2-0CFA-983C-0E4C-A37391C17EC9","FX2012409")</f>
        <v>FX2012409</v>
      </c>
      <c r="F729" t="s">
        <v>19</v>
      </c>
      <c r="G729" t="s">
        <v>19</v>
      </c>
      <c r="H729" t="s">
        <v>82</v>
      </c>
      <c r="I729" t="s">
        <v>1926</v>
      </c>
      <c r="J729">
        <v>66</v>
      </c>
      <c r="K729" t="s">
        <v>84</v>
      </c>
      <c r="L729" t="s">
        <v>85</v>
      </c>
      <c r="M729" t="s">
        <v>86</v>
      </c>
      <c r="N729">
        <v>3</v>
      </c>
      <c r="O729" s="1">
        <v>44207.566608796296</v>
      </c>
      <c r="P729" s="1">
        <v>44207.71497685185</v>
      </c>
      <c r="Q729">
        <v>12482</v>
      </c>
      <c r="R729">
        <v>337</v>
      </c>
      <c r="S729" t="b">
        <v>0</v>
      </c>
      <c r="T729" t="s">
        <v>87</v>
      </c>
      <c r="U729" t="b">
        <v>0</v>
      </c>
      <c r="V729" t="s">
        <v>146</v>
      </c>
      <c r="W729" s="1">
        <v>44207.579282407409</v>
      </c>
      <c r="X729">
        <v>300</v>
      </c>
      <c r="Y729">
        <v>0</v>
      </c>
      <c r="Z729">
        <v>0</v>
      </c>
      <c r="AA729">
        <v>0</v>
      </c>
      <c r="AB729">
        <v>52</v>
      </c>
      <c r="AC729">
        <v>0</v>
      </c>
      <c r="AD729">
        <v>66</v>
      </c>
      <c r="AE729">
        <v>0</v>
      </c>
      <c r="AF729">
        <v>0</v>
      </c>
      <c r="AG729">
        <v>0</v>
      </c>
      <c r="AH729" t="s">
        <v>128</v>
      </c>
      <c r="AI729" s="1">
        <v>44207.58388888889</v>
      </c>
      <c r="AJ729">
        <v>34</v>
      </c>
      <c r="AK729">
        <v>0</v>
      </c>
      <c r="AL729">
        <v>0</v>
      </c>
      <c r="AM729">
        <v>0</v>
      </c>
      <c r="AN729">
        <v>52</v>
      </c>
      <c r="AO729">
        <v>0</v>
      </c>
      <c r="AP729">
        <v>66</v>
      </c>
      <c r="AQ729">
        <v>0</v>
      </c>
      <c r="AR729">
        <v>0</v>
      </c>
      <c r="AS729">
        <v>0</v>
      </c>
      <c r="AT729" t="s">
        <v>90</v>
      </c>
      <c r="AU729" s="1">
        <v>44207.71497685185</v>
      </c>
      <c r="AV729">
        <v>3</v>
      </c>
      <c r="AW729">
        <v>0</v>
      </c>
      <c r="AX729">
        <v>0</v>
      </c>
      <c r="AY729">
        <v>0</v>
      </c>
      <c r="AZ729">
        <v>52</v>
      </c>
      <c r="BA729">
        <v>0</v>
      </c>
      <c r="BB729">
        <v>66</v>
      </c>
      <c r="BC729">
        <v>0</v>
      </c>
      <c r="BD729">
        <v>0</v>
      </c>
      <c r="BE729">
        <v>0</v>
      </c>
    </row>
    <row r="730" spans="1:57" x14ac:dyDescent="0.45">
      <c r="A730" t="s">
        <v>1927</v>
      </c>
      <c r="B730" t="s">
        <v>79</v>
      </c>
      <c r="C730" t="s">
        <v>1928</v>
      </c>
      <c r="D730" t="s">
        <v>81</v>
      </c>
      <c r="E730" s="2" t="str">
        <f>HYPERLINK("capsilon://?command=openfolder&amp;siteaddress=FAM.docvelocity-na8.net&amp;folderid=FXD5402F74-9441-9133-9B1D-15E6F3F8C529","FX201228122")</f>
        <v>FX201228122</v>
      </c>
      <c r="F730" t="s">
        <v>19</v>
      </c>
      <c r="G730" t="s">
        <v>19</v>
      </c>
      <c r="H730" t="s">
        <v>82</v>
      </c>
      <c r="I730" t="s">
        <v>1929</v>
      </c>
      <c r="J730">
        <v>282</v>
      </c>
      <c r="K730" t="s">
        <v>84</v>
      </c>
      <c r="L730" t="s">
        <v>85</v>
      </c>
      <c r="M730" t="s">
        <v>86</v>
      </c>
      <c r="N730">
        <v>3</v>
      </c>
      <c r="O730" s="1">
        <v>44207.567106481481</v>
      </c>
      <c r="P730" s="1">
        <v>44207.715914351851</v>
      </c>
      <c r="Q730">
        <v>11526</v>
      </c>
      <c r="R730">
        <v>1331</v>
      </c>
      <c r="S730" t="b">
        <v>0</v>
      </c>
      <c r="T730" t="s">
        <v>87</v>
      </c>
      <c r="U730" t="b">
        <v>0</v>
      </c>
      <c r="V730" t="s">
        <v>255</v>
      </c>
      <c r="W730" s="1">
        <v>44207.588402777779</v>
      </c>
      <c r="X730">
        <v>1011</v>
      </c>
      <c r="Y730">
        <v>186</v>
      </c>
      <c r="Z730">
        <v>0</v>
      </c>
      <c r="AA730">
        <v>186</v>
      </c>
      <c r="AB730">
        <v>0</v>
      </c>
      <c r="AC730">
        <v>57</v>
      </c>
      <c r="AD730">
        <v>96</v>
      </c>
      <c r="AE730">
        <v>0</v>
      </c>
      <c r="AF730">
        <v>0</v>
      </c>
      <c r="AG730">
        <v>0</v>
      </c>
      <c r="AH730" t="s">
        <v>267</v>
      </c>
      <c r="AI730" s="1">
        <v>44207.592546296299</v>
      </c>
      <c r="AJ730">
        <v>240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96</v>
      </c>
      <c r="AQ730">
        <v>0</v>
      </c>
      <c r="AR730">
        <v>0</v>
      </c>
      <c r="AS730">
        <v>0</v>
      </c>
      <c r="AT730" t="s">
        <v>90</v>
      </c>
      <c r="AU730" s="1">
        <v>44207.715914351851</v>
      </c>
      <c r="AV730">
        <v>80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96</v>
      </c>
      <c r="BC730">
        <v>0</v>
      </c>
      <c r="BD730">
        <v>0</v>
      </c>
      <c r="BE730">
        <v>0</v>
      </c>
    </row>
    <row r="731" spans="1:57" x14ac:dyDescent="0.45">
      <c r="A731" t="s">
        <v>1930</v>
      </c>
      <c r="B731" t="s">
        <v>79</v>
      </c>
      <c r="C731" t="s">
        <v>1931</v>
      </c>
      <c r="D731" t="s">
        <v>81</v>
      </c>
      <c r="E731" s="2" t="str">
        <f>HYPERLINK("capsilon://?command=openfolder&amp;siteaddress=FAM.docvelocity-na8.net&amp;folderid=FXB445A037-1CB4-D1C8-2A60-798EE93B30C0","FX21013520")</f>
        <v>FX21013520</v>
      </c>
      <c r="F731" t="s">
        <v>19</v>
      </c>
      <c r="G731" t="s">
        <v>19</v>
      </c>
      <c r="H731" t="s">
        <v>82</v>
      </c>
      <c r="I731" t="s">
        <v>1932</v>
      </c>
      <c r="J731">
        <v>234</v>
      </c>
      <c r="K731" t="s">
        <v>84</v>
      </c>
      <c r="L731" t="s">
        <v>85</v>
      </c>
      <c r="M731" t="s">
        <v>86</v>
      </c>
      <c r="N731">
        <v>3</v>
      </c>
      <c r="O731" s="1">
        <v>44207.570555555554</v>
      </c>
      <c r="P731" s="1">
        <v>44207.717256944445</v>
      </c>
      <c r="Q731">
        <v>9717</v>
      </c>
      <c r="R731">
        <v>2958</v>
      </c>
      <c r="S731" t="b">
        <v>0</v>
      </c>
      <c r="T731" t="s">
        <v>87</v>
      </c>
      <c r="U731" t="b">
        <v>0</v>
      </c>
      <c r="V731" t="s">
        <v>179</v>
      </c>
      <c r="W731" s="1">
        <v>44207.598692129628</v>
      </c>
      <c r="X731">
        <v>1891</v>
      </c>
      <c r="Y731">
        <v>215</v>
      </c>
      <c r="Z731">
        <v>0</v>
      </c>
      <c r="AA731">
        <v>215</v>
      </c>
      <c r="AB731">
        <v>0</v>
      </c>
      <c r="AC731">
        <v>59</v>
      </c>
      <c r="AD731">
        <v>19</v>
      </c>
      <c r="AE731">
        <v>0</v>
      </c>
      <c r="AF731">
        <v>0</v>
      </c>
      <c r="AG731">
        <v>0</v>
      </c>
      <c r="AH731" t="s">
        <v>128</v>
      </c>
      <c r="AI731" s="1">
        <v>44207.611562500002</v>
      </c>
      <c r="AJ731">
        <v>946</v>
      </c>
      <c r="AK731">
        <v>1</v>
      </c>
      <c r="AL731">
        <v>0</v>
      </c>
      <c r="AM731">
        <v>1</v>
      </c>
      <c r="AN731">
        <v>0</v>
      </c>
      <c r="AO731">
        <v>1</v>
      </c>
      <c r="AP731">
        <v>18</v>
      </c>
      <c r="AQ731">
        <v>0</v>
      </c>
      <c r="AR731">
        <v>0</v>
      </c>
      <c r="AS731">
        <v>0</v>
      </c>
      <c r="AT731" t="s">
        <v>90</v>
      </c>
      <c r="AU731" s="1">
        <v>44207.717256944445</v>
      </c>
      <c r="AV731">
        <v>113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18</v>
      </c>
      <c r="BC731">
        <v>0</v>
      </c>
      <c r="BD731">
        <v>0</v>
      </c>
      <c r="BE731">
        <v>0</v>
      </c>
    </row>
    <row r="732" spans="1:57" hidden="1" x14ac:dyDescent="0.45">
      <c r="A732" t="s">
        <v>1933</v>
      </c>
      <c r="B732" t="s">
        <v>79</v>
      </c>
      <c r="C732" t="s">
        <v>1934</v>
      </c>
      <c r="D732" t="s">
        <v>81</v>
      </c>
      <c r="E732" s="2" t="str">
        <f>HYPERLINK("capsilon://?command=openfolder&amp;siteaddress=FAM.docvelocity-na8.net&amp;folderid=FX921F4435-7A9C-F7E2-0790-BBE175B7547C","FX201221593")</f>
        <v>FX201221593</v>
      </c>
      <c r="F732" t="s">
        <v>19</v>
      </c>
      <c r="G732" t="s">
        <v>19</v>
      </c>
      <c r="H732" t="s">
        <v>82</v>
      </c>
      <c r="I732" t="s">
        <v>1935</v>
      </c>
      <c r="J732">
        <v>66</v>
      </c>
      <c r="K732" t="s">
        <v>84</v>
      </c>
      <c r="L732" t="s">
        <v>85</v>
      </c>
      <c r="M732" t="s">
        <v>86</v>
      </c>
      <c r="N732">
        <v>1</v>
      </c>
      <c r="O732" s="1">
        <v>44207.575358796297</v>
      </c>
      <c r="P732" s="1">
        <v>44207.587372685186</v>
      </c>
      <c r="Q732">
        <v>142</v>
      </c>
      <c r="R732">
        <v>896</v>
      </c>
      <c r="S732" t="b">
        <v>0</v>
      </c>
      <c r="T732" t="s">
        <v>87</v>
      </c>
      <c r="U732" t="b">
        <v>0</v>
      </c>
      <c r="V732" t="s">
        <v>171</v>
      </c>
      <c r="W732" s="1">
        <v>44207.587372685186</v>
      </c>
      <c r="X732">
        <v>896</v>
      </c>
      <c r="Y732">
        <v>12</v>
      </c>
      <c r="Z732">
        <v>0</v>
      </c>
      <c r="AA732">
        <v>12</v>
      </c>
      <c r="AB732">
        <v>0</v>
      </c>
      <c r="AC732">
        <v>11</v>
      </c>
      <c r="AD732">
        <v>54</v>
      </c>
      <c r="AE732">
        <v>52</v>
      </c>
      <c r="AF732">
        <v>0</v>
      </c>
      <c r="AG732">
        <v>1</v>
      </c>
      <c r="AH732" t="s">
        <v>87</v>
      </c>
      <c r="AI732" t="s">
        <v>87</v>
      </c>
      <c r="AJ732" t="s">
        <v>87</v>
      </c>
      <c r="AK732" t="s">
        <v>87</v>
      </c>
      <c r="AL732" t="s">
        <v>87</v>
      </c>
      <c r="AM732" t="s">
        <v>87</v>
      </c>
      <c r="AN732" t="s">
        <v>87</v>
      </c>
      <c r="AO732" t="s">
        <v>87</v>
      </c>
      <c r="AP732" t="s">
        <v>87</v>
      </c>
      <c r="AQ732" t="s">
        <v>87</v>
      </c>
      <c r="AR732" t="s">
        <v>87</v>
      </c>
      <c r="AS732" t="s">
        <v>87</v>
      </c>
      <c r="AT732" t="s">
        <v>87</v>
      </c>
      <c r="AU732" t="s">
        <v>87</v>
      </c>
      <c r="AV732" t="s">
        <v>87</v>
      </c>
      <c r="AW732" t="s">
        <v>87</v>
      </c>
      <c r="AX732" t="s">
        <v>87</v>
      </c>
      <c r="AY732" t="s">
        <v>87</v>
      </c>
      <c r="AZ732" t="s">
        <v>87</v>
      </c>
      <c r="BA732" t="s">
        <v>87</v>
      </c>
      <c r="BB732" t="s">
        <v>87</v>
      </c>
      <c r="BC732" t="s">
        <v>87</v>
      </c>
      <c r="BD732" t="s">
        <v>87</v>
      </c>
      <c r="BE732" t="s">
        <v>87</v>
      </c>
    </row>
    <row r="733" spans="1:57" hidden="1" x14ac:dyDescent="0.45">
      <c r="A733" t="s">
        <v>1936</v>
      </c>
      <c r="B733" t="s">
        <v>79</v>
      </c>
      <c r="C733" t="s">
        <v>1937</v>
      </c>
      <c r="D733" t="s">
        <v>81</v>
      </c>
      <c r="E733" s="2" t="str">
        <f>HYPERLINK("capsilon://?command=openfolder&amp;siteaddress=FAM.docvelocity-na8.net&amp;folderid=FX15E11037-C16E-B375-5D8C-EF08D9D6F2B4","FX20125")</f>
        <v>FX20125</v>
      </c>
      <c r="F733" t="s">
        <v>19</v>
      </c>
      <c r="G733" t="s">
        <v>19</v>
      </c>
      <c r="H733" t="s">
        <v>82</v>
      </c>
      <c r="I733" t="s">
        <v>1938</v>
      </c>
      <c r="J733">
        <v>132</v>
      </c>
      <c r="K733" t="s">
        <v>84</v>
      </c>
      <c r="L733" t="s">
        <v>85</v>
      </c>
      <c r="M733" t="s">
        <v>86</v>
      </c>
      <c r="N733">
        <v>3</v>
      </c>
      <c r="O733" s="1">
        <v>44207.579131944447</v>
      </c>
      <c r="P733" s="1">
        <v>44207.71733796296</v>
      </c>
      <c r="Q733">
        <v>11642</v>
      </c>
      <c r="R733">
        <v>299</v>
      </c>
      <c r="S733" t="b">
        <v>0</v>
      </c>
      <c r="T733" t="s">
        <v>87</v>
      </c>
      <c r="U733" t="b">
        <v>0</v>
      </c>
      <c r="V733" t="s">
        <v>146</v>
      </c>
      <c r="W733" s="1">
        <v>44207.582453703704</v>
      </c>
      <c r="X733">
        <v>273</v>
      </c>
      <c r="Y733">
        <v>0</v>
      </c>
      <c r="Z733">
        <v>0</v>
      </c>
      <c r="AA733">
        <v>0</v>
      </c>
      <c r="AB733">
        <v>104</v>
      </c>
      <c r="AC733">
        <v>0</v>
      </c>
      <c r="AD733">
        <v>132</v>
      </c>
      <c r="AE733">
        <v>0</v>
      </c>
      <c r="AF733">
        <v>0</v>
      </c>
      <c r="AG733">
        <v>0</v>
      </c>
      <c r="AH733" t="s">
        <v>267</v>
      </c>
      <c r="AI733" s="1">
        <v>44207.583865740744</v>
      </c>
      <c r="AJ733">
        <v>20</v>
      </c>
      <c r="AK733">
        <v>0</v>
      </c>
      <c r="AL733">
        <v>0</v>
      </c>
      <c r="AM733">
        <v>0</v>
      </c>
      <c r="AN733">
        <v>104</v>
      </c>
      <c r="AO733">
        <v>0</v>
      </c>
      <c r="AP733">
        <v>132</v>
      </c>
      <c r="AQ733">
        <v>0</v>
      </c>
      <c r="AR733">
        <v>0</v>
      </c>
      <c r="AS733">
        <v>0</v>
      </c>
      <c r="AT733" t="s">
        <v>90</v>
      </c>
      <c r="AU733" s="1">
        <v>44207.71733796296</v>
      </c>
      <c r="AV733">
        <v>6</v>
      </c>
      <c r="AW733">
        <v>0</v>
      </c>
      <c r="AX733">
        <v>0</v>
      </c>
      <c r="AY733">
        <v>0</v>
      </c>
      <c r="AZ733">
        <v>104</v>
      </c>
      <c r="BA733">
        <v>0</v>
      </c>
      <c r="BB733">
        <v>132</v>
      </c>
      <c r="BC733">
        <v>0</v>
      </c>
      <c r="BD733">
        <v>0</v>
      </c>
      <c r="BE733">
        <v>0</v>
      </c>
    </row>
    <row r="734" spans="1:57" x14ac:dyDescent="0.45">
      <c r="A734" t="s">
        <v>1939</v>
      </c>
      <c r="B734" t="s">
        <v>79</v>
      </c>
      <c r="C734" t="s">
        <v>1207</v>
      </c>
      <c r="D734" t="s">
        <v>81</v>
      </c>
      <c r="E734" s="2" t="str">
        <f>HYPERLINK("capsilon://?command=openfolder&amp;siteaddress=FAM.docvelocity-na8.net&amp;folderid=FXF871DE58-1835-D24F-0CD1-F959D57599FB","FX201224075")</f>
        <v>FX201224075</v>
      </c>
      <c r="F734" t="s">
        <v>19</v>
      </c>
      <c r="G734" t="s">
        <v>19</v>
      </c>
      <c r="H734" t="s">
        <v>82</v>
      </c>
      <c r="I734" t="s">
        <v>1940</v>
      </c>
      <c r="J734">
        <v>66</v>
      </c>
      <c r="K734" t="s">
        <v>84</v>
      </c>
      <c r="L734" t="s">
        <v>85</v>
      </c>
      <c r="M734" t="s">
        <v>86</v>
      </c>
      <c r="N734">
        <v>3</v>
      </c>
      <c r="O734" s="1">
        <v>44207.582430555558</v>
      </c>
      <c r="P734" s="1">
        <v>44207.7187962963</v>
      </c>
      <c r="Q734">
        <v>8518</v>
      </c>
      <c r="R734">
        <v>3264</v>
      </c>
      <c r="S734" t="b">
        <v>0</v>
      </c>
      <c r="T734" t="s">
        <v>87</v>
      </c>
      <c r="U734" t="b">
        <v>0</v>
      </c>
      <c r="V734" t="s">
        <v>146</v>
      </c>
      <c r="W734" s="1">
        <v>44207.614849537036</v>
      </c>
      <c r="X734">
        <v>2798</v>
      </c>
      <c r="Y734">
        <v>52</v>
      </c>
      <c r="Z734">
        <v>0</v>
      </c>
      <c r="AA734">
        <v>52</v>
      </c>
      <c r="AB734">
        <v>0</v>
      </c>
      <c r="AC734">
        <v>42</v>
      </c>
      <c r="AD734">
        <v>14</v>
      </c>
      <c r="AE734">
        <v>0</v>
      </c>
      <c r="AF734">
        <v>0</v>
      </c>
      <c r="AG734">
        <v>0</v>
      </c>
      <c r="AH734" t="s">
        <v>128</v>
      </c>
      <c r="AI734" s="1">
        <v>44207.619606481479</v>
      </c>
      <c r="AJ734">
        <v>340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14</v>
      </c>
      <c r="AQ734">
        <v>0</v>
      </c>
      <c r="AR734">
        <v>0</v>
      </c>
      <c r="AS734">
        <v>0</v>
      </c>
      <c r="AT734" t="s">
        <v>90</v>
      </c>
      <c r="AU734" s="1">
        <v>44207.7187962963</v>
      </c>
      <c r="AV734">
        <v>126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14</v>
      </c>
      <c r="BC734">
        <v>0</v>
      </c>
      <c r="BD734">
        <v>0</v>
      </c>
      <c r="BE734">
        <v>0</v>
      </c>
    </row>
    <row r="735" spans="1:57" x14ac:dyDescent="0.45">
      <c r="A735" t="s">
        <v>1941</v>
      </c>
      <c r="B735" t="s">
        <v>79</v>
      </c>
      <c r="C735" t="s">
        <v>1942</v>
      </c>
      <c r="D735" t="s">
        <v>81</v>
      </c>
      <c r="E735" s="2" t="str">
        <f>HYPERLINK("capsilon://?command=openfolder&amp;siteaddress=FAM.docvelocity-na8.net&amp;folderid=FX616EA531-3599-0DA7-B21E-BE0A19E7484B","FX201225")</f>
        <v>FX201225</v>
      </c>
      <c r="F735" t="s">
        <v>19</v>
      </c>
      <c r="G735" t="s">
        <v>19</v>
      </c>
      <c r="H735" t="s">
        <v>82</v>
      </c>
      <c r="I735" t="s">
        <v>1943</v>
      </c>
      <c r="J735">
        <v>66</v>
      </c>
      <c r="K735" t="s">
        <v>84</v>
      </c>
      <c r="L735" t="s">
        <v>85</v>
      </c>
      <c r="M735" t="s">
        <v>86</v>
      </c>
      <c r="N735">
        <v>3</v>
      </c>
      <c r="O735" s="1">
        <v>44207.582673611112</v>
      </c>
      <c r="P735" s="1">
        <v>44207.71947916667</v>
      </c>
      <c r="Q735">
        <v>10638</v>
      </c>
      <c r="R735">
        <v>1182</v>
      </c>
      <c r="S735" t="b">
        <v>0</v>
      </c>
      <c r="T735" t="s">
        <v>87</v>
      </c>
      <c r="U735" t="b">
        <v>0</v>
      </c>
      <c r="V735" t="s">
        <v>160</v>
      </c>
      <c r="W735" s="1">
        <v>44207.593738425923</v>
      </c>
      <c r="X735">
        <v>921</v>
      </c>
      <c r="Y735">
        <v>52</v>
      </c>
      <c r="Z735">
        <v>0</v>
      </c>
      <c r="AA735">
        <v>52</v>
      </c>
      <c r="AB735">
        <v>0</v>
      </c>
      <c r="AC735">
        <v>13</v>
      </c>
      <c r="AD735">
        <v>14</v>
      </c>
      <c r="AE735">
        <v>0</v>
      </c>
      <c r="AF735">
        <v>0</v>
      </c>
      <c r="AG735">
        <v>0</v>
      </c>
      <c r="AH735" t="s">
        <v>128</v>
      </c>
      <c r="AI735" s="1">
        <v>44207.600601851853</v>
      </c>
      <c r="AJ735">
        <v>203</v>
      </c>
      <c r="AK735">
        <v>1</v>
      </c>
      <c r="AL735">
        <v>0</v>
      </c>
      <c r="AM735">
        <v>1</v>
      </c>
      <c r="AN735">
        <v>0</v>
      </c>
      <c r="AO735">
        <v>1</v>
      </c>
      <c r="AP735">
        <v>13</v>
      </c>
      <c r="AQ735">
        <v>0</v>
      </c>
      <c r="AR735">
        <v>0</v>
      </c>
      <c r="AS735">
        <v>0</v>
      </c>
      <c r="AT735" t="s">
        <v>90</v>
      </c>
      <c r="AU735" s="1">
        <v>44207.71947916667</v>
      </c>
      <c r="AV735">
        <v>58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13</v>
      </c>
      <c r="BC735">
        <v>0</v>
      </c>
      <c r="BD735">
        <v>0</v>
      </c>
      <c r="BE735">
        <v>0</v>
      </c>
    </row>
    <row r="736" spans="1:57" x14ac:dyDescent="0.45">
      <c r="A736" t="s">
        <v>1944</v>
      </c>
      <c r="B736" t="s">
        <v>79</v>
      </c>
      <c r="C736" t="s">
        <v>1934</v>
      </c>
      <c r="D736" t="s">
        <v>81</v>
      </c>
      <c r="E736" s="2" t="str">
        <f>HYPERLINK("capsilon://?command=openfolder&amp;siteaddress=FAM.docvelocity-na8.net&amp;folderid=FX921F4435-7A9C-F7E2-0790-BBE175B7547C","FX201221593")</f>
        <v>FX201221593</v>
      </c>
      <c r="F736" t="s">
        <v>19</v>
      </c>
      <c r="G736" t="s">
        <v>19</v>
      </c>
      <c r="H736" t="s">
        <v>82</v>
      </c>
      <c r="I736" t="s">
        <v>1935</v>
      </c>
      <c r="J736">
        <v>38</v>
      </c>
      <c r="K736" t="s">
        <v>84</v>
      </c>
      <c r="L736" t="s">
        <v>85</v>
      </c>
      <c r="M736" t="s">
        <v>86</v>
      </c>
      <c r="N736">
        <v>3</v>
      </c>
      <c r="O736" s="1">
        <v>44207.58766203704</v>
      </c>
      <c r="P736" s="1">
        <v>44207.661527777775</v>
      </c>
      <c r="Q736">
        <v>5584</v>
      </c>
      <c r="R736">
        <v>798</v>
      </c>
      <c r="S736" t="b">
        <v>0</v>
      </c>
      <c r="T736" t="s">
        <v>87</v>
      </c>
      <c r="U736" t="b">
        <v>1</v>
      </c>
      <c r="V736" t="s">
        <v>171</v>
      </c>
      <c r="W736" s="1">
        <v>44207.595497685186</v>
      </c>
      <c r="X736">
        <v>676</v>
      </c>
      <c r="Y736">
        <v>37</v>
      </c>
      <c r="Z736">
        <v>0</v>
      </c>
      <c r="AA736">
        <v>37</v>
      </c>
      <c r="AB736">
        <v>0</v>
      </c>
      <c r="AC736">
        <v>34</v>
      </c>
      <c r="AD736">
        <v>1</v>
      </c>
      <c r="AE736">
        <v>0</v>
      </c>
      <c r="AF736">
        <v>0</v>
      </c>
      <c r="AG736">
        <v>0</v>
      </c>
      <c r="AH736" t="s">
        <v>128</v>
      </c>
      <c r="AI736" s="1">
        <v>44207.598252314812</v>
      </c>
      <c r="AJ736">
        <v>117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 t="s">
        <v>549</v>
      </c>
      <c r="AU736" s="1">
        <v>44207.661527777775</v>
      </c>
      <c r="AV736">
        <v>5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</row>
    <row r="737" spans="1:57" x14ac:dyDescent="0.45">
      <c r="A737" t="s">
        <v>1945</v>
      </c>
      <c r="B737" t="s">
        <v>79</v>
      </c>
      <c r="C737" t="s">
        <v>931</v>
      </c>
      <c r="D737" t="s">
        <v>81</v>
      </c>
      <c r="E737" s="2" t="str">
        <f>HYPERLINK("capsilon://?command=openfolder&amp;siteaddress=FAM.docvelocity-na8.net&amp;folderid=FX56C0E3CB-92DD-4A1E-F797-7CE6E17244D8","FX20127969")</f>
        <v>FX20127969</v>
      </c>
      <c r="F737" t="s">
        <v>19</v>
      </c>
      <c r="G737" t="s">
        <v>19</v>
      </c>
      <c r="H737" t="s">
        <v>82</v>
      </c>
      <c r="I737" t="s">
        <v>1946</v>
      </c>
      <c r="J737">
        <v>66</v>
      </c>
      <c r="K737" t="s">
        <v>84</v>
      </c>
      <c r="L737" t="s">
        <v>85</v>
      </c>
      <c r="M737" t="s">
        <v>86</v>
      </c>
      <c r="N737">
        <v>3</v>
      </c>
      <c r="O737" s="1">
        <v>44200.574560185189</v>
      </c>
      <c r="P737" s="1">
        <v>44201.372662037036</v>
      </c>
      <c r="Q737">
        <v>67328</v>
      </c>
      <c r="R737">
        <v>1628</v>
      </c>
      <c r="S737" t="b">
        <v>0</v>
      </c>
      <c r="T737" t="s">
        <v>87</v>
      </c>
      <c r="U737" t="b">
        <v>0</v>
      </c>
      <c r="V737" t="s">
        <v>242</v>
      </c>
      <c r="W737" s="1">
        <v>44200.694641203707</v>
      </c>
      <c r="X737">
        <v>1033</v>
      </c>
      <c r="Y737">
        <v>52</v>
      </c>
      <c r="Z737">
        <v>0</v>
      </c>
      <c r="AA737">
        <v>52</v>
      </c>
      <c r="AB737">
        <v>0</v>
      </c>
      <c r="AC737">
        <v>40</v>
      </c>
      <c r="AD737">
        <v>14</v>
      </c>
      <c r="AE737">
        <v>0</v>
      </c>
      <c r="AF737">
        <v>0</v>
      </c>
      <c r="AG737">
        <v>0</v>
      </c>
      <c r="AH737" t="s">
        <v>267</v>
      </c>
      <c r="AI737" s="1">
        <v>44200.730694444443</v>
      </c>
      <c r="AJ737">
        <v>521</v>
      </c>
      <c r="AK737">
        <v>2</v>
      </c>
      <c r="AL737">
        <v>0</v>
      </c>
      <c r="AM737">
        <v>2</v>
      </c>
      <c r="AN737">
        <v>0</v>
      </c>
      <c r="AO737">
        <v>2</v>
      </c>
      <c r="AP737">
        <v>12</v>
      </c>
      <c r="AQ737">
        <v>0</v>
      </c>
      <c r="AR737">
        <v>0</v>
      </c>
      <c r="AS737">
        <v>0</v>
      </c>
      <c r="AT737" t="s">
        <v>90</v>
      </c>
      <c r="AU737" s="1">
        <v>44201.372662037036</v>
      </c>
      <c r="AV737">
        <v>74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12</v>
      </c>
      <c r="BC737">
        <v>0</v>
      </c>
      <c r="BD737">
        <v>0</v>
      </c>
      <c r="BE737">
        <v>0</v>
      </c>
    </row>
    <row r="738" spans="1:57" x14ac:dyDescent="0.45">
      <c r="A738" t="s">
        <v>1947</v>
      </c>
      <c r="B738" t="s">
        <v>79</v>
      </c>
      <c r="C738" t="s">
        <v>1948</v>
      </c>
      <c r="D738" t="s">
        <v>81</v>
      </c>
      <c r="E738" s="2" t="str">
        <f>HYPERLINK("capsilon://?command=openfolder&amp;siteaddress=FAM.docvelocity-na8.net&amp;folderid=FXF02C7A7F-4FA2-98B4-EF3A-809CE385FD68","FX21012980")</f>
        <v>FX21012980</v>
      </c>
      <c r="F738" t="s">
        <v>19</v>
      </c>
      <c r="G738" t="s">
        <v>19</v>
      </c>
      <c r="H738" t="s">
        <v>82</v>
      </c>
      <c r="I738" t="s">
        <v>1949</v>
      </c>
      <c r="J738">
        <v>399</v>
      </c>
      <c r="K738" t="s">
        <v>84</v>
      </c>
      <c r="L738" t="s">
        <v>85</v>
      </c>
      <c r="M738" t="s">
        <v>86</v>
      </c>
      <c r="N738">
        <v>3</v>
      </c>
      <c r="O738" s="1">
        <v>44207.588923611111</v>
      </c>
      <c r="P738" s="1">
        <v>44207.720081018517</v>
      </c>
      <c r="Q738">
        <v>7440</v>
      </c>
      <c r="R738">
        <v>3892</v>
      </c>
      <c r="S738" t="b">
        <v>0</v>
      </c>
      <c r="T738" t="s">
        <v>87</v>
      </c>
      <c r="U738" t="b">
        <v>0</v>
      </c>
      <c r="V738" t="s">
        <v>255</v>
      </c>
      <c r="W738" s="1">
        <v>44207.621805555558</v>
      </c>
      <c r="X738">
        <v>2836</v>
      </c>
      <c r="Y738">
        <v>344</v>
      </c>
      <c r="Z738">
        <v>0</v>
      </c>
      <c r="AA738">
        <v>344</v>
      </c>
      <c r="AB738">
        <v>0</v>
      </c>
      <c r="AC738">
        <v>172</v>
      </c>
      <c r="AD738">
        <v>55</v>
      </c>
      <c r="AE738">
        <v>0</v>
      </c>
      <c r="AF738">
        <v>0</v>
      </c>
      <c r="AG738">
        <v>0</v>
      </c>
      <c r="AH738" t="s">
        <v>128</v>
      </c>
      <c r="AI738" s="1">
        <v>44207.636354166665</v>
      </c>
      <c r="AJ738">
        <v>1005</v>
      </c>
      <c r="AK738">
        <v>8</v>
      </c>
      <c r="AL738">
        <v>0</v>
      </c>
      <c r="AM738">
        <v>8</v>
      </c>
      <c r="AN738">
        <v>0</v>
      </c>
      <c r="AO738">
        <v>8</v>
      </c>
      <c r="AP738">
        <v>47</v>
      </c>
      <c r="AQ738">
        <v>0</v>
      </c>
      <c r="AR738">
        <v>0</v>
      </c>
      <c r="AS738">
        <v>0</v>
      </c>
      <c r="AT738" t="s">
        <v>90</v>
      </c>
      <c r="AU738" s="1">
        <v>44207.720081018517</v>
      </c>
      <c r="AV738">
        <v>51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47</v>
      </c>
      <c r="BC738">
        <v>0</v>
      </c>
      <c r="BD738">
        <v>0</v>
      </c>
      <c r="BE738">
        <v>0</v>
      </c>
    </row>
    <row r="739" spans="1:57" x14ac:dyDescent="0.45">
      <c r="A739" t="s">
        <v>1950</v>
      </c>
      <c r="B739" t="s">
        <v>79</v>
      </c>
      <c r="C739" t="s">
        <v>1951</v>
      </c>
      <c r="D739" t="s">
        <v>81</v>
      </c>
      <c r="E739" s="2" t="str">
        <f>HYPERLINK("capsilon://?command=openfolder&amp;siteaddress=FAM.docvelocity-na8.net&amp;folderid=FXF2E8DC2D-AAA2-C9DF-173B-36A5C3CDD4B5","FX21013462")</f>
        <v>FX21013462</v>
      </c>
      <c r="F739" t="s">
        <v>19</v>
      </c>
      <c r="G739" t="s">
        <v>19</v>
      </c>
      <c r="H739" t="s">
        <v>82</v>
      </c>
      <c r="I739" t="s">
        <v>1952</v>
      </c>
      <c r="J739">
        <v>474</v>
      </c>
      <c r="K739" t="s">
        <v>84</v>
      </c>
      <c r="L739" t="s">
        <v>85</v>
      </c>
      <c r="M739" t="s">
        <v>86</v>
      </c>
      <c r="N739">
        <v>3</v>
      </c>
      <c r="O739" s="1">
        <v>44207.592442129629</v>
      </c>
      <c r="P739" s="1">
        <v>44207.721736111111</v>
      </c>
      <c r="Q739">
        <v>7705</v>
      </c>
      <c r="R739">
        <v>3466</v>
      </c>
      <c r="S739" t="b">
        <v>0</v>
      </c>
      <c r="T739" t="s">
        <v>87</v>
      </c>
      <c r="U739" t="b">
        <v>0</v>
      </c>
      <c r="V739" t="s">
        <v>168</v>
      </c>
      <c r="W739" s="1">
        <v>44207.627650462964</v>
      </c>
      <c r="X739">
        <v>2976</v>
      </c>
      <c r="Y739">
        <v>331</v>
      </c>
      <c r="Z739">
        <v>0</v>
      </c>
      <c r="AA739">
        <v>331</v>
      </c>
      <c r="AB739">
        <v>0</v>
      </c>
      <c r="AC739">
        <v>100</v>
      </c>
      <c r="AD739">
        <v>143</v>
      </c>
      <c r="AE739">
        <v>0</v>
      </c>
      <c r="AF739">
        <v>0</v>
      </c>
      <c r="AG739">
        <v>0</v>
      </c>
      <c r="AH739" t="s">
        <v>267</v>
      </c>
      <c r="AI739" s="1">
        <v>44207.635914351849</v>
      </c>
      <c r="AJ739">
        <v>348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143</v>
      </c>
      <c r="AQ739">
        <v>0</v>
      </c>
      <c r="AR739">
        <v>0</v>
      </c>
      <c r="AS739">
        <v>0</v>
      </c>
      <c r="AT739" t="s">
        <v>90</v>
      </c>
      <c r="AU739" s="1">
        <v>44207.721736111111</v>
      </c>
      <c r="AV739">
        <v>142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143</v>
      </c>
      <c r="BC739">
        <v>0</v>
      </c>
      <c r="BD739">
        <v>0</v>
      </c>
      <c r="BE739">
        <v>0</v>
      </c>
    </row>
    <row r="740" spans="1:57" hidden="1" x14ac:dyDescent="0.45">
      <c r="A740" t="s">
        <v>1953</v>
      </c>
      <c r="B740" t="s">
        <v>79</v>
      </c>
      <c r="C740" t="s">
        <v>1942</v>
      </c>
      <c r="D740" t="s">
        <v>81</v>
      </c>
      <c r="E740" s="2" t="str">
        <f>HYPERLINK("capsilon://?command=openfolder&amp;siteaddress=FAM.docvelocity-na8.net&amp;folderid=FX616EA531-3599-0DA7-B21E-BE0A19E7484B","FX201225")</f>
        <v>FX201225</v>
      </c>
      <c r="F740" t="s">
        <v>19</v>
      </c>
      <c r="G740" t="s">
        <v>19</v>
      </c>
      <c r="H740" t="s">
        <v>82</v>
      </c>
      <c r="I740" t="s">
        <v>1954</v>
      </c>
      <c r="J740">
        <v>26</v>
      </c>
      <c r="K740" t="s">
        <v>84</v>
      </c>
      <c r="L740" t="s">
        <v>85</v>
      </c>
      <c r="M740" t="s">
        <v>86</v>
      </c>
      <c r="N740">
        <v>1</v>
      </c>
      <c r="O740" s="1">
        <v>44207.595902777779</v>
      </c>
      <c r="P740" s="1">
        <v>44207.603344907409</v>
      </c>
      <c r="Q740">
        <v>1</v>
      </c>
      <c r="R740">
        <v>642</v>
      </c>
      <c r="S740" t="b">
        <v>0</v>
      </c>
      <c r="T740" t="s">
        <v>87</v>
      </c>
      <c r="U740" t="b">
        <v>0</v>
      </c>
      <c r="V740" t="s">
        <v>179</v>
      </c>
      <c r="W740" s="1">
        <v>44207.603344907409</v>
      </c>
      <c r="X740">
        <v>252</v>
      </c>
      <c r="Y740">
        <v>5</v>
      </c>
      <c r="Z740">
        <v>0</v>
      </c>
      <c r="AA740">
        <v>5</v>
      </c>
      <c r="AB740">
        <v>0</v>
      </c>
      <c r="AC740">
        <v>1</v>
      </c>
      <c r="AD740">
        <v>21</v>
      </c>
      <c r="AE740">
        <v>21</v>
      </c>
      <c r="AF740">
        <v>0</v>
      </c>
      <c r="AG740">
        <v>2</v>
      </c>
      <c r="AH740" t="s">
        <v>87</v>
      </c>
      <c r="AI740" t="s">
        <v>87</v>
      </c>
      <c r="AJ740" t="s">
        <v>87</v>
      </c>
      <c r="AK740" t="s">
        <v>87</v>
      </c>
      <c r="AL740" t="s">
        <v>87</v>
      </c>
      <c r="AM740" t="s">
        <v>87</v>
      </c>
      <c r="AN740" t="s">
        <v>87</v>
      </c>
      <c r="AO740" t="s">
        <v>87</v>
      </c>
      <c r="AP740" t="s">
        <v>87</v>
      </c>
      <c r="AQ740" t="s">
        <v>87</v>
      </c>
      <c r="AR740" t="s">
        <v>87</v>
      </c>
      <c r="AS740" t="s">
        <v>87</v>
      </c>
      <c r="AT740" t="s">
        <v>87</v>
      </c>
      <c r="AU740" t="s">
        <v>87</v>
      </c>
      <c r="AV740" t="s">
        <v>87</v>
      </c>
      <c r="AW740" t="s">
        <v>87</v>
      </c>
      <c r="AX740" t="s">
        <v>87</v>
      </c>
      <c r="AY740" t="s">
        <v>87</v>
      </c>
      <c r="AZ740" t="s">
        <v>87</v>
      </c>
      <c r="BA740" t="s">
        <v>87</v>
      </c>
      <c r="BB740" t="s">
        <v>87</v>
      </c>
      <c r="BC740" t="s">
        <v>87</v>
      </c>
      <c r="BD740" t="s">
        <v>87</v>
      </c>
      <c r="BE740" t="s">
        <v>87</v>
      </c>
    </row>
    <row r="741" spans="1:57" x14ac:dyDescent="0.45">
      <c r="A741" t="s">
        <v>1955</v>
      </c>
      <c r="B741" t="s">
        <v>79</v>
      </c>
      <c r="C741" t="s">
        <v>1942</v>
      </c>
      <c r="D741" t="s">
        <v>81</v>
      </c>
      <c r="E741" s="2" t="str">
        <f>HYPERLINK("capsilon://?command=openfolder&amp;siteaddress=FAM.docvelocity-na8.net&amp;folderid=FX616EA531-3599-0DA7-B21E-BE0A19E7484B","FX201225")</f>
        <v>FX201225</v>
      </c>
      <c r="F741" t="s">
        <v>19</v>
      </c>
      <c r="G741" t="s">
        <v>19</v>
      </c>
      <c r="H741" t="s">
        <v>82</v>
      </c>
      <c r="I741" t="s">
        <v>1954</v>
      </c>
      <c r="J741">
        <v>52</v>
      </c>
      <c r="K741" t="s">
        <v>84</v>
      </c>
      <c r="L741" t="s">
        <v>85</v>
      </c>
      <c r="M741" t="s">
        <v>86</v>
      </c>
      <c r="N741">
        <v>3</v>
      </c>
      <c r="O741" s="1">
        <v>44207.60434027778</v>
      </c>
      <c r="P741" s="1">
        <v>44207.66165509259</v>
      </c>
      <c r="Q741">
        <v>3769</v>
      </c>
      <c r="R741">
        <v>1183</v>
      </c>
      <c r="S741" t="b">
        <v>0</v>
      </c>
      <c r="T741" t="s">
        <v>87</v>
      </c>
      <c r="U741" t="b">
        <v>1</v>
      </c>
      <c r="V741" t="s">
        <v>171</v>
      </c>
      <c r="W741" s="1">
        <v>44207.615937499999</v>
      </c>
      <c r="X741">
        <v>962</v>
      </c>
      <c r="Y741">
        <v>42</v>
      </c>
      <c r="Z741">
        <v>0</v>
      </c>
      <c r="AA741">
        <v>42</v>
      </c>
      <c r="AB741">
        <v>0</v>
      </c>
      <c r="AC741">
        <v>25</v>
      </c>
      <c r="AD741">
        <v>10</v>
      </c>
      <c r="AE741">
        <v>0</v>
      </c>
      <c r="AF741">
        <v>0</v>
      </c>
      <c r="AG741">
        <v>0</v>
      </c>
      <c r="AH741" t="s">
        <v>128</v>
      </c>
      <c r="AI741" s="1">
        <v>44207.62159722222</v>
      </c>
      <c r="AJ741">
        <v>171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10</v>
      </c>
      <c r="AQ741">
        <v>0</v>
      </c>
      <c r="AR741">
        <v>0</v>
      </c>
      <c r="AS741">
        <v>0</v>
      </c>
      <c r="AT741" t="s">
        <v>549</v>
      </c>
      <c r="AU741" s="1">
        <v>44207.66165509259</v>
      </c>
      <c r="AV741">
        <v>11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10</v>
      </c>
      <c r="BC741">
        <v>0</v>
      </c>
      <c r="BD741">
        <v>0</v>
      </c>
      <c r="BE741">
        <v>0</v>
      </c>
    </row>
    <row r="742" spans="1:57" x14ac:dyDescent="0.45">
      <c r="A742" t="s">
        <v>1956</v>
      </c>
      <c r="B742" t="s">
        <v>79</v>
      </c>
      <c r="C742" t="s">
        <v>1957</v>
      </c>
      <c r="D742" t="s">
        <v>81</v>
      </c>
      <c r="E742" s="2" t="str">
        <f>HYPERLINK("capsilon://?command=openfolder&amp;siteaddress=FAM.docvelocity-na8.net&amp;folderid=FX74873ACF-2134-B3B4-2C99-473E333D8863","FX201228694")</f>
        <v>FX201228694</v>
      </c>
      <c r="F742" t="s">
        <v>19</v>
      </c>
      <c r="G742" t="s">
        <v>19</v>
      </c>
      <c r="H742" t="s">
        <v>82</v>
      </c>
      <c r="I742" t="s">
        <v>1958</v>
      </c>
      <c r="J742">
        <v>240</v>
      </c>
      <c r="K742" t="s">
        <v>84</v>
      </c>
      <c r="L742" t="s">
        <v>85</v>
      </c>
      <c r="M742" t="s">
        <v>86</v>
      </c>
      <c r="N742">
        <v>3</v>
      </c>
      <c r="O742" s="1">
        <v>44207.606840277775</v>
      </c>
      <c r="P742" s="1">
        <v>44207.723078703704</v>
      </c>
      <c r="Q742">
        <v>5694</v>
      </c>
      <c r="R742">
        <v>4349</v>
      </c>
      <c r="S742" t="b">
        <v>0</v>
      </c>
      <c r="T742" t="s">
        <v>87</v>
      </c>
      <c r="U742" t="b">
        <v>0</v>
      </c>
      <c r="V742" t="s">
        <v>262</v>
      </c>
      <c r="W742" s="1">
        <v>44207.669178240743</v>
      </c>
      <c r="X742">
        <v>3647</v>
      </c>
      <c r="Y742">
        <v>203</v>
      </c>
      <c r="Z742">
        <v>0</v>
      </c>
      <c r="AA742">
        <v>203</v>
      </c>
      <c r="AB742">
        <v>0</v>
      </c>
      <c r="AC742">
        <v>112</v>
      </c>
      <c r="AD742">
        <v>37</v>
      </c>
      <c r="AE742">
        <v>0</v>
      </c>
      <c r="AF742">
        <v>0</v>
      </c>
      <c r="AG742">
        <v>0</v>
      </c>
      <c r="AH742" t="s">
        <v>128</v>
      </c>
      <c r="AI742" s="1">
        <v>44207.675011574072</v>
      </c>
      <c r="AJ742">
        <v>482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37</v>
      </c>
      <c r="AQ742">
        <v>0</v>
      </c>
      <c r="AR742">
        <v>0</v>
      </c>
      <c r="AS742">
        <v>0</v>
      </c>
      <c r="AT742" t="s">
        <v>90</v>
      </c>
      <c r="AU742" s="1">
        <v>44207.723078703704</v>
      </c>
      <c r="AV742">
        <v>115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37</v>
      </c>
      <c r="BC742">
        <v>0</v>
      </c>
      <c r="BD742">
        <v>0</v>
      </c>
      <c r="BE742">
        <v>0</v>
      </c>
    </row>
    <row r="743" spans="1:57" x14ac:dyDescent="0.45">
      <c r="A743" t="s">
        <v>1959</v>
      </c>
      <c r="B743" t="s">
        <v>79</v>
      </c>
      <c r="C743" t="s">
        <v>1960</v>
      </c>
      <c r="D743" t="s">
        <v>81</v>
      </c>
      <c r="E743" s="2" t="str">
        <f>HYPERLINK("capsilon://?command=openfolder&amp;siteaddress=FAM.docvelocity-na8.net&amp;folderid=FX20C19B98-915C-AF7D-6569-EA9058AD5A63","FX21012359")</f>
        <v>FX21012359</v>
      </c>
      <c r="F743" t="s">
        <v>19</v>
      </c>
      <c r="G743" t="s">
        <v>19</v>
      </c>
      <c r="H743" t="s">
        <v>82</v>
      </c>
      <c r="I743" t="s">
        <v>1961</v>
      </c>
      <c r="J743">
        <v>38</v>
      </c>
      <c r="K743" t="s">
        <v>84</v>
      </c>
      <c r="L743" t="s">
        <v>85</v>
      </c>
      <c r="M743" t="s">
        <v>86</v>
      </c>
      <c r="N743">
        <v>3</v>
      </c>
      <c r="O743" s="1">
        <v>44207.617048611108</v>
      </c>
      <c r="P743" s="1">
        <v>44207.724479166667</v>
      </c>
      <c r="Q743">
        <v>8732</v>
      </c>
      <c r="R743">
        <v>550</v>
      </c>
      <c r="S743" t="b">
        <v>0</v>
      </c>
      <c r="T743" t="s">
        <v>87</v>
      </c>
      <c r="U743" t="b">
        <v>0</v>
      </c>
      <c r="V743" t="s">
        <v>242</v>
      </c>
      <c r="W743" s="1">
        <v>44207.623032407406</v>
      </c>
      <c r="X743">
        <v>299</v>
      </c>
      <c r="Y743">
        <v>37</v>
      </c>
      <c r="Z743">
        <v>0</v>
      </c>
      <c r="AA743">
        <v>37</v>
      </c>
      <c r="AB743">
        <v>0</v>
      </c>
      <c r="AC743">
        <v>10</v>
      </c>
      <c r="AD743">
        <v>1</v>
      </c>
      <c r="AE743">
        <v>0</v>
      </c>
      <c r="AF743">
        <v>0</v>
      </c>
      <c r="AG743">
        <v>0</v>
      </c>
      <c r="AH743" t="s">
        <v>267</v>
      </c>
      <c r="AI743" s="1">
        <v>44207.62704861111</v>
      </c>
      <c r="AJ743">
        <v>130</v>
      </c>
      <c r="AK743">
        <v>5</v>
      </c>
      <c r="AL743">
        <v>0</v>
      </c>
      <c r="AM743">
        <v>5</v>
      </c>
      <c r="AN743">
        <v>0</v>
      </c>
      <c r="AO743">
        <v>5</v>
      </c>
      <c r="AP743">
        <v>-4</v>
      </c>
      <c r="AQ743">
        <v>0</v>
      </c>
      <c r="AR743">
        <v>0</v>
      </c>
      <c r="AS743">
        <v>0</v>
      </c>
      <c r="AT743" t="s">
        <v>90</v>
      </c>
      <c r="AU743" s="1">
        <v>44207.724479166667</v>
      </c>
      <c r="AV743">
        <v>121</v>
      </c>
      <c r="AW743">
        <v>1</v>
      </c>
      <c r="AX743">
        <v>0</v>
      </c>
      <c r="AY743">
        <v>1</v>
      </c>
      <c r="AZ743">
        <v>0</v>
      </c>
      <c r="BA743">
        <v>1</v>
      </c>
      <c r="BB743">
        <v>-5</v>
      </c>
      <c r="BC743">
        <v>0</v>
      </c>
      <c r="BD743">
        <v>0</v>
      </c>
      <c r="BE743">
        <v>0</v>
      </c>
    </row>
    <row r="744" spans="1:57" x14ac:dyDescent="0.45">
      <c r="A744" t="s">
        <v>1962</v>
      </c>
      <c r="B744" t="s">
        <v>79</v>
      </c>
      <c r="C744" t="s">
        <v>1963</v>
      </c>
      <c r="D744" t="s">
        <v>81</v>
      </c>
      <c r="E744" s="2" t="str">
        <f>HYPERLINK("capsilon://?command=openfolder&amp;siteaddress=FAM.docvelocity-na8.net&amp;folderid=FXD77C11D4-F900-D068-55A9-59F0D3EE9E30","FX21014829")</f>
        <v>FX21014829</v>
      </c>
      <c r="F744" t="s">
        <v>19</v>
      </c>
      <c r="G744" t="s">
        <v>19</v>
      </c>
      <c r="H744" t="s">
        <v>82</v>
      </c>
      <c r="I744" t="s">
        <v>1964</v>
      </c>
      <c r="J744">
        <v>244</v>
      </c>
      <c r="K744" t="s">
        <v>84</v>
      </c>
      <c r="L744" t="s">
        <v>85</v>
      </c>
      <c r="M744" t="s">
        <v>86</v>
      </c>
      <c r="N744">
        <v>3</v>
      </c>
      <c r="O744" s="1">
        <v>44207.623877314814</v>
      </c>
      <c r="P744" s="1">
        <v>44207.724826388891</v>
      </c>
      <c r="Q744">
        <v>6904</v>
      </c>
      <c r="R744">
        <v>1818</v>
      </c>
      <c r="S744" t="b">
        <v>0</v>
      </c>
      <c r="T744" t="s">
        <v>87</v>
      </c>
      <c r="U744" t="b">
        <v>0</v>
      </c>
      <c r="V744" t="s">
        <v>255</v>
      </c>
      <c r="W744" s="1">
        <v>44207.638715277775</v>
      </c>
      <c r="X744">
        <v>1187</v>
      </c>
      <c r="Y744">
        <v>219</v>
      </c>
      <c r="Z744">
        <v>0</v>
      </c>
      <c r="AA744">
        <v>219</v>
      </c>
      <c r="AB744">
        <v>37</v>
      </c>
      <c r="AC744">
        <v>95</v>
      </c>
      <c r="AD744">
        <v>25</v>
      </c>
      <c r="AE744">
        <v>0</v>
      </c>
      <c r="AF744">
        <v>0</v>
      </c>
      <c r="AG744">
        <v>0</v>
      </c>
      <c r="AH744" t="s">
        <v>128</v>
      </c>
      <c r="AI744" s="1">
        <v>44207.647581018522</v>
      </c>
      <c r="AJ744">
        <v>602</v>
      </c>
      <c r="AK744">
        <v>0</v>
      </c>
      <c r="AL744">
        <v>0</v>
      </c>
      <c r="AM744">
        <v>0</v>
      </c>
      <c r="AN744">
        <v>37</v>
      </c>
      <c r="AO744">
        <v>0</v>
      </c>
      <c r="AP744">
        <v>25</v>
      </c>
      <c r="AQ744">
        <v>0</v>
      </c>
      <c r="AR744">
        <v>0</v>
      </c>
      <c r="AS744">
        <v>0</v>
      </c>
      <c r="AT744" t="s">
        <v>90</v>
      </c>
      <c r="AU744" s="1">
        <v>44207.724826388891</v>
      </c>
      <c r="AV744">
        <v>29</v>
      </c>
      <c r="AW744">
        <v>0</v>
      </c>
      <c r="AX744">
        <v>0</v>
      </c>
      <c r="AY744">
        <v>0</v>
      </c>
      <c r="AZ744">
        <v>37</v>
      </c>
      <c r="BA744">
        <v>0</v>
      </c>
      <c r="BB744">
        <v>25</v>
      </c>
      <c r="BC744">
        <v>0</v>
      </c>
      <c r="BD744">
        <v>0</v>
      </c>
      <c r="BE744">
        <v>0</v>
      </c>
    </row>
    <row r="745" spans="1:57" hidden="1" x14ac:dyDescent="0.45">
      <c r="A745" t="s">
        <v>1965</v>
      </c>
      <c r="B745" t="s">
        <v>79</v>
      </c>
      <c r="C745" t="s">
        <v>1185</v>
      </c>
      <c r="D745" t="s">
        <v>81</v>
      </c>
      <c r="E745" s="2" t="str">
        <f>HYPERLINK("capsilon://?command=openfolder&amp;siteaddress=FAM.docvelocity-na8.net&amp;folderid=FXFAC3B060-3364-D168-1DE1-C58FB9CE43B7","FX20113630")</f>
        <v>FX20113630</v>
      </c>
      <c r="F745" t="s">
        <v>19</v>
      </c>
      <c r="G745" t="s">
        <v>19</v>
      </c>
      <c r="H745" t="s">
        <v>82</v>
      </c>
      <c r="I745" t="s">
        <v>1966</v>
      </c>
      <c r="J745">
        <v>66</v>
      </c>
      <c r="K745" t="s">
        <v>84</v>
      </c>
      <c r="L745" t="s">
        <v>85</v>
      </c>
      <c r="M745" t="s">
        <v>86</v>
      </c>
      <c r="N745">
        <v>3</v>
      </c>
      <c r="O745" s="1">
        <v>44200.578912037039</v>
      </c>
      <c r="P745" s="1">
        <v>44201.372708333336</v>
      </c>
      <c r="Q745">
        <v>68455</v>
      </c>
      <c r="R745">
        <v>129</v>
      </c>
      <c r="S745" t="b">
        <v>0</v>
      </c>
      <c r="T745" t="s">
        <v>87</v>
      </c>
      <c r="U745" t="b">
        <v>0</v>
      </c>
      <c r="V745" t="s">
        <v>142</v>
      </c>
      <c r="W745" s="1">
        <v>44200.683819444443</v>
      </c>
      <c r="X745">
        <v>83</v>
      </c>
      <c r="Y745">
        <v>0</v>
      </c>
      <c r="Z745">
        <v>0</v>
      </c>
      <c r="AA745">
        <v>0</v>
      </c>
      <c r="AB745">
        <v>52</v>
      </c>
      <c r="AC745">
        <v>0</v>
      </c>
      <c r="AD745">
        <v>66</v>
      </c>
      <c r="AE745">
        <v>0</v>
      </c>
      <c r="AF745">
        <v>0</v>
      </c>
      <c r="AG745">
        <v>0</v>
      </c>
      <c r="AH745" t="s">
        <v>267</v>
      </c>
      <c r="AI745" s="1">
        <v>44200.740289351852</v>
      </c>
      <c r="AJ745">
        <v>43</v>
      </c>
      <c r="AK745">
        <v>0</v>
      </c>
      <c r="AL745">
        <v>0</v>
      </c>
      <c r="AM745">
        <v>0</v>
      </c>
      <c r="AN745">
        <v>52</v>
      </c>
      <c r="AO745">
        <v>0</v>
      </c>
      <c r="AP745">
        <v>66</v>
      </c>
      <c r="AQ745">
        <v>0</v>
      </c>
      <c r="AR745">
        <v>0</v>
      </c>
      <c r="AS745">
        <v>0</v>
      </c>
      <c r="AT745" t="s">
        <v>90</v>
      </c>
      <c r="AU745" s="1">
        <v>44201.372708333336</v>
      </c>
      <c r="AV745">
        <v>3</v>
      </c>
      <c r="AW745">
        <v>0</v>
      </c>
      <c r="AX745">
        <v>0</v>
      </c>
      <c r="AY745">
        <v>0</v>
      </c>
      <c r="AZ745">
        <v>52</v>
      </c>
      <c r="BA745">
        <v>0</v>
      </c>
      <c r="BB745">
        <v>66</v>
      </c>
      <c r="BC745">
        <v>0</v>
      </c>
      <c r="BD745">
        <v>0</v>
      </c>
      <c r="BE745">
        <v>0</v>
      </c>
    </row>
    <row r="746" spans="1:57" hidden="1" x14ac:dyDescent="0.45">
      <c r="A746" t="s">
        <v>1967</v>
      </c>
      <c r="B746" t="s">
        <v>79</v>
      </c>
      <c r="C746" t="s">
        <v>1968</v>
      </c>
      <c r="D746" t="s">
        <v>81</v>
      </c>
      <c r="E746" s="2" t="str">
        <f>HYPERLINK("capsilon://?command=openfolder&amp;siteaddress=FAM.docvelocity-na8.net&amp;folderid=FXE7F47CAD-8EDA-8318-5807-BBAD6F29998F","FX20121626")</f>
        <v>FX20121626</v>
      </c>
      <c r="F746" t="s">
        <v>19</v>
      </c>
      <c r="G746" t="s">
        <v>19</v>
      </c>
      <c r="H746" t="s">
        <v>82</v>
      </c>
      <c r="I746" t="s">
        <v>1969</v>
      </c>
      <c r="J746">
        <v>66</v>
      </c>
      <c r="K746" t="s">
        <v>84</v>
      </c>
      <c r="L746" t="s">
        <v>85</v>
      </c>
      <c r="M746" t="s">
        <v>86</v>
      </c>
      <c r="N746">
        <v>3</v>
      </c>
      <c r="O746" s="1">
        <v>44207.630925925929</v>
      </c>
      <c r="P746" s="1">
        <v>44207.724872685183</v>
      </c>
      <c r="Q746">
        <v>7970</v>
      </c>
      <c r="R746">
        <v>147</v>
      </c>
      <c r="S746" t="b">
        <v>0</v>
      </c>
      <c r="T746" t="s">
        <v>87</v>
      </c>
      <c r="U746" t="b">
        <v>0</v>
      </c>
      <c r="V746" t="s">
        <v>255</v>
      </c>
      <c r="W746" s="1">
        <v>44207.639432870368</v>
      </c>
      <c r="X746">
        <v>61</v>
      </c>
      <c r="Y746">
        <v>0</v>
      </c>
      <c r="Z746">
        <v>0</v>
      </c>
      <c r="AA746">
        <v>0</v>
      </c>
      <c r="AB746">
        <v>52</v>
      </c>
      <c r="AC746">
        <v>0</v>
      </c>
      <c r="AD746">
        <v>66</v>
      </c>
      <c r="AE746">
        <v>0</v>
      </c>
      <c r="AF746">
        <v>0</v>
      </c>
      <c r="AG746">
        <v>0</v>
      </c>
      <c r="AH746" t="s">
        <v>128</v>
      </c>
      <c r="AI746" s="1">
        <v>44207.64806712963</v>
      </c>
      <c r="AJ746">
        <v>41</v>
      </c>
      <c r="AK746">
        <v>0</v>
      </c>
      <c r="AL746">
        <v>0</v>
      </c>
      <c r="AM746">
        <v>0</v>
      </c>
      <c r="AN746">
        <v>52</v>
      </c>
      <c r="AO746">
        <v>0</v>
      </c>
      <c r="AP746">
        <v>66</v>
      </c>
      <c r="AQ746">
        <v>0</v>
      </c>
      <c r="AR746">
        <v>0</v>
      </c>
      <c r="AS746">
        <v>0</v>
      </c>
      <c r="AT746" t="s">
        <v>90</v>
      </c>
      <c r="AU746" s="1">
        <v>44207.724872685183</v>
      </c>
      <c r="AV746">
        <v>3</v>
      </c>
      <c r="AW746">
        <v>0</v>
      </c>
      <c r="AX746">
        <v>0</v>
      </c>
      <c r="AY746">
        <v>0</v>
      </c>
      <c r="AZ746">
        <v>52</v>
      </c>
      <c r="BA746">
        <v>0</v>
      </c>
      <c r="BB746">
        <v>66</v>
      </c>
      <c r="BC746">
        <v>0</v>
      </c>
      <c r="BD746">
        <v>0</v>
      </c>
      <c r="BE746">
        <v>0</v>
      </c>
    </row>
    <row r="747" spans="1:57" hidden="1" x14ac:dyDescent="0.45">
      <c r="A747" t="s">
        <v>1970</v>
      </c>
      <c r="B747" t="s">
        <v>79</v>
      </c>
      <c r="C747" t="s">
        <v>1185</v>
      </c>
      <c r="D747" t="s">
        <v>81</v>
      </c>
      <c r="E747" s="2" t="str">
        <f>HYPERLINK("capsilon://?command=openfolder&amp;siteaddress=FAM.docvelocity-na8.net&amp;folderid=FXFAC3B060-3364-D168-1DE1-C58FB9CE43B7","FX20113630")</f>
        <v>FX20113630</v>
      </c>
      <c r="F747" t="s">
        <v>19</v>
      </c>
      <c r="G747" t="s">
        <v>19</v>
      </c>
      <c r="H747" t="s">
        <v>82</v>
      </c>
      <c r="I747" t="s">
        <v>1971</v>
      </c>
      <c r="J747">
        <v>66</v>
      </c>
      <c r="K747" t="s">
        <v>84</v>
      </c>
      <c r="L747" t="s">
        <v>85</v>
      </c>
      <c r="M747" t="s">
        <v>86</v>
      </c>
      <c r="N747">
        <v>3</v>
      </c>
      <c r="O747" s="1">
        <v>44200.579606481479</v>
      </c>
      <c r="P747" s="1">
        <v>44201.372766203705</v>
      </c>
      <c r="Q747">
        <v>68421</v>
      </c>
      <c r="R747">
        <v>108</v>
      </c>
      <c r="S747" t="b">
        <v>0</v>
      </c>
      <c r="T747" t="s">
        <v>87</v>
      </c>
      <c r="U747" t="b">
        <v>0</v>
      </c>
      <c r="V747" t="s">
        <v>142</v>
      </c>
      <c r="W747" s="1">
        <v>44200.684710648151</v>
      </c>
      <c r="X747">
        <v>76</v>
      </c>
      <c r="Y747">
        <v>0</v>
      </c>
      <c r="Z747">
        <v>0</v>
      </c>
      <c r="AA747">
        <v>0</v>
      </c>
      <c r="AB747">
        <v>52</v>
      </c>
      <c r="AC747">
        <v>0</v>
      </c>
      <c r="AD747">
        <v>66</v>
      </c>
      <c r="AE747">
        <v>0</v>
      </c>
      <c r="AF747">
        <v>0</v>
      </c>
      <c r="AG747">
        <v>0</v>
      </c>
      <c r="AH747" t="s">
        <v>267</v>
      </c>
      <c r="AI747" s="1">
        <v>44200.740624999999</v>
      </c>
      <c r="AJ747">
        <v>28</v>
      </c>
      <c r="AK747">
        <v>0</v>
      </c>
      <c r="AL747">
        <v>0</v>
      </c>
      <c r="AM747">
        <v>0</v>
      </c>
      <c r="AN747">
        <v>52</v>
      </c>
      <c r="AO747">
        <v>0</v>
      </c>
      <c r="AP747">
        <v>66</v>
      </c>
      <c r="AQ747">
        <v>0</v>
      </c>
      <c r="AR747">
        <v>0</v>
      </c>
      <c r="AS747">
        <v>0</v>
      </c>
      <c r="AT747" t="s">
        <v>90</v>
      </c>
      <c r="AU747" s="1">
        <v>44201.372766203705</v>
      </c>
      <c r="AV747">
        <v>4</v>
      </c>
      <c r="AW747">
        <v>0</v>
      </c>
      <c r="AX747">
        <v>0</v>
      </c>
      <c r="AY747">
        <v>0</v>
      </c>
      <c r="AZ747">
        <v>52</v>
      </c>
      <c r="BA747">
        <v>0</v>
      </c>
      <c r="BB747">
        <v>66</v>
      </c>
      <c r="BC747">
        <v>0</v>
      </c>
      <c r="BD747">
        <v>0</v>
      </c>
      <c r="BE747">
        <v>0</v>
      </c>
    </row>
    <row r="748" spans="1:57" hidden="1" x14ac:dyDescent="0.45">
      <c r="A748" t="s">
        <v>1972</v>
      </c>
      <c r="B748" t="s">
        <v>79</v>
      </c>
      <c r="C748" t="s">
        <v>1973</v>
      </c>
      <c r="D748" t="s">
        <v>81</v>
      </c>
      <c r="E748" s="2" t="str">
        <f>HYPERLINK("capsilon://?command=openfolder&amp;siteaddress=FAM.docvelocity-na8.net&amp;folderid=FX19A6AD5F-D797-D493-FD2A-03E90425F4F6","FX20126346")</f>
        <v>FX20126346</v>
      </c>
      <c r="F748" t="s">
        <v>19</v>
      </c>
      <c r="G748" t="s">
        <v>19</v>
      </c>
      <c r="H748" t="s">
        <v>82</v>
      </c>
      <c r="I748" t="s">
        <v>1974</v>
      </c>
      <c r="J748">
        <v>66</v>
      </c>
      <c r="K748" t="s">
        <v>84</v>
      </c>
      <c r="L748" t="s">
        <v>85</v>
      </c>
      <c r="M748" t="s">
        <v>86</v>
      </c>
      <c r="N748">
        <v>1</v>
      </c>
      <c r="O748" s="1">
        <v>44207.642731481479</v>
      </c>
      <c r="P748" s="1">
        <v>44207.645370370374</v>
      </c>
      <c r="Q748">
        <v>161</v>
      </c>
      <c r="R748">
        <v>67</v>
      </c>
      <c r="S748" t="b">
        <v>0</v>
      </c>
      <c r="T748" t="s">
        <v>87</v>
      </c>
      <c r="U748" t="b">
        <v>0</v>
      </c>
      <c r="V748" t="s">
        <v>255</v>
      </c>
      <c r="W748" s="1">
        <v>44207.645370370374</v>
      </c>
      <c r="X748">
        <v>67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66</v>
      </c>
      <c r="AE748">
        <v>52</v>
      </c>
      <c r="AF748">
        <v>0</v>
      </c>
      <c r="AG748">
        <v>1</v>
      </c>
      <c r="AH748" t="s">
        <v>87</v>
      </c>
      <c r="AI748" t="s">
        <v>87</v>
      </c>
      <c r="AJ748" t="s">
        <v>87</v>
      </c>
      <c r="AK748" t="s">
        <v>87</v>
      </c>
      <c r="AL748" t="s">
        <v>87</v>
      </c>
      <c r="AM748" t="s">
        <v>87</v>
      </c>
      <c r="AN748" t="s">
        <v>87</v>
      </c>
      <c r="AO748" t="s">
        <v>87</v>
      </c>
      <c r="AP748" t="s">
        <v>87</v>
      </c>
      <c r="AQ748" t="s">
        <v>87</v>
      </c>
      <c r="AR748" t="s">
        <v>87</v>
      </c>
      <c r="AS748" t="s">
        <v>87</v>
      </c>
      <c r="AT748" t="s">
        <v>87</v>
      </c>
      <c r="AU748" t="s">
        <v>87</v>
      </c>
      <c r="AV748" t="s">
        <v>87</v>
      </c>
      <c r="AW748" t="s">
        <v>87</v>
      </c>
      <c r="AX748" t="s">
        <v>87</v>
      </c>
      <c r="AY748" t="s">
        <v>87</v>
      </c>
      <c r="AZ748" t="s">
        <v>87</v>
      </c>
      <c r="BA748" t="s">
        <v>87</v>
      </c>
      <c r="BB748" t="s">
        <v>87</v>
      </c>
      <c r="BC748" t="s">
        <v>87</v>
      </c>
      <c r="BD748" t="s">
        <v>87</v>
      </c>
      <c r="BE748" t="s">
        <v>87</v>
      </c>
    </row>
    <row r="749" spans="1:57" x14ac:dyDescent="0.45">
      <c r="A749" t="s">
        <v>1975</v>
      </c>
      <c r="B749" t="s">
        <v>79</v>
      </c>
      <c r="C749" t="s">
        <v>1976</v>
      </c>
      <c r="D749" t="s">
        <v>81</v>
      </c>
      <c r="E749" s="2" t="str">
        <f>HYPERLINK("capsilon://?command=openfolder&amp;siteaddress=FAM.docvelocity-na8.net&amp;folderid=FXF6DBDF7D-BD41-9DC9-B622-EA157252677F","FX21014495")</f>
        <v>FX21014495</v>
      </c>
      <c r="F749" t="s">
        <v>19</v>
      </c>
      <c r="G749" t="s">
        <v>19</v>
      </c>
      <c r="H749" t="s">
        <v>82</v>
      </c>
      <c r="I749" t="s">
        <v>1977</v>
      </c>
      <c r="J749">
        <v>76</v>
      </c>
      <c r="K749" t="s">
        <v>84</v>
      </c>
      <c r="L749" t="s">
        <v>85</v>
      </c>
      <c r="M749" t="s">
        <v>86</v>
      </c>
      <c r="N749">
        <v>3</v>
      </c>
      <c r="O749" s="1">
        <v>44207.643472222226</v>
      </c>
      <c r="P749" s="1">
        <v>44207.724953703706</v>
      </c>
      <c r="Q749">
        <v>6196</v>
      </c>
      <c r="R749">
        <v>844</v>
      </c>
      <c r="S749" t="b">
        <v>0</v>
      </c>
      <c r="T749" t="s">
        <v>87</v>
      </c>
      <c r="U749" t="b">
        <v>0</v>
      </c>
      <c r="V749" t="s">
        <v>255</v>
      </c>
      <c r="W749" s="1">
        <v>44207.652546296296</v>
      </c>
      <c r="X749">
        <v>619</v>
      </c>
      <c r="Y749">
        <v>74</v>
      </c>
      <c r="Z749">
        <v>0</v>
      </c>
      <c r="AA749">
        <v>74</v>
      </c>
      <c r="AB749">
        <v>0</v>
      </c>
      <c r="AC749">
        <v>33</v>
      </c>
      <c r="AD749">
        <v>2</v>
      </c>
      <c r="AE749">
        <v>0</v>
      </c>
      <c r="AF749">
        <v>0</v>
      </c>
      <c r="AG749">
        <v>0</v>
      </c>
      <c r="AH749" t="s">
        <v>128</v>
      </c>
      <c r="AI749" s="1">
        <v>44207.664895833332</v>
      </c>
      <c r="AJ749">
        <v>218</v>
      </c>
      <c r="AK749">
        <v>1</v>
      </c>
      <c r="AL749">
        <v>0</v>
      </c>
      <c r="AM749">
        <v>1</v>
      </c>
      <c r="AN749">
        <v>0</v>
      </c>
      <c r="AO749">
        <v>1</v>
      </c>
      <c r="AP749">
        <v>1</v>
      </c>
      <c r="AQ749">
        <v>0</v>
      </c>
      <c r="AR749">
        <v>0</v>
      </c>
      <c r="AS749">
        <v>0</v>
      </c>
      <c r="AT749" t="s">
        <v>90</v>
      </c>
      <c r="AU749" s="1">
        <v>44207.724953703706</v>
      </c>
      <c r="AV749">
        <v>7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</row>
    <row r="750" spans="1:57" x14ac:dyDescent="0.45">
      <c r="A750" t="s">
        <v>1978</v>
      </c>
      <c r="B750" t="s">
        <v>79</v>
      </c>
      <c r="C750" t="s">
        <v>1979</v>
      </c>
      <c r="D750" t="s">
        <v>81</v>
      </c>
      <c r="E750" s="2" t="str">
        <f>HYPERLINK("capsilon://?command=openfolder&amp;siteaddress=FAM.docvelocity-na8.net&amp;folderid=FX556D0F90-FBAE-03EF-0A1A-EBB49AA926DC","FX201221235")</f>
        <v>FX201221235</v>
      </c>
      <c r="F750" t="s">
        <v>19</v>
      </c>
      <c r="G750" t="s">
        <v>19</v>
      </c>
      <c r="H750" t="s">
        <v>82</v>
      </c>
      <c r="I750" t="s">
        <v>1980</v>
      </c>
      <c r="J750">
        <v>62</v>
      </c>
      <c r="K750" t="s">
        <v>84</v>
      </c>
      <c r="L750" t="s">
        <v>85</v>
      </c>
      <c r="M750" t="s">
        <v>86</v>
      </c>
      <c r="N750">
        <v>3</v>
      </c>
      <c r="O750" s="1">
        <v>44207.64402777778</v>
      </c>
      <c r="P750" s="1">
        <v>44207.72587962963</v>
      </c>
      <c r="Q750">
        <v>6333</v>
      </c>
      <c r="R750">
        <v>739</v>
      </c>
      <c r="S750" t="b">
        <v>0</v>
      </c>
      <c r="T750" t="s">
        <v>87</v>
      </c>
      <c r="U750" t="b">
        <v>0</v>
      </c>
      <c r="V750" t="s">
        <v>179</v>
      </c>
      <c r="W750" s="1">
        <v>44207.651064814818</v>
      </c>
      <c r="X750">
        <v>473</v>
      </c>
      <c r="Y750">
        <v>52</v>
      </c>
      <c r="Z750">
        <v>0</v>
      </c>
      <c r="AA750">
        <v>52</v>
      </c>
      <c r="AB750">
        <v>0</v>
      </c>
      <c r="AC750">
        <v>26</v>
      </c>
      <c r="AD750">
        <v>10</v>
      </c>
      <c r="AE750">
        <v>0</v>
      </c>
      <c r="AF750">
        <v>0</v>
      </c>
      <c r="AG750">
        <v>0</v>
      </c>
      <c r="AH750" t="s">
        <v>128</v>
      </c>
      <c r="AI750" s="1">
        <v>44207.667060185187</v>
      </c>
      <c r="AJ750">
        <v>186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10</v>
      </c>
      <c r="AQ750">
        <v>0</v>
      </c>
      <c r="AR750">
        <v>0</v>
      </c>
      <c r="AS750">
        <v>0</v>
      </c>
      <c r="AT750" t="s">
        <v>90</v>
      </c>
      <c r="AU750" s="1">
        <v>44207.72587962963</v>
      </c>
      <c r="AV750">
        <v>80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10</v>
      </c>
      <c r="BC750">
        <v>0</v>
      </c>
      <c r="BD750">
        <v>0</v>
      </c>
      <c r="BE750">
        <v>0</v>
      </c>
    </row>
    <row r="751" spans="1:57" x14ac:dyDescent="0.45">
      <c r="A751" t="s">
        <v>1981</v>
      </c>
      <c r="B751" t="s">
        <v>79</v>
      </c>
      <c r="C751" t="s">
        <v>1973</v>
      </c>
      <c r="D751" t="s">
        <v>81</v>
      </c>
      <c r="E751" s="2" t="str">
        <f>HYPERLINK("capsilon://?command=openfolder&amp;siteaddress=FAM.docvelocity-na8.net&amp;folderid=FX19A6AD5F-D797-D493-FD2A-03E90425F4F6","FX20126346")</f>
        <v>FX20126346</v>
      </c>
      <c r="F751" t="s">
        <v>19</v>
      </c>
      <c r="G751" t="s">
        <v>19</v>
      </c>
      <c r="H751" t="s">
        <v>82</v>
      </c>
      <c r="I751" t="s">
        <v>1974</v>
      </c>
      <c r="J751">
        <v>38</v>
      </c>
      <c r="K751" t="s">
        <v>84</v>
      </c>
      <c r="L751" t="s">
        <v>85</v>
      </c>
      <c r="M751" t="s">
        <v>86</v>
      </c>
      <c r="N751">
        <v>3</v>
      </c>
      <c r="O751" s="1">
        <v>44207.645729166667</v>
      </c>
      <c r="P751" s="1">
        <v>44207.669930555552</v>
      </c>
      <c r="Q751">
        <v>1340</v>
      </c>
      <c r="R751">
        <v>751</v>
      </c>
      <c r="S751" t="b">
        <v>0</v>
      </c>
      <c r="T751" t="s">
        <v>87</v>
      </c>
      <c r="U751" t="b">
        <v>1</v>
      </c>
      <c r="V751" t="s">
        <v>160</v>
      </c>
      <c r="W751" s="1">
        <v>44207.652395833335</v>
      </c>
      <c r="X751">
        <v>569</v>
      </c>
      <c r="Y751">
        <v>37</v>
      </c>
      <c r="Z751">
        <v>0</v>
      </c>
      <c r="AA751">
        <v>37</v>
      </c>
      <c r="AB751">
        <v>0</v>
      </c>
      <c r="AC751">
        <v>36</v>
      </c>
      <c r="AD751">
        <v>1</v>
      </c>
      <c r="AE751">
        <v>0</v>
      </c>
      <c r="AF751">
        <v>0</v>
      </c>
      <c r="AG751">
        <v>0</v>
      </c>
      <c r="AH751" t="s">
        <v>128</v>
      </c>
      <c r="AI751" s="1">
        <v>44207.662361111114</v>
      </c>
      <c r="AJ751">
        <v>143</v>
      </c>
      <c r="AK751">
        <v>1</v>
      </c>
      <c r="AL751">
        <v>0</v>
      </c>
      <c r="AM751">
        <v>1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 t="s">
        <v>549</v>
      </c>
      <c r="AU751" s="1">
        <v>44207.669930555552</v>
      </c>
      <c r="AV751">
        <v>39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</row>
    <row r="752" spans="1:57" x14ac:dyDescent="0.45">
      <c r="A752" t="s">
        <v>1982</v>
      </c>
      <c r="B752" t="s">
        <v>79</v>
      </c>
      <c r="C752" t="s">
        <v>1983</v>
      </c>
      <c r="D752" t="s">
        <v>81</v>
      </c>
      <c r="E752" s="2" t="str">
        <f>HYPERLINK("capsilon://?command=openfolder&amp;siteaddress=FAM.docvelocity-na8.net&amp;folderid=FX9AF4609C-7D2D-0C98-A6EB-272021357B31","FX21011197")</f>
        <v>FX21011197</v>
      </c>
      <c r="F752" t="s">
        <v>19</v>
      </c>
      <c r="G752" t="s">
        <v>19</v>
      </c>
      <c r="H752" t="s">
        <v>82</v>
      </c>
      <c r="I752" t="s">
        <v>1984</v>
      </c>
      <c r="J752">
        <v>140</v>
      </c>
      <c r="K752" t="s">
        <v>84</v>
      </c>
      <c r="L752" t="s">
        <v>85</v>
      </c>
      <c r="M752" t="s">
        <v>86</v>
      </c>
      <c r="N752">
        <v>3</v>
      </c>
      <c r="O752" s="1">
        <v>44207.654097222221</v>
      </c>
      <c r="P752" s="1">
        <v>44207.727673611109</v>
      </c>
      <c r="Q752">
        <v>3437</v>
      </c>
      <c r="R752">
        <v>2920</v>
      </c>
      <c r="S752" t="b">
        <v>0</v>
      </c>
      <c r="T752" t="s">
        <v>87</v>
      </c>
      <c r="U752" t="b">
        <v>0</v>
      </c>
      <c r="V752" t="s">
        <v>146</v>
      </c>
      <c r="W752" s="1">
        <v>44207.68340277778</v>
      </c>
      <c r="X752">
        <v>2531</v>
      </c>
      <c r="Y752">
        <v>144</v>
      </c>
      <c r="Z752">
        <v>0</v>
      </c>
      <c r="AA752">
        <v>144</v>
      </c>
      <c r="AB752">
        <v>0</v>
      </c>
      <c r="AC752">
        <v>64</v>
      </c>
      <c r="AD752">
        <v>-4</v>
      </c>
      <c r="AE752">
        <v>0</v>
      </c>
      <c r="AF752">
        <v>0</v>
      </c>
      <c r="AG752">
        <v>0</v>
      </c>
      <c r="AH752" t="s">
        <v>267</v>
      </c>
      <c r="AI752" s="1">
        <v>44207.686574074076</v>
      </c>
      <c r="AJ752">
        <v>234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-4</v>
      </c>
      <c r="AQ752">
        <v>0</v>
      </c>
      <c r="AR752">
        <v>0</v>
      </c>
      <c r="AS752">
        <v>0</v>
      </c>
      <c r="AT752" t="s">
        <v>90</v>
      </c>
      <c r="AU752" s="1">
        <v>44207.727673611109</v>
      </c>
      <c r="AV752">
        <v>155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-4</v>
      </c>
      <c r="BC752">
        <v>0</v>
      </c>
      <c r="BD752">
        <v>0</v>
      </c>
      <c r="BE752">
        <v>0</v>
      </c>
    </row>
    <row r="753" spans="1:57" x14ac:dyDescent="0.45">
      <c r="A753" t="s">
        <v>1985</v>
      </c>
      <c r="B753" t="s">
        <v>79</v>
      </c>
      <c r="C753" t="s">
        <v>1986</v>
      </c>
      <c r="D753" t="s">
        <v>81</v>
      </c>
      <c r="E753" s="2" t="str">
        <f>HYPERLINK("capsilon://?command=openfolder&amp;siteaddress=FAM.docvelocity-na8.net&amp;folderid=FXE2BF93E8-26CC-9264-18B5-062EF3D0218A","FX20116056")</f>
        <v>FX20116056</v>
      </c>
      <c r="F753" t="s">
        <v>19</v>
      </c>
      <c r="G753" t="s">
        <v>19</v>
      </c>
      <c r="H753" t="s">
        <v>82</v>
      </c>
      <c r="I753" t="s">
        <v>1987</v>
      </c>
      <c r="J753">
        <v>295</v>
      </c>
      <c r="K753" t="s">
        <v>84</v>
      </c>
      <c r="L753" t="s">
        <v>85</v>
      </c>
      <c r="M753" t="s">
        <v>86</v>
      </c>
      <c r="N753">
        <v>3</v>
      </c>
      <c r="O753" s="1">
        <v>44207.669120370374</v>
      </c>
      <c r="P753" s="1">
        <v>44207.729953703703</v>
      </c>
      <c r="Q753">
        <v>2525</v>
      </c>
      <c r="R753">
        <v>2731</v>
      </c>
      <c r="S753" t="b">
        <v>0</v>
      </c>
      <c r="T753" t="s">
        <v>87</v>
      </c>
      <c r="U753" t="b">
        <v>0</v>
      </c>
      <c r="V753" t="s">
        <v>171</v>
      </c>
      <c r="W753" s="1">
        <v>44207.693437499998</v>
      </c>
      <c r="X753">
        <v>2100</v>
      </c>
      <c r="Y753">
        <v>279</v>
      </c>
      <c r="Z753">
        <v>0</v>
      </c>
      <c r="AA753">
        <v>279</v>
      </c>
      <c r="AB753">
        <v>0</v>
      </c>
      <c r="AC753">
        <v>68</v>
      </c>
      <c r="AD753">
        <v>16</v>
      </c>
      <c r="AE753">
        <v>0</v>
      </c>
      <c r="AF753">
        <v>0</v>
      </c>
      <c r="AG753">
        <v>0</v>
      </c>
      <c r="AH753" t="s">
        <v>267</v>
      </c>
      <c r="AI753" s="1">
        <v>44207.69908564815</v>
      </c>
      <c r="AJ753">
        <v>434</v>
      </c>
      <c r="AK753">
        <v>4</v>
      </c>
      <c r="AL753">
        <v>0</v>
      </c>
      <c r="AM753">
        <v>4</v>
      </c>
      <c r="AN753">
        <v>0</v>
      </c>
      <c r="AO753">
        <v>4</v>
      </c>
      <c r="AP753">
        <v>12</v>
      </c>
      <c r="AQ753">
        <v>0</v>
      </c>
      <c r="AR753">
        <v>0</v>
      </c>
      <c r="AS753">
        <v>0</v>
      </c>
      <c r="AT753" t="s">
        <v>90</v>
      </c>
      <c r="AU753" s="1">
        <v>44207.729953703703</v>
      </c>
      <c r="AV753">
        <v>197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12</v>
      </c>
      <c r="BC753">
        <v>0</v>
      </c>
      <c r="BD753">
        <v>0</v>
      </c>
      <c r="BE753">
        <v>0</v>
      </c>
    </row>
    <row r="754" spans="1:57" x14ac:dyDescent="0.45">
      <c r="A754" t="s">
        <v>1988</v>
      </c>
      <c r="B754" t="s">
        <v>79</v>
      </c>
      <c r="C754" t="s">
        <v>1989</v>
      </c>
      <c r="D754" t="s">
        <v>81</v>
      </c>
      <c r="E754" s="2" t="str">
        <f>HYPERLINK("capsilon://?command=openfolder&amp;siteaddress=FAM.docvelocity-na8.net&amp;folderid=FX38AF1F3F-45FA-7F04-6437-B0D55B3213E0","FX201116164")</f>
        <v>FX201116164</v>
      </c>
      <c r="F754" t="s">
        <v>19</v>
      </c>
      <c r="G754" t="s">
        <v>19</v>
      </c>
      <c r="H754" t="s">
        <v>82</v>
      </c>
      <c r="I754" t="s">
        <v>1990</v>
      </c>
      <c r="J754">
        <v>88</v>
      </c>
      <c r="K754" t="s">
        <v>84</v>
      </c>
      <c r="L754" t="s">
        <v>85</v>
      </c>
      <c r="M754" t="s">
        <v>86</v>
      </c>
      <c r="N754">
        <v>3</v>
      </c>
      <c r="O754" s="1">
        <v>44207.670300925929</v>
      </c>
      <c r="P754" s="1">
        <v>44207.730219907404</v>
      </c>
      <c r="Q754">
        <v>3695</v>
      </c>
      <c r="R754">
        <v>1482</v>
      </c>
      <c r="S754" t="b">
        <v>0</v>
      </c>
      <c r="T754" t="s">
        <v>87</v>
      </c>
      <c r="U754" t="b">
        <v>0</v>
      </c>
      <c r="V754" t="s">
        <v>168</v>
      </c>
      <c r="W754" s="1">
        <v>44207.692071759258</v>
      </c>
      <c r="X754">
        <v>1307</v>
      </c>
      <c r="Y754">
        <v>86</v>
      </c>
      <c r="Z754">
        <v>0</v>
      </c>
      <c r="AA754">
        <v>86</v>
      </c>
      <c r="AB754">
        <v>0</v>
      </c>
      <c r="AC754">
        <v>52</v>
      </c>
      <c r="AD754">
        <v>2</v>
      </c>
      <c r="AE754">
        <v>0</v>
      </c>
      <c r="AF754">
        <v>0</v>
      </c>
      <c r="AG754">
        <v>0</v>
      </c>
      <c r="AH754" t="s">
        <v>267</v>
      </c>
      <c r="AI754" s="1">
        <v>44207.694050925929</v>
      </c>
      <c r="AJ754">
        <v>153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2</v>
      </c>
      <c r="AQ754">
        <v>0</v>
      </c>
      <c r="AR754">
        <v>0</v>
      </c>
      <c r="AS754">
        <v>0</v>
      </c>
      <c r="AT754" t="s">
        <v>90</v>
      </c>
      <c r="AU754" s="1">
        <v>44207.730219907404</v>
      </c>
      <c r="AV754">
        <v>22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2</v>
      </c>
      <c r="BC754">
        <v>0</v>
      </c>
      <c r="BD754">
        <v>0</v>
      </c>
      <c r="BE754">
        <v>0</v>
      </c>
    </row>
    <row r="755" spans="1:57" x14ac:dyDescent="0.45">
      <c r="A755" t="s">
        <v>1991</v>
      </c>
      <c r="B755" t="s">
        <v>79</v>
      </c>
      <c r="C755" t="s">
        <v>1992</v>
      </c>
      <c r="D755" t="s">
        <v>81</v>
      </c>
      <c r="E755" s="2" t="str">
        <f>HYPERLINK("capsilon://?command=openfolder&amp;siteaddress=FAM.docvelocity-na8.net&amp;folderid=FX3E76C774-8923-6FB9-F386-B1540620A0CA","FX21013171")</f>
        <v>FX21013171</v>
      </c>
      <c r="F755" t="s">
        <v>19</v>
      </c>
      <c r="G755" t="s">
        <v>19</v>
      </c>
      <c r="H755" t="s">
        <v>82</v>
      </c>
      <c r="I755" t="s">
        <v>1993</v>
      </c>
      <c r="J755">
        <v>38</v>
      </c>
      <c r="K755" t="s">
        <v>84</v>
      </c>
      <c r="L755" t="s">
        <v>85</v>
      </c>
      <c r="M755" t="s">
        <v>86</v>
      </c>
      <c r="N755">
        <v>3</v>
      </c>
      <c r="O755" s="1">
        <v>44207.675057870372</v>
      </c>
      <c r="P755" s="1">
        <v>44207.73028935185</v>
      </c>
      <c r="Q755">
        <v>4405</v>
      </c>
      <c r="R755">
        <v>367</v>
      </c>
      <c r="S755" t="b">
        <v>0</v>
      </c>
      <c r="T755" t="s">
        <v>87</v>
      </c>
      <c r="U755" t="b">
        <v>0</v>
      </c>
      <c r="V755" t="s">
        <v>255</v>
      </c>
      <c r="W755" s="1">
        <v>44207.680601851855</v>
      </c>
      <c r="X755">
        <v>261</v>
      </c>
      <c r="Y755">
        <v>37</v>
      </c>
      <c r="Z755">
        <v>0</v>
      </c>
      <c r="AA755">
        <v>37</v>
      </c>
      <c r="AB755">
        <v>0</v>
      </c>
      <c r="AC755">
        <v>9</v>
      </c>
      <c r="AD755">
        <v>1</v>
      </c>
      <c r="AE755">
        <v>0</v>
      </c>
      <c r="AF755">
        <v>0</v>
      </c>
      <c r="AG755">
        <v>0</v>
      </c>
      <c r="AH755" t="s">
        <v>267</v>
      </c>
      <c r="AI755" s="1">
        <v>44207.683854166666</v>
      </c>
      <c r="AJ755">
        <v>101</v>
      </c>
      <c r="AK755">
        <v>2</v>
      </c>
      <c r="AL755">
        <v>0</v>
      </c>
      <c r="AM755">
        <v>2</v>
      </c>
      <c r="AN755">
        <v>0</v>
      </c>
      <c r="AO755">
        <v>1</v>
      </c>
      <c r="AP755">
        <v>-1</v>
      </c>
      <c r="AQ755">
        <v>0</v>
      </c>
      <c r="AR755">
        <v>0</v>
      </c>
      <c r="AS755">
        <v>0</v>
      </c>
      <c r="AT755" t="s">
        <v>90</v>
      </c>
      <c r="AU755" s="1">
        <v>44207.73028935185</v>
      </c>
      <c r="AV755">
        <v>5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-1</v>
      </c>
      <c r="BC755">
        <v>0</v>
      </c>
      <c r="BD755">
        <v>0</v>
      </c>
      <c r="BE755">
        <v>0</v>
      </c>
    </row>
    <row r="756" spans="1:57" hidden="1" x14ac:dyDescent="0.45">
      <c r="A756" t="s">
        <v>1994</v>
      </c>
      <c r="B756" t="s">
        <v>79</v>
      </c>
      <c r="C756" t="s">
        <v>1995</v>
      </c>
      <c r="D756" t="s">
        <v>81</v>
      </c>
      <c r="E756" s="2" t="str">
        <f>HYPERLINK("capsilon://?command=openfolder&amp;siteaddress=FAM.docvelocity-na8.net&amp;folderid=FX68BFF421-0534-3C65-E596-2E2BD1ABB6D9","FX20119880")</f>
        <v>FX20119880</v>
      </c>
      <c r="F756" t="s">
        <v>19</v>
      </c>
      <c r="G756" t="s">
        <v>19</v>
      </c>
      <c r="H756" t="s">
        <v>82</v>
      </c>
      <c r="I756" t="s">
        <v>1996</v>
      </c>
      <c r="J756">
        <v>66</v>
      </c>
      <c r="K756" t="s">
        <v>84</v>
      </c>
      <c r="L756" t="s">
        <v>85</v>
      </c>
      <c r="M756" t="s">
        <v>86</v>
      </c>
      <c r="N756">
        <v>3</v>
      </c>
      <c r="O756" s="1">
        <v>44207.676168981481</v>
      </c>
      <c r="P756" s="1">
        <v>44207.730312500003</v>
      </c>
      <c r="Q756">
        <v>4069</v>
      </c>
      <c r="R756">
        <v>609</v>
      </c>
      <c r="S756" t="b">
        <v>0</v>
      </c>
      <c r="T756" t="s">
        <v>87</v>
      </c>
      <c r="U756" t="b">
        <v>0</v>
      </c>
      <c r="V756" t="s">
        <v>262</v>
      </c>
      <c r="W756" s="1">
        <v>44207.686053240737</v>
      </c>
      <c r="X756">
        <v>541</v>
      </c>
      <c r="Y756">
        <v>0</v>
      </c>
      <c r="Z756">
        <v>0</v>
      </c>
      <c r="AA756">
        <v>0</v>
      </c>
      <c r="AB756">
        <v>52</v>
      </c>
      <c r="AC756">
        <v>0</v>
      </c>
      <c r="AD756">
        <v>66</v>
      </c>
      <c r="AE756">
        <v>0</v>
      </c>
      <c r="AF756">
        <v>0</v>
      </c>
      <c r="AG756">
        <v>0</v>
      </c>
      <c r="AH756" t="s">
        <v>267</v>
      </c>
      <c r="AI756" s="1">
        <v>44207.686863425923</v>
      </c>
      <c r="AJ756">
        <v>24</v>
      </c>
      <c r="AK756">
        <v>0</v>
      </c>
      <c r="AL756">
        <v>0</v>
      </c>
      <c r="AM756">
        <v>0</v>
      </c>
      <c r="AN756">
        <v>52</v>
      </c>
      <c r="AO756">
        <v>0</v>
      </c>
      <c r="AP756">
        <v>66</v>
      </c>
      <c r="AQ756">
        <v>0</v>
      </c>
      <c r="AR756">
        <v>0</v>
      </c>
      <c r="AS756">
        <v>0</v>
      </c>
      <c r="AT756" t="s">
        <v>90</v>
      </c>
      <c r="AU756" s="1">
        <v>44207.730312500003</v>
      </c>
      <c r="AV756">
        <v>2</v>
      </c>
      <c r="AW756">
        <v>0</v>
      </c>
      <c r="AX756">
        <v>0</v>
      </c>
      <c r="AY756">
        <v>0</v>
      </c>
      <c r="AZ756">
        <v>52</v>
      </c>
      <c r="BA756">
        <v>0</v>
      </c>
      <c r="BB756">
        <v>66</v>
      </c>
      <c r="BC756">
        <v>0</v>
      </c>
      <c r="BD756">
        <v>0</v>
      </c>
      <c r="BE756">
        <v>0</v>
      </c>
    </row>
    <row r="757" spans="1:57" x14ac:dyDescent="0.45">
      <c r="A757" t="s">
        <v>1997</v>
      </c>
      <c r="B757" t="s">
        <v>79</v>
      </c>
      <c r="C757" t="s">
        <v>1998</v>
      </c>
      <c r="D757" t="s">
        <v>81</v>
      </c>
      <c r="E757" s="2" t="str">
        <f>HYPERLINK("capsilon://?command=openfolder&amp;siteaddress=FAM.docvelocity-na8.net&amp;folderid=FXBE524BB8-9FB7-D84F-5EE8-4B20CB895987","FX21015408")</f>
        <v>FX21015408</v>
      </c>
      <c r="F757" t="s">
        <v>19</v>
      </c>
      <c r="G757" t="s">
        <v>19</v>
      </c>
      <c r="H757" t="s">
        <v>82</v>
      </c>
      <c r="I757" t="s">
        <v>1999</v>
      </c>
      <c r="J757">
        <v>38</v>
      </c>
      <c r="K757" t="s">
        <v>84</v>
      </c>
      <c r="L757" t="s">
        <v>85</v>
      </c>
      <c r="M757" t="s">
        <v>86</v>
      </c>
      <c r="N757">
        <v>3</v>
      </c>
      <c r="O757" s="1">
        <v>44207.676481481481</v>
      </c>
      <c r="P757" s="1">
        <v>44207.730416666665</v>
      </c>
      <c r="Q757">
        <v>3974</v>
      </c>
      <c r="R757">
        <v>686</v>
      </c>
      <c r="S757" t="b">
        <v>0</v>
      </c>
      <c r="T757" t="s">
        <v>87</v>
      </c>
      <c r="U757" t="b">
        <v>0</v>
      </c>
      <c r="V757" t="s">
        <v>242</v>
      </c>
      <c r="W757" s="1">
        <v>44207.685358796298</v>
      </c>
      <c r="X757">
        <v>622</v>
      </c>
      <c r="Y757">
        <v>37</v>
      </c>
      <c r="Z757">
        <v>0</v>
      </c>
      <c r="AA757">
        <v>37</v>
      </c>
      <c r="AB757">
        <v>0</v>
      </c>
      <c r="AC757">
        <v>23</v>
      </c>
      <c r="AD757">
        <v>1</v>
      </c>
      <c r="AE757">
        <v>0</v>
      </c>
      <c r="AF757">
        <v>0</v>
      </c>
      <c r="AG757">
        <v>0</v>
      </c>
      <c r="AH757" t="s">
        <v>267</v>
      </c>
      <c r="AI757" s="1">
        <v>44207.687523148146</v>
      </c>
      <c r="AJ757">
        <v>56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 t="s">
        <v>90</v>
      </c>
      <c r="AU757" s="1">
        <v>44207.730416666665</v>
      </c>
      <c r="AV757">
        <v>8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</row>
    <row r="758" spans="1:57" hidden="1" x14ac:dyDescent="0.45">
      <c r="A758" t="s">
        <v>2000</v>
      </c>
      <c r="B758" t="s">
        <v>79</v>
      </c>
      <c r="C758" t="s">
        <v>1998</v>
      </c>
      <c r="D758" t="s">
        <v>81</v>
      </c>
      <c r="E758" s="2" t="str">
        <f>HYPERLINK("capsilon://?command=openfolder&amp;siteaddress=FAM.docvelocity-na8.net&amp;folderid=FXBE524BB8-9FB7-D84F-5EE8-4B20CB895987","FX21015408")</f>
        <v>FX21015408</v>
      </c>
      <c r="F758" t="s">
        <v>19</v>
      </c>
      <c r="G758" t="s">
        <v>19</v>
      </c>
      <c r="H758" t="s">
        <v>82</v>
      </c>
      <c r="I758" t="s">
        <v>2001</v>
      </c>
      <c r="J758">
        <v>271</v>
      </c>
      <c r="K758" t="s">
        <v>84</v>
      </c>
      <c r="L758" t="s">
        <v>85</v>
      </c>
      <c r="M758" t="s">
        <v>86</v>
      </c>
      <c r="N758">
        <v>1</v>
      </c>
      <c r="O758" s="1">
        <v>44207.676724537036</v>
      </c>
      <c r="P758" s="1">
        <v>44207.691076388888</v>
      </c>
      <c r="Q758">
        <v>336</v>
      </c>
      <c r="R758">
        <v>904</v>
      </c>
      <c r="S758" t="b">
        <v>0</v>
      </c>
      <c r="T758" t="s">
        <v>87</v>
      </c>
      <c r="U758" t="b">
        <v>0</v>
      </c>
      <c r="V758" t="s">
        <v>255</v>
      </c>
      <c r="W758" s="1">
        <v>44207.691076388888</v>
      </c>
      <c r="X758">
        <v>904</v>
      </c>
      <c r="Y758">
        <v>210</v>
      </c>
      <c r="Z758">
        <v>0</v>
      </c>
      <c r="AA758">
        <v>210</v>
      </c>
      <c r="AB758">
        <v>0</v>
      </c>
      <c r="AC758">
        <v>42</v>
      </c>
      <c r="AD758">
        <v>61</v>
      </c>
      <c r="AE758">
        <v>42</v>
      </c>
      <c r="AF758">
        <v>0</v>
      </c>
      <c r="AG758">
        <v>4</v>
      </c>
      <c r="AH758" t="s">
        <v>87</v>
      </c>
      <c r="AI758" t="s">
        <v>87</v>
      </c>
      <c r="AJ758" t="s">
        <v>87</v>
      </c>
      <c r="AK758" t="s">
        <v>87</v>
      </c>
      <c r="AL758" t="s">
        <v>87</v>
      </c>
      <c r="AM758" t="s">
        <v>87</v>
      </c>
      <c r="AN758" t="s">
        <v>87</v>
      </c>
      <c r="AO758" t="s">
        <v>87</v>
      </c>
      <c r="AP758" t="s">
        <v>87</v>
      </c>
      <c r="AQ758" t="s">
        <v>87</v>
      </c>
      <c r="AR758" t="s">
        <v>87</v>
      </c>
      <c r="AS758" t="s">
        <v>87</v>
      </c>
      <c r="AT758" t="s">
        <v>87</v>
      </c>
      <c r="AU758" t="s">
        <v>87</v>
      </c>
      <c r="AV758" t="s">
        <v>87</v>
      </c>
      <c r="AW758" t="s">
        <v>87</v>
      </c>
      <c r="AX758" t="s">
        <v>87</v>
      </c>
      <c r="AY758" t="s">
        <v>87</v>
      </c>
      <c r="AZ758" t="s">
        <v>87</v>
      </c>
      <c r="BA758" t="s">
        <v>87</v>
      </c>
      <c r="BB758" t="s">
        <v>87</v>
      </c>
      <c r="BC758" t="s">
        <v>87</v>
      </c>
      <c r="BD758" t="s">
        <v>87</v>
      </c>
      <c r="BE758" t="s">
        <v>87</v>
      </c>
    </row>
    <row r="759" spans="1:57" x14ac:dyDescent="0.45">
      <c r="A759" t="s">
        <v>2002</v>
      </c>
      <c r="B759" t="s">
        <v>79</v>
      </c>
      <c r="C759" t="s">
        <v>2003</v>
      </c>
      <c r="D759" t="s">
        <v>81</v>
      </c>
      <c r="E759" s="2" t="str">
        <f>HYPERLINK("capsilon://?command=openfolder&amp;siteaddress=FAM.docvelocity-na8.net&amp;folderid=FX75BF8B35-6081-860F-8F3D-5E12FD24D5F9","FX201116822")</f>
        <v>FX201116822</v>
      </c>
      <c r="F759" t="s">
        <v>19</v>
      </c>
      <c r="G759" t="s">
        <v>19</v>
      </c>
      <c r="H759" t="s">
        <v>82</v>
      </c>
      <c r="I759" t="s">
        <v>2004</v>
      </c>
      <c r="J759">
        <v>45</v>
      </c>
      <c r="K759" t="s">
        <v>84</v>
      </c>
      <c r="L759" t="s">
        <v>85</v>
      </c>
      <c r="M759" t="s">
        <v>86</v>
      </c>
      <c r="N759">
        <v>3</v>
      </c>
      <c r="O759" s="1">
        <v>44207.680462962962</v>
      </c>
      <c r="P759" s="1">
        <v>44207.731006944443</v>
      </c>
      <c r="Q759">
        <v>709</v>
      </c>
      <c r="R759">
        <v>3658</v>
      </c>
      <c r="S759" t="b">
        <v>0</v>
      </c>
      <c r="T759" t="s">
        <v>87</v>
      </c>
      <c r="U759" t="b">
        <v>0</v>
      </c>
      <c r="V759" t="s">
        <v>259</v>
      </c>
      <c r="W759" s="1">
        <v>44207.720972222225</v>
      </c>
      <c r="X759">
        <v>3122</v>
      </c>
      <c r="Y759">
        <v>70</v>
      </c>
      <c r="Z759">
        <v>0</v>
      </c>
      <c r="AA759">
        <v>70</v>
      </c>
      <c r="AB759">
        <v>0</v>
      </c>
      <c r="AC759">
        <v>72</v>
      </c>
      <c r="AD759">
        <v>-25</v>
      </c>
      <c r="AE759">
        <v>0</v>
      </c>
      <c r="AF759">
        <v>0</v>
      </c>
      <c r="AG759">
        <v>0</v>
      </c>
      <c r="AH759" t="s">
        <v>267</v>
      </c>
      <c r="AI759" s="1">
        <v>44207.724699074075</v>
      </c>
      <c r="AJ759">
        <v>192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-25</v>
      </c>
      <c r="AQ759">
        <v>0</v>
      </c>
      <c r="AR759">
        <v>0</v>
      </c>
      <c r="AS759">
        <v>0</v>
      </c>
      <c r="AT759" t="s">
        <v>90</v>
      </c>
      <c r="AU759" s="1">
        <v>44207.731006944443</v>
      </c>
      <c r="AV759">
        <v>50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-25</v>
      </c>
      <c r="BC759">
        <v>0</v>
      </c>
      <c r="BD759">
        <v>0</v>
      </c>
      <c r="BE759">
        <v>0</v>
      </c>
    </row>
    <row r="760" spans="1:57" x14ac:dyDescent="0.45">
      <c r="A760" t="s">
        <v>2005</v>
      </c>
      <c r="B760" t="s">
        <v>79</v>
      </c>
      <c r="C760" t="s">
        <v>2003</v>
      </c>
      <c r="D760" t="s">
        <v>81</v>
      </c>
      <c r="E760" s="2" t="str">
        <f>HYPERLINK("capsilon://?command=openfolder&amp;siteaddress=FAM.docvelocity-na8.net&amp;folderid=FX75BF8B35-6081-860F-8F3D-5E12FD24D5F9","FX201116822")</f>
        <v>FX201116822</v>
      </c>
      <c r="F760" t="s">
        <v>19</v>
      </c>
      <c r="G760" t="s">
        <v>19</v>
      </c>
      <c r="H760" t="s">
        <v>82</v>
      </c>
      <c r="I760" t="s">
        <v>2006</v>
      </c>
      <c r="J760">
        <v>40</v>
      </c>
      <c r="K760" t="s">
        <v>84</v>
      </c>
      <c r="L760" t="s">
        <v>85</v>
      </c>
      <c r="M760" t="s">
        <v>86</v>
      </c>
      <c r="N760">
        <v>3</v>
      </c>
      <c r="O760" s="1">
        <v>44207.681354166663</v>
      </c>
      <c r="P760" s="1">
        <v>44207.731111111112</v>
      </c>
      <c r="Q760">
        <v>1789</v>
      </c>
      <c r="R760">
        <v>2510</v>
      </c>
      <c r="S760" t="b">
        <v>0</v>
      </c>
      <c r="T760" t="s">
        <v>87</v>
      </c>
      <c r="U760" t="b">
        <v>0</v>
      </c>
      <c r="V760" t="s">
        <v>255</v>
      </c>
      <c r="W760" s="1">
        <v>44207.711342592593</v>
      </c>
      <c r="X760">
        <v>2393</v>
      </c>
      <c r="Y760">
        <v>65</v>
      </c>
      <c r="Z760">
        <v>0</v>
      </c>
      <c r="AA760">
        <v>65</v>
      </c>
      <c r="AB760">
        <v>0</v>
      </c>
      <c r="AC760">
        <v>13</v>
      </c>
      <c r="AD760">
        <v>-25</v>
      </c>
      <c r="AE760">
        <v>0</v>
      </c>
      <c r="AF760">
        <v>0</v>
      </c>
      <c r="AG760">
        <v>0</v>
      </c>
      <c r="AH760" t="s">
        <v>267</v>
      </c>
      <c r="AI760" s="1">
        <v>44207.717222222222</v>
      </c>
      <c r="AJ760">
        <v>79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-25</v>
      </c>
      <c r="AQ760">
        <v>0</v>
      </c>
      <c r="AR760">
        <v>0</v>
      </c>
      <c r="AS760">
        <v>0</v>
      </c>
      <c r="AT760" t="s">
        <v>90</v>
      </c>
      <c r="AU760" s="1">
        <v>44207.731111111112</v>
      </c>
      <c r="AV760">
        <v>8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-25</v>
      </c>
      <c r="BC760">
        <v>0</v>
      </c>
      <c r="BD760">
        <v>0</v>
      </c>
      <c r="BE760">
        <v>0</v>
      </c>
    </row>
    <row r="761" spans="1:57" x14ac:dyDescent="0.45">
      <c r="A761" t="s">
        <v>2007</v>
      </c>
      <c r="B761" t="s">
        <v>79</v>
      </c>
      <c r="C761" t="s">
        <v>1065</v>
      </c>
      <c r="D761" t="s">
        <v>81</v>
      </c>
      <c r="E761" s="2" t="str">
        <f>HYPERLINK("capsilon://?command=openfolder&amp;siteaddress=FAM.docvelocity-na8.net&amp;folderid=FX546A8127-B9D7-C365-387E-E65116E39C13","FX21012236")</f>
        <v>FX21012236</v>
      </c>
      <c r="F761" t="s">
        <v>19</v>
      </c>
      <c r="G761" t="s">
        <v>19</v>
      </c>
      <c r="H761" t="s">
        <v>82</v>
      </c>
      <c r="I761" t="s">
        <v>2008</v>
      </c>
      <c r="J761">
        <v>66</v>
      </c>
      <c r="K761" t="s">
        <v>84</v>
      </c>
      <c r="L761" t="s">
        <v>85</v>
      </c>
      <c r="M761" t="s">
        <v>86</v>
      </c>
      <c r="N761">
        <v>3</v>
      </c>
      <c r="O761" s="1">
        <v>44207.684004629627</v>
      </c>
      <c r="P761" s="1">
        <v>44207.73164351852</v>
      </c>
      <c r="Q761">
        <v>3339</v>
      </c>
      <c r="R761">
        <v>777</v>
      </c>
      <c r="S761" t="b">
        <v>0</v>
      </c>
      <c r="T761" t="s">
        <v>87</v>
      </c>
      <c r="U761" t="b">
        <v>0</v>
      </c>
      <c r="V761" t="s">
        <v>242</v>
      </c>
      <c r="W761" s="1">
        <v>44207.692881944444</v>
      </c>
      <c r="X761">
        <v>649</v>
      </c>
      <c r="Y761">
        <v>52</v>
      </c>
      <c r="Z761">
        <v>0</v>
      </c>
      <c r="AA761">
        <v>52</v>
      </c>
      <c r="AB761">
        <v>0</v>
      </c>
      <c r="AC761">
        <v>34</v>
      </c>
      <c r="AD761">
        <v>14</v>
      </c>
      <c r="AE761">
        <v>0</v>
      </c>
      <c r="AF761">
        <v>0</v>
      </c>
      <c r="AG761">
        <v>0</v>
      </c>
      <c r="AH761" t="s">
        <v>267</v>
      </c>
      <c r="AI761" s="1">
        <v>44207.700046296297</v>
      </c>
      <c r="AJ761">
        <v>83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14</v>
      </c>
      <c r="AQ761">
        <v>0</v>
      </c>
      <c r="AR761">
        <v>0</v>
      </c>
      <c r="AS761">
        <v>0</v>
      </c>
      <c r="AT761" t="s">
        <v>90</v>
      </c>
      <c r="AU761" s="1">
        <v>44207.73164351852</v>
      </c>
      <c r="AV761">
        <v>45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14</v>
      </c>
      <c r="BC761">
        <v>0</v>
      </c>
      <c r="BD761">
        <v>0</v>
      </c>
      <c r="BE761">
        <v>0</v>
      </c>
    </row>
    <row r="762" spans="1:57" hidden="1" x14ac:dyDescent="0.45">
      <c r="A762" t="s">
        <v>2009</v>
      </c>
      <c r="B762" t="s">
        <v>79</v>
      </c>
      <c r="C762" t="s">
        <v>1871</v>
      </c>
      <c r="D762" t="s">
        <v>81</v>
      </c>
      <c r="E762" s="2" t="str">
        <f>HYPERLINK("capsilon://?command=openfolder&amp;siteaddress=FAM.docvelocity-na8.net&amp;folderid=FX6DBE14CA-DEA6-20CC-74B5-14F9BDEFDAA1","FX20125296")</f>
        <v>FX20125296</v>
      </c>
      <c r="F762" t="s">
        <v>19</v>
      </c>
      <c r="G762" t="s">
        <v>19</v>
      </c>
      <c r="H762" t="s">
        <v>82</v>
      </c>
      <c r="I762" t="s">
        <v>2010</v>
      </c>
      <c r="J762">
        <v>26</v>
      </c>
      <c r="K762" t="s">
        <v>84</v>
      </c>
      <c r="L762" t="s">
        <v>85</v>
      </c>
      <c r="M762" t="s">
        <v>86</v>
      </c>
      <c r="N762">
        <v>1</v>
      </c>
      <c r="O762" s="1">
        <v>44200.584050925929</v>
      </c>
      <c r="P762" s="1">
        <v>44200.685150462959</v>
      </c>
      <c r="Q762">
        <v>8698</v>
      </c>
      <c r="R762">
        <v>37</v>
      </c>
      <c r="S762" t="b">
        <v>0</v>
      </c>
      <c r="T762" t="s">
        <v>87</v>
      </c>
      <c r="U762" t="b">
        <v>0</v>
      </c>
      <c r="V762" t="s">
        <v>142</v>
      </c>
      <c r="W762" s="1">
        <v>44200.685150462959</v>
      </c>
      <c r="X762">
        <v>37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26</v>
      </c>
      <c r="AE762">
        <v>21</v>
      </c>
      <c r="AF762">
        <v>0</v>
      </c>
      <c r="AG762">
        <v>1</v>
      </c>
      <c r="AH762" t="s">
        <v>87</v>
      </c>
      <c r="AI762" t="s">
        <v>87</v>
      </c>
      <c r="AJ762" t="s">
        <v>87</v>
      </c>
      <c r="AK762" t="s">
        <v>87</v>
      </c>
      <c r="AL762" t="s">
        <v>87</v>
      </c>
      <c r="AM762" t="s">
        <v>87</v>
      </c>
      <c r="AN762" t="s">
        <v>87</v>
      </c>
      <c r="AO762" t="s">
        <v>87</v>
      </c>
      <c r="AP762" t="s">
        <v>87</v>
      </c>
      <c r="AQ762" t="s">
        <v>87</v>
      </c>
      <c r="AR762" t="s">
        <v>87</v>
      </c>
      <c r="AS762" t="s">
        <v>87</v>
      </c>
      <c r="AT762" t="s">
        <v>87</v>
      </c>
      <c r="AU762" t="s">
        <v>87</v>
      </c>
      <c r="AV762" t="s">
        <v>87</v>
      </c>
      <c r="AW762" t="s">
        <v>87</v>
      </c>
      <c r="AX762" t="s">
        <v>87</v>
      </c>
      <c r="AY762" t="s">
        <v>87</v>
      </c>
      <c r="AZ762" t="s">
        <v>87</v>
      </c>
      <c r="BA762" t="s">
        <v>87</v>
      </c>
      <c r="BB762" t="s">
        <v>87</v>
      </c>
      <c r="BC762" t="s">
        <v>87</v>
      </c>
      <c r="BD762" t="s">
        <v>87</v>
      </c>
      <c r="BE762" t="s">
        <v>87</v>
      </c>
    </row>
    <row r="763" spans="1:57" x14ac:dyDescent="0.45">
      <c r="A763" t="s">
        <v>2011</v>
      </c>
      <c r="B763" t="s">
        <v>79</v>
      </c>
      <c r="C763" t="s">
        <v>1387</v>
      </c>
      <c r="D763" t="s">
        <v>81</v>
      </c>
      <c r="E763" s="2" t="str">
        <f>HYPERLINK("capsilon://?command=openfolder&amp;siteaddress=FAM.docvelocity-na8.net&amp;folderid=FX801493D8-C470-5A6D-6307-A0C2A56975C5","FX20122779")</f>
        <v>FX20122779</v>
      </c>
      <c r="F763" t="s">
        <v>19</v>
      </c>
      <c r="G763" t="s">
        <v>19</v>
      </c>
      <c r="H763" t="s">
        <v>82</v>
      </c>
      <c r="I763" t="s">
        <v>2012</v>
      </c>
      <c r="J763">
        <v>66</v>
      </c>
      <c r="K763" t="s">
        <v>84</v>
      </c>
      <c r="L763" t="s">
        <v>85</v>
      </c>
      <c r="M763" t="s">
        <v>86</v>
      </c>
      <c r="N763">
        <v>3</v>
      </c>
      <c r="O763" s="1">
        <v>44207.686249999999</v>
      </c>
      <c r="P763" s="1">
        <v>44207.731759259259</v>
      </c>
      <c r="Q763">
        <v>2353</v>
      </c>
      <c r="R763">
        <v>1579</v>
      </c>
      <c r="S763" t="b">
        <v>0</v>
      </c>
      <c r="T763" t="s">
        <v>87</v>
      </c>
      <c r="U763" t="b">
        <v>0</v>
      </c>
      <c r="V763" t="s">
        <v>179</v>
      </c>
      <c r="W763" s="1">
        <v>44207.703148148146</v>
      </c>
      <c r="X763">
        <v>1459</v>
      </c>
      <c r="Y763">
        <v>52</v>
      </c>
      <c r="Z763">
        <v>0</v>
      </c>
      <c r="AA763">
        <v>52</v>
      </c>
      <c r="AB763">
        <v>0</v>
      </c>
      <c r="AC763">
        <v>33</v>
      </c>
      <c r="AD763">
        <v>14</v>
      </c>
      <c r="AE763">
        <v>0</v>
      </c>
      <c r="AF763">
        <v>0</v>
      </c>
      <c r="AG763">
        <v>0</v>
      </c>
      <c r="AH763" t="s">
        <v>267</v>
      </c>
      <c r="AI763" s="1">
        <v>44207.705011574071</v>
      </c>
      <c r="AJ763">
        <v>111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14</v>
      </c>
      <c r="AQ763">
        <v>0</v>
      </c>
      <c r="AR763">
        <v>0</v>
      </c>
      <c r="AS763">
        <v>0</v>
      </c>
      <c r="AT763" t="s">
        <v>90</v>
      </c>
      <c r="AU763" s="1">
        <v>44207.731759259259</v>
      </c>
      <c r="AV763">
        <v>9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14</v>
      </c>
      <c r="BC763">
        <v>0</v>
      </c>
      <c r="BD763">
        <v>0</v>
      </c>
      <c r="BE763">
        <v>0</v>
      </c>
    </row>
    <row r="764" spans="1:57" x14ac:dyDescent="0.45">
      <c r="A764" t="s">
        <v>2013</v>
      </c>
      <c r="B764" t="s">
        <v>79</v>
      </c>
      <c r="C764" t="s">
        <v>1092</v>
      </c>
      <c r="D764" t="s">
        <v>81</v>
      </c>
      <c r="E764" s="2" t="str">
        <f>HYPERLINK("capsilon://?command=openfolder&amp;siteaddress=FAM.docvelocity-na8.net&amp;folderid=FX6A733E17-C6EF-057A-90D9-C8FF7BA96FD4","FX201223339")</f>
        <v>FX201223339</v>
      </c>
      <c r="F764" t="s">
        <v>19</v>
      </c>
      <c r="G764" t="s">
        <v>19</v>
      </c>
      <c r="H764" t="s">
        <v>82</v>
      </c>
      <c r="I764" t="s">
        <v>2014</v>
      </c>
      <c r="J764">
        <v>66</v>
      </c>
      <c r="K764" t="s">
        <v>84</v>
      </c>
      <c r="L764" t="s">
        <v>85</v>
      </c>
      <c r="M764" t="s">
        <v>86</v>
      </c>
      <c r="N764">
        <v>3</v>
      </c>
      <c r="O764" s="1">
        <v>44207.687037037038</v>
      </c>
      <c r="P764" s="1">
        <v>44207.731863425928</v>
      </c>
      <c r="Q764">
        <v>2263</v>
      </c>
      <c r="R764">
        <v>1610</v>
      </c>
      <c r="S764" t="b">
        <v>0</v>
      </c>
      <c r="T764" t="s">
        <v>87</v>
      </c>
      <c r="U764" t="b">
        <v>0</v>
      </c>
      <c r="V764" t="s">
        <v>259</v>
      </c>
      <c r="W764" s="1">
        <v>44207.705949074072</v>
      </c>
      <c r="X764">
        <v>1469</v>
      </c>
      <c r="Y764">
        <v>52</v>
      </c>
      <c r="Z764">
        <v>0</v>
      </c>
      <c r="AA764">
        <v>52</v>
      </c>
      <c r="AB764">
        <v>0</v>
      </c>
      <c r="AC764">
        <v>32</v>
      </c>
      <c r="AD764">
        <v>14</v>
      </c>
      <c r="AE764">
        <v>0</v>
      </c>
      <c r="AF764">
        <v>0</v>
      </c>
      <c r="AG764">
        <v>0</v>
      </c>
      <c r="AH764" t="s">
        <v>267</v>
      </c>
      <c r="AI764" s="1">
        <v>44207.707916666666</v>
      </c>
      <c r="AJ764">
        <v>133</v>
      </c>
      <c r="AK764">
        <v>2</v>
      </c>
      <c r="AL764">
        <v>0</v>
      </c>
      <c r="AM764">
        <v>2</v>
      </c>
      <c r="AN764">
        <v>0</v>
      </c>
      <c r="AO764">
        <v>1</v>
      </c>
      <c r="AP764">
        <v>12</v>
      </c>
      <c r="AQ764">
        <v>0</v>
      </c>
      <c r="AR764">
        <v>0</v>
      </c>
      <c r="AS764">
        <v>0</v>
      </c>
      <c r="AT764" t="s">
        <v>90</v>
      </c>
      <c r="AU764" s="1">
        <v>44207.731863425928</v>
      </c>
      <c r="AV764">
        <v>8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12</v>
      </c>
      <c r="BC764">
        <v>0</v>
      </c>
      <c r="BD764">
        <v>0</v>
      </c>
      <c r="BE764">
        <v>0</v>
      </c>
    </row>
    <row r="765" spans="1:57" x14ac:dyDescent="0.45">
      <c r="A765" t="s">
        <v>2015</v>
      </c>
      <c r="B765" t="s">
        <v>79</v>
      </c>
      <c r="C765" t="s">
        <v>2016</v>
      </c>
      <c r="D765" t="s">
        <v>81</v>
      </c>
      <c r="E765" s="2" t="str">
        <f>HYPERLINK("capsilon://?command=openfolder&amp;siteaddress=FAM.docvelocity-na8.net&amp;folderid=FXBF0E5691-C42A-B32A-CCAA-DABFFCD98181","FX201224937")</f>
        <v>FX201224937</v>
      </c>
      <c r="F765" t="s">
        <v>19</v>
      </c>
      <c r="G765" t="s">
        <v>19</v>
      </c>
      <c r="H765" t="s">
        <v>82</v>
      </c>
      <c r="I765" t="s">
        <v>2017</v>
      </c>
      <c r="J765">
        <v>66</v>
      </c>
      <c r="K765" t="s">
        <v>84</v>
      </c>
      <c r="L765" t="s">
        <v>85</v>
      </c>
      <c r="M765" t="s">
        <v>86</v>
      </c>
      <c r="N765">
        <v>3</v>
      </c>
      <c r="O765" s="1">
        <v>44207.688206018516</v>
      </c>
      <c r="P765" s="1">
        <v>44207.731932870367</v>
      </c>
      <c r="Q765">
        <v>3372</v>
      </c>
      <c r="R765">
        <v>406</v>
      </c>
      <c r="S765" t="b">
        <v>0</v>
      </c>
      <c r="T765" t="s">
        <v>87</v>
      </c>
      <c r="U765" t="b">
        <v>0</v>
      </c>
      <c r="V765" t="s">
        <v>255</v>
      </c>
      <c r="W765" s="1">
        <v>44207.694895833331</v>
      </c>
      <c r="X765">
        <v>329</v>
      </c>
      <c r="Y765">
        <v>52</v>
      </c>
      <c r="Z765">
        <v>0</v>
      </c>
      <c r="AA765">
        <v>52</v>
      </c>
      <c r="AB765">
        <v>0</v>
      </c>
      <c r="AC765">
        <v>32</v>
      </c>
      <c r="AD765">
        <v>14</v>
      </c>
      <c r="AE765">
        <v>0</v>
      </c>
      <c r="AF765">
        <v>0</v>
      </c>
      <c r="AG765">
        <v>0</v>
      </c>
      <c r="AH765" t="s">
        <v>267</v>
      </c>
      <c r="AI765" s="1">
        <v>44207.700891203705</v>
      </c>
      <c r="AJ765">
        <v>72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14</v>
      </c>
      <c r="AQ765">
        <v>0</v>
      </c>
      <c r="AR765">
        <v>0</v>
      </c>
      <c r="AS765">
        <v>0</v>
      </c>
      <c r="AT765" t="s">
        <v>90</v>
      </c>
      <c r="AU765" s="1">
        <v>44207.731932870367</v>
      </c>
      <c r="AV765">
        <v>5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14</v>
      </c>
      <c r="BC765">
        <v>0</v>
      </c>
      <c r="BD765">
        <v>0</v>
      </c>
      <c r="BE765">
        <v>0</v>
      </c>
    </row>
    <row r="766" spans="1:57" x14ac:dyDescent="0.45">
      <c r="A766" t="s">
        <v>2018</v>
      </c>
      <c r="B766" t="s">
        <v>79</v>
      </c>
      <c r="C766" t="s">
        <v>2019</v>
      </c>
      <c r="D766" t="s">
        <v>81</v>
      </c>
      <c r="E766" s="2" t="str">
        <f>HYPERLINK("capsilon://?command=openfolder&amp;siteaddress=FAM.docvelocity-na8.net&amp;folderid=FX90ABA01F-5B01-BE12-3687-50CC3361DF31","FX20122764")</f>
        <v>FX20122764</v>
      </c>
      <c r="F766" t="s">
        <v>19</v>
      </c>
      <c r="G766" t="s">
        <v>19</v>
      </c>
      <c r="H766" t="s">
        <v>82</v>
      </c>
      <c r="I766" t="s">
        <v>2020</v>
      </c>
      <c r="J766">
        <v>66</v>
      </c>
      <c r="K766" t="s">
        <v>84</v>
      </c>
      <c r="L766" t="s">
        <v>85</v>
      </c>
      <c r="M766" t="s">
        <v>86</v>
      </c>
      <c r="N766">
        <v>3</v>
      </c>
      <c r="O766" s="1">
        <v>44207.688263888886</v>
      </c>
      <c r="P766" s="1">
        <v>44207.732199074075</v>
      </c>
      <c r="Q766">
        <v>3273</v>
      </c>
      <c r="R766">
        <v>523</v>
      </c>
      <c r="S766" t="b">
        <v>0</v>
      </c>
      <c r="T766" t="s">
        <v>87</v>
      </c>
      <c r="U766" t="b">
        <v>0</v>
      </c>
      <c r="V766" t="s">
        <v>168</v>
      </c>
      <c r="W766" s="1">
        <v>44207.697858796295</v>
      </c>
      <c r="X766">
        <v>427</v>
      </c>
      <c r="Y766">
        <v>52</v>
      </c>
      <c r="Z766">
        <v>0</v>
      </c>
      <c r="AA766">
        <v>52</v>
      </c>
      <c r="AB766">
        <v>0</v>
      </c>
      <c r="AC766">
        <v>35</v>
      </c>
      <c r="AD766">
        <v>14</v>
      </c>
      <c r="AE766">
        <v>0</v>
      </c>
      <c r="AF766">
        <v>0</v>
      </c>
      <c r="AG766">
        <v>0</v>
      </c>
      <c r="AH766" t="s">
        <v>267</v>
      </c>
      <c r="AI766" s="1">
        <v>44207.70175925926</v>
      </c>
      <c r="AJ766">
        <v>74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14</v>
      </c>
      <c r="AQ766">
        <v>0</v>
      </c>
      <c r="AR766">
        <v>0</v>
      </c>
      <c r="AS766">
        <v>0</v>
      </c>
      <c r="AT766" t="s">
        <v>90</v>
      </c>
      <c r="AU766" s="1">
        <v>44207.732199074075</v>
      </c>
      <c r="AV766">
        <v>22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14</v>
      </c>
      <c r="BC766">
        <v>0</v>
      </c>
      <c r="BD766">
        <v>0</v>
      </c>
      <c r="BE766">
        <v>0</v>
      </c>
    </row>
    <row r="767" spans="1:57" x14ac:dyDescent="0.45">
      <c r="A767" t="s">
        <v>2021</v>
      </c>
      <c r="B767" t="s">
        <v>79</v>
      </c>
      <c r="C767" t="s">
        <v>1998</v>
      </c>
      <c r="D767" t="s">
        <v>81</v>
      </c>
      <c r="E767" s="2" t="str">
        <f>HYPERLINK("capsilon://?command=openfolder&amp;siteaddress=FAM.docvelocity-na8.net&amp;folderid=FXBE524BB8-9FB7-D84F-5EE8-4B20CB895987","FX21015408")</f>
        <v>FX21015408</v>
      </c>
      <c r="F767" t="s">
        <v>19</v>
      </c>
      <c r="G767" t="s">
        <v>19</v>
      </c>
      <c r="H767" t="s">
        <v>82</v>
      </c>
      <c r="I767" t="s">
        <v>2001</v>
      </c>
      <c r="J767">
        <v>104</v>
      </c>
      <c r="K767" t="s">
        <v>84</v>
      </c>
      <c r="L767" t="s">
        <v>85</v>
      </c>
      <c r="M767" t="s">
        <v>86</v>
      </c>
      <c r="N767">
        <v>3</v>
      </c>
      <c r="O767" s="1">
        <v>44207.691689814812</v>
      </c>
      <c r="P767" s="1">
        <v>44208.314409722225</v>
      </c>
      <c r="Q767">
        <v>48658</v>
      </c>
      <c r="R767">
        <v>5145</v>
      </c>
      <c r="S767" t="b">
        <v>0</v>
      </c>
      <c r="T767" t="s">
        <v>87</v>
      </c>
      <c r="U767" t="b">
        <v>1</v>
      </c>
      <c r="V767" t="s">
        <v>242</v>
      </c>
      <c r="W767" s="1">
        <v>44207.739710648151</v>
      </c>
      <c r="X767">
        <v>4045</v>
      </c>
      <c r="Y767">
        <v>99</v>
      </c>
      <c r="Z767">
        <v>0</v>
      </c>
      <c r="AA767">
        <v>99</v>
      </c>
      <c r="AB767">
        <v>0</v>
      </c>
      <c r="AC767">
        <v>94</v>
      </c>
      <c r="AD767">
        <v>5</v>
      </c>
      <c r="AE767">
        <v>0</v>
      </c>
      <c r="AF767">
        <v>0</v>
      </c>
      <c r="AG767">
        <v>0</v>
      </c>
      <c r="AH767" t="s">
        <v>128</v>
      </c>
      <c r="AI767" s="1">
        <v>44207.761874999997</v>
      </c>
      <c r="AJ767">
        <v>1013</v>
      </c>
      <c r="AK767">
        <v>3</v>
      </c>
      <c r="AL767">
        <v>0</v>
      </c>
      <c r="AM767">
        <v>3</v>
      </c>
      <c r="AN767">
        <v>0</v>
      </c>
      <c r="AO767">
        <v>3</v>
      </c>
      <c r="AP767">
        <v>2</v>
      </c>
      <c r="AQ767">
        <v>0</v>
      </c>
      <c r="AR767">
        <v>0</v>
      </c>
      <c r="AS767">
        <v>0</v>
      </c>
      <c r="AT767" t="s">
        <v>90</v>
      </c>
      <c r="AU767" s="1">
        <v>44208.314409722225</v>
      </c>
      <c r="AV767">
        <v>37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2</v>
      </c>
      <c r="BC767">
        <v>0</v>
      </c>
      <c r="BD767">
        <v>0</v>
      </c>
      <c r="BE767">
        <v>0</v>
      </c>
    </row>
    <row r="768" spans="1:57" x14ac:dyDescent="0.45">
      <c r="A768" t="s">
        <v>2022</v>
      </c>
      <c r="B768" t="s">
        <v>79</v>
      </c>
      <c r="C768" t="s">
        <v>1979</v>
      </c>
      <c r="D768" t="s">
        <v>81</v>
      </c>
      <c r="E768" s="2" t="str">
        <f>HYPERLINK("capsilon://?command=openfolder&amp;siteaddress=FAM.docvelocity-na8.net&amp;folderid=FX556D0F90-FBAE-03EF-0A1A-EBB49AA926DC","FX201221235")</f>
        <v>FX201221235</v>
      </c>
      <c r="F768" t="s">
        <v>19</v>
      </c>
      <c r="G768" t="s">
        <v>19</v>
      </c>
      <c r="H768" t="s">
        <v>82</v>
      </c>
      <c r="I768" t="s">
        <v>2023</v>
      </c>
      <c r="J768">
        <v>66</v>
      </c>
      <c r="K768" t="s">
        <v>84</v>
      </c>
      <c r="L768" t="s">
        <v>85</v>
      </c>
      <c r="M768" t="s">
        <v>86</v>
      </c>
      <c r="N768">
        <v>3</v>
      </c>
      <c r="O768" s="1">
        <v>44207.692118055558</v>
      </c>
      <c r="P768" s="1">
        <v>44207.732314814813</v>
      </c>
      <c r="Q768">
        <v>1819</v>
      </c>
      <c r="R768">
        <v>1654</v>
      </c>
      <c r="S768" t="b">
        <v>0</v>
      </c>
      <c r="T768" t="s">
        <v>87</v>
      </c>
      <c r="U768" t="b">
        <v>0</v>
      </c>
      <c r="V768" t="s">
        <v>171</v>
      </c>
      <c r="W768" s="1">
        <v>44207.710451388892</v>
      </c>
      <c r="X768">
        <v>1470</v>
      </c>
      <c r="Y768">
        <v>52</v>
      </c>
      <c r="Z768">
        <v>0</v>
      </c>
      <c r="AA768">
        <v>52</v>
      </c>
      <c r="AB768">
        <v>0</v>
      </c>
      <c r="AC768">
        <v>44</v>
      </c>
      <c r="AD768">
        <v>14</v>
      </c>
      <c r="AE768">
        <v>0</v>
      </c>
      <c r="AF768">
        <v>0</v>
      </c>
      <c r="AG768">
        <v>0</v>
      </c>
      <c r="AH768" t="s">
        <v>267</v>
      </c>
      <c r="AI768" s="1">
        <v>44207.719259259262</v>
      </c>
      <c r="AJ768">
        <v>175</v>
      </c>
      <c r="AK768">
        <v>3</v>
      </c>
      <c r="AL768">
        <v>0</v>
      </c>
      <c r="AM768">
        <v>3</v>
      </c>
      <c r="AN768">
        <v>0</v>
      </c>
      <c r="AO768">
        <v>2</v>
      </c>
      <c r="AP768">
        <v>11</v>
      </c>
      <c r="AQ768">
        <v>0</v>
      </c>
      <c r="AR768">
        <v>0</v>
      </c>
      <c r="AS768">
        <v>0</v>
      </c>
      <c r="AT768" t="s">
        <v>90</v>
      </c>
      <c r="AU768" s="1">
        <v>44207.732314814813</v>
      </c>
      <c r="AV768">
        <v>9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11</v>
      </c>
      <c r="BC768">
        <v>0</v>
      </c>
      <c r="BD768">
        <v>0</v>
      </c>
      <c r="BE768">
        <v>0</v>
      </c>
    </row>
    <row r="769" spans="1:57" x14ac:dyDescent="0.45">
      <c r="A769" t="s">
        <v>2024</v>
      </c>
      <c r="B769" t="s">
        <v>79</v>
      </c>
      <c r="C769" t="s">
        <v>2025</v>
      </c>
      <c r="D769" t="s">
        <v>81</v>
      </c>
      <c r="E769" s="2" t="str">
        <f>HYPERLINK("capsilon://?command=openfolder&amp;siteaddress=FAM.docvelocity-na8.net&amp;folderid=FXEE5386FD-782F-A3C4-5BDC-2B1525D2FB93","FX21012019")</f>
        <v>FX21012019</v>
      </c>
      <c r="F769" t="s">
        <v>19</v>
      </c>
      <c r="G769" t="s">
        <v>19</v>
      </c>
      <c r="H769" t="s">
        <v>82</v>
      </c>
      <c r="I769" t="s">
        <v>2026</v>
      </c>
      <c r="J769">
        <v>246</v>
      </c>
      <c r="K769" t="s">
        <v>84</v>
      </c>
      <c r="L769" t="s">
        <v>85</v>
      </c>
      <c r="M769" t="s">
        <v>86</v>
      </c>
      <c r="N769">
        <v>3</v>
      </c>
      <c r="O769" s="1">
        <v>44207.69253472222</v>
      </c>
      <c r="P769" s="1">
        <v>44208.315578703703</v>
      </c>
      <c r="Q769">
        <v>52077</v>
      </c>
      <c r="R769">
        <v>1754</v>
      </c>
      <c r="S769" t="b">
        <v>0</v>
      </c>
      <c r="T769" t="s">
        <v>87</v>
      </c>
      <c r="U769" t="b">
        <v>0</v>
      </c>
      <c r="V769" t="s">
        <v>255</v>
      </c>
      <c r="W769" s="1">
        <v>44207.706331018519</v>
      </c>
      <c r="X769">
        <v>987</v>
      </c>
      <c r="Y769">
        <v>223</v>
      </c>
      <c r="Z769">
        <v>0</v>
      </c>
      <c r="AA769">
        <v>223</v>
      </c>
      <c r="AB769">
        <v>0</v>
      </c>
      <c r="AC769">
        <v>80</v>
      </c>
      <c r="AD769">
        <v>23</v>
      </c>
      <c r="AE769">
        <v>0</v>
      </c>
      <c r="AF769">
        <v>0</v>
      </c>
      <c r="AG769">
        <v>0</v>
      </c>
      <c r="AH769" t="s">
        <v>267</v>
      </c>
      <c r="AI769" s="1">
        <v>44207.716296296298</v>
      </c>
      <c r="AJ769">
        <v>723</v>
      </c>
      <c r="AK769">
        <v>7</v>
      </c>
      <c r="AL769">
        <v>0</v>
      </c>
      <c r="AM769">
        <v>7</v>
      </c>
      <c r="AN769">
        <v>0</v>
      </c>
      <c r="AO769">
        <v>7</v>
      </c>
      <c r="AP769">
        <v>16</v>
      </c>
      <c r="AQ769">
        <v>0</v>
      </c>
      <c r="AR769">
        <v>0</v>
      </c>
      <c r="AS769">
        <v>0</v>
      </c>
      <c r="AT769" t="s">
        <v>90</v>
      </c>
      <c r="AU769" s="1">
        <v>44208.315578703703</v>
      </c>
      <c r="AV769">
        <v>36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16</v>
      </c>
      <c r="BC769">
        <v>0</v>
      </c>
      <c r="BD769">
        <v>0</v>
      </c>
      <c r="BE769">
        <v>0</v>
      </c>
    </row>
    <row r="770" spans="1:57" x14ac:dyDescent="0.45">
      <c r="A770" t="s">
        <v>2027</v>
      </c>
      <c r="B770" t="s">
        <v>79</v>
      </c>
      <c r="C770" t="s">
        <v>2028</v>
      </c>
      <c r="D770" t="s">
        <v>81</v>
      </c>
      <c r="E770" s="2" t="str">
        <f>HYPERLINK("capsilon://?command=openfolder&amp;siteaddress=FAM.docvelocity-na8.net&amp;folderid=FX0F4ED7D3-B173-858E-88E6-8415DCFC0077","FX21015505")</f>
        <v>FX21015505</v>
      </c>
      <c r="F770" t="s">
        <v>19</v>
      </c>
      <c r="G770" t="s">
        <v>19</v>
      </c>
      <c r="H770" t="s">
        <v>82</v>
      </c>
      <c r="I770" t="s">
        <v>2029</v>
      </c>
      <c r="J770">
        <v>278</v>
      </c>
      <c r="K770" t="s">
        <v>84</v>
      </c>
      <c r="L770" t="s">
        <v>85</v>
      </c>
      <c r="M770" t="s">
        <v>86</v>
      </c>
      <c r="N770">
        <v>3</v>
      </c>
      <c r="O770" s="1">
        <v>44207.693645833337</v>
      </c>
      <c r="P770" s="1">
        <v>44208.332384259258</v>
      </c>
      <c r="Q770">
        <v>50975</v>
      </c>
      <c r="R770">
        <v>4212</v>
      </c>
      <c r="S770" t="b">
        <v>0</v>
      </c>
      <c r="T770" t="s">
        <v>87</v>
      </c>
      <c r="U770" t="b">
        <v>0</v>
      </c>
      <c r="V770" t="s">
        <v>168</v>
      </c>
      <c r="W770" s="1">
        <v>44207.735092592593</v>
      </c>
      <c r="X770">
        <v>3196</v>
      </c>
      <c r="Y770">
        <v>299</v>
      </c>
      <c r="Z770">
        <v>0</v>
      </c>
      <c r="AA770">
        <v>299</v>
      </c>
      <c r="AB770">
        <v>0</v>
      </c>
      <c r="AC770">
        <v>127</v>
      </c>
      <c r="AD770">
        <v>-21</v>
      </c>
      <c r="AE770">
        <v>0</v>
      </c>
      <c r="AF770">
        <v>0</v>
      </c>
      <c r="AG770">
        <v>0</v>
      </c>
      <c r="AH770" t="s">
        <v>128</v>
      </c>
      <c r="AI770" s="1">
        <v>44207.750150462962</v>
      </c>
      <c r="AJ770">
        <v>942</v>
      </c>
      <c r="AK770">
        <v>4</v>
      </c>
      <c r="AL770">
        <v>0</v>
      </c>
      <c r="AM770">
        <v>4</v>
      </c>
      <c r="AN770">
        <v>0</v>
      </c>
      <c r="AO770">
        <v>4</v>
      </c>
      <c r="AP770">
        <v>-25</v>
      </c>
      <c r="AQ770">
        <v>0</v>
      </c>
      <c r="AR770">
        <v>0</v>
      </c>
      <c r="AS770">
        <v>0</v>
      </c>
      <c r="AT770" t="s">
        <v>90</v>
      </c>
      <c r="AU770" s="1">
        <v>44208.332384259258</v>
      </c>
      <c r="AV770">
        <v>26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-25</v>
      </c>
      <c r="BC770">
        <v>0</v>
      </c>
      <c r="BD770">
        <v>0</v>
      </c>
      <c r="BE770">
        <v>0</v>
      </c>
    </row>
    <row r="771" spans="1:57" x14ac:dyDescent="0.45">
      <c r="A771" t="s">
        <v>2030</v>
      </c>
      <c r="B771" t="s">
        <v>79</v>
      </c>
      <c r="C771" t="s">
        <v>2031</v>
      </c>
      <c r="D771" t="s">
        <v>81</v>
      </c>
      <c r="E771" s="2" t="str">
        <f>HYPERLINK("capsilon://?command=openfolder&amp;siteaddress=FAM.docvelocity-na8.net&amp;folderid=FX2677A608-D61B-737B-3419-60804A62A87E","FX21013885")</f>
        <v>FX21013885</v>
      </c>
      <c r="F771" t="s">
        <v>19</v>
      </c>
      <c r="G771" t="s">
        <v>19</v>
      </c>
      <c r="H771" t="s">
        <v>82</v>
      </c>
      <c r="I771" t="s">
        <v>2032</v>
      </c>
      <c r="J771">
        <v>235</v>
      </c>
      <c r="K771" t="s">
        <v>84</v>
      </c>
      <c r="L771" t="s">
        <v>85</v>
      </c>
      <c r="M771" t="s">
        <v>86</v>
      </c>
      <c r="N771">
        <v>3</v>
      </c>
      <c r="O771" s="1">
        <v>44207.696481481478</v>
      </c>
      <c r="P771" s="1">
        <v>44208.33452546296</v>
      </c>
      <c r="Q771">
        <v>51319</v>
      </c>
      <c r="R771">
        <v>3808</v>
      </c>
      <c r="S771" t="b">
        <v>0</v>
      </c>
      <c r="T771" t="s">
        <v>87</v>
      </c>
      <c r="U771" t="b">
        <v>0</v>
      </c>
      <c r="V771" t="s">
        <v>171</v>
      </c>
      <c r="W771" s="1">
        <v>44207.747384259259</v>
      </c>
      <c r="X771">
        <v>3281</v>
      </c>
      <c r="Y771">
        <v>275</v>
      </c>
      <c r="Z771">
        <v>0</v>
      </c>
      <c r="AA771">
        <v>275</v>
      </c>
      <c r="AB771">
        <v>0</v>
      </c>
      <c r="AC771">
        <v>192</v>
      </c>
      <c r="AD771">
        <v>-40</v>
      </c>
      <c r="AE771">
        <v>0</v>
      </c>
      <c r="AF771">
        <v>0</v>
      </c>
      <c r="AG771">
        <v>0</v>
      </c>
      <c r="AH771" t="s">
        <v>267</v>
      </c>
      <c r="AI771" s="1">
        <v>44207.765092592592</v>
      </c>
      <c r="AJ771">
        <v>339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-40</v>
      </c>
      <c r="AQ771">
        <v>0</v>
      </c>
      <c r="AR771">
        <v>0</v>
      </c>
      <c r="AS771">
        <v>0</v>
      </c>
      <c r="AT771" t="s">
        <v>90</v>
      </c>
      <c r="AU771" s="1">
        <v>44208.33452546296</v>
      </c>
      <c r="AV771">
        <v>184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-40</v>
      </c>
      <c r="BC771">
        <v>0</v>
      </c>
      <c r="BD771">
        <v>0</v>
      </c>
      <c r="BE771">
        <v>0</v>
      </c>
    </row>
    <row r="772" spans="1:57" x14ac:dyDescent="0.45">
      <c r="A772" t="s">
        <v>2033</v>
      </c>
      <c r="B772" t="s">
        <v>79</v>
      </c>
      <c r="C772" t="s">
        <v>2034</v>
      </c>
      <c r="D772" t="s">
        <v>81</v>
      </c>
      <c r="E772" s="2" t="str">
        <f>HYPERLINK("capsilon://?command=openfolder&amp;siteaddress=FAM.docvelocity-na8.net&amp;folderid=FXF3D55203-2FDC-0EF8-781E-0A98D3E2AB15","FX21012483")</f>
        <v>FX21012483</v>
      </c>
      <c r="F772" t="s">
        <v>19</v>
      </c>
      <c r="G772" t="s">
        <v>19</v>
      </c>
      <c r="H772" t="s">
        <v>82</v>
      </c>
      <c r="I772" t="s">
        <v>2035</v>
      </c>
      <c r="J772">
        <v>66</v>
      </c>
      <c r="K772" t="s">
        <v>84</v>
      </c>
      <c r="L772" t="s">
        <v>85</v>
      </c>
      <c r="M772" t="s">
        <v>86</v>
      </c>
      <c r="N772">
        <v>3</v>
      </c>
      <c r="O772" s="1">
        <v>44207.704363425924</v>
      </c>
      <c r="P772" s="1">
        <v>44208.33556712963</v>
      </c>
      <c r="Q772">
        <v>53645</v>
      </c>
      <c r="R772">
        <v>891</v>
      </c>
      <c r="S772" t="b">
        <v>0</v>
      </c>
      <c r="T772" t="s">
        <v>87</v>
      </c>
      <c r="U772" t="b">
        <v>0</v>
      </c>
      <c r="V772" t="s">
        <v>255</v>
      </c>
      <c r="W772" s="1">
        <v>44207.719467592593</v>
      </c>
      <c r="X772">
        <v>701</v>
      </c>
      <c r="Y772">
        <v>52</v>
      </c>
      <c r="Z772">
        <v>0</v>
      </c>
      <c r="AA772">
        <v>52</v>
      </c>
      <c r="AB772">
        <v>0</v>
      </c>
      <c r="AC772">
        <v>35</v>
      </c>
      <c r="AD772">
        <v>14</v>
      </c>
      <c r="AE772">
        <v>0</v>
      </c>
      <c r="AF772">
        <v>0</v>
      </c>
      <c r="AG772">
        <v>0</v>
      </c>
      <c r="AH772" t="s">
        <v>267</v>
      </c>
      <c r="AI772" s="1">
        <v>44207.720752314817</v>
      </c>
      <c r="AJ772">
        <v>101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14</v>
      </c>
      <c r="AQ772">
        <v>0</v>
      </c>
      <c r="AR772">
        <v>0</v>
      </c>
      <c r="AS772">
        <v>0</v>
      </c>
      <c r="AT772" t="s">
        <v>90</v>
      </c>
      <c r="AU772" s="1">
        <v>44208.33556712963</v>
      </c>
      <c r="AV772">
        <v>89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14</v>
      </c>
      <c r="BC772">
        <v>0</v>
      </c>
      <c r="BD772">
        <v>0</v>
      </c>
      <c r="BE772">
        <v>0</v>
      </c>
    </row>
    <row r="773" spans="1:57" x14ac:dyDescent="0.45">
      <c r="A773" t="s">
        <v>2036</v>
      </c>
      <c r="B773" t="s">
        <v>79</v>
      </c>
      <c r="C773" t="s">
        <v>2037</v>
      </c>
      <c r="D773" t="s">
        <v>81</v>
      </c>
      <c r="E773" s="2" t="str">
        <f>HYPERLINK("capsilon://?command=openfolder&amp;siteaddress=FAM.docvelocity-na8.net&amp;folderid=FX4DC1CD09-1926-B0A8-84D5-2A1D8C0CF303","FX201227629")</f>
        <v>FX201227629</v>
      </c>
      <c r="F773" t="s">
        <v>19</v>
      </c>
      <c r="G773" t="s">
        <v>19</v>
      </c>
      <c r="H773" t="s">
        <v>82</v>
      </c>
      <c r="I773" t="s">
        <v>2038</v>
      </c>
      <c r="J773">
        <v>330</v>
      </c>
      <c r="K773" t="s">
        <v>84</v>
      </c>
      <c r="L773" t="s">
        <v>85</v>
      </c>
      <c r="M773" t="s">
        <v>86</v>
      </c>
      <c r="N773">
        <v>3</v>
      </c>
      <c r="O773" s="1">
        <v>44200.585613425923</v>
      </c>
      <c r="P773" s="1">
        <v>44201.373402777775</v>
      </c>
      <c r="Q773">
        <v>64109</v>
      </c>
      <c r="R773">
        <v>3956</v>
      </c>
      <c r="S773" t="b">
        <v>0</v>
      </c>
      <c r="T773" t="s">
        <v>87</v>
      </c>
      <c r="U773" t="b">
        <v>0</v>
      </c>
      <c r="V773" t="s">
        <v>266</v>
      </c>
      <c r="W773" s="1">
        <v>44200.725173611114</v>
      </c>
      <c r="X773">
        <v>3237</v>
      </c>
      <c r="Y773">
        <v>315</v>
      </c>
      <c r="Z773">
        <v>0</v>
      </c>
      <c r="AA773">
        <v>315</v>
      </c>
      <c r="AB773">
        <v>21</v>
      </c>
      <c r="AC773">
        <v>180</v>
      </c>
      <c r="AD773">
        <v>15</v>
      </c>
      <c r="AE773">
        <v>0</v>
      </c>
      <c r="AF773">
        <v>0</v>
      </c>
      <c r="AG773">
        <v>0</v>
      </c>
      <c r="AH773" t="s">
        <v>267</v>
      </c>
      <c r="AI773" s="1">
        <v>44200.749988425923</v>
      </c>
      <c r="AJ773">
        <v>376</v>
      </c>
      <c r="AK773">
        <v>2</v>
      </c>
      <c r="AL773">
        <v>0</v>
      </c>
      <c r="AM773">
        <v>2</v>
      </c>
      <c r="AN773">
        <v>21</v>
      </c>
      <c r="AO773">
        <v>1</v>
      </c>
      <c r="AP773">
        <v>13</v>
      </c>
      <c r="AQ773">
        <v>0</v>
      </c>
      <c r="AR773">
        <v>0</v>
      </c>
      <c r="AS773">
        <v>0</v>
      </c>
      <c r="AT773" t="s">
        <v>90</v>
      </c>
      <c r="AU773" s="1">
        <v>44201.373402777775</v>
      </c>
      <c r="AV773">
        <v>55</v>
      </c>
      <c r="AW773">
        <v>0</v>
      </c>
      <c r="AX773">
        <v>0</v>
      </c>
      <c r="AY773">
        <v>0</v>
      </c>
      <c r="AZ773">
        <v>21</v>
      </c>
      <c r="BA773">
        <v>0</v>
      </c>
      <c r="BB773">
        <v>13</v>
      </c>
      <c r="BC773">
        <v>0</v>
      </c>
      <c r="BD773">
        <v>0</v>
      </c>
      <c r="BE773">
        <v>0</v>
      </c>
    </row>
    <row r="774" spans="1:57" x14ac:dyDescent="0.45">
      <c r="A774" t="s">
        <v>2039</v>
      </c>
      <c r="B774" t="s">
        <v>79</v>
      </c>
      <c r="C774" t="s">
        <v>2040</v>
      </c>
      <c r="D774" t="s">
        <v>81</v>
      </c>
      <c r="E774" s="2" t="str">
        <f>HYPERLINK("capsilon://?command=openfolder&amp;siteaddress=FAM.docvelocity-na8.net&amp;folderid=FX39D827B5-F92D-B70D-8212-FA4358BA496E","FX21011728")</f>
        <v>FX21011728</v>
      </c>
      <c r="F774" t="s">
        <v>19</v>
      </c>
      <c r="G774" t="s">
        <v>19</v>
      </c>
      <c r="H774" t="s">
        <v>82</v>
      </c>
      <c r="I774" t="s">
        <v>2041</v>
      </c>
      <c r="J774">
        <v>64</v>
      </c>
      <c r="K774" t="s">
        <v>84</v>
      </c>
      <c r="L774" t="s">
        <v>85</v>
      </c>
      <c r="M774" t="s">
        <v>86</v>
      </c>
      <c r="N774">
        <v>3</v>
      </c>
      <c r="O774" s="1">
        <v>44207.708425925928</v>
      </c>
      <c r="P774" s="1">
        <v>44208.335682870369</v>
      </c>
      <c r="Q774">
        <v>53193</v>
      </c>
      <c r="R774">
        <v>1002</v>
      </c>
      <c r="S774" t="b">
        <v>0</v>
      </c>
      <c r="T774" t="s">
        <v>87</v>
      </c>
      <c r="U774" t="b">
        <v>0</v>
      </c>
      <c r="V774" t="s">
        <v>160</v>
      </c>
      <c r="W774" s="1">
        <v>44207.721701388888</v>
      </c>
      <c r="X774">
        <v>877</v>
      </c>
      <c r="Y774">
        <v>58</v>
      </c>
      <c r="Z774">
        <v>0</v>
      </c>
      <c r="AA774">
        <v>58</v>
      </c>
      <c r="AB774">
        <v>0</v>
      </c>
      <c r="AC774">
        <v>16</v>
      </c>
      <c r="AD774">
        <v>6</v>
      </c>
      <c r="AE774">
        <v>0</v>
      </c>
      <c r="AF774">
        <v>0</v>
      </c>
      <c r="AG774">
        <v>0</v>
      </c>
      <c r="AH774" t="s">
        <v>267</v>
      </c>
      <c r="AI774" s="1">
        <v>44207.726053240738</v>
      </c>
      <c r="AJ774">
        <v>116</v>
      </c>
      <c r="AK774">
        <v>6</v>
      </c>
      <c r="AL774">
        <v>0</v>
      </c>
      <c r="AM774">
        <v>6</v>
      </c>
      <c r="AN774">
        <v>0</v>
      </c>
      <c r="AO774">
        <v>6</v>
      </c>
      <c r="AP774">
        <v>0</v>
      </c>
      <c r="AQ774">
        <v>0</v>
      </c>
      <c r="AR774">
        <v>0</v>
      </c>
      <c r="AS774">
        <v>0</v>
      </c>
      <c r="AT774" t="s">
        <v>90</v>
      </c>
      <c r="AU774" s="1">
        <v>44208.335682870369</v>
      </c>
      <c r="AV774">
        <v>9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</row>
    <row r="775" spans="1:57" x14ac:dyDescent="0.45">
      <c r="A775" t="s">
        <v>2042</v>
      </c>
      <c r="B775" t="s">
        <v>79</v>
      </c>
      <c r="C775" t="s">
        <v>2043</v>
      </c>
      <c r="D775" t="s">
        <v>81</v>
      </c>
      <c r="E775" s="2" t="str">
        <f>HYPERLINK("capsilon://?command=openfolder&amp;siteaddress=FAM.docvelocity-na8.net&amp;folderid=FXA17FD242-4B90-C1EC-D3D3-CB2B27A9ECBC","FX2012407")</f>
        <v>FX2012407</v>
      </c>
      <c r="F775" t="s">
        <v>19</v>
      </c>
      <c r="G775" t="s">
        <v>19</v>
      </c>
      <c r="H775" t="s">
        <v>82</v>
      </c>
      <c r="I775" t="s">
        <v>2044</v>
      </c>
      <c r="J775">
        <v>66</v>
      </c>
      <c r="K775" t="s">
        <v>84</v>
      </c>
      <c r="L775" t="s">
        <v>85</v>
      </c>
      <c r="M775" t="s">
        <v>86</v>
      </c>
      <c r="N775">
        <v>3</v>
      </c>
      <c r="O775" s="1">
        <v>44207.711597222224</v>
      </c>
      <c r="P775" s="1">
        <v>44208.337708333333</v>
      </c>
      <c r="Q775">
        <v>53001</v>
      </c>
      <c r="R775">
        <v>1095</v>
      </c>
      <c r="S775" t="b">
        <v>0</v>
      </c>
      <c r="T775" t="s">
        <v>87</v>
      </c>
      <c r="U775" t="b">
        <v>0</v>
      </c>
      <c r="V775" t="s">
        <v>179</v>
      </c>
      <c r="W775" s="1">
        <v>44207.725092592591</v>
      </c>
      <c r="X775">
        <v>842</v>
      </c>
      <c r="Y775">
        <v>52</v>
      </c>
      <c r="Z775">
        <v>0</v>
      </c>
      <c r="AA775">
        <v>52</v>
      </c>
      <c r="AB775">
        <v>0</v>
      </c>
      <c r="AC775">
        <v>9</v>
      </c>
      <c r="AD775">
        <v>14</v>
      </c>
      <c r="AE775">
        <v>0</v>
      </c>
      <c r="AF775">
        <v>0</v>
      </c>
      <c r="AG775">
        <v>0</v>
      </c>
      <c r="AH775" t="s">
        <v>267</v>
      </c>
      <c r="AI775" s="1">
        <v>44207.726979166669</v>
      </c>
      <c r="AJ775">
        <v>79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14</v>
      </c>
      <c r="AQ775">
        <v>0</v>
      </c>
      <c r="AR775">
        <v>0</v>
      </c>
      <c r="AS775">
        <v>0</v>
      </c>
      <c r="AT775" t="s">
        <v>90</v>
      </c>
      <c r="AU775" s="1">
        <v>44208.337708333333</v>
      </c>
      <c r="AV775">
        <v>174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14</v>
      </c>
      <c r="BC775">
        <v>0</v>
      </c>
      <c r="BD775">
        <v>0</v>
      </c>
      <c r="BE775">
        <v>0</v>
      </c>
    </row>
    <row r="776" spans="1:57" x14ac:dyDescent="0.45">
      <c r="A776" t="s">
        <v>2045</v>
      </c>
      <c r="B776" t="s">
        <v>79</v>
      </c>
      <c r="C776" t="s">
        <v>2046</v>
      </c>
      <c r="D776" t="s">
        <v>81</v>
      </c>
      <c r="E776" s="2" t="str">
        <f>HYPERLINK("capsilon://?command=openfolder&amp;siteaddress=FAM.docvelocity-na8.net&amp;folderid=FX42AF180D-BAA7-F104-C61D-AE0CFB7A87C4","FX201225860")</f>
        <v>FX201225860</v>
      </c>
      <c r="F776" t="s">
        <v>19</v>
      </c>
      <c r="G776" t="s">
        <v>19</v>
      </c>
      <c r="H776" t="s">
        <v>82</v>
      </c>
      <c r="I776" t="s">
        <v>2047</v>
      </c>
      <c r="J776">
        <v>313</v>
      </c>
      <c r="K776" t="s">
        <v>84</v>
      </c>
      <c r="L776" t="s">
        <v>85</v>
      </c>
      <c r="M776" t="s">
        <v>86</v>
      </c>
      <c r="N776">
        <v>3</v>
      </c>
      <c r="O776" s="1">
        <v>44200.586678240739</v>
      </c>
      <c r="P776" s="1">
        <v>44201.375069444446</v>
      </c>
      <c r="Q776">
        <v>58706</v>
      </c>
      <c r="R776">
        <v>9411</v>
      </c>
      <c r="S776" t="b">
        <v>0</v>
      </c>
      <c r="T776" t="s">
        <v>87</v>
      </c>
      <c r="U776" t="b">
        <v>0</v>
      </c>
      <c r="V776" t="s">
        <v>736</v>
      </c>
      <c r="W776" s="1">
        <v>44200.768622685187</v>
      </c>
      <c r="X776">
        <v>6857</v>
      </c>
      <c r="Y776">
        <v>312</v>
      </c>
      <c r="Z776">
        <v>0</v>
      </c>
      <c r="AA776">
        <v>312</v>
      </c>
      <c r="AB776">
        <v>0</v>
      </c>
      <c r="AC776">
        <v>195</v>
      </c>
      <c r="AD776">
        <v>1</v>
      </c>
      <c r="AE776">
        <v>0</v>
      </c>
      <c r="AF776">
        <v>0</v>
      </c>
      <c r="AG776">
        <v>0</v>
      </c>
      <c r="AH776" t="s">
        <v>128</v>
      </c>
      <c r="AI776" s="1">
        <v>44200.802893518521</v>
      </c>
      <c r="AJ776">
        <v>2367</v>
      </c>
      <c r="AK776">
        <v>15</v>
      </c>
      <c r="AL776">
        <v>0</v>
      </c>
      <c r="AM776">
        <v>15</v>
      </c>
      <c r="AN776">
        <v>0</v>
      </c>
      <c r="AO776">
        <v>14</v>
      </c>
      <c r="AP776">
        <v>-14</v>
      </c>
      <c r="AQ776">
        <v>0</v>
      </c>
      <c r="AR776">
        <v>0</v>
      </c>
      <c r="AS776">
        <v>0</v>
      </c>
      <c r="AT776" t="s">
        <v>90</v>
      </c>
      <c r="AU776" s="1">
        <v>44201.375069444446</v>
      </c>
      <c r="AV776">
        <v>143</v>
      </c>
      <c r="AW776">
        <v>2</v>
      </c>
      <c r="AX776">
        <v>0</v>
      </c>
      <c r="AY776">
        <v>2</v>
      </c>
      <c r="AZ776">
        <v>0</v>
      </c>
      <c r="BA776">
        <v>2</v>
      </c>
      <c r="BB776">
        <v>-16</v>
      </c>
      <c r="BC776">
        <v>0</v>
      </c>
      <c r="BD776">
        <v>0</v>
      </c>
      <c r="BE776">
        <v>0</v>
      </c>
    </row>
    <row r="777" spans="1:57" x14ac:dyDescent="0.45">
      <c r="A777" t="s">
        <v>2048</v>
      </c>
      <c r="B777" t="s">
        <v>79</v>
      </c>
      <c r="C777" t="s">
        <v>2049</v>
      </c>
      <c r="D777" t="s">
        <v>81</v>
      </c>
      <c r="E777" s="2" t="str">
        <f>HYPERLINK("capsilon://?command=openfolder&amp;siteaddress=FAM.docvelocity-na8.net&amp;folderid=FX675CA0EC-E96D-E5C8-1C8A-720D11B9CFA0","FX21012672")</f>
        <v>FX21012672</v>
      </c>
      <c r="F777" t="s">
        <v>19</v>
      </c>
      <c r="G777" t="s">
        <v>19</v>
      </c>
      <c r="H777" t="s">
        <v>82</v>
      </c>
      <c r="I777" t="s">
        <v>2050</v>
      </c>
      <c r="J777">
        <v>437</v>
      </c>
      <c r="K777" t="s">
        <v>84</v>
      </c>
      <c r="L777" t="s">
        <v>85</v>
      </c>
      <c r="M777" t="s">
        <v>86</v>
      </c>
      <c r="N777">
        <v>3</v>
      </c>
      <c r="O777" s="1">
        <v>44207.720347222225</v>
      </c>
      <c r="P777" s="1">
        <v>44208.339537037034</v>
      </c>
      <c r="Q777">
        <v>47258</v>
      </c>
      <c r="R777">
        <v>6240</v>
      </c>
      <c r="S777" t="b">
        <v>0</v>
      </c>
      <c r="T777" t="s">
        <v>87</v>
      </c>
      <c r="U777" t="b">
        <v>0</v>
      </c>
      <c r="V777" t="s">
        <v>146</v>
      </c>
      <c r="W777" s="1">
        <v>44207.777777777781</v>
      </c>
      <c r="X777">
        <v>4962</v>
      </c>
      <c r="Y777">
        <v>395</v>
      </c>
      <c r="Z777">
        <v>0</v>
      </c>
      <c r="AA777">
        <v>395</v>
      </c>
      <c r="AB777">
        <v>0</v>
      </c>
      <c r="AC777">
        <v>226</v>
      </c>
      <c r="AD777">
        <v>42</v>
      </c>
      <c r="AE777">
        <v>0</v>
      </c>
      <c r="AF777">
        <v>0</v>
      </c>
      <c r="AG777">
        <v>0</v>
      </c>
      <c r="AH777" t="s">
        <v>128</v>
      </c>
      <c r="AI777" s="1">
        <v>44207.792743055557</v>
      </c>
      <c r="AJ777">
        <v>1120</v>
      </c>
      <c r="AK777">
        <v>11</v>
      </c>
      <c r="AL777">
        <v>0</v>
      </c>
      <c r="AM777">
        <v>11</v>
      </c>
      <c r="AN777">
        <v>0</v>
      </c>
      <c r="AO777">
        <v>11</v>
      </c>
      <c r="AP777">
        <v>31</v>
      </c>
      <c r="AQ777">
        <v>0</v>
      </c>
      <c r="AR777">
        <v>0</v>
      </c>
      <c r="AS777">
        <v>0</v>
      </c>
      <c r="AT777" t="s">
        <v>90</v>
      </c>
      <c r="AU777" s="1">
        <v>44208.339537037034</v>
      </c>
      <c r="AV777">
        <v>158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31</v>
      </c>
      <c r="BC777">
        <v>0</v>
      </c>
      <c r="BD777">
        <v>0</v>
      </c>
      <c r="BE777">
        <v>0</v>
      </c>
    </row>
    <row r="778" spans="1:57" x14ac:dyDescent="0.45">
      <c r="A778" t="s">
        <v>2051</v>
      </c>
      <c r="B778" t="s">
        <v>79</v>
      </c>
      <c r="C778" t="s">
        <v>2052</v>
      </c>
      <c r="D778" t="s">
        <v>81</v>
      </c>
      <c r="E778" s="2" t="str">
        <f>HYPERLINK("capsilon://?command=openfolder&amp;siteaddress=FAM.docvelocity-na8.net&amp;folderid=FX10928785-14AF-1A43-3A68-B0B358F4B31E","FX201228472")</f>
        <v>FX201228472</v>
      </c>
      <c r="F778" t="s">
        <v>19</v>
      </c>
      <c r="G778" t="s">
        <v>19</v>
      </c>
      <c r="H778" t="s">
        <v>82</v>
      </c>
      <c r="I778" t="s">
        <v>2053</v>
      </c>
      <c r="J778">
        <v>384</v>
      </c>
      <c r="K778" t="s">
        <v>84</v>
      </c>
      <c r="L778" t="s">
        <v>85</v>
      </c>
      <c r="M778" t="s">
        <v>86</v>
      </c>
      <c r="N778">
        <v>3</v>
      </c>
      <c r="O778" s="1">
        <v>44200.587569444448</v>
      </c>
      <c r="P778" s="1">
        <v>44201.376863425925</v>
      </c>
      <c r="Q778">
        <v>66046</v>
      </c>
      <c r="R778">
        <v>2149</v>
      </c>
      <c r="S778" t="b">
        <v>0</v>
      </c>
      <c r="T778" t="s">
        <v>87</v>
      </c>
      <c r="U778" t="b">
        <v>0</v>
      </c>
      <c r="V778" t="s">
        <v>142</v>
      </c>
      <c r="W778" s="1">
        <v>44200.704675925925</v>
      </c>
      <c r="X778">
        <v>1440</v>
      </c>
      <c r="Y778">
        <v>312</v>
      </c>
      <c r="Z778">
        <v>0</v>
      </c>
      <c r="AA778">
        <v>312</v>
      </c>
      <c r="AB778">
        <v>0</v>
      </c>
      <c r="AC778">
        <v>99</v>
      </c>
      <c r="AD778">
        <v>72</v>
      </c>
      <c r="AE778">
        <v>0</v>
      </c>
      <c r="AF778">
        <v>0</v>
      </c>
      <c r="AG778">
        <v>0</v>
      </c>
      <c r="AH778" t="s">
        <v>267</v>
      </c>
      <c r="AI778" s="1">
        <v>44200.756249999999</v>
      </c>
      <c r="AJ778">
        <v>540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72</v>
      </c>
      <c r="AQ778">
        <v>0</v>
      </c>
      <c r="AR778">
        <v>0</v>
      </c>
      <c r="AS778">
        <v>0</v>
      </c>
      <c r="AT778" t="s">
        <v>90</v>
      </c>
      <c r="AU778" s="1">
        <v>44201.376863425925</v>
      </c>
      <c r="AV778">
        <v>154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72</v>
      </c>
      <c r="BC778">
        <v>0</v>
      </c>
      <c r="BD778">
        <v>0</v>
      </c>
      <c r="BE778">
        <v>0</v>
      </c>
    </row>
    <row r="779" spans="1:57" x14ac:dyDescent="0.45">
      <c r="A779" t="s">
        <v>2054</v>
      </c>
      <c r="B779" t="s">
        <v>79</v>
      </c>
      <c r="C779" t="s">
        <v>2055</v>
      </c>
      <c r="D779" t="s">
        <v>81</v>
      </c>
      <c r="E779" s="2" t="str">
        <f>HYPERLINK("capsilon://?command=openfolder&amp;siteaddress=FAM.docvelocity-na8.net&amp;folderid=FX2E0ACEE1-AE4C-C886-EE82-7A570D0C6933","FX21013706")</f>
        <v>FX21013706</v>
      </c>
      <c r="F779" t="s">
        <v>19</v>
      </c>
      <c r="G779" t="s">
        <v>19</v>
      </c>
      <c r="H779" t="s">
        <v>82</v>
      </c>
      <c r="I779" t="s">
        <v>2056</v>
      </c>
      <c r="J779">
        <v>132</v>
      </c>
      <c r="K779" t="s">
        <v>84</v>
      </c>
      <c r="L779" t="s">
        <v>85</v>
      </c>
      <c r="M779" t="s">
        <v>86</v>
      </c>
      <c r="N779">
        <v>3</v>
      </c>
      <c r="O779" s="1">
        <v>44207.726388888892</v>
      </c>
      <c r="P779" s="1">
        <v>44208.341111111113</v>
      </c>
      <c r="Q779">
        <v>51292</v>
      </c>
      <c r="R779">
        <v>1820</v>
      </c>
      <c r="S779" t="b">
        <v>0</v>
      </c>
      <c r="T779" t="s">
        <v>87</v>
      </c>
      <c r="U779" t="b">
        <v>0</v>
      </c>
      <c r="V779" t="s">
        <v>160</v>
      </c>
      <c r="W779" s="1">
        <v>44207.741967592592</v>
      </c>
      <c r="X779">
        <v>1345</v>
      </c>
      <c r="Y779">
        <v>130</v>
      </c>
      <c r="Z779">
        <v>0</v>
      </c>
      <c r="AA779">
        <v>130</v>
      </c>
      <c r="AB779">
        <v>0</v>
      </c>
      <c r="AC779">
        <v>77</v>
      </c>
      <c r="AD779">
        <v>2</v>
      </c>
      <c r="AE779">
        <v>0</v>
      </c>
      <c r="AF779">
        <v>0</v>
      </c>
      <c r="AG779">
        <v>0</v>
      </c>
      <c r="AH779" t="s">
        <v>128</v>
      </c>
      <c r="AI779" s="1">
        <v>44207.765798611108</v>
      </c>
      <c r="AJ779">
        <v>339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2</v>
      </c>
      <c r="AQ779">
        <v>0</v>
      </c>
      <c r="AR779">
        <v>0</v>
      </c>
      <c r="AS779">
        <v>0</v>
      </c>
      <c r="AT779" t="s">
        <v>90</v>
      </c>
      <c r="AU779" s="1">
        <v>44208.341111111113</v>
      </c>
      <c r="AV779">
        <v>136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2</v>
      </c>
      <c r="BC779">
        <v>0</v>
      </c>
      <c r="BD779">
        <v>0</v>
      </c>
      <c r="BE779">
        <v>0</v>
      </c>
    </row>
    <row r="780" spans="1:57" x14ac:dyDescent="0.45">
      <c r="A780" t="s">
        <v>2057</v>
      </c>
      <c r="B780" t="s">
        <v>79</v>
      </c>
      <c r="C780" t="s">
        <v>2058</v>
      </c>
      <c r="D780" t="s">
        <v>81</v>
      </c>
      <c r="E780" s="2" t="str">
        <f>HYPERLINK("capsilon://?command=openfolder&amp;siteaddress=FAM.docvelocity-na8.net&amp;folderid=FX080F70B3-3AB5-ECCE-1814-308B5F453BC6","FX2012554")</f>
        <v>FX2012554</v>
      </c>
      <c r="F780" t="s">
        <v>19</v>
      </c>
      <c r="G780" t="s">
        <v>19</v>
      </c>
      <c r="H780" t="s">
        <v>82</v>
      </c>
      <c r="I780" t="s">
        <v>2059</v>
      </c>
      <c r="J780">
        <v>241</v>
      </c>
      <c r="K780" t="s">
        <v>84</v>
      </c>
      <c r="L780" t="s">
        <v>85</v>
      </c>
      <c r="M780" t="s">
        <v>86</v>
      </c>
      <c r="N780">
        <v>3</v>
      </c>
      <c r="O780" s="1">
        <v>44207.727210648147</v>
      </c>
      <c r="P780" s="1">
        <v>44208.34138888889</v>
      </c>
      <c r="Q780">
        <v>51572</v>
      </c>
      <c r="R780">
        <v>1493</v>
      </c>
      <c r="S780" t="b">
        <v>0</v>
      </c>
      <c r="T780" t="s">
        <v>87</v>
      </c>
      <c r="U780" t="b">
        <v>0</v>
      </c>
      <c r="V780" t="s">
        <v>179</v>
      </c>
      <c r="W780" s="1">
        <v>44207.740243055552</v>
      </c>
      <c r="X780">
        <v>1125</v>
      </c>
      <c r="Y780">
        <v>174</v>
      </c>
      <c r="Z780">
        <v>0</v>
      </c>
      <c r="AA780">
        <v>174</v>
      </c>
      <c r="AB780">
        <v>0</v>
      </c>
      <c r="AC780">
        <v>81</v>
      </c>
      <c r="AD780">
        <v>67</v>
      </c>
      <c r="AE780">
        <v>0</v>
      </c>
      <c r="AF780">
        <v>0</v>
      </c>
      <c r="AG780">
        <v>0</v>
      </c>
      <c r="AH780" t="s">
        <v>267</v>
      </c>
      <c r="AI780" s="1">
        <v>44207.769085648149</v>
      </c>
      <c r="AJ780">
        <v>345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67</v>
      </c>
      <c r="AQ780">
        <v>0</v>
      </c>
      <c r="AR780">
        <v>0</v>
      </c>
      <c r="AS780">
        <v>0</v>
      </c>
      <c r="AT780" t="s">
        <v>90</v>
      </c>
      <c r="AU780" s="1">
        <v>44208.34138888889</v>
      </c>
      <c r="AV780">
        <v>23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67</v>
      </c>
      <c r="BC780">
        <v>0</v>
      </c>
      <c r="BD780">
        <v>0</v>
      </c>
      <c r="BE780">
        <v>0</v>
      </c>
    </row>
    <row r="781" spans="1:57" x14ac:dyDescent="0.45">
      <c r="A781" t="s">
        <v>2060</v>
      </c>
      <c r="B781" t="s">
        <v>79</v>
      </c>
      <c r="C781" t="s">
        <v>2061</v>
      </c>
      <c r="D781" t="s">
        <v>81</v>
      </c>
      <c r="E781" s="2" t="str">
        <f>HYPERLINK("capsilon://?command=openfolder&amp;siteaddress=FAM.docvelocity-na8.net&amp;folderid=FX7B7D0734-DAE7-1C81-6380-5937D8DCB3D8","FX201114833")</f>
        <v>FX201114833</v>
      </c>
      <c r="F781" t="s">
        <v>19</v>
      </c>
      <c r="G781" t="s">
        <v>19</v>
      </c>
      <c r="H781" t="s">
        <v>82</v>
      </c>
      <c r="I781" t="s">
        <v>2062</v>
      </c>
      <c r="J781">
        <v>66</v>
      </c>
      <c r="K781" t="s">
        <v>84</v>
      </c>
      <c r="L781" t="s">
        <v>85</v>
      </c>
      <c r="M781" t="s">
        <v>86</v>
      </c>
      <c r="N781">
        <v>3</v>
      </c>
      <c r="O781" s="1">
        <v>44207.744293981479</v>
      </c>
      <c r="P781" s="1">
        <v>44208.342395833337</v>
      </c>
      <c r="Q781">
        <v>50612</v>
      </c>
      <c r="R781">
        <v>1064</v>
      </c>
      <c r="S781" t="b">
        <v>0</v>
      </c>
      <c r="T781" t="s">
        <v>87</v>
      </c>
      <c r="U781" t="b">
        <v>0</v>
      </c>
      <c r="V781" t="s">
        <v>242</v>
      </c>
      <c r="W781" s="1">
        <v>44207.754999999997</v>
      </c>
      <c r="X781">
        <v>738</v>
      </c>
      <c r="Y781">
        <v>52</v>
      </c>
      <c r="Z781">
        <v>0</v>
      </c>
      <c r="AA781">
        <v>52</v>
      </c>
      <c r="AB781">
        <v>0</v>
      </c>
      <c r="AC781">
        <v>42</v>
      </c>
      <c r="AD781">
        <v>14</v>
      </c>
      <c r="AE781">
        <v>0</v>
      </c>
      <c r="AF781">
        <v>0</v>
      </c>
      <c r="AG781">
        <v>0</v>
      </c>
      <c r="AH781" t="s">
        <v>128</v>
      </c>
      <c r="AI781" s="1">
        <v>44207.768587962964</v>
      </c>
      <c r="AJ781">
        <v>240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13</v>
      </c>
      <c r="AQ781">
        <v>0</v>
      </c>
      <c r="AR781">
        <v>0</v>
      </c>
      <c r="AS781">
        <v>0</v>
      </c>
      <c r="AT781" t="s">
        <v>90</v>
      </c>
      <c r="AU781" s="1">
        <v>44208.342395833337</v>
      </c>
      <c r="AV781">
        <v>86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13</v>
      </c>
      <c r="BC781">
        <v>0</v>
      </c>
      <c r="BD781">
        <v>0</v>
      </c>
      <c r="BE781">
        <v>0</v>
      </c>
    </row>
    <row r="782" spans="1:57" x14ac:dyDescent="0.45">
      <c r="A782" t="s">
        <v>2063</v>
      </c>
      <c r="B782" t="s">
        <v>79</v>
      </c>
      <c r="C782" t="s">
        <v>2064</v>
      </c>
      <c r="D782" t="s">
        <v>81</v>
      </c>
      <c r="E782" s="2" t="str">
        <f>HYPERLINK("capsilon://?command=openfolder&amp;siteaddress=FAM.docvelocity-na8.net&amp;folderid=FXEE3C48B6-37BD-27AB-F000-541091369C00","FX21015103")</f>
        <v>FX21015103</v>
      </c>
      <c r="F782" t="s">
        <v>19</v>
      </c>
      <c r="G782" t="s">
        <v>19</v>
      </c>
      <c r="H782" t="s">
        <v>82</v>
      </c>
      <c r="I782" t="s">
        <v>2065</v>
      </c>
      <c r="J782">
        <v>132</v>
      </c>
      <c r="K782" t="s">
        <v>84</v>
      </c>
      <c r="L782" t="s">
        <v>85</v>
      </c>
      <c r="M782" t="s">
        <v>86</v>
      </c>
      <c r="N782">
        <v>3</v>
      </c>
      <c r="O782" s="1">
        <v>44207.745451388888</v>
      </c>
      <c r="P782" s="1">
        <v>44208.342835648145</v>
      </c>
      <c r="Q782">
        <v>49599</v>
      </c>
      <c r="R782">
        <v>2015</v>
      </c>
      <c r="S782" t="b">
        <v>0</v>
      </c>
      <c r="T782" t="s">
        <v>87</v>
      </c>
      <c r="U782" t="b">
        <v>0</v>
      </c>
      <c r="V782" t="s">
        <v>171</v>
      </c>
      <c r="W782" s="1">
        <v>44207.764328703706</v>
      </c>
      <c r="X782">
        <v>1463</v>
      </c>
      <c r="Y782">
        <v>154</v>
      </c>
      <c r="Z782">
        <v>0</v>
      </c>
      <c r="AA782">
        <v>154</v>
      </c>
      <c r="AB782">
        <v>0</v>
      </c>
      <c r="AC782">
        <v>60</v>
      </c>
      <c r="AD782">
        <v>-22</v>
      </c>
      <c r="AE782">
        <v>0</v>
      </c>
      <c r="AF782">
        <v>0</v>
      </c>
      <c r="AG782">
        <v>0</v>
      </c>
      <c r="AH782" t="s">
        <v>128</v>
      </c>
      <c r="AI782" s="1">
        <v>44207.774548611109</v>
      </c>
      <c r="AJ782">
        <v>515</v>
      </c>
      <c r="AK782">
        <v>2</v>
      </c>
      <c r="AL782">
        <v>0</v>
      </c>
      <c r="AM782">
        <v>2</v>
      </c>
      <c r="AN782">
        <v>0</v>
      </c>
      <c r="AO782">
        <v>2</v>
      </c>
      <c r="AP782">
        <v>-24</v>
      </c>
      <c r="AQ782">
        <v>0</v>
      </c>
      <c r="AR782">
        <v>0</v>
      </c>
      <c r="AS782">
        <v>0</v>
      </c>
      <c r="AT782" t="s">
        <v>90</v>
      </c>
      <c r="AU782" s="1">
        <v>44208.342835648145</v>
      </c>
      <c r="AV782">
        <v>37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-24</v>
      </c>
      <c r="BC782">
        <v>0</v>
      </c>
      <c r="BD782">
        <v>0</v>
      </c>
      <c r="BE782">
        <v>0</v>
      </c>
    </row>
    <row r="783" spans="1:57" x14ac:dyDescent="0.45">
      <c r="A783" t="s">
        <v>2066</v>
      </c>
      <c r="B783" t="s">
        <v>79</v>
      </c>
      <c r="C783" t="s">
        <v>1823</v>
      </c>
      <c r="D783" t="s">
        <v>81</v>
      </c>
      <c r="E783" s="2" t="str">
        <f>HYPERLINK("capsilon://?command=openfolder&amp;siteaddress=FAM.docvelocity-na8.net&amp;folderid=FXEDAC15E3-75C0-9DF3-AFAE-B25228B26482","FX21014944")</f>
        <v>FX21014944</v>
      </c>
      <c r="F783" t="s">
        <v>19</v>
      </c>
      <c r="G783" t="s">
        <v>19</v>
      </c>
      <c r="H783" t="s">
        <v>82</v>
      </c>
      <c r="I783" t="s">
        <v>2067</v>
      </c>
      <c r="J783">
        <v>66</v>
      </c>
      <c r="K783" t="s">
        <v>84</v>
      </c>
      <c r="L783" t="s">
        <v>85</v>
      </c>
      <c r="M783" t="s">
        <v>86</v>
      </c>
      <c r="N783">
        <v>3</v>
      </c>
      <c r="O783" s="1">
        <v>44207.746736111112</v>
      </c>
      <c r="P783" s="1">
        <v>44208.343819444446</v>
      </c>
      <c r="Q783">
        <v>50434</v>
      </c>
      <c r="R783">
        <v>1154</v>
      </c>
      <c r="S783" t="b">
        <v>0</v>
      </c>
      <c r="T783" t="s">
        <v>87</v>
      </c>
      <c r="U783" t="b">
        <v>0</v>
      </c>
      <c r="V783" t="s">
        <v>259</v>
      </c>
      <c r="W783" s="1">
        <v>44207.76221064815</v>
      </c>
      <c r="X783">
        <v>912</v>
      </c>
      <c r="Y783">
        <v>52</v>
      </c>
      <c r="Z783">
        <v>0</v>
      </c>
      <c r="AA783">
        <v>52</v>
      </c>
      <c r="AB783">
        <v>0</v>
      </c>
      <c r="AC783">
        <v>33</v>
      </c>
      <c r="AD783">
        <v>14</v>
      </c>
      <c r="AE783">
        <v>0</v>
      </c>
      <c r="AF783">
        <v>0</v>
      </c>
      <c r="AG783">
        <v>0</v>
      </c>
      <c r="AH783" t="s">
        <v>267</v>
      </c>
      <c r="AI783" s="1">
        <v>44207.770925925928</v>
      </c>
      <c r="AJ783">
        <v>158</v>
      </c>
      <c r="AK783">
        <v>2</v>
      </c>
      <c r="AL783">
        <v>0</v>
      </c>
      <c r="AM783">
        <v>2</v>
      </c>
      <c r="AN783">
        <v>0</v>
      </c>
      <c r="AO783">
        <v>2</v>
      </c>
      <c r="AP783">
        <v>12</v>
      </c>
      <c r="AQ783">
        <v>0</v>
      </c>
      <c r="AR783">
        <v>0</v>
      </c>
      <c r="AS783">
        <v>0</v>
      </c>
      <c r="AT783" t="s">
        <v>90</v>
      </c>
      <c r="AU783" s="1">
        <v>44208.343819444446</v>
      </c>
      <c r="AV783">
        <v>84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12</v>
      </c>
      <c r="BC783">
        <v>0</v>
      </c>
      <c r="BD783">
        <v>0</v>
      </c>
      <c r="BE783">
        <v>0</v>
      </c>
    </row>
    <row r="784" spans="1:57" x14ac:dyDescent="0.45">
      <c r="A784" t="s">
        <v>2068</v>
      </c>
      <c r="B784" t="s">
        <v>79</v>
      </c>
      <c r="C784" t="s">
        <v>2069</v>
      </c>
      <c r="D784" t="s">
        <v>81</v>
      </c>
      <c r="E784" s="2" t="str">
        <f>HYPERLINK("capsilon://?command=openfolder&amp;siteaddress=FAM.docvelocity-na8.net&amp;folderid=FXC4C23450-FD66-5AA5-E723-F75B42F434CE","FX2101227")</f>
        <v>FX2101227</v>
      </c>
      <c r="F784" t="s">
        <v>19</v>
      </c>
      <c r="G784" t="s">
        <v>19</v>
      </c>
      <c r="H784" t="s">
        <v>82</v>
      </c>
      <c r="I784" t="s">
        <v>2070</v>
      </c>
      <c r="J784">
        <v>136</v>
      </c>
      <c r="K784" t="s">
        <v>84</v>
      </c>
      <c r="L784" t="s">
        <v>85</v>
      </c>
      <c r="M784" t="s">
        <v>86</v>
      </c>
      <c r="N784">
        <v>3</v>
      </c>
      <c r="O784" s="1">
        <v>44207.749085648145</v>
      </c>
      <c r="P784" s="1">
        <v>44208.346180555556</v>
      </c>
      <c r="Q784">
        <v>50119</v>
      </c>
      <c r="R784">
        <v>1470</v>
      </c>
      <c r="S784" t="b">
        <v>0</v>
      </c>
      <c r="T784" t="s">
        <v>87</v>
      </c>
      <c r="U784" t="b">
        <v>0</v>
      </c>
      <c r="V784" t="s">
        <v>242</v>
      </c>
      <c r="W784" s="1">
        <v>44207.767199074071</v>
      </c>
      <c r="X784">
        <v>1053</v>
      </c>
      <c r="Y784">
        <v>128</v>
      </c>
      <c r="Z784">
        <v>0</v>
      </c>
      <c r="AA784">
        <v>128</v>
      </c>
      <c r="AB784">
        <v>0</v>
      </c>
      <c r="AC784">
        <v>39</v>
      </c>
      <c r="AD784">
        <v>8</v>
      </c>
      <c r="AE784">
        <v>0</v>
      </c>
      <c r="AF784">
        <v>0</v>
      </c>
      <c r="AG784">
        <v>0</v>
      </c>
      <c r="AH784" t="s">
        <v>267</v>
      </c>
      <c r="AI784" s="1">
        <v>44207.773888888885</v>
      </c>
      <c r="AJ784">
        <v>198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8</v>
      </c>
      <c r="AQ784">
        <v>0</v>
      </c>
      <c r="AR784">
        <v>0</v>
      </c>
      <c r="AS784">
        <v>0</v>
      </c>
      <c r="AT784" t="s">
        <v>90</v>
      </c>
      <c r="AU784" s="1">
        <v>44208.346180555556</v>
      </c>
      <c r="AV784">
        <v>203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8</v>
      </c>
      <c r="BC784">
        <v>0</v>
      </c>
      <c r="BD784">
        <v>0</v>
      </c>
      <c r="BE784">
        <v>0</v>
      </c>
    </row>
    <row r="785" spans="1:57" x14ac:dyDescent="0.45">
      <c r="A785" t="s">
        <v>2071</v>
      </c>
      <c r="B785" t="s">
        <v>79</v>
      </c>
      <c r="C785" t="s">
        <v>2069</v>
      </c>
      <c r="D785" t="s">
        <v>81</v>
      </c>
      <c r="E785" s="2" t="str">
        <f>HYPERLINK("capsilon://?command=openfolder&amp;siteaddress=FAM.docvelocity-na8.net&amp;folderid=FXC4C23450-FD66-5AA5-E723-F75B42F434CE","FX2101227")</f>
        <v>FX2101227</v>
      </c>
      <c r="F785" t="s">
        <v>19</v>
      </c>
      <c r="G785" t="s">
        <v>19</v>
      </c>
      <c r="H785" t="s">
        <v>82</v>
      </c>
      <c r="I785" t="s">
        <v>2072</v>
      </c>
      <c r="J785">
        <v>38</v>
      </c>
      <c r="K785" t="s">
        <v>84</v>
      </c>
      <c r="L785" t="s">
        <v>85</v>
      </c>
      <c r="M785" t="s">
        <v>86</v>
      </c>
      <c r="N785">
        <v>3</v>
      </c>
      <c r="O785" s="1">
        <v>44207.751516203702</v>
      </c>
      <c r="P785" s="1">
        <v>44208.346273148149</v>
      </c>
      <c r="Q785">
        <v>50066</v>
      </c>
      <c r="R785">
        <v>1321</v>
      </c>
      <c r="S785" t="b">
        <v>0</v>
      </c>
      <c r="T785" t="s">
        <v>87</v>
      </c>
      <c r="U785" t="b">
        <v>0</v>
      </c>
      <c r="V785" t="s">
        <v>179</v>
      </c>
      <c r="W785" s="1">
        <v>44207.772719907407</v>
      </c>
      <c r="X785">
        <v>1176</v>
      </c>
      <c r="Y785">
        <v>37</v>
      </c>
      <c r="Z785">
        <v>0</v>
      </c>
      <c r="AA785">
        <v>37</v>
      </c>
      <c r="AB785">
        <v>0</v>
      </c>
      <c r="AC785">
        <v>35</v>
      </c>
      <c r="AD785">
        <v>1</v>
      </c>
      <c r="AE785">
        <v>0</v>
      </c>
      <c r="AF785">
        <v>0</v>
      </c>
      <c r="AG785">
        <v>0</v>
      </c>
      <c r="AH785" t="s">
        <v>128</v>
      </c>
      <c r="AI785" s="1">
        <v>44207.776145833333</v>
      </c>
      <c r="AJ785">
        <v>137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 t="s">
        <v>90</v>
      </c>
      <c r="AU785" s="1">
        <v>44208.346273148149</v>
      </c>
      <c r="AV785">
        <v>8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</row>
    <row r="786" spans="1:57" x14ac:dyDescent="0.45">
      <c r="A786" t="s">
        <v>2073</v>
      </c>
      <c r="B786" t="s">
        <v>79</v>
      </c>
      <c r="C786" t="s">
        <v>2074</v>
      </c>
      <c r="D786" t="s">
        <v>81</v>
      </c>
      <c r="E786" s="2" t="str">
        <f>HYPERLINK("capsilon://?command=openfolder&amp;siteaddress=FAM.docvelocity-na8.net&amp;folderid=FXEFA22894-3DEE-E99F-F288-3A80387A28D4","FX20121817")</f>
        <v>FX20121817</v>
      </c>
      <c r="F786" t="s">
        <v>19</v>
      </c>
      <c r="G786" t="s">
        <v>19</v>
      </c>
      <c r="H786" t="s">
        <v>82</v>
      </c>
      <c r="I786" t="s">
        <v>2075</v>
      </c>
      <c r="J786">
        <v>71</v>
      </c>
      <c r="K786" t="s">
        <v>84</v>
      </c>
      <c r="L786" t="s">
        <v>85</v>
      </c>
      <c r="M786" t="s">
        <v>86</v>
      </c>
      <c r="N786">
        <v>3</v>
      </c>
      <c r="O786" s="1">
        <v>44207.758310185185</v>
      </c>
      <c r="P786" s="1">
        <v>44208.347777777781</v>
      </c>
      <c r="Q786">
        <v>49123</v>
      </c>
      <c r="R786">
        <v>1807</v>
      </c>
      <c r="S786" t="b">
        <v>0</v>
      </c>
      <c r="T786" t="s">
        <v>87</v>
      </c>
      <c r="U786" t="b">
        <v>0</v>
      </c>
      <c r="V786" t="s">
        <v>160</v>
      </c>
      <c r="W786" s="1">
        <v>44207.775347222225</v>
      </c>
      <c r="X786">
        <v>1364</v>
      </c>
      <c r="Y786">
        <v>79</v>
      </c>
      <c r="Z786">
        <v>0</v>
      </c>
      <c r="AA786">
        <v>79</v>
      </c>
      <c r="AB786">
        <v>0</v>
      </c>
      <c r="AC786">
        <v>39</v>
      </c>
      <c r="AD786">
        <v>-8</v>
      </c>
      <c r="AE786">
        <v>0</v>
      </c>
      <c r="AF786">
        <v>0</v>
      </c>
      <c r="AG786">
        <v>0</v>
      </c>
      <c r="AH786" t="s">
        <v>128</v>
      </c>
      <c r="AI786" s="1">
        <v>44207.779780092591</v>
      </c>
      <c r="AJ786">
        <v>313</v>
      </c>
      <c r="AK786">
        <v>4</v>
      </c>
      <c r="AL786">
        <v>0</v>
      </c>
      <c r="AM786">
        <v>4</v>
      </c>
      <c r="AN786">
        <v>0</v>
      </c>
      <c r="AO786">
        <v>4</v>
      </c>
      <c r="AP786">
        <v>-12</v>
      </c>
      <c r="AQ786">
        <v>0</v>
      </c>
      <c r="AR786">
        <v>0</v>
      </c>
      <c r="AS786">
        <v>0</v>
      </c>
      <c r="AT786" t="s">
        <v>90</v>
      </c>
      <c r="AU786" s="1">
        <v>44208.347777777781</v>
      </c>
      <c r="AV786">
        <v>130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-12</v>
      </c>
      <c r="BC786">
        <v>0</v>
      </c>
      <c r="BD786">
        <v>0</v>
      </c>
      <c r="BE786">
        <v>0</v>
      </c>
    </row>
    <row r="787" spans="1:57" hidden="1" x14ac:dyDescent="0.45">
      <c r="A787" t="s">
        <v>2076</v>
      </c>
      <c r="B787" t="s">
        <v>79</v>
      </c>
      <c r="C787" t="s">
        <v>2077</v>
      </c>
      <c r="D787" t="s">
        <v>81</v>
      </c>
      <c r="E787" s="2" t="str">
        <f>HYPERLINK("capsilon://?command=openfolder&amp;siteaddress=FAM.docvelocity-na8.net&amp;folderid=FX753D91DF-D19F-E350-0F98-B7A98D4E8F13","FX201113044")</f>
        <v>FX201113044</v>
      </c>
      <c r="F787" t="s">
        <v>19</v>
      </c>
      <c r="G787" t="s">
        <v>19</v>
      </c>
      <c r="H787" t="s">
        <v>82</v>
      </c>
      <c r="I787" t="s">
        <v>2078</v>
      </c>
      <c r="J787">
        <v>66</v>
      </c>
      <c r="K787" t="s">
        <v>84</v>
      </c>
      <c r="L787" t="s">
        <v>85</v>
      </c>
      <c r="M787" t="s">
        <v>86</v>
      </c>
      <c r="N787">
        <v>1</v>
      </c>
      <c r="O787" s="1">
        <v>44207.762476851851</v>
      </c>
      <c r="P787" s="1">
        <v>44207.766273148147</v>
      </c>
      <c r="Q787">
        <v>147</v>
      </c>
      <c r="R787">
        <v>181</v>
      </c>
      <c r="S787" t="b">
        <v>0</v>
      </c>
      <c r="T787" t="s">
        <v>87</v>
      </c>
      <c r="U787" t="b">
        <v>0</v>
      </c>
      <c r="V787" t="s">
        <v>259</v>
      </c>
      <c r="W787" s="1">
        <v>44207.766273148147</v>
      </c>
      <c r="X787">
        <v>181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66</v>
      </c>
      <c r="AE787">
        <v>52</v>
      </c>
      <c r="AF787">
        <v>0</v>
      </c>
      <c r="AG787">
        <v>1</v>
      </c>
      <c r="AH787" t="s">
        <v>87</v>
      </c>
      <c r="AI787" t="s">
        <v>87</v>
      </c>
      <c r="AJ787" t="s">
        <v>87</v>
      </c>
      <c r="AK787" t="s">
        <v>87</v>
      </c>
      <c r="AL787" t="s">
        <v>87</v>
      </c>
      <c r="AM787" t="s">
        <v>87</v>
      </c>
      <c r="AN787" t="s">
        <v>87</v>
      </c>
      <c r="AO787" t="s">
        <v>87</v>
      </c>
      <c r="AP787" t="s">
        <v>87</v>
      </c>
      <c r="AQ787" t="s">
        <v>87</v>
      </c>
      <c r="AR787" t="s">
        <v>87</v>
      </c>
      <c r="AS787" t="s">
        <v>87</v>
      </c>
      <c r="AT787" t="s">
        <v>87</v>
      </c>
      <c r="AU787" t="s">
        <v>87</v>
      </c>
      <c r="AV787" t="s">
        <v>87</v>
      </c>
      <c r="AW787" t="s">
        <v>87</v>
      </c>
      <c r="AX787" t="s">
        <v>87</v>
      </c>
      <c r="AY787" t="s">
        <v>87</v>
      </c>
      <c r="AZ787" t="s">
        <v>87</v>
      </c>
      <c r="BA787" t="s">
        <v>87</v>
      </c>
      <c r="BB787" t="s">
        <v>87</v>
      </c>
      <c r="BC787" t="s">
        <v>87</v>
      </c>
      <c r="BD787" t="s">
        <v>87</v>
      </c>
      <c r="BE787" t="s">
        <v>87</v>
      </c>
    </row>
    <row r="788" spans="1:57" x14ac:dyDescent="0.45">
      <c r="A788" t="s">
        <v>2079</v>
      </c>
      <c r="B788" t="s">
        <v>79</v>
      </c>
      <c r="C788" t="s">
        <v>2077</v>
      </c>
      <c r="D788" t="s">
        <v>81</v>
      </c>
      <c r="E788" s="2" t="str">
        <f>HYPERLINK("capsilon://?command=openfolder&amp;siteaddress=FAM.docvelocity-na8.net&amp;folderid=FX753D91DF-D19F-E350-0F98-B7A98D4E8F13","FX201113044")</f>
        <v>FX201113044</v>
      </c>
      <c r="F788" t="s">
        <v>19</v>
      </c>
      <c r="G788" t="s">
        <v>19</v>
      </c>
      <c r="H788" t="s">
        <v>82</v>
      </c>
      <c r="I788" t="s">
        <v>2078</v>
      </c>
      <c r="J788">
        <v>38</v>
      </c>
      <c r="K788" t="s">
        <v>84</v>
      </c>
      <c r="L788" t="s">
        <v>85</v>
      </c>
      <c r="M788" t="s">
        <v>86</v>
      </c>
      <c r="N788">
        <v>3</v>
      </c>
      <c r="O788" s="1">
        <v>44207.766539351855</v>
      </c>
      <c r="P788" s="1">
        <v>44208.314467592594</v>
      </c>
      <c r="Q788">
        <v>46749</v>
      </c>
      <c r="R788">
        <v>592</v>
      </c>
      <c r="S788" t="b">
        <v>0</v>
      </c>
      <c r="T788" t="s">
        <v>87</v>
      </c>
      <c r="U788" t="b">
        <v>1</v>
      </c>
      <c r="V788" t="s">
        <v>259</v>
      </c>
      <c r="W788" s="1">
        <v>44207.772430555553</v>
      </c>
      <c r="X788">
        <v>507</v>
      </c>
      <c r="Y788">
        <v>37</v>
      </c>
      <c r="Z788">
        <v>0</v>
      </c>
      <c r="AA788">
        <v>37</v>
      </c>
      <c r="AB788">
        <v>0</v>
      </c>
      <c r="AC788">
        <v>35</v>
      </c>
      <c r="AD788">
        <v>1</v>
      </c>
      <c r="AE788">
        <v>0</v>
      </c>
      <c r="AF788">
        <v>0</v>
      </c>
      <c r="AG788">
        <v>0</v>
      </c>
      <c r="AH788" t="s">
        <v>267</v>
      </c>
      <c r="AI788" s="1">
        <v>44207.774826388886</v>
      </c>
      <c r="AJ788">
        <v>80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 t="s">
        <v>90</v>
      </c>
      <c r="AU788" s="1">
        <v>44208.314467592594</v>
      </c>
      <c r="AV788">
        <v>5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</row>
    <row r="789" spans="1:57" x14ac:dyDescent="0.45">
      <c r="A789" t="s">
        <v>2080</v>
      </c>
      <c r="B789" t="s">
        <v>79</v>
      </c>
      <c r="C789" t="s">
        <v>2081</v>
      </c>
      <c r="D789" t="s">
        <v>81</v>
      </c>
      <c r="E789" s="2" t="str">
        <f>HYPERLINK("capsilon://?command=openfolder&amp;siteaddress=FAM.docvelocity-na8.net&amp;folderid=FX8B46C965-B47B-6084-CC03-8A39D387473B","FX201227766")</f>
        <v>FX201227766</v>
      </c>
      <c r="F789" t="s">
        <v>19</v>
      </c>
      <c r="G789" t="s">
        <v>19</v>
      </c>
      <c r="H789" t="s">
        <v>82</v>
      </c>
      <c r="I789" t="s">
        <v>2082</v>
      </c>
      <c r="J789">
        <v>245</v>
      </c>
      <c r="K789" t="s">
        <v>84</v>
      </c>
      <c r="L789" t="s">
        <v>85</v>
      </c>
      <c r="M789" t="s">
        <v>86</v>
      </c>
      <c r="N789">
        <v>3</v>
      </c>
      <c r="O789" s="1">
        <v>44200.591458333336</v>
      </c>
      <c r="P789" s="1">
        <v>44201.378229166665</v>
      </c>
      <c r="Q789">
        <v>64822</v>
      </c>
      <c r="R789">
        <v>3155</v>
      </c>
      <c r="S789" t="b">
        <v>0</v>
      </c>
      <c r="T789" t="s">
        <v>87</v>
      </c>
      <c r="U789" t="b">
        <v>0</v>
      </c>
      <c r="V789" t="s">
        <v>262</v>
      </c>
      <c r="W789" s="1">
        <v>44200.717951388891</v>
      </c>
      <c r="X789">
        <v>2362</v>
      </c>
      <c r="Y789">
        <v>169</v>
      </c>
      <c r="Z789">
        <v>0</v>
      </c>
      <c r="AA789">
        <v>169</v>
      </c>
      <c r="AB789">
        <v>91</v>
      </c>
      <c r="AC789">
        <v>88</v>
      </c>
      <c r="AD789">
        <v>76</v>
      </c>
      <c r="AE789">
        <v>0</v>
      </c>
      <c r="AF789">
        <v>0</v>
      </c>
      <c r="AG789">
        <v>0</v>
      </c>
      <c r="AH789" t="s">
        <v>94</v>
      </c>
      <c r="AI789" s="1">
        <v>44200.755428240744</v>
      </c>
      <c r="AJ789">
        <v>676</v>
      </c>
      <c r="AK789">
        <v>0</v>
      </c>
      <c r="AL789">
        <v>0</v>
      </c>
      <c r="AM789">
        <v>0</v>
      </c>
      <c r="AN789">
        <v>91</v>
      </c>
      <c r="AO789">
        <v>2</v>
      </c>
      <c r="AP789">
        <v>76</v>
      </c>
      <c r="AQ789">
        <v>0</v>
      </c>
      <c r="AR789">
        <v>0</v>
      </c>
      <c r="AS789">
        <v>0</v>
      </c>
      <c r="AT789" t="s">
        <v>90</v>
      </c>
      <c r="AU789" s="1">
        <v>44201.378229166665</v>
      </c>
      <c r="AV789">
        <v>117</v>
      </c>
      <c r="AW789">
        <v>3</v>
      </c>
      <c r="AX789">
        <v>0</v>
      </c>
      <c r="AY789">
        <v>3</v>
      </c>
      <c r="AZ789">
        <v>91</v>
      </c>
      <c r="BA789">
        <v>3</v>
      </c>
      <c r="BB789">
        <v>73</v>
      </c>
      <c r="BC789">
        <v>0</v>
      </c>
      <c r="BD789">
        <v>0</v>
      </c>
      <c r="BE789">
        <v>0</v>
      </c>
    </row>
    <row r="790" spans="1:57" x14ac:dyDescent="0.45">
      <c r="A790" t="s">
        <v>2083</v>
      </c>
      <c r="B790" t="s">
        <v>79</v>
      </c>
      <c r="C790" t="s">
        <v>1357</v>
      </c>
      <c r="D790" t="s">
        <v>81</v>
      </c>
      <c r="E790" s="2" t="str">
        <f>HYPERLINK("capsilon://?command=openfolder&amp;siteaddress=FAM.docvelocity-na8.net&amp;folderid=FX90858789-497E-44E5-72F9-4156405E14CC","FX20127914")</f>
        <v>FX20127914</v>
      </c>
      <c r="F790" t="s">
        <v>19</v>
      </c>
      <c r="G790" t="s">
        <v>19</v>
      </c>
      <c r="H790" t="s">
        <v>82</v>
      </c>
      <c r="I790" t="s">
        <v>2084</v>
      </c>
      <c r="J790">
        <v>66</v>
      </c>
      <c r="K790" t="s">
        <v>84</v>
      </c>
      <c r="L790" t="s">
        <v>85</v>
      </c>
      <c r="M790" t="s">
        <v>86</v>
      </c>
      <c r="N790">
        <v>3</v>
      </c>
      <c r="O790" s="1">
        <v>44207.784641203703</v>
      </c>
      <c r="P790" s="1">
        <v>44208.347881944443</v>
      </c>
      <c r="Q790">
        <v>47315</v>
      </c>
      <c r="R790">
        <v>1349</v>
      </c>
      <c r="S790" t="b">
        <v>0</v>
      </c>
      <c r="T790" t="s">
        <v>87</v>
      </c>
      <c r="U790" t="b">
        <v>0</v>
      </c>
      <c r="V790" t="s">
        <v>168</v>
      </c>
      <c r="W790" s="1">
        <v>44207.799027777779</v>
      </c>
      <c r="X790">
        <v>1243</v>
      </c>
      <c r="Y790">
        <v>52</v>
      </c>
      <c r="Z790">
        <v>0</v>
      </c>
      <c r="AA790">
        <v>52</v>
      </c>
      <c r="AB790">
        <v>0</v>
      </c>
      <c r="AC790">
        <v>29</v>
      </c>
      <c r="AD790">
        <v>14</v>
      </c>
      <c r="AE790">
        <v>0</v>
      </c>
      <c r="AF790">
        <v>0</v>
      </c>
      <c r="AG790">
        <v>0</v>
      </c>
      <c r="AH790" t="s">
        <v>267</v>
      </c>
      <c r="AI790" s="1">
        <v>44207.80332175926</v>
      </c>
      <c r="AJ790">
        <v>98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14</v>
      </c>
      <c r="AQ790">
        <v>0</v>
      </c>
      <c r="AR790">
        <v>0</v>
      </c>
      <c r="AS790">
        <v>0</v>
      </c>
      <c r="AT790" t="s">
        <v>90</v>
      </c>
      <c r="AU790" s="1">
        <v>44208.347881944443</v>
      </c>
      <c r="AV790">
        <v>8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14</v>
      </c>
      <c r="BC790">
        <v>0</v>
      </c>
      <c r="BD790">
        <v>0</v>
      </c>
      <c r="BE790">
        <v>0</v>
      </c>
    </row>
    <row r="791" spans="1:57" x14ac:dyDescent="0.45">
      <c r="A791" t="s">
        <v>2085</v>
      </c>
      <c r="B791" t="s">
        <v>79</v>
      </c>
      <c r="C791" t="s">
        <v>2086</v>
      </c>
      <c r="D791" t="s">
        <v>81</v>
      </c>
      <c r="E791" s="2" t="str">
        <f>HYPERLINK("capsilon://?command=openfolder&amp;siteaddress=FAM.docvelocity-na8.net&amp;folderid=FX643B591D-A67C-AED1-5012-C1B92DB1F3C8","FX201223776")</f>
        <v>FX201223776</v>
      </c>
      <c r="F791" t="s">
        <v>19</v>
      </c>
      <c r="G791" t="s">
        <v>19</v>
      </c>
      <c r="H791" t="s">
        <v>82</v>
      </c>
      <c r="I791" t="s">
        <v>2087</v>
      </c>
      <c r="J791">
        <v>38</v>
      </c>
      <c r="K791" t="s">
        <v>84</v>
      </c>
      <c r="L791" t="s">
        <v>85</v>
      </c>
      <c r="M791" t="s">
        <v>86</v>
      </c>
      <c r="N791">
        <v>3</v>
      </c>
      <c r="O791" s="1">
        <v>44200.593356481484</v>
      </c>
      <c r="P791" s="1">
        <v>44201.378333333334</v>
      </c>
      <c r="Q791">
        <v>67533</v>
      </c>
      <c r="R791">
        <v>289</v>
      </c>
      <c r="S791" t="b">
        <v>0</v>
      </c>
      <c r="T791" t="s">
        <v>87</v>
      </c>
      <c r="U791" t="b">
        <v>0</v>
      </c>
      <c r="V791" t="s">
        <v>242</v>
      </c>
      <c r="W791" s="1">
        <v>44200.697187500002</v>
      </c>
      <c r="X791">
        <v>219</v>
      </c>
      <c r="Y791">
        <v>37</v>
      </c>
      <c r="Z791">
        <v>0</v>
      </c>
      <c r="AA791">
        <v>37</v>
      </c>
      <c r="AB791">
        <v>0</v>
      </c>
      <c r="AC791">
        <v>34</v>
      </c>
      <c r="AD791">
        <v>1</v>
      </c>
      <c r="AE791">
        <v>0</v>
      </c>
      <c r="AF791">
        <v>0</v>
      </c>
      <c r="AG791">
        <v>0</v>
      </c>
      <c r="AH791" t="s">
        <v>267</v>
      </c>
      <c r="AI791" s="1">
        <v>44200.756979166668</v>
      </c>
      <c r="AJ791">
        <v>62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 t="s">
        <v>90</v>
      </c>
      <c r="AU791" s="1">
        <v>44201.378333333334</v>
      </c>
      <c r="AV791">
        <v>8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</row>
    <row r="792" spans="1:57" hidden="1" x14ac:dyDescent="0.45">
      <c r="A792" t="s">
        <v>2088</v>
      </c>
      <c r="B792" t="s">
        <v>79</v>
      </c>
      <c r="C792" t="s">
        <v>2089</v>
      </c>
      <c r="D792" t="s">
        <v>81</v>
      </c>
      <c r="E792" s="2" t="str">
        <f>HYPERLINK("capsilon://?command=openfolder&amp;siteaddress=FAM.docvelocity-na8.net&amp;folderid=FX76B3561E-9B67-9F1D-54DE-D55854B33678","FX20123251")</f>
        <v>FX20123251</v>
      </c>
      <c r="F792" t="s">
        <v>19</v>
      </c>
      <c r="G792" t="s">
        <v>19</v>
      </c>
      <c r="H792" t="s">
        <v>82</v>
      </c>
      <c r="I792" t="s">
        <v>2090</v>
      </c>
      <c r="J792">
        <v>66</v>
      </c>
      <c r="K792" t="s">
        <v>84</v>
      </c>
      <c r="L792" t="s">
        <v>85</v>
      </c>
      <c r="M792" t="s">
        <v>86</v>
      </c>
      <c r="N792">
        <v>1</v>
      </c>
      <c r="O792" s="1">
        <v>44207.790856481479</v>
      </c>
      <c r="P792" s="1">
        <v>44207.791909722226</v>
      </c>
      <c r="Q792">
        <v>62</v>
      </c>
      <c r="R792">
        <v>29</v>
      </c>
      <c r="S792" t="b">
        <v>0</v>
      </c>
      <c r="T792" t="s">
        <v>87</v>
      </c>
      <c r="U792" t="b">
        <v>0</v>
      </c>
      <c r="V792" t="s">
        <v>146</v>
      </c>
      <c r="W792" s="1">
        <v>44207.791909722226</v>
      </c>
      <c r="X792">
        <v>29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66</v>
      </c>
      <c r="AE792">
        <v>0</v>
      </c>
      <c r="AF792">
        <v>0</v>
      </c>
      <c r="AG792">
        <v>1</v>
      </c>
      <c r="AH792" t="s">
        <v>87</v>
      </c>
      <c r="AI792" t="s">
        <v>87</v>
      </c>
      <c r="AJ792" t="s">
        <v>87</v>
      </c>
      <c r="AK792" t="s">
        <v>87</v>
      </c>
      <c r="AL792" t="s">
        <v>87</v>
      </c>
      <c r="AM792" t="s">
        <v>87</v>
      </c>
      <c r="AN792" t="s">
        <v>87</v>
      </c>
      <c r="AO792" t="s">
        <v>87</v>
      </c>
      <c r="AP792" t="s">
        <v>87</v>
      </c>
      <c r="AQ792" t="s">
        <v>87</v>
      </c>
      <c r="AR792" t="s">
        <v>87</v>
      </c>
      <c r="AS792" t="s">
        <v>87</v>
      </c>
      <c r="AT792" t="s">
        <v>87</v>
      </c>
      <c r="AU792" t="s">
        <v>87</v>
      </c>
      <c r="AV792" t="s">
        <v>87</v>
      </c>
      <c r="AW792" t="s">
        <v>87</v>
      </c>
      <c r="AX792" t="s">
        <v>87</v>
      </c>
      <c r="AY792" t="s">
        <v>87</v>
      </c>
      <c r="AZ792" t="s">
        <v>87</v>
      </c>
      <c r="BA792" t="s">
        <v>87</v>
      </c>
      <c r="BB792" t="s">
        <v>87</v>
      </c>
      <c r="BC792" t="s">
        <v>87</v>
      </c>
      <c r="BD792" t="s">
        <v>87</v>
      </c>
      <c r="BE792" t="s">
        <v>87</v>
      </c>
    </row>
    <row r="793" spans="1:57" x14ac:dyDescent="0.45">
      <c r="A793" t="s">
        <v>2091</v>
      </c>
      <c r="B793" t="s">
        <v>79</v>
      </c>
      <c r="C793" t="s">
        <v>2089</v>
      </c>
      <c r="D793" t="s">
        <v>81</v>
      </c>
      <c r="E793" s="2" t="str">
        <f>HYPERLINK("capsilon://?command=openfolder&amp;siteaddress=FAM.docvelocity-na8.net&amp;folderid=FX76B3561E-9B67-9F1D-54DE-D55854B33678","FX20123251")</f>
        <v>FX20123251</v>
      </c>
      <c r="F793" t="s">
        <v>19</v>
      </c>
      <c r="G793" t="s">
        <v>19</v>
      </c>
      <c r="H793" t="s">
        <v>82</v>
      </c>
      <c r="I793" t="s">
        <v>2090</v>
      </c>
      <c r="J793">
        <v>38</v>
      </c>
      <c r="K793" t="s">
        <v>84</v>
      </c>
      <c r="L793" t="s">
        <v>85</v>
      </c>
      <c r="M793" t="s">
        <v>86</v>
      </c>
      <c r="N793">
        <v>3</v>
      </c>
      <c r="O793" s="1">
        <v>44207.792245370372</v>
      </c>
      <c r="P793" s="1">
        <v>44208.314560185187</v>
      </c>
      <c r="Q793">
        <v>44299</v>
      </c>
      <c r="R793">
        <v>829</v>
      </c>
      <c r="S793" t="b">
        <v>0</v>
      </c>
      <c r="T793" t="s">
        <v>87</v>
      </c>
      <c r="U793" t="b">
        <v>1</v>
      </c>
      <c r="V793" t="s">
        <v>171</v>
      </c>
      <c r="W793" s="1">
        <v>44207.800300925926</v>
      </c>
      <c r="X793">
        <v>695</v>
      </c>
      <c r="Y793">
        <v>37</v>
      </c>
      <c r="Z793">
        <v>0</v>
      </c>
      <c r="AA793">
        <v>37</v>
      </c>
      <c r="AB793">
        <v>0</v>
      </c>
      <c r="AC793">
        <v>28</v>
      </c>
      <c r="AD793">
        <v>1</v>
      </c>
      <c r="AE793">
        <v>0</v>
      </c>
      <c r="AF793">
        <v>0</v>
      </c>
      <c r="AG793">
        <v>0</v>
      </c>
      <c r="AH793" t="s">
        <v>128</v>
      </c>
      <c r="AI793" s="1">
        <v>44207.80363425926</v>
      </c>
      <c r="AJ793">
        <v>127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 t="s">
        <v>90</v>
      </c>
      <c r="AU793" s="1">
        <v>44208.314560185187</v>
      </c>
      <c r="AV793">
        <v>7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</row>
    <row r="794" spans="1:57" x14ac:dyDescent="0.45">
      <c r="A794" t="s">
        <v>2092</v>
      </c>
      <c r="B794" t="s">
        <v>79</v>
      </c>
      <c r="C794" t="s">
        <v>1260</v>
      </c>
      <c r="D794" t="s">
        <v>81</v>
      </c>
      <c r="E794" s="2" t="str">
        <f>HYPERLINK("capsilon://?command=openfolder&amp;siteaddress=FAM.docvelocity-na8.net&amp;folderid=FX60A00A5D-FB53-5A48-CD14-6CACCCA9CE50","FX201226533")</f>
        <v>FX201226533</v>
      </c>
      <c r="F794" t="s">
        <v>19</v>
      </c>
      <c r="G794" t="s">
        <v>19</v>
      </c>
      <c r="H794" t="s">
        <v>82</v>
      </c>
      <c r="I794" t="s">
        <v>2093</v>
      </c>
      <c r="J794">
        <v>66</v>
      </c>
      <c r="K794" t="s">
        <v>84</v>
      </c>
      <c r="L794" t="s">
        <v>85</v>
      </c>
      <c r="M794" t="s">
        <v>86</v>
      </c>
      <c r="N794">
        <v>3</v>
      </c>
      <c r="O794" s="1">
        <v>44200.596354166664</v>
      </c>
      <c r="P794" s="1">
        <v>44201.379016203704</v>
      </c>
      <c r="Q794">
        <v>66959</v>
      </c>
      <c r="R794">
        <v>663</v>
      </c>
      <c r="S794" t="b">
        <v>0</v>
      </c>
      <c r="T794" t="s">
        <v>87</v>
      </c>
      <c r="U794" t="b">
        <v>0</v>
      </c>
      <c r="V794" t="s">
        <v>242</v>
      </c>
      <c r="W794" s="1">
        <v>44200.702372685184</v>
      </c>
      <c r="X794">
        <v>447</v>
      </c>
      <c r="Y794">
        <v>52</v>
      </c>
      <c r="Z794">
        <v>0</v>
      </c>
      <c r="AA794">
        <v>52</v>
      </c>
      <c r="AB794">
        <v>0</v>
      </c>
      <c r="AC794">
        <v>31</v>
      </c>
      <c r="AD794">
        <v>14</v>
      </c>
      <c r="AE794">
        <v>0</v>
      </c>
      <c r="AF794">
        <v>0</v>
      </c>
      <c r="AG794">
        <v>0</v>
      </c>
      <c r="AH794" t="s">
        <v>267</v>
      </c>
      <c r="AI794" s="1">
        <v>44200.75880787037</v>
      </c>
      <c r="AJ794">
        <v>158</v>
      </c>
      <c r="AK794">
        <v>3</v>
      </c>
      <c r="AL794">
        <v>0</v>
      </c>
      <c r="AM794">
        <v>3</v>
      </c>
      <c r="AN794">
        <v>0</v>
      </c>
      <c r="AO794">
        <v>3</v>
      </c>
      <c r="AP794">
        <v>11</v>
      </c>
      <c r="AQ794">
        <v>0</v>
      </c>
      <c r="AR794">
        <v>0</v>
      </c>
      <c r="AS794">
        <v>0</v>
      </c>
      <c r="AT794" t="s">
        <v>90</v>
      </c>
      <c r="AU794" s="1">
        <v>44201.379016203704</v>
      </c>
      <c r="AV794">
        <v>58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11</v>
      </c>
      <c r="BC794">
        <v>0</v>
      </c>
      <c r="BD794">
        <v>0</v>
      </c>
      <c r="BE794">
        <v>0</v>
      </c>
    </row>
    <row r="795" spans="1:57" x14ac:dyDescent="0.45">
      <c r="A795" t="s">
        <v>2094</v>
      </c>
      <c r="B795" t="s">
        <v>79</v>
      </c>
      <c r="C795" t="s">
        <v>1043</v>
      </c>
      <c r="D795" t="s">
        <v>81</v>
      </c>
      <c r="E795" s="2" t="str">
        <f>HYPERLINK("capsilon://?command=openfolder&amp;siteaddress=FAM.docvelocity-na8.net&amp;folderid=FX65C2396C-028D-AF71-DB7D-BADFC5206724","FX201226220")</f>
        <v>FX201226220</v>
      </c>
      <c r="F795" t="s">
        <v>19</v>
      </c>
      <c r="G795" t="s">
        <v>19</v>
      </c>
      <c r="H795" t="s">
        <v>82</v>
      </c>
      <c r="I795" t="s">
        <v>2095</v>
      </c>
      <c r="J795">
        <v>66</v>
      </c>
      <c r="K795" t="s">
        <v>84</v>
      </c>
      <c r="L795" t="s">
        <v>85</v>
      </c>
      <c r="M795" t="s">
        <v>86</v>
      </c>
      <c r="N795">
        <v>3</v>
      </c>
      <c r="O795" s="1">
        <v>44200.599409722221</v>
      </c>
      <c r="P795" s="1">
        <v>44201.379490740743</v>
      </c>
      <c r="Q795">
        <v>66339</v>
      </c>
      <c r="R795">
        <v>1060</v>
      </c>
      <c r="S795" t="b">
        <v>0</v>
      </c>
      <c r="T795" t="s">
        <v>87</v>
      </c>
      <c r="U795" t="b">
        <v>0</v>
      </c>
      <c r="V795" t="s">
        <v>255</v>
      </c>
      <c r="W795" s="1">
        <v>44200.708101851851</v>
      </c>
      <c r="X795">
        <v>534</v>
      </c>
      <c r="Y795">
        <v>52</v>
      </c>
      <c r="Z795">
        <v>0</v>
      </c>
      <c r="AA795">
        <v>52</v>
      </c>
      <c r="AB795">
        <v>0</v>
      </c>
      <c r="AC795">
        <v>22</v>
      </c>
      <c r="AD795">
        <v>14</v>
      </c>
      <c r="AE795">
        <v>0</v>
      </c>
      <c r="AF795">
        <v>0</v>
      </c>
      <c r="AG795">
        <v>0</v>
      </c>
      <c r="AH795" t="s">
        <v>128</v>
      </c>
      <c r="AI795" s="1">
        <v>44200.763009259259</v>
      </c>
      <c r="AJ795">
        <v>486</v>
      </c>
      <c r="AK795">
        <v>2</v>
      </c>
      <c r="AL795">
        <v>0</v>
      </c>
      <c r="AM795">
        <v>2</v>
      </c>
      <c r="AN795">
        <v>0</v>
      </c>
      <c r="AO795">
        <v>2</v>
      </c>
      <c r="AP795">
        <v>12</v>
      </c>
      <c r="AQ795">
        <v>0</v>
      </c>
      <c r="AR795">
        <v>0</v>
      </c>
      <c r="AS795">
        <v>0</v>
      </c>
      <c r="AT795" t="s">
        <v>90</v>
      </c>
      <c r="AU795" s="1">
        <v>44201.379490740743</v>
      </c>
      <c r="AV795">
        <v>40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12</v>
      </c>
      <c r="BC795">
        <v>0</v>
      </c>
      <c r="BD795">
        <v>0</v>
      </c>
      <c r="BE795">
        <v>0</v>
      </c>
    </row>
    <row r="796" spans="1:57" hidden="1" x14ac:dyDescent="0.45">
      <c r="A796" t="s">
        <v>2096</v>
      </c>
      <c r="B796" t="s">
        <v>79</v>
      </c>
      <c r="C796" t="s">
        <v>2097</v>
      </c>
      <c r="D796" t="s">
        <v>81</v>
      </c>
      <c r="E796" s="2" t="str">
        <f>HYPERLINK("capsilon://?command=openfolder&amp;siteaddress=FAM.docvelocity-na8.net&amp;folderid=FXC5E5AC80-0D2B-E93E-E1AB-2E108CD0CCAF","FX201221685")</f>
        <v>FX201221685</v>
      </c>
      <c r="F796" t="s">
        <v>19</v>
      </c>
      <c r="G796" t="s">
        <v>19</v>
      </c>
      <c r="H796" t="s">
        <v>82</v>
      </c>
      <c r="I796" t="s">
        <v>2098</v>
      </c>
      <c r="J796">
        <v>66</v>
      </c>
      <c r="K796" t="s">
        <v>84</v>
      </c>
      <c r="L796" t="s">
        <v>85</v>
      </c>
      <c r="M796" t="s">
        <v>86</v>
      </c>
      <c r="N796">
        <v>1</v>
      </c>
      <c r="O796" s="1">
        <v>44207.914837962962</v>
      </c>
      <c r="P796" s="1">
        <v>44208.151828703703</v>
      </c>
      <c r="Q796">
        <v>20127</v>
      </c>
      <c r="R796">
        <v>349</v>
      </c>
      <c r="S796" t="b">
        <v>0</v>
      </c>
      <c r="T796" t="s">
        <v>87</v>
      </c>
      <c r="U796" t="b">
        <v>0</v>
      </c>
      <c r="V796" t="s">
        <v>112</v>
      </c>
      <c r="W796" s="1">
        <v>44208.151828703703</v>
      </c>
      <c r="X796">
        <v>309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66</v>
      </c>
      <c r="AE796">
        <v>52</v>
      </c>
      <c r="AF796">
        <v>0</v>
      </c>
      <c r="AG796">
        <v>1</v>
      </c>
      <c r="AH796" t="s">
        <v>87</v>
      </c>
      <c r="AI796" t="s">
        <v>87</v>
      </c>
      <c r="AJ796" t="s">
        <v>87</v>
      </c>
      <c r="AK796" t="s">
        <v>87</v>
      </c>
      <c r="AL796" t="s">
        <v>87</v>
      </c>
      <c r="AM796" t="s">
        <v>87</v>
      </c>
      <c r="AN796" t="s">
        <v>87</v>
      </c>
      <c r="AO796" t="s">
        <v>87</v>
      </c>
      <c r="AP796" t="s">
        <v>87</v>
      </c>
      <c r="AQ796" t="s">
        <v>87</v>
      </c>
      <c r="AR796" t="s">
        <v>87</v>
      </c>
      <c r="AS796" t="s">
        <v>87</v>
      </c>
      <c r="AT796" t="s">
        <v>87</v>
      </c>
      <c r="AU796" t="s">
        <v>87</v>
      </c>
      <c r="AV796" t="s">
        <v>87</v>
      </c>
      <c r="AW796" t="s">
        <v>87</v>
      </c>
      <c r="AX796" t="s">
        <v>87</v>
      </c>
      <c r="AY796" t="s">
        <v>87</v>
      </c>
      <c r="AZ796" t="s">
        <v>87</v>
      </c>
      <c r="BA796" t="s">
        <v>87</v>
      </c>
      <c r="BB796" t="s">
        <v>87</v>
      </c>
      <c r="BC796" t="s">
        <v>87</v>
      </c>
      <c r="BD796" t="s">
        <v>87</v>
      </c>
      <c r="BE796" t="s">
        <v>87</v>
      </c>
    </row>
    <row r="797" spans="1:57" hidden="1" x14ac:dyDescent="0.45">
      <c r="A797" t="s">
        <v>2099</v>
      </c>
      <c r="B797" t="s">
        <v>79</v>
      </c>
      <c r="C797" t="s">
        <v>2097</v>
      </c>
      <c r="D797" t="s">
        <v>81</v>
      </c>
      <c r="E797" s="2" t="str">
        <f>HYPERLINK("capsilon://?command=openfolder&amp;siteaddress=FAM.docvelocity-na8.net&amp;folderid=FXC5E5AC80-0D2B-E93E-E1AB-2E108CD0CCAF","FX201221685")</f>
        <v>FX201221685</v>
      </c>
      <c r="F797" t="s">
        <v>19</v>
      </c>
      <c r="G797" t="s">
        <v>19</v>
      </c>
      <c r="H797" t="s">
        <v>82</v>
      </c>
      <c r="I797" t="s">
        <v>2100</v>
      </c>
      <c r="J797">
        <v>66</v>
      </c>
      <c r="K797" t="s">
        <v>84</v>
      </c>
      <c r="L797" t="s">
        <v>85</v>
      </c>
      <c r="M797" t="s">
        <v>86</v>
      </c>
      <c r="N797">
        <v>1</v>
      </c>
      <c r="O797" s="1">
        <v>44207.916655092595</v>
      </c>
      <c r="P797" s="1">
        <v>44208.159548611111</v>
      </c>
      <c r="Q797">
        <v>20320</v>
      </c>
      <c r="R797">
        <v>666</v>
      </c>
      <c r="S797" t="b">
        <v>0</v>
      </c>
      <c r="T797" t="s">
        <v>87</v>
      </c>
      <c r="U797" t="b">
        <v>0</v>
      </c>
      <c r="V797" t="s">
        <v>112</v>
      </c>
      <c r="W797" s="1">
        <v>44208.159548611111</v>
      </c>
      <c r="X797">
        <v>666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66</v>
      </c>
      <c r="AE797">
        <v>52</v>
      </c>
      <c r="AF797">
        <v>0</v>
      </c>
      <c r="AG797">
        <v>2</v>
      </c>
      <c r="AH797" t="s">
        <v>87</v>
      </c>
      <c r="AI797" t="s">
        <v>87</v>
      </c>
      <c r="AJ797" t="s">
        <v>87</v>
      </c>
      <c r="AK797" t="s">
        <v>87</v>
      </c>
      <c r="AL797" t="s">
        <v>87</v>
      </c>
      <c r="AM797" t="s">
        <v>87</v>
      </c>
      <c r="AN797" t="s">
        <v>87</v>
      </c>
      <c r="AO797" t="s">
        <v>87</v>
      </c>
      <c r="AP797" t="s">
        <v>87</v>
      </c>
      <c r="AQ797" t="s">
        <v>87</v>
      </c>
      <c r="AR797" t="s">
        <v>87</v>
      </c>
      <c r="AS797" t="s">
        <v>87</v>
      </c>
      <c r="AT797" t="s">
        <v>87</v>
      </c>
      <c r="AU797" t="s">
        <v>87</v>
      </c>
      <c r="AV797" t="s">
        <v>87</v>
      </c>
      <c r="AW797" t="s">
        <v>87</v>
      </c>
      <c r="AX797" t="s">
        <v>87</v>
      </c>
      <c r="AY797" t="s">
        <v>87</v>
      </c>
      <c r="AZ797" t="s">
        <v>87</v>
      </c>
      <c r="BA797" t="s">
        <v>87</v>
      </c>
      <c r="BB797" t="s">
        <v>87</v>
      </c>
      <c r="BC797" t="s">
        <v>87</v>
      </c>
      <c r="BD797" t="s">
        <v>87</v>
      </c>
      <c r="BE797" t="s">
        <v>87</v>
      </c>
    </row>
    <row r="798" spans="1:57" hidden="1" x14ac:dyDescent="0.45">
      <c r="A798" t="s">
        <v>2101</v>
      </c>
      <c r="B798" t="s">
        <v>79</v>
      </c>
      <c r="C798" t="s">
        <v>2102</v>
      </c>
      <c r="D798" t="s">
        <v>81</v>
      </c>
      <c r="E798" s="2" t="str">
        <f>HYPERLINK("capsilon://?command=openfolder&amp;siteaddress=FAM.docvelocity-na8.net&amp;folderid=FXCBEC016C-6E5B-17EE-86F3-521CCC5918A0","FX201227908")</f>
        <v>FX201227908</v>
      </c>
      <c r="F798" t="s">
        <v>19</v>
      </c>
      <c r="G798" t="s">
        <v>19</v>
      </c>
      <c r="H798" t="s">
        <v>82</v>
      </c>
      <c r="I798" t="s">
        <v>2103</v>
      </c>
      <c r="J798">
        <v>319</v>
      </c>
      <c r="K798" t="s">
        <v>84</v>
      </c>
      <c r="L798" t="s">
        <v>85</v>
      </c>
      <c r="M798" t="s">
        <v>86</v>
      </c>
      <c r="N798">
        <v>1</v>
      </c>
      <c r="O798" s="1">
        <v>44200.601481481484</v>
      </c>
      <c r="P798" s="1">
        <v>44200.709780092591</v>
      </c>
      <c r="Q798">
        <v>8960</v>
      </c>
      <c r="R798">
        <v>397</v>
      </c>
      <c r="S798" t="b">
        <v>0</v>
      </c>
      <c r="T798" t="s">
        <v>87</v>
      </c>
      <c r="U798" t="b">
        <v>0</v>
      </c>
      <c r="V798" t="s">
        <v>242</v>
      </c>
      <c r="W798" s="1">
        <v>44200.709780092591</v>
      </c>
      <c r="X798">
        <v>353</v>
      </c>
      <c r="Y798">
        <v>37</v>
      </c>
      <c r="Z798">
        <v>0</v>
      </c>
      <c r="AA798">
        <v>37</v>
      </c>
      <c r="AB798">
        <v>0</v>
      </c>
      <c r="AC798">
        <v>0</v>
      </c>
      <c r="AD798">
        <v>282</v>
      </c>
      <c r="AE798">
        <v>241</v>
      </c>
      <c r="AF798">
        <v>0</v>
      </c>
      <c r="AG798">
        <v>9</v>
      </c>
      <c r="AH798" t="s">
        <v>87</v>
      </c>
      <c r="AI798" t="s">
        <v>87</v>
      </c>
      <c r="AJ798" t="s">
        <v>87</v>
      </c>
      <c r="AK798" t="s">
        <v>87</v>
      </c>
      <c r="AL798" t="s">
        <v>87</v>
      </c>
      <c r="AM798" t="s">
        <v>87</v>
      </c>
      <c r="AN798" t="s">
        <v>87</v>
      </c>
      <c r="AO798" t="s">
        <v>87</v>
      </c>
      <c r="AP798" t="s">
        <v>87</v>
      </c>
      <c r="AQ798" t="s">
        <v>87</v>
      </c>
      <c r="AR798" t="s">
        <v>87</v>
      </c>
      <c r="AS798" t="s">
        <v>87</v>
      </c>
      <c r="AT798" t="s">
        <v>87</v>
      </c>
      <c r="AU798" t="s">
        <v>87</v>
      </c>
      <c r="AV798" t="s">
        <v>87</v>
      </c>
      <c r="AW798" t="s">
        <v>87</v>
      </c>
      <c r="AX798" t="s">
        <v>87</v>
      </c>
      <c r="AY798" t="s">
        <v>87</v>
      </c>
      <c r="AZ798" t="s">
        <v>87</v>
      </c>
      <c r="BA798" t="s">
        <v>87</v>
      </c>
      <c r="BB798" t="s">
        <v>87</v>
      </c>
      <c r="BC798" t="s">
        <v>87</v>
      </c>
      <c r="BD798" t="s">
        <v>87</v>
      </c>
      <c r="BE798" t="s">
        <v>87</v>
      </c>
    </row>
    <row r="799" spans="1:57" x14ac:dyDescent="0.45">
      <c r="A799" t="s">
        <v>2104</v>
      </c>
      <c r="B799" t="s">
        <v>79</v>
      </c>
      <c r="C799" t="s">
        <v>2105</v>
      </c>
      <c r="D799" t="s">
        <v>81</v>
      </c>
      <c r="E799" s="2" t="str">
        <f>HYPERLINK("capsilon://?command=openfolder&amp;siteaddress=FAM.docvelocity-na8.net&amp;folderid=FXB5AFF648-7ED2-8243-5565-19A8034353D4","FX20117070")</f>
        <v>FX20117070</v>
      </c>
      <c r="F799" t="s">
        <v>19</v>
      </c>
      <c r="G799" t="s">
        <v>19</v>
      </c>
      <c r="H799" t="s">
        <v>82</v>
      </c>
      <c r="I799" t="s">
        <v>2106</v>
      </c>
      <c r="J799">
        <v>10</v>
      </c>
      <c r="K799" t="s">
        <v>84</v>
      </c>
      <c r="L799" t="s">
        <v>85</v>
      </c>
      <c r="M799" t="s">
        <v>86</v>
      </c>
      <c r="N799">
        <v>3</v>
      </c>
      <c r="O799" s="1">
        <v>44200.603437500002</v>
      </c>
      <c r="P799" s="1">
        <v>44201.379537037035</v>
      </c>
      <c r="Q799">
        <v>66892</v>
      </c>
      <c r="R799">
        <v>163</v>
      </c>
      <c r="S799" t="b">
        <v>0</v>
      </c>
      <c r="T799" t="s">
        <v>87</v>
      </c>
      <c r="U799" t="b">
        <v>0</v>
      </c>
      <c r="V799" t="s">
        <v>242</v>
      </c>
      <c r="W799" s="1">
        <v>44200.705682870372</v>
      </c>
      <c r="X799">
        <v>112</v>
      </c>
      <c r="Y799">
        <v>1</v>
      </c>
      <c r="Z799">
        <v>0</v>
      </c>
      <c r="AA799">
        <v>1</v>
      </c>
      <c r="AB799">
        <v>6</v>
      </c>
      <c r="AC799">
        <v>0</v>
      </c>
      <c r="AD799">
        <v>9</v>
      </c>
      <c r="AE799">
        <v>0</v>
      </c>
      <c r="AF799">
        <v>0</v>
      </c>
      <c r="AG799">
        <v>0</v>
      </c>
      <c r="AH799" t="s">
        <v>94</v>
      </c>
      <c r="AI799" s="1">
        <v>44200.759155092594</v>
      </c>
      <c r="AJ799">
        <v>48</v>
      </c>
      <c r="AK799">
        <v>0</v>
      </c>
      <c r="AL799">
        <v>0</v>
      </c>
      <c r="AM799">
        <v>0</v>
      </c>
      <c r="AN799">
        <v>6</v>
      </c>
      <c r="AO799">
        <v>0</v>
      </c>
      <c r="AP799">
        <v>9</v>
      </c>
      <c r="AQ799">
        <v>0</v>
      </c>
      <c r="AR799">
        <v>0</v>
      </c>
      <c r="AS799">
        <v>0</v>
      </c>
      <c r="AT799" t="s">
        <v>90</v>
      </c>
      <c r="AU799" s="1">
        <v>44201.379537037035</v>
      </c>
      <c r="AV799">
        <v>3</v>
      </c>
      <c r="AW799">
        <v>0</v>
      </c>
      <c r="AX799">
        <v>0</v>
      </c>
      <c r="AY799">
        <v>0</v>
      </c>
      <c r="AZ799">
        <v>6</v>
      </c>
      <c r="BA799">
        <v>0</v>
      </c>
      <c r="BB799">
        <v>9</v>
      </c>
      <c r="BC799">
        <v>0</v>
      </c>
      <c r="BD799">
        <v>0</v>
      </c>
      <c r="BE799">
        <v>0</v>
      </c>
    </row>
    <row r="800" spans="1:57" hidden="1" x14ac:dyDescent="0.45">
      <c r="A800" t="s">
        <v>2107</v>
      </c>
      <c r="B800" t="s">
        <v>79</v>
      </c>
      <c r="C800" t="s">
        <v>2097</v>
      </c>
      <c r="D800" t="s">
        <v>81</v>
      </c>
      <c r="E800" s="2" t="str">
        <f>HYPERLINK("capsilon://?command=openfolder&amp;siteaddress=FAM.docvelocity-na8.net&amp;folderid=FXC5E5AC80-0D2B-E93E-E1AB-2E108CD0CCAF","FX201221685")</f>
        <v>FX201221685</v>
      </c>
      <c r="F800" t="s">
        <v>19</v>
      </c>
      <c r="G800" t="s">
        <v>19</v>
      </c>
      <c r="H800" t="s">
        <v>82</v>
      </c>
      <c r="I800" t="s">
        <v>2098</v>
      </c>
      <c r="J800">
        <v>38</v>
      </c>
      <c r="K800" t="s">
        <v>84</v>
      </c>
      <c r="L800" t="s">
        <v>85</v>
      </c>
      <c r="M800" t="s">
        <v>86</v>
      </c>
      <c r="N800">
        <v>3</v>
      </c>
      <c r="O800" s="1">
        <v>44208.15216435185</v>
      </c>
      <c r="P800" s="1">
        <v>44208.315081018518</v>
      </c>
      <c r="Q800">
        <v>12820</v>
      </c>
      <c r="R800">
        <v>1256</v>
      </c>
      <c r="S800" t="b">
        <v>0</v>
      </c>
      <c r="T800" t="s">
        <v>87</v>
      </c>
      <c r="U800" t="b">
        <v>1</v>
      </c>
      <c r="V800" t="s">
        <v>1418</v>
      </c>
      <c r="W800" s="1">
        <v>44208.157939814817</v>
      </c>
      <c r="X800">
        <v>236</v>
      </c>
      <c r="Y800">
        <v>0</v>
      </c>
      <c r="Z800">
        <v>0</v>
      </c>
      <c r="AA800">
        <v>0</v>
      </c>
      <c r="AB800">
        <v>37</v>
      </c>
      <c r="AC800">
        <v>0</v>
      </c>
      <c r="AD800">
        <v>38</v>
      </c>
      <c r="AE800">
        <v>0</v>
      </c>
      <c r="AF800">
        <v>0</v>
      </c>
      <c r="AG800">
        <v>0</v>
      </c>
      <c r="AH800" t="s">
        <v>94</v>
      </c>
      <c r="AI800" s="1">
        <v>44208.16982638889</v>
      </c>
      <c r="AJ800">
        <v>542</v>
      </c>
      <c r="AK800">
        <v>0</v>
      </c>
      <c r="AL800">
        <v>0</v>
      </c>
      <c r="AM800">
        <v>0</v>
      </c>
      <c r="AN800">
        <v>37</v>
      </c>
      <c r="AO800">
        <v>0</v>
      </c>
      <c r="AP800">
        <v>38</v>
      </c>
      <c r="AQ800">
        <v>0</v>
      </c>
      <c r="AR800">
        <v>0</v>
      </c>
      <c r="AS800">
        <v>0</v>
      </c>
      <c r="AT800" t="s">
        <v>90</v>
      </c>
      <c r="AU800" s="1">
        <v>44208.315081018518</v>
      </c>
      <c r="AV800">
        <v>45</v>
      </c>
      <c r="AW800">
        <v>0</v>
      </c>
      <c r="AX800">
        <v>0</v>
      </c>
      <c r="AY800">
        <v>0</v>
      </c>
      <c r="AZ800">
        <v>37</v>
      </c>
      <c r="BA800">
        <v>0</v>
      </c>
      <c r="BB800">
        <v>38</v>
      </c>
      <c r="BC800">
        <v>0</v>
      </c>
      <c r="BD800">
        <v>0</v>
      </c>
      <c r="BE800">
        <v>0</v>
      </c>
    </row>
    <row r="801" spans="1:57" x14ac:dyDescent="0.45">
      <c r="A801" t="s">
        <v>2108</v>
      </c>
      <c r="B801" t="s">
        <v>79</v>
      </c>
      <c r="C801" t="s">
        <v>2097</v>
      </c>
      <c r="D801" t="s">
        <v>81</v>
      </c>
      <c r="E801" s="2" t="str">
        <f>HYPERLINK("capsilon://?command=openfolder&amp;siteaddress=FAM.docvelocity-na8.net&amp;folderid=FXC5E5AC80-0D2B-E93E-E1AB-2E108CD0CCAF","FX201221685")</f>
        <v>FX201221685</v>
      </c>
      <c r="F801" t="s">
        <v>19</v>
      </c>
      <c r="G801" t="s">
        <v>19</v>
      </c>
      <c r="H801" t="s">
        <v>82</v>
      </c>
      <c r="I801" t="s">
        <v>2100</v>
      </c>
      <c r="J801">
        <v>76</v>
      </c>
      <c r="K801" t="s">
        <v>84</v>
      </c>
      <c r="L801" t="s">
        <v>85</v>
      </c>
      <c r="M801" t="s">
        <v>86</v>
      </c>
      <c r="N801">
        <v>3</v>
      </c>
      <c r="O801" s="1">
        <v>44208.159872685188</v>
      </c>
      <c r="P801" s="1">
        <v>44208.315150462964</v>
      </c>
      <c r="Q801">
        <v>10782</v>
      </c>
      <c r="R801">
        <v>2634</v>
      </c>
      <c r="S801" t="b">
        <v>0</v>
      </c>
      <c r="T801" t="s">
        <v>87</v>
      </c>
      <c r="U801" t="b">
        <v>1</v>
      </c>
      <c r="V801" t="s">
        <v>919</v>
      </c>
      <c r="W801" s="1">
        <v>44208.178391203706</v>
      </c>
      <c r="X801">
        <v>1568</v>
      </c>
      <c r="Y801">
        <v>37</v>
      </c>
      <c r="Z801">
        <v>0</v>
      </c>
      <c r="AA801">
        <v>37</v>
      </c>
      <c r="AB801">
        <v>37</v>
      </c>
      <c r="AC801">
        <v>28</v>
      </c>
      <c r="AD801">
        <v>39</v>
      </c>
      <c r="AE801">
        <v>0</v>
      </c>
      <c r="AF801">
        <v>0</v>
      </c>
      <c r="AG801">
        <v>0</v>
      </c>
      <c r="AH801" t="s">
        <v>89</v>
      </c>
      <c r="AI801" s="1">
        <v>44208.191342592596</v>
      </c>
      <c r="AJ801">
        <v>1061</v>
      </c>
      <c r="AK801">
        <v>12</v>
      </c>
      <c r="AL801">
        <v>0</v>
      </c>
      <c r="AM801">
        <v>12</v>
      </c>
      <c r="AN801">
        <v>37</v>
      </c>
      <c r="AO801">
        <v>11</v>
      </c>
      <c r="AP801">
        <v>27</v>
      </c>
      <c r="AQ801">
        <v>0</v>
      </c>
      <c r="AR801">
        <v>0</v>
      </c>
      <c r="AS801">
        <v>0</v>
      </c>
      <c r="AT801" t="s">
        <v>90</v>
      </c>
      <c r="AU801" s="1">
        <v>44208.315150462964</v>
      </c>
      <c r="AV801">
        <v>5</v>
      </c>
      <c r="AW801">
        <v>0</v>
      </c>
      <c r="AX801">
        <v>0</v>
      </c>
      <c r="AY801">
        <v>0</v>
      </c>
      <c r="AZ801">
        <v>37</v>
      </c>
      <c r="BA801">
        <v>0</v>
      </c>
      <c r="BB801">
        <v>27</v>
      </c>
      <c r="BC801">
        <v>0</v>
      </c>
      <c r="BD801">
        <v>0</v>
      </c>
      <c r="BE801">
        <v>0</v>
      </c>
    </row>
    <row r="802" spans="1:57" x14ac:dyDescent="0.45">
      <c r="A802" t="s">
        <v>2109</v>
      </c>
      <c r="B802" t="s">
        <v>79</v>
      </c>
      <c r="C802" t="s">
        <v>2110</v>
      </c>
      <c r="D802" t="s">
        <v>81</v>
      </c>
      <c r="E802" s="2" t="str">
        <f>HYPERLINK("capsilon://?command=openfolder&amp;siteaddress=FAM.docvelocity-na8.net&amp;folderid=FXD8A5C6EC-EBCC-5C51-D925-A4C9D5B0999D","FX201113583")</f>
        <v>FX201113583</v>
      </c>
      <c r="F802" t="s">
        <v>19</v>
      </c>
      <c r="G802" t="s">
        <v>19</v>
      </c>
      <c r="H802" t="s">
        <v>82</v>
      </c>
      <c r="I802" t="s">
        <v>2111</v>
      </c>
      <c r="J802">
        <v>882</v>
      </c>
      <c r="K802" t="s">
        <v>84</v>
      </c>
      <c r="L802" t="s">
        <v>85</v>
      </c>
      <c r="M802" t="s">
        <v>86</v>
      </c>
      <c r="N802">
        <v>3</v>
      </c>
      <c r="O802" s="1">
        <v>44208.207627314812</v>
      </c>
      <c r="P802" s="1">
        <v>44208.347939814812</v>
      </c>
      <c r="Q802">
        <v>11944</v>
      </c>
      <c r="R802">
        <v>179</v>
      </c>
      <c r="S802" t="b">
        <v>0</v>
      </c>
      <c r="T802" t="s">
        <v>87</v>
      </c>
      <c r="U802" t="b">
        <v>0</v>
      </c>
      <c r="V802" t="s">
        <v>88</v>
      </c>
      <c r="W802" s="1">
        <v>44208.214814814812</v>
      </c>
      <c r="X802">
        <v>118</v>
      </c>
      <c r="Y802">
        <v>196</v>
      </c>
      <c r="Z802">
        <v>0</v>
      </c>
      <c r="AA802">
        <v>196</v>
      </c>
      <c r="AB802">
        <v>0</v>
      </c>
      <c r="AC802">
        <v>0</v>
      </c>
      <c r="AD802">
        <v>686</v>
      </c>
      <c r="AE802">
        <v>0</v>
      </c>
      <c r="AF802">
        <v>0</v>
      </c>
      <c r="AG802">
        <v>0</v>
      </c>
      <c r="AH802" t="s">
        <v>89</v>
      </c>
      <c r="AI802" s="1">
        <v>44208.220543981479</v>
      </c>
      <c r="AJ802">
        <v>57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686</v>
      </c>
      <c r="AQ802">
        <v>0</v>
      </c>
      <c r="AR802">
        <v>0</v>
      </c>
      <c r="AS802">
        <v>0</v>
      </c>
      <c r="AT802" t="s">
        <v>90</v>
      </c>
      <c r="AU802" s="1">
        <v>44208.347939814812</v>
      </c>
      <c r="AV802">
        <v>4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686</v>
      </c>
      <c r="BC802">
        <v>0</v>
      </c>
      <c r="BD802">
        <v>0</v>
      </c>
      <c r="BE802">
        <v>0</v>
      </c>
    </row>
    <row r="803" spans="1:57" x14ac:dyDescent="0.45">
      <c r="A803" t="s">
        <v>2112</v>
      </c>
      <c r="B803" t="s">
        <v>79</v>
      </c>
      <c r="C803" t="s">
        <v>910</v>
      </c>
      <c r="D803" t="s">
        <v>81</v>
      </c>
      <c r="E803" s="2" t="str">
        <f>HYPERLINK("capsilon://?command=openfolder&amp;siteaddress=FAM.docvelocity-na8.net&amp;folderid=FX19CF271C-71CA-F7BB-405A-DB31B89938D4","FX201221728")</f>
        <v>FX201221728</v>
      </c>
      <c r="F803" t="s">
        <v>19</v>
      </c>
      <c r="G803" t="s">
        <v>19</v>
      </c>
      <c r="H803" t="s">
        <v>82</v>
      </c>
      <c r="I803" t="s">
        <v>2113</v>
      </c>
      <c r="J803">
        <v>66</v>
      </c>
      <c r="K803" t="s">
        <v>84</v>
      </c>
      <c r="L803" t="s">
        <v>85</v>
      </c>
      <c r="M803" t="s">
        <v>86</v>
      </c>
      <c r="N803">
        <v>3</v>
      </c>
      <c r="O803" s="1">
        <v>44208.228912037041</v>
      </c>
      <c r="P803" s="1">
        <v>44208.348425925928</v>
      </c>
      <c r="Q803">
        <v>8299</v>
      </c>
      <c r="R803">
        <v>2027</v>
      </c>
      <c r="S803" t="b">
        <v>0</v>
      </c>
      <c r="T803" t="s">
        <v>87</v>
      </c>
      <c r="U803" t="b">
        <v>0</v>
      </c>
      <c r="V803" t="s">
        <v>88</v>
      </c>
      <c r="W803" s="1">
        <v>44208.244305555556</v>
      </c>
      <c r="X803">
        <v>1207</v>
      </c>
      <c r="Y803">
        <v>52</v>
      </c>
      <c r="Z803">
        <v>0</v>
      </c>
      <c r="AA803">
        <v>52</v>
      </c>
      <c r="AB803">
        <v>0</v>
      </c>
      <c r="AC803">
        <v>33</v>
      </c>
      <c r="AD803">
        <v>14</v>
      </c>
      <c r="AE803">
        <v>0</v>
      </c>
      <c r="AF803">
        <v>0</v>
      </c>
      <c r="AG803">
        <v>0</v>
      </c>
      <c r="AH803" t="s">
        <v>94</v>
      </c>
      <c r="AI803" s="1">
        <v>44208.27008101852</v>
      </c>
      <c r="AJ803">
        <v>778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13</v>
      </c>
      <c r="AQ803">
        <v>0</v>
      </c>
      <c r="AR803">
        <v>0</v>
      </c>
      <c r="AS803">
        <v>0</v>
      </c>
      <c r="AT803" t="s">
        <v>90</v>
      </c>
      <c r="AU803" s="1">
        <v>44208.348425925928</v>
      </c>
      <c r="AV803">
        <v>42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13</v>
      </c>
      <c r="BC803">
        <v>0</v>
      </c>
      <c r="BD803">
        <v>0</v>
      </c>
      <c r="BE803">
        <v>0</v>
      </c>
    </row>
    <row r="804" spans="1:57" x14ac:dyDescent="0.45">
      <c r="A804" t="s">
        <v>2114</v>
      </c>
      <c r="B804" t="s">
        <v>79</v>
      </c>
      <c r="C804" t="s">
        <v>2115</v>
      </c>
      <c r="D804" t="s">
        <v>81</v>
      </c>
      <c r="E804" s="2" t="str">
        <f>HYPERLINK("capsilon://?command=openfolder&amp;siteaddress=FAM.docvelocity-na8.net&amp;folderid=FXF4CD21B1-BE5C-F1E9-C8C8-E7DD99D6C9C5","FX201226986")</f>
        <v>FX201226986</v>
      </c>
      <c r="F804" t="s">
        <v>19</v>
      </c>
      <c r="G804" t="s">
        <v>19</v>
      </c>
      <c r="H804" t="s">
        <v>82</v>
      </c>
      <c r="I804" t="s">
        <v>2116</v>
      </c>
      <c r="J804">
        <v>66</v>
      </c>
      <c r="K804" t="s">
        <v>84</v>
      </c>
      <c r="L804" t="s">
        <v>85</v>
      </c>
      <c r="M804" t="s">
        <v>86</v>
      </c>
      <c r="N804">
        <v>3</v>
      </c>
      <c r="O804" s="1">
        <v>44208.291354166664</v>
      </c>
      <c r="P804" s="1">
        <v>44208.348796296297</v>
      </c>
      <c r="Q804">
        <v>2710</v>
      </c>
      <c r="R804">
        <v>2253</v>
      </c>
      <c r="S804" t="b">
        <v>0</v>
      </c>
      <c r="T804" t="s">
        <v>87</v>
      </c>
      <c r="U804" t="b">
        <v>0</v>
      </c>
      <c r="V804" t="s">
        <v>98</v>
      </c>
      <c r="W804" s="1">
        <v>44208.309641203705</v>
      </c>
      <c r="X804">
        <v>1579</v>
      </c>
      <c r="Y804">
        <v>52</v>
      </c>
      <c r="Z804">
        <v>0</v>
      </c>
      <c r="AA804">
        <v>52</v>
      </c>
      <c r="AB804">
        <v>0</v>
      </c>
      <c r="AC804">
        <v>33</v>
      </c>
      <c r="AD804">
        <v>14</v>
      </c>
      <c r="AE804">
        <v>0</v>
      </c>
      <c r="AF804">
        <v>0</v>
      </c>
      <c r="AG804">
        <v>0</v>
      </c>
      <c r="AH804" t="s">
        <v>89</v>
      </c>
      <c r="AI804" s="1">
        <v>44208.320462962962</v>
      </c>
      <c r="AJ804">
        <v>642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14</v>
      </c>
      <c r="AQ804">
        <v>0</v>
      </c>
      <c r="AR804">
        <v>0</v>
      </c>
      <c r="AS804">
        <v>0</v>
      </c>
      <c r="AT804" t="s">
        <v>90</v>
      </c>
      <c r="AU804" s="1">
        <v>44208.348796296297</v>
      </c>
      <c r="AV804">
        <v>32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14</v>
      </c>
      <c r="BC804">
        <v>0</v>
      </c>
      <c r="BD804">
        <v>0</v>
      </c>
      <c r="BE804">
        <v>0</v>
      </c>
    </row>
    <row r="805" spans="1:57" hidden="1" x14ac:dyDescent="0.45">
      <c r="A805" t="s">
        <v>2117</v>
      </c>
      <c r="B805" t="s">
        <v>79</v>
      </c>
      <c r="C805" t="s">
        <v>1679</v>
      </c>
      <c r="D805" t="s">
        <v>81</v>
      </c>
      <c r="E805" s="2" t="str">
        <f>HYPERLINK("capsilon://?command=openfolder&amp;siteaddress=FAM.docvelocity-na8.net&amp;folderid=FX7D367F90-71E3-FD2D-65A9-01882EE32272","FX2101570")</f>
        <v>FX2101570</v>
      </c>
      <c r="F805" t="s">
        <v>19</v>
      </c>
      <c r="G805" t="s">
        <v>19</v>
      </c>
      <c r="H805" t="s">
        <v>82</v>
      </c>
      <c r="I805" t="s">
        <v>2118</v>
      </c>
      <c r="J805">
        <v>66</v>
      </c>
      <c r="K805" t="s">
        <v>84</v>
      </c>
      <c r="L805" t="s">
        <v>85</v>
      </c>
      <c r="M805" t="s">
        <v>86</v>
      </c>
      <c r="N805">
        <v>3</v>
      </c>
      <c r="O805" s="1">
        <v>44208.299745370372</v>
      </c>
      <c r="P805" s="1">
        <v>44208.34883101852</v>
      </c>
      <c r="Q805">
        <v>4025</v>
      </c>
      <c r="R805">
        <v>216</v>
      </c>
      <c r="S805" t="b">
        <v>0</v>
      </c>
      <c r="T805" t="s">
        <v>87</v>
      </c>
      <c r="U805" t="b">
        <v>0</v>
      </c>
      <c r="V805" t="s">
        <v>112</v>
      </c>
      <c r="W805" s="1">
        <v>44208.304884259262</v>
      </c>
      <c r="X805">
        <v>140</v>
      </c>
      <c r="Y805">
        <v>0</v>
      </c>
      <c r="Z805">
        <v>0</v>
      </c>
      <c r="AA805">
        <v>0</v>
      </c>
      <c r="AB805">
        <v>52</v>
      </c>
      <c r="AC805">
        <v>0</v>
      </c>
      <c r="AD805">
        <v>66</v>
      </c>
      <c r="AE805">
        <v>0</v>
      </c>
      <c r="AF805">
        <v>0</v>
      </c>
      <c r="AG805">
        <v>0</v>
      </c>
      <c r="AH805" t="s">
        <v>94</v>
      </c>
      <c r="AI805" s="1">
        <v>44208.316493055558</v>
      </c>
      <c r="AJ805">
        <v>73</v>
      </c>
      <c r="AK805">
        <v>0</v>
      </c>
      <c r="AL805">
        <v>0</v>
      </c>
      <c r="AM805">
        <v>0</v>
      </c>
      <c r="AN805">
        <v>52</v>
      </c>
      <c r="AO805">
        <v>0</v>
      </c>
      <c r="AP805">
        <v>66</v>
      </c>
      <c r="AQ805">
        <v>0</v>
      </c>
      <c r="AR805">
        <v>0</v>
      </c>
      <c r="AS805">
        <v>0</v>
      </c>
      <c r="AT805" t="s">
        <v>90</v>
      </c>
      <c r="AU805" s="1">
        <v>44208.34883101852</v>
      </c>
      <c r="AV805">
        <v>3</v>
      </c>
      <c r="AW805">
        <v>0</v>
      </c>
      <c r="AX805">
        <v>0</v>
      </c>
      <c r="AY805">
        <v>0</v>
      </c>
      <c r="AZ805">
        <v>52</v>
      </c>
      <c r="BA805">
        <v>0</v>
      </c>
      <c r="BB805">
        <v>66</v>
      </c>
      <c r="BC805">
        <v>0</v>
      </c>
      <c r="BD805">
        <v>0</v>
      </c>
      <c r="BE805">
        <v>0</v>
      </c>
    </row>
    <row r="806" spans="1:57" x14ac:dyDescent="0.45">
      <c r="A806" t="s">
        <v>2119</v>
      </c>
      <c r="B806" t="s">
        <v>79</v>
      </c>
      <c r="C806" t="s">
        <v>2115</v>
      </c>
      <c r="D806" t="s">
        <v>81</v>
      </c>
      <c r="E806" s="2" t="str">
        <f>HYPERLINK("capsilon://?command=openfolder&amp;siteaddress=FAM.docvelocity-na8.net&amp;folderid=FXF4CD21B1-BE5C-F1E9-C8C8-E7DD99D6C9C5","FX201226986")</f>
        <v>FX201226986</v>
      </c>
      <c r="F806" t="s">
        <v>19</v>
      </c>
      <c r="G806" t="s">
        <v>19</v>
      </c>
      <c r="H806" t="s">
        <v>82</v>
      </c>
      <c r="I806" t="s">
        <v>2120</v>
      </c>
      <c r="J806">
        <v>66</v>
      </c>
      <c r="K806" t="s">
        <v>84</v>
      </c>
      <c r="L806" t="s">
        <v>85</v>
      </c>
      <c r="M806" t="s">
        <v>86</v>
      </c>
      <c r="N806">
        <v>3</v>
      </c>
      <c r="O806" s="1">
        <v>44208.305324074077</v>
      </c>
      <c r="P806" s="1">
        <v>44208.348935185182</v>
      </c>
      <c r="Q806">
        <v>1637</v>
      </c>
      <c r="R806">
        <v>2131</v>
      </c>
      <c r="S806" t="b">
        <v>0</v>
      </c>
      <c r="T806" t="s">
        <v>87</v>
      </c>
      <c r="U806" t="b">
        <v>0</v>
      </c>
      <c r="V806" t="s">
        <v>919</v>
      </c>
      <c r="W806" s="1">
        <v>44208.314745370371</v>
      </c>
      <c r="X806">
        <v>797</v>
      </c>
      <c r="Y806">
        <v>52</v>
      </c>
      <c r="Z806">
        <v>0</v>
      </c>
      <c r="AA806">
        <v>52</v>
      </c>
      <c r="AB806">
        <v>0</v>
      </c>
      <c r="AC806">
        <v>35</v>
      </c>
      <c r="AD806">
        <v>14</v>
      </c>
      <c r="AE806">
        <v>0</v>
      </c>
      <c r="AF806">
        <v>0</v>
      </c>
      <c r="AG806">
        <v>0</v>
      </c>
      <c r="AH806" t="s">
        <v>94</v>
      </c>
      <c r="AI806" s="1">
        <v>44208.33185185185</v>
      </c>
      <c r="AJ806">
        <v>1326</v>
      </c>
      <c r="AK806">
        <v>2</v>
      </c>
      <c r="AL806">
        <v>0</v>
      </c>
      <c r="AM806">
        <v>2</v>
      </c>
      <c r="AN806">
        <v>0</v>
      </c>
      <c r="AO806">
        <v>2</v>
      </c>
      <c r="AP806">
        <v>12</v>
      </c>
      <c r="AQ806">
        <v>0</v>
      </c>
      <c r="AR806">
        <v>0</v>
      </c>
      <c r="AS806">
        <v>0</v>
      </c>
      <c r="AT806" t="s">
        <v>90</v>
      </c>
      <c r="AU806" s="1">
        <v>44208.348935185182</v>
      </c>
      <c r="AV806">
        <v>8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12</v>
      </c>
      <c r="BC806">
        <v>0</v>
      </c>
      <c r="BD806">
        <v>0</v>
      </c>
      <c r="BE806">
        <v>0</v>
      </c>
    </row>
    <row r="807" spans="1:57" x14ac:dyDescent="0.45">
      <c r="A807" t="s">
        <v>2121</v>
      </c>
      <c r="B807" t="s">
        <v>79</v>
      </c>
      <c r="C807" t="s">
        <v>2122</v>
      </c>
      <c r="D807" t="s">
        <v>81</v>
      </c>
      <c r="E807" s="2" t="str">
        <f>HYPERLINK("capsilon://?command=openfolder&amp;siteaddress=FAM.docvelocity-na8.net&amp;folderid=FX6CDF608A-5B66-8F61-B37F-8762171A438D","FX21016167")</f>
        <v>FX21016167</v>
      </c>
      <c r="F807" t="s">
        <v>19</v>
      </c>
      <c r="G807" t="s">
        <v>19</v>
      </c>
      <c r="H807" t="s">
        <v>82</v>
      </c>
      <c r="I807" t="s">
        <v>2123</v>
      </c>
      <c r="J807">
        <v>432</v>
      </c>
      <c r="K807" t="s">
        <v>84</v>
      </c>
      <c r="L807" t="s">
        <v>85</v>
      </c>
      <c r="M807" t="s">
        <v>86</v>
      </c>
      <c r="N807">
        <v>3</v>
      </c>
      <c r="O807" s="1">
        <v>44208.326238425929</v>
      </c>
      <c r="P807" s="1">
        <v>44208.43891203704</v>
      </c>
      <c r="Q807">
        <v>3613</v>
      </c>
      <c r="R807">
        <v>6122</v>
      </c>
      <c r="S807" t="b">
        <v>0</v>
      </c>
      <c r="T807" t="s">
        <v>87</v>
      </c>
      <c r="U807" t="b">
        <v>0</v>
      </c>
      <c r="V807" t="s">
        <v>112</v>
      </c>
      <c r="W807" s="1">
        <v>44208.37327546296</v>
      </c>
      <c r="X807">
        <v>3396</v>
      </c>
      <c r="Y807">
        <v>393</v>
      </c>
      <c r="Z807">
        <v>0</v>
      </c>
      <c r="AA807">
        <v>393</v>
      </c>
      <c r="AB807">
        <v>0</v>
      </c>
      <c r="AC807">
        <v>160</v>
      </c>
      <c r="AD807">
        <v>39</v>
      </c>
      <c r="AE807">
        <v>0</v>
      </c>
      <c r="AF807">
        <v>0</v>
      </c>
      <c r="AG807">
        <v>0</v>
      </c>
      <c r="AH807" t="s">
        <v>89</v>
      </c>
      <c r="AI807" s="1">
        <v>44208.409942129627</v>
      </c>
      <c r="AJ807">
        <v>2696</v>
      </c>
      <c r="AK807">
        <v>2</v>
      </c>
      <c r="AL807">
        <v>0</v>
      </c>
      <c r="AM807">
        <v>2</v>
      </c>
      <c r="AN807">
        <v>0</v>
      </c>
      <c r="AO807">
        <v>1</v>
      </c>
      <c r="AP807">
        <v>37</v>
      </c>
      <c r="AQ807">
        <v>0</v>
      </c>
      <c r="AR807">
        <v>0</v>
      </c>
      <c r="AS807">
        <v>0</v>
      </c>
      <c r="AT807" t="s">
        <v>90</v>
      </c>
      <c r="AU807" s="1">
        <v>44208.43891203704</v>
      </c>
      <c r="AV807">
        <v>30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37</v>
      </c>
      <c r="BC807">
        <v>0</v>
      </c>
      <c r="BD807">
        <v>0</v>
      </c>
      <c r="BE807">
        <v>0</v>
      </c>
    </row>
    <row r="808" spans="1:57" x14ac:dyDescent="0.45">
      <c r="A808" t="s">
        <v>2124</v>
      </c>
      <c r="B808" t="s">
        <v>79</v>
      </c>
      <c r="C808" t="s">
        <v>2125</v>
      </c>
      <c r="D808" t="s">
        <v>81</v>
      </c>
      <c r="E808" s="2" t="str">
        <f>HYPERLINK("capsilon://?command=openfolder&amp;siteaddress=FAM.docvelocity-na8.net&amp;folderid=FXCFE8AC63-F2E7-014A-3133-A48A73774BEC","FX201227246")</f>
        <v>FX201227246</v>
      </c>
      <c r="F808" t="s">
        <v>19</v>
      </c>
      <c r="G808" t="s">
        <v>19</v>
      </c>
      <c r="H808" t="s">
        <v>82</v>
      </c>
      <c r="I808" t="s">
        <v>2126</v>
      </c>
      <c r="J808">
        <v>83</v>
      </c>
      <c r="K808" t="s">
        <v>84</v>
      </c>
      <c r="L808" t="s">
        <v>85</v>
      </c>
      <c r="M808" t="s">
        <v>86</v>
      </c>
      <c r="N808">
        <v>3</v>
      </c>
      <c r="O808" s="1">
        <v>44208.330775462964</v>
      </c>
      <c r="P808" s="1">
        <v>44208.440648148149</v>
      </c>
      <c r="Q808">
        <v>6111</v>
      </c>
      <c r="R808">
        <v>3382</v>
      </c>
      <c r="S808" t="b">
        <v>0</v>
      </c>
      <c r="T808" t="s">
        <v>87</v>
      </c>
      <c r="U808" t="b">
        <v>0</v>
      </c>
      <c r="V808" t="s">
        <v>88</v>
      </c>
      <c r="W808" s="1">
        <v>44208.357291666667</v>
      </c>
      <c r="X808">
        <v>1982</v>
      </c>
      <c r="Y808">
        <v>104</v>
      </c>
      <c r="Z808">
        <v>0</v>
      </c>
      <c r="AA808">
        <v>104</v>
      </c>
      <c r="AB808">
        <v>0</v>
      </c>
      <c r="AC808">
        <v>95</v>
      </c>
      <c r="AD808">
        <v>-21</v>
      </c>
      <c r="AE808">
        <v>0</v>
      </c>
      <c r="AF808">
        <v>0</v>
      </c>
      <c r="AG808">
        <v>0</v>
      </c>
      <c r="AH808" t="s">
        <v>89</v>
      </c>
      <c r="AI808" s="1">
        <v>44208.37872685185</v>
      </c>
      <c r="AJ808">
        <v>1240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-21</v>
      </c>
      <c r="AQ808">
        <v>0</v>
      </c>
      <c r="AR808">
        <v>0</v>
      </c>
      <c r="AS808">
        <v>0</v>
      </c>
      <c r="AT808" t="s">
        <v>90</v>
      </c>
      <c r="AU808" s="1">
        <v>44208.440648148149</v>
      </c>
      <c r="AV808">
        <v>150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-21</v>
      </c>
      <c r="BC808">
        <v>0</v>
      </c>
      <c r="BD808">
        <v>0</v>
      </c>
      <c r="BE808">
        <v>0</v>
      </c>
    </row>
    <row r="809" spans="1:57" x14ac:dyDescent="0.45">
      <c r="A809" t="s">
        <v>2127</v>
      </c>
      <c r="B809" t="s">
        <v>79</v>
      </c>
      <c r="C809" t="s">
        <v>2125</v>
      </c>
      <c r="D809" t="s">
        <v>81</v>
      </c>
      <c r="E809" s="2" t="str">
        <f>HYPERLINK("capsilon://?command=openfolder&amp;siteaddress=FAM.docvelocity-na8.net&amp;folderid=FXCFE8AC63-F2E7-014A-3133-A48A73774BEC","FX201227246")</f>
        <v>FX201227246</v>
      </c>
      <c r="F809" t="s">
        <v>19</v>
      </c>
      <c r="G809" t="s">
        <v>19</v>
      </c>
      <c r="H809" t="s">
        <v>82</v>
      </c>
      <c r="I809" t="s">
        <v>2128</v>
      </c>
      <c r="J809">
        <v>48</v>
      </c>
      <c r="K809" t="s">
        <v>84</v>
      </c>
      <c r="L809" t="s">
        <v>85</v>
      </c>
      <c r="M809" t="s">
        <v>86</v>
      </c>
      <c r="N809">
        <v>3</v>
      </c>
      <c r="O809" s="1">
        <v>44208.333958333336</v>
      </c>
      <c r="P809" s="1">
        <v>44208.440740740742</v>
      </c>
      <c r="Q809">
        <v>5043</v>
      </c>
      <c r="R809">
        <v>4183</v>
      </c>
      <c r="S809" t="b">
        <v>0</v>
      </c>
      <c r="T809" t="s">
        <v>87</v>
      </c>
      <c r="U809" t="b">
        <v>0</v>
      </c>
      <c r="V809" t="s">
        <v>919</v>
      </c>
      <c r="W809" s="1">
        <v>44208.364675925928</v>
      </c>
      <c r="X809">
        <v>2518</v>
      </c>
      <c r="Y809">
        <v>109</v>
      </c>
      <c r="Z809">
        <v>0</v>
      </c>
      <c r="AA809">
        <v>109</v>
      </c>
      <c r="AB809">
        <v>0</v>
      </c>
      <c r="AC809">
        <v>90</v>
      </c>
      <c r="AD809">
        <v>-61</v>
      </c>
      <c r="AE809">
        <v>0</v>
      </c>
      <c r="AF809">
        <v>0</v>
      </c>
      <c r="AG809">
        <v>0</v>
      </c>
      <c r="AH809" t="s">
        <v>89</v>
      </c>
      <c r="AI809" s="1">
        <v>44208.428912037038</v>
      </c>
      <c r="AJ809">
        <v>1638</v>
      </c>
      <c r="AK809">
        <v>2</v>
      </c>
      <c r="AL809">
        <v>0</v>
      </c>
      <c r="AM809">
        <v>2</v>
      </c>
      <c r="AN809">
        <v>0</v>
      </c>
      <c r="AO809">
        <v>1</v>
      </c>
      <c r="AP809">
        <v>-63</v>
      </c>
      <c r="AQ809">
        <v>0</v>
      </c>
      <c r="AR809">
        <v>0</v>
      </c>
      <c r="AS809">
        <v>0</v>
      </c>
      <c r="AT809" t="s">
        <v>90</v>
      </c>
      <c r="AU809" s="1">
        <v>44208.440740740742</v>
      </c>
      <c r="AV809">
        <v>7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-63</v>
      </c>
      <c r="BC809">
        <v>0</v>
      </c>
      <c r="BD809">
        <v>0</v>
      </c>
      <c r="BE809">
        <v>0</v>
      </c>
    </row>
    <row r="810" spans="1:57" hidden="1" x14ac:dyDescent="0.45">
      <c r="A810" t="s">
        <v>2129</v>
      </c>
      <c r="B810" t="s">
        <v>79</v>
      </c>
      <c r="C810" t="s">
        <v>2130</v>
      </c>
      <c r="D810" t="s">
        <v>81</v>
      </c>
      <c r="E810" s="2" t="str">
        <f>HYPERLINK("capsilon://?command=openfolder&amp;siteaddress=FAM.docvelocity-na8.net&amp;folderid=FX73F881E5-F951-B223-42F9-6D670021DE46","FX201116694")</f>
        <v>FX201116694</v>
      </c>
      <c r="F810" t="s">
        <v>19</v>
      </c>
      <c r="G810" t="s">
        <v>19</v>
      </c>
      <c r="H810" t="s">
        <v>82</v>
      </c>
      <c r="I810" t="s">
        <v>2131</v>
      </c>
      <c r="J810">
        <v>66</v>
      </c>
      <c r="K810" t="s">
        <v>84</v>
      </c>
      <c r="L810" t="s">
        <v>85</v>
      </c>
      <c r="M810" t="s">
        <v>86</v>
      </c>
      <c r="N810">
        <v>3</v>
      </c>
      <c r="O810" s="1">
        <v>44208.349143518521</v>
      </c>
      <c r="P810" s="1">
        <v>44208.357349537036</v>
      </c>
      <c r="Q810">
        <v>477</v>
      </c>
      <c r="R810">
        <v>232</v>
      </c>
      <c r="S810" t="b">
        <v>0</v>
      </c>
      <c r="T810" t="s">
        <v>87</v>
      </c>
      <c r="U810" t="b">
        <v>0</v>
      </c>
      <c r="V810" t="s">
        <v>98</v>
      </c>
      <c r="W810" s="1">
        <v>44208.351273148146</v>
      </c>
      <c r="X810">
        <v>160</v>
      </c>
      <c r="Y810">
        <v>0</v>
      </c>
      <c r="Z810">
        <v>0</v>
      </c>
      <c r="AA810">
        <v>0</v>
      </c>
      <c r="AB810">
        <v>52</v>
      </c>
      <c r="AC810">
        <v>0</v>
      </c>
      <c r="AD810">
        <v>66</v>
      </c>
      <c r="AE810">
        <v>0</v>
      </c>
      <c r="AF810">
        <v>0</v>
      </c>
      <c r="AG810">
        <v>0</v>
      </c>
      <c r="AH810" t="s">
        <v>89</v>
      </c>
      <c r="AI810" s="1">
        <v>44208.35224537037</v>
      </c>
      <c r="AJ810">
        <v>68</v>
      </c>
      <c r="AK810">
        <v>0</v>
      </c>
      <c r="AL810">
        <v>0</v>
      </c>
      <c r="AM810">
        <v>0</v>
      </c>
      <c r="AN810">
        <v>52</v>
      </c>
      <c r="AO810">
        <v>0</v>
      </c>
      <c r="AP810">
        <v>66</v>
      </c>
      <c r="AQ810">
        <v>0</v>
      </c>
      <c r="AR810">
        <v>0</v>
      </c>
      <c r="AS810">
        <v>0</v>
      </c>
      <c r="AT810" t="s">
        <v>90</v>
      </c>
      <c r="AU810" s="1">
        <v>44208.357349537036</v>
      </c>
      <c r="AV810">
        <v>4</v>
      </c>
      <c r="AW810">
        <v>0</v>
      </c>
      <c r="AX810">
        <v>0</v>
      </c>
      <c r="AY810">
        <v>0</v>
      </c>
      <c r="AZ810">
        <v>52</v>
      </c>
      <c r="BA810">
        <v>0</v>
      </c>
      <c r="BB810">
        <v>66</v>
      </c>
      <c r="BC810">
        <v>0</v>
      </c>
      <c r="BD810">
        <v>0</v>
      </c>
      <c r="BE810">
        <v>0</v>
      </c>
    </row>
    <row r="811" spans="1:57" x14ac:dyDescent="0.45">
      <c r="A811" t="s">
        <v>2132</v>
      </c>
      <c r="B811" t="s">
        <v>79</v>
      </c>
      <c r="C811" t="s">
        <v>2133</v>
      </c>
      <c r="D811" t="s">
        <v>81</v>
      </c>
      <c r="E811" s="2" t="str">
        <f>HYPERLINK("capsilon://?command=openfolder&amp;siteaddress=FAM.docvelocity-na8.net&amp;folderid=FX92A4F952-48C5-8DBE-EED9-87778BA9827B","FX20116508")</f>
        <v>FX20116508</v>
      </c>
      <c r="F811" t="s">
        <v>19</v>
      </c>
      <c r="G811" t="s">
        <v>19</v>
      </c>
      <c r="H811" t="s">
        <v>82</v>
      </c>
      <c r="I811" t="s">
        <v>2134</v>
      </c>
      <c r="J811">
        <v>277</v>
      </c>
      <c r="K811" t="s">
        <v>84</v>
      </c>
      <c r="L811" t="s">
        <v>85</v>
      </c>
      <c r="M811" t="s">
        <v>86</v>
      </c>
      <c r="N811">
        <v>3</v>
      </c>
      <c r="O811" s="1">
        <v>44208.372708333336</v>
      </c>
      <c r="P811" s="1">
        <v>44208.44222222222</v>
      </c>
      <c r="Q811">
        <v>1743</v>
      </c>
      <c r="R811">
        <v>4263</v>
      </c>
      <c r="S811" t="b">
        <v>0</v>
      </c>
      <c r="T811" t="s">
        <v>87</v>
      </c>
      <c r="U811" t="b">
        <v>0</v>
      </c>
      <c r="V811" t="s">
        <v>112</v>
      </c>
      <c r="W811" s="1">
        <v>44208.404490740744</v>
      </c>
      <c r="X811">
        <v>2696</v>
      </c>
      <c r="Y811">
        <v>216</v>
      </c>
      <c r="Z811">
        <v>0</v>
      </c>
      <c r="AA811">
        <v>216</v>
      </c>
      <c r="AB811">
        <v>0</v>
      </c>
      <c r="AC811">
        <v>58</v>
      </c>
      <c r="AD811">
        <v>61</v>
      </c>
      <c r="AE811">
        <v>0</v>
      </c>
      <c r="AF811">
        <v>0</v>
      </c>
      <c r="AG811">
        <v>0</v>
      </c>
      <c r="AH811" t="s">
        <v>108</v>
      </c>
      <c r="AI811" s="1">
        <v>44208.430706018517</v>
      </c>
      <c r="AJ811">
        <v>1430</v>
      </c>
      <c r="AK811">
        <v>6</v>
      </c>
      <c r="AL811">
        <v>0</v>
      </c>
      <c r="AM811">
        <v>6</v>
      </c>
      <c r="AN811">
        <v>0</v>
      </c>
      <c r="AO811">
        <v>4</v>
      </c>
      <c r="AP811">
        <v>55</v>
      </c>
      <c r="AQ811">
        <v>0</v>
      </c>
      <c r="AR811">
        <v>0</v>
      </c>
      <c r="AS811">
        <v>0</v>
      </c>
      <c r="AT811" t="s">
        <v>90</v>
      </c>
      <c r="AU811" s="1">
        <v>44208.44222222222</v>
      </c>
      <c r="AV811">
        <v>128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55</v>
      </c>
      <c r="BC811">
        <v>0</v>
      </c>
      <c r="BD811">
        <v>0</v>
      </c>
      <c r="BE811">
        <v>0</v>
      </c>
    </row>
    <row r="812" spans="1:57" x14ac:dyDescent="0.45">
      <c r="A812" t="s">
        <v>2135</v>
      </c>
      <c r="B812" t="s">
        <v>79</v>
      </c>
      <c r="C812" t="s">
        <v>2136</v>
      </c>
      <c r="D812" t="s">
        <v>81</v>
      </c>
      <c r="E812" s="2" t="str">
        <f>HYPERLINK("capsilon://?command=openfolder&amp;siteaddress=FAM.docvelocity-na8.net&amp;folderid=FX82AB7C92-D0B0-2679-D0B1-837CAF19064D","FX21014139")</f>
        <v>FX21014139</v>
      </c>
      <c r="F812" t="s">
        <v>19</v>
      </c>
      <c r="G812" t="s">
        <v>19</v>
      </c>
      <c r="H812" t="s">
        <v>82</v>
      </c>
      <c r="I812" t="s">
        <v>2137</v>
      </c>
      <c r="J812">
        <v>38</v>
      </c>
      <c r="K812" t="s">
        <v>84</v>
      </c>
      <c r="L812" t="s">
        <v>85</v>
      </c>
      <c r="M812" t="s">
        <v>86</v>
      </c>
      <c r="N812">
        <v>3</v>
      </c>
      <c r="O812" s="1">
        <v>44208.383831018517</v>
      </c>
      <c r="P812" s="1">
        <v>44208.442280092589</v>
      </c>
      <c r="Q812">
        <v>3613</v>
      </c>
      <c r="R812">
        <v>1437</v>
      </c>
      <c r="S812" t="b">
        <v>0</v>
      </c>
      <c r="T812" t="s">
        <v>87</v>
      </c>
      <c r="U812" t="b">
        <v>0</v>
      </c>
      <c r="V812" t="s">
        <v>919</v>
      </c>
      <c r="W812" s="1">
        <v>44208.389247685183</v>
      </c>
      <c r="X812">
        <v>435</v>
      </c>
      <c r="Y812">
        <v>37</v>
      </c>
      <c r="Z812">
        <v>0</v>
      </c>
      <c r="AA812">
        <v>37</v>
      </c>
      <c r="AB812">
        <v>0</v>
      </c>
      <c r="AC812">
        <v>20</v>
      </c>
      <c r="AD812">
        <v>1</v>
      </c>
      <c r="AE812">
        <v>0</v>
      </c>
      <c r="AF812">
        <v>0</v>
      </c>
      <c r="AG812">
        <v>0</v>
      </c>
      <c r="AH812" t="s">
        <v>94</v>
      </c>
      <c r="AI812" s="1">
        <v>44208.428460648145</v>
      </c>
      <c r="AJ812">
        <v>998</v>
      </c>
      <c r="AK812">
        <v>3</v>
      </c>
      <c r="AL812">
        <v>0</v>
      </c>
      <c r="AM812">
        <v>3</v>
      </c>
      <c r="AN812">
        <v>0</v>
      </c>
      <c r="AO812">
        <v>2</v>
      </c>
      <c r="AP812">
        <v>-2</v>
      </c>
      <c r="AQ812">
        <v>0</v>
      </c>
      <c r="AR812">
        <v>0</v>
      </c>
      <c r="AS812">
        <v>0</v>
      </c>
      <c r="AT812" t="s">
        <v>90</v>
      </c>
      <c r="AU812" s="1">
        <v>44208.442280092589</v>
      </c>
      <c r="AV812">
        <v>4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-2</v>
      </c>
      <c r="BC812">
        <v>0</v>
      </c>
      <c r="BD812">
        <v>0</v>
      </c>
      <c r="BE812">
        <v>0</v>
      </c>
    </row>
    <row r="813" spans="1:57" hidden="1" x14ac:dyDescent="0.45">
      <c r="A813" t="s">
        <v>2138</v>
      </c>
      <c r="B813" t="s">
        <v>79</v>
      </c>
      <c r="C813" t="s">
        <v>2139</v>
      </c>
      <c r="D813" t="s">
        <v>81</v>
      </c>
      <c r="E813" s="2" t="str">
        <f>HYPERLINK("capsilon://?command=openfolder&amp;siteaddress=FAM.docvelocity-na8.net&amp;folderid=FX88EE8932-7817-D390-1963-1A65B10795C4","FX20125831")</f>
        <v>FX20125831</v>
      </c>
      <c r="F813" t="s">
        <v>19</v>
      </c>
      <c r="G813" t="s">
        <v>19</v>
      </c>
      <c r="H813" t="s">
        <v>82</v>
      </c>
      <c r="I813" t="s">
        <v>2140</v>
      </c>
      <c r="J813">
        <v>66</v>
      </c>
      <c r="K813" t="s">
        <v>84</v>
      </c>
      <c r="L813" t="s">
        <v>85</v>
      </c>
      <c r="M813" t="s">
        <v>86</v>
      </c>
      <c r="N813">
        <v>3</v>
      </c>
      <c r="O813" s="1">
        <v>44208.385868055557</v>
      </c>
      <c r="P813" s="1">
        <v>44208.442326388889</v>
      </c>
      <c r="Q813">
        <v>4518</v>
      </c>
      <c r="R813">
        <v>360</v>
      </c>
      <c r="S813" t="b">
        <v>0</v>
      </c>
      <c r="T813" t="s">
        <v>87</v>
      </c>
      <c r="U813" t="b">
        <v>0</v>
      </c>
      <c r="V813" t="s">
        <v>98</v>
      </c>
      <c r="W813" s="1">
        <v>44208.389710648145</v>
      </c>
      <c r="X813">
        <v>318</v>
      </c>
      <c r="Y813">
        <v>0</v>
      </c>
      <c r="Z813">
        <v>0</v>
      </c>
      <c r="AA813">
        <v>0</v>
      </c>
      <c r="AB813">
        <v>52</v>
      </c>
      <c r="AC813">
        <v>0</v>
      </c>
      <c r="AD813">
        <v>66</v>
      </c>
      <c r="AE813">
        <v>0</v>
      </c>
      <c r="AF813">
        <v>0</v>
      </c>
      <c r="AG813">
        <v>0</v>
      </c>
      <c r="AH813" t="s">
        <v>94</v>
      </c>
      <c r="AI813" s="1">
        <v>44208.428923611114</v>
      </c>
      <c r="AJ813">
        <v>39</v>
      </c>
      <c r="AK813">
        <v>0</v>
      </c>
      <c r="AL813">
        <v>0</v>
      </c>
      <c r="AM813">
        <v>0</v>
      </c>
      <c r="AN813">
        <v>52</v>
      </c>
      <c r="AO813">
        <v>0</v>
      </c>
      <c r="AP813">
        <v>66</v>
      </c>
      <c r="AQ813">
        <v>0</v>
      </c>
      <c r="AR813">
        <v>0</v>
      </c>
      <c r="AS813">
        <v>0</v>
      </c>
      <c r="AT813" t="s">
        <v>90</v>
      </c>
      <c r="AU813" s="1">
        <v>44208.442326388889</v>
      </c>
      <c r="AV813">
        <v>3</v>
      </c>
      <c r="AW813">
        <v>0</v>
      </c>
      <c r="AX813">
        <v>0</v>
      </c>
      <c r="AY813">
        <v>0</v>
      </c>
      <c r="AZ813">
        <v>52</v>
      </c>
      <c r="BA813">
        <v>0</v>
      </c>
      <c r="BB813">
        <v>66</v>
      </c>
      <c r="BC813">
        <v>0</v>
      </c>
      <c r="BD813">
        <v>0</v>
      </c>
      <c r="BE813">
        <v>0</v>
      </c>
    </row>
    <row r="814" spans="1:57" x14ac:dyDescent="0.45">
      <c r="A814" t="s">
        <v>2141</v>
      </c>
      <c r="B814" t="s">
        <v>79</v>
      </c>
      <c r="C814" t="s">
        <v>2142</v>
      </c>
      <c r="D814" t="s">
        <v>81</v>
      </c>
      <c r="E814" s="2" t="str">
        <f>HYPERLINK("capsilon://?command=openfolder&amp;siteaddress=FAM.docvelocity-na8.net&amp;folderid=FX4CB00529-F959-CF4E-4F49-ED17433DEAFF","FX20126395")</f>
        <v>FX20126395</v>
      </c>
      <c r="F814" t="s">
        <v>19</v>
      </c>
      <c r="G814" t="s">
        <v>19</v>
      </c>
      <c r="H814" t="s">
        <v>82</v>
      </c>
      <c r="I814" t="s">
        <v>2143</v>
      </c>
      <c r="J814">
        <v>66</v>
      </c>
      <c r="K814" t="s">
        <v>84</v>
      </c>
      <c r="L814" t="s">
        <v>85</v>
      </c>
      <c r="M814" t="s">
        <v>86</v>
      </c>
      <c r="N814">
        <v>3</v>
      </c>
      <c r="O814" s="1">
        <v>44208.391689814816</v>
      </c>
      <c r="P814" s="1">
        <v>44208.455763888887</v>
      </c>
      <c r="Q814">
        <v>3122</v>
      </c>
      <c r="R814">
        <v>2414</v>
      </c>
      <c r="S814" t="b">
        <v>0</v>
      </c>
      <c r="T814" t="s">
        <v>87</v>
      </c>
      <c r="U814" t="b">
        <v>0</v>
      </c>
      <c r="V814" t="s">
        <v>105</v>
      </c>
      <c r="W814" s="1">
        <v>44208.406168981484</v>
      </c>
      <c r="X814">
        <v>1245</v>
      </c>
      <c r="Y814">
        <v>52</v>
      </c>
      <c r="Z814">
        <v>0</v>
      </c>
      <c r="AA814">
        <v>52</v>
      </c>
      <c r="AB814">
        <v>0</v>
      </c>
      <c r="AC814">
        <v>42</v>
      </c>
      <c r="AD814">
        <v>14</v>
      </c>
      <c r="AE814">
        <v>0</v>
      </c>
      <c r="AF814">
        <v>0</v>
      </c>
      <c r="AG814">
        <v>0</v>
      </c>
      <c r="AH814" t="s">
        <v>89</v>
      </c>
      <c r="AI814" s="1">
        <v>44208.442372685182</v>
      </c>
      <c r="AJ814">
        <v>1162</v>
      </c>
      <c r="AK814">
        <v>3</v>
      </c>
      <c r="AL814">
        <v>0</v>
      </c>
      <c r="AM814">
        <v>3</v>
      </c>
      <c r="AN814">
        <v>0</v>
      </c>
      <c r="AO814">
        <v>2</v>
      </c>
      <c r="AP814">
        <v>11</v>
      </c>
      <c r="AQ814">
        <v>0</v>
      </c>
      <c r="AR814">
        <v>0</v>
      </c>
      <c r="AS814">
        <v>0</v>
      </c>
      <c r="AT814" t="s">
        <v>90</v>
      </c>
      <c r="AU814" s="1">
        <v>44208.455763888887</v>
      </c>
      <c r="AV814">
        <v>7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11</v>
      </c>
      <c r="BC814">
        <v>0</v>
      </c>
      <c r="BD814">
        <v>0</v>
      </c>
      <c r="BE814">
        <v>0</v>
      </c>
    </row>
    <row r="815" spans="1:57" x14ac:dyDescent="0.45">
      <c r="A815" t="s">
        <v>2144</v>
      </c>
      <c r="B815" t="s">
        <v>79</v>
      </c>
      <c r="C815" t="s">
        <v>2145</v>
      </c>
      <c r="D815" t="s">
        <v>81</v>
      </c>
      <c r="E815" s="2" t="str">
        <f>HYPERLINK("capsilon://?command=openfolder&amp;siteaddress=FAM.docvelocity-na8.net&amp;folderid=FXF967FD08-0041-28D5-95BE-3FB55A87977E","FX21011632")</f>
        <v>FX21011632</v>
      </c>
      <c r="F815" t="s">
        <v>19</v>
      </c>
      <c r="G815" t="s">
        <v>19</v>
      </c>
      <c r="H815" t="s">
        <v>82</v>
      </c>
      <c r="I815" t="s">
        <v>2146</v>
      </c>
      <c r="J815">
        <v>325</v>
      </c>
      <c r="K815" t="s">
        <v>84</v>
      </c>
      <c r="L815" t="s">
        <v>85</v>
      </c>
      <c r="M815" t="s">
        <v>86</v>
      </c>
      <c r="N815">
        <v>3</v>
      </c>
      <c r="O815" s="1">
        <v>44208.393657407411</v>
      </c>
      <c r="P815" s="1">
        <v>44208.514016203706</v>
      </c>
      <c r="Q815">
        <v>3102</v>
      </c>
      <c r="R815">
        <v>7297</v>
      </c>
      <c r="S815" t="b">
        <v>0</v>
      </c>
      <c r="T815" t="s">
        <v>87</v>
      </c>
      <c r="U815" t="b">
        <v>0</v>
      </c>
      <c r="V815" t="s">
        <v>88</v>
      </c>
      <c r="W815" s="1">
        <v>44208.431932870371</v>
      </c>
      <c r="X815">
        <v>3180</v>
      </c>
      <c r="Y815">
        <v>333</v>
      </c>
      <c r="Z815">
        <v>0</v>
      </c>
      <c r="AA815">
        <v>333</v>
      </c>
      <c r="AB815">
        <v>0</v>
      </c>
      <c r="AC815">
        <v>192</v>
      </c>
      <c r="AD815">
        <v>-8</v>
      </c>
      <c r="AE815">
        <v>0</v>
      </c>
      <c r="AF815">
        <v>0</v>
      </c>
      <c r="AG815">
        <v>0</v>
      </c>
      <c r="AH815" t="s">
        <v>89</v>
      </c>
      <c r="AI815" s="1">
        <v>44208.489247685182</v>
      </c>
      <c r="AJ815">
        <v>4049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-8</v>
      </c>
      <c r="AQ815">
        <v>0</v>
      </c>
      <c r="AR815">
        <v>0</v>
      </c>
      <c r="AS815">
        <v>0</v>
      </c>
      <c r="AT815" t="s">
        <v>90</v>
      </c>
      <c r="AU815" s="1">
        <v>44208.514016203706</v>
      </c>
      <c r="AV815">
        <v>57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-8</v>
      </c>
      <c r="BC815">
        <v>0</v>
      </c>
      <c r="BD815">
        <v>0</v>
      </c>
      <c r="BE815">
        <v>0</v>
      </c>
    </row>
    <row r="816" spans="1:57" x14ac:dyDescent="0.45">
      <c r="A816" t="s">
        <v>2147</v>
      </c>
      <c r="B816" t="s">
        <v>79</v>
      </c>
      <c r="C816" t="s">
        <v>967</v>
      </c>
      <c r="D816" t="s">
        <v>81</v>
      </c>
      <c r="E816" s="2" t="str">
        <f>HYPERLINK("capsilon://?command=openfolder&amp;siteaddress=FAM.docvelocity-na8.net&amp;folderid=FX77916BE9-19BC-80D2-4FA2-1AA7EF6AC0E5","FX201228437")</f>
        <v>FX201228437</v>
      </c>
      <c r="F816" t="s">
        <v>19</v>
      </c>
      <c r="G816" t="s">
        <v>19</v>
      </c>
      <c r="H816" t="s">
        <v>82</v>
      </c>
      <c r="I816" t="s">
        <v>2148</v>
      </c>
      <c r="J816">
        <v>52</v>
      </c>
      <c r="K816" t="s">
        <v>84</v>
      </c>
      <c r="L816" t="s">
        <v>85</v>
      </c>
      <c r="M816" t="s">
        <v>86</v>
      </c>
      <c r="N816">
        <v>3</v>
      </c>
      <c r="O816" s="1">
        <v>44208.394513888888</v>
      </c>
      <c r="P816" s="1">
        <v>44208.479386574072</v>
      </c>
      <c r="Q816">
        <v>4566</v>
      </c>
      <c r="R816">
        <v>2767</v>
      </c>
      <c r="S816" t="b">
        <v>0</v>
      </c>
      <c r="T816" t="s">
        <v>87</v>
      </c>
      <c r="U816" t="b">
        <v>0</v>
      </c>
      <c r="V816" t="s">
        <v>919</v>
      </c>
      <c r="W816" s="1">
        <v>44208.408495370371</v>
      </c>
      <c r="X816">
        <v>898</v>
      </c>
      <c r="Y816">
        <v>45</v>
      </c>
      <c r="Z816">
        <v>0</v>
      </c>
      <c r="AA816">
        <v>45</v>
      </c>
      <c r="AB816">
        <v>0</v>
      </c>
      <c r="AC816">
        <v>24</v>
      </c>
      <c r="AD816">
        <v>7</v>
      </c>
      <c r="AE816">
        <v>0</v>
      </c>
      <c r="AF816">
        <v>0</v>
      </c>
      <c r="AG816">
        <v>0</v>
      </c>
      <c r="AH816" t="s">
        <v>94</v>
      </c>
      <c r="AI816" s="1">
        <v>44208.465208333335</v>
      </c>
      <c r="AJ816">
        <v>1761</v>
      </c>
      <c r="AK816">
        <v>4</v>
      </c>
      <c r="AL816">
        <v>0</v>
      </c>
      <c r="AM816">
        <v>4</v>
      </c>
      <c r="AN816">
        <v>0</v>
      </c>
      <c r="AO816">
        <v>4</v>
      </c>
      <c r="AP816">
        <v>3</v>
      </c>
      <c r="AQ816">
        <v>0</v>
      </c>
      <c r="AR816">
        <v>0</v>
      </c>
      <c r="AS816">
        <v>0</v>
      </c>
      <c r="AT816" t="s">
        <v>90</v>
      </c>
      <c r="AU816" s="1">
        <v>44208.479386574072</v>
      </c>
      <c r="AV816">
        <v>23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3</v>
      </c>
      <c r="BC816">
        <v>0</v>
      </c>
      <c r="BD816">
        <v>0</v>
      </c>
      <c r="BE816">
        <v>0</v>
      </c>
    </row>
    <row r="817" spans="1:57" x14ac:dyDescent="0.45">
      <c r="A817" t="s">
        <v>2149</v>
      </c>
      <c r="B817" t="s">
        <v>79</v>
      </c>
      <c r="C817" t="s">
        <v>967</v>
      </c>
      <c r="D817" t="s">
        <v>81</v>
      </c>
      <c r="E817" s="2" t="str">
        <f>HYPERLINK("capsilon://?command=openfolder&amp;siteaddress=FAM.docvelocity-na8.net&amp;folderid=FX77916BE9-19BC-80D2-4FA2-1AA7EF6AC0E5","FX201228437")</f>
        <v>FX201228437</v>
      </c>
      <c r="F817" t="s">
        <v>19</v>
      </c>
      <c r="G817" t="s">
        <v>19</v>
      </c>
      <c r="H817" t="s">
        <v>82</v>
      </c>
      <c r="I817" t="s">
        <v>2150</v>
      </c>
      <c r="J817">
        <v>31</v>
      </c>
      <c r="K817" t="s">
        <v>84</v>
      </c>
      <c r="L817" t="s">
        <v>85</v>
      </c>
      <c r="M817" t="s">
        <v>86</v>
      </c>
      <c r="N817">
        <v>3</v>
      </c>
      <c r="O817" s="1">
        <v>44208.394953703704</v>
      </c>
      <c r="P817" s="1">
        <v>44208.479456018518</v>
      </c>
      <c r="Q817">
        <v>4672</v>
      </c>
      <c r="R817">
        <v>2629</v>
      </c>
      <c r="S817" t="b">
        <v>0</v>
      </c>
      <c r="T817" t="s">
        <v>87</v>
      </c>
      <c r="U817" t="b">
        <v>0</v>
      </c>
      <c r="V817" t="s">
        <v>419</v>
      </c>
      <c r="W817" s="1">
        <v>44208.414733796293</v>
      </c>
      <c r="X817">
        <v>1288</v>
      </c>
      <c r="Y817">
        <v>42</v>
      </c>
      <c r="Z817">
        <v>0</v>
      </c>
      <c r="AA817">
        <v>42</v>
      </c>
      <c r="AB817">
        <v>0</v>
      </c>
      <c r="AC817">
        <v>33</v>
      </c>
      <c r="AD817">
        <v>-11</v>
      </c>
      <c r="AE817">
        <v>0</v>
      </c>
      <c r="AF817">
        <v>0</v>
      </c>
      <c r="AG817">
        <v>0</v>
      </c>
      <c r="AH817" t="s">
        <v>108</v>
      </c>
      <c r="AI817" s="1">
        <v>44208.461342592593</v>
      </c>
      <c r="AJ817">
        <v>1290</v>
      </c>
      <c r="AK817">
        <v>2</v>
      </c>
      <c r="AL817">
        <v>0</v>
      </c>
      <c r="AM817">
        <v>2</v>
      </c>
      <c r="AN817">
        <v>0</v>
      </c>
      <c r="AO817">
        <v>1</v>
      </c>
      <c r="AP817">
        <v>-13</v>
      </c>
      <c r="AQ817">
        <v>0</v>
      </c>
      <c r="AR817">
        <v>0</v>
      </c>
      <c r="AS817">
        <v>0</v>
      </c>
      <c r="AT817" t="s">
        <v>90</v>
      </c>
      <c r="AU817" s="1">
        <v>44208.479456018518</v>
      </c>
      <c r="AV817">
        <v>5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-13</v>
      </c>
      <c r="BC817">
        <v>0</v>
      </c>
      <c r="BD817">
        <v>0</v>
      </c>
      <c r="BE817">
        <v>0</v>
      </c>
    </row>
    <row r="818" spans="1:57" x14ac:dyDescent="0.45">
      <c r="A818" t="s">
        <v>2151</v>
      </c>
      <c r="B818" t="s">
        <v>79</v>
      </c>
      <c r="C818" t="s">
        <v>1298</v>
      </c>
      <c r="D818" t="s">
        <v>81</v>
      </c>
      <c r="E818" s="2" t="str">
        <f>HYPERLINK("capsilon://?command=openfolder&amp;siteaddress=FAM.docvelocity-na8.net&amp;folderid=FXA3EB6CED-2872-C7DB-03FF-9A26D21DCA65","FX21012290")</f>
        <v>FX21012290</v>
      </c>
      <c r="F818" t="s">
        <v>19</v>
      </c>
      <c r="G818" t="s">
        <v>19</v>
      </c>
      <c r="H818" t="s">
        <v>82</v>
      </c>
      <c r="I818" t="s">
        <v>2152</v>
      </c>
      <c r="J818">
        <v>132</v>
      </c>
      <c r="K818" t="s">
        <v>84</v>
      </c>
      <c r="L818" t="s">
        <v>85</v>
      </c>
      <c r="M818" t="s">
        <v>86</v>
      </c>
      <c r="N818">
        <v>3</v>
      </c>
      <c r="O818" s="1">
        <v>44208.395578703705</v>
      </c>
      <c r="P818" s="1">
        <v>44208.479629629626</v>
      </c>
      <c r="Q818">
        <v>5313</v>
      </c>
      <c r="R818">
        <v>1949</v>
      </c>
      <c r="S818" t="b">
        <v>0</v>
      </c>
      <c r="T818" t="s">
        <v>87</v>
      </c>
      <c r="U818" t="b">
        <v>0</v>
      </c>
      <c r="V818" t="s">
        <v>98</v>
      </c>
      <c r="W818" s="1">
        <v>44208.417175925926</v>
      </c>
      <c r="X818">
        <v>1483</v>
      </c>
      <c r="Y818">
        <v>104</v>
      </c>
      <c r="Z818">
        <v>0</v>
      </c>
      <c r="AA818">
        <v>104</v>
      </c>
      <c r="AB818">
        <v>0</v>
      </c>
      <c r="AC818">
        <v>65</v>
      </c>
      <c r="AD818">
        <v>28</v>
      </c>
      <c r="AE818">
        <v>0</v>
      </c>
      <c r="AF818">
        <v>0</v>
      </c>
      <c r="AG818">
        <v>0</v>
      </c>
      <c r="AH818" t="s">
        <v>128</v>
      </c>
      <c r="AI818" s="1">
        <v>44208.468321759261</v>
      </c>
      <c r="AJ818">
        <v>452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28</v>
      </c>
      <c r="AQ818">
        <v>0</v>
      </c>
      <c r="AR818">
        <v>0</v>
      </c>
      <c r="AS818">
        <v>0</v>
      </c>
      <c r="AT818" t="s">
        <v>90</v>
      </c>
      <c r="AU818" s="1">
        <v>44208.479629629626</v>
      </c>
      <c r="AV818">
        <v>14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28</v>
      </c>
      <c r="BC818">
        <v>0</v>
      </c>
      <c r="BD818">
        <v>0</v>
      </c>
      <c r="BE818">
        <v>0</v>
      </c>
    </row>
    <row r="819" spans="1:57" x14ac:dyDescent="0.45">
      <c r="A819" t="s">
        <v>2153</v>
      </c>
      <c r="B819" t="s">
        <v>79</v>
      </c>
      <c r="C819" t="s">
        <v>967</v>
      </c>
      <c r="D819" t="s">
        <v>81</v>
      </c>
      <c r="E819" s="2" t="str">
        <f>HYPERLINK("capsilon://?command=openfolder&amp;siteaddress=FAM.docvelocity-na8.net&amp;folderid=FX77916BE9-19BC-80D2-4FA2-1AA7EF6AC0E5","FX201228437")</f>
        <v>FX201228437</v>
      </c>
      <c r="F819" t="s">
        <v>19</v>
      </c>
      <c r="G819" t="s">
        <v>19</v>
      </c>
      <c r="H819" t="s">
        <v>82</v>
      </c>
      <c r="I819" t="s">
        <v>2154</v>
      </c>
      <c r="J819">
        <v>52</v>
      </c>
      <c r="K819" t="s">
        <v>84</v>
      </c>
      <c r="L819" t="s">
        <v>85</v>
      </c>
      <c r="M819" t="s">
        <v>86</v>
      </c>
      <c r="N819">
        <v>3</v>
      </c>
      <c r="O819" s="1">
        <v>44208.395636574074</v>
      </c>
      <c r="P819" s="1">
        <v>44208.479675925926</v>
      </c>
      <c r="Q819">
        <v>6154</v>
      </c>
      <c r="R819">
        <v>1107</v>
      </c>
      <c r="S819" t="b">
        <v>0</v>
      </c>
      <c r="T819" t="s">
        <v>87</v>
      </c>
      <c r="U819" t="b">
        <v>0</v>
      </c>
      <c r="V819" t="s">
        <v>112</v>
      </c>
      <c r="W819" s="1">
        <v>44208.413182870368</v>
      </c>
      <c r="X819">
        <v>750</v>
      </c>
      <c r="Y819">
        <v>42</v>
      </c>
      <c r="Z819">
        <v>0</v>
      </c>
      <c r="AA819">
        <v>42</v>
      </c>
      <c r="AB819">
        <v>0</v>
      </c>
      <c r="AC819">
        <v>19</v>
      </c>
      <c r="AD819">
        <v>10</v>
      </c>
      <c r="AE819">
        <v>0</v>
      </c>
      <c r="AF819">
        <v>0</v>
      </c>
      <c r="AG819">
        <v>0</v>
      </c>
      <c r="AH819" t="s">
        <v>94</v>
      </c>
      <c r="AI819" s="1">
        <v>44208.469004629631</v>
      </c>
      <c r="AJ819">
        <v>327</v>
      </c>
      <c r="AK819">
        <v>1</v>
      </c>
      <c r="AL819">
        <v>0</v>
      </c>
      <c r="AM819">
        <v>1</v>
      </c>
      <c r="AN819">
        <v>0</v>
      </c>
      <c r="AO819">
        <v>1</v>
      </c>
      <c r="AP819">
        <v>9</v>
      </c>
      <c r="AQ819">
        <v>0</v>
      </c>
      <c r="AR819">
        <v>0</v>
      </c>
      <c r="AS819">
        <v>0</v>
      </c>
      <c r="AT819" t="s">
        <v>90</v>
      </c>
      <c r="AU819" s="1">
        <v>44208.479675925926</v>
      </c>
      <c r="AV819">
        <v>4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9</v>
      </c>
      <c r="BC819">
        <v>0</v>
      </c>
      <c r="BD819">
        <v>0</v>
      </c>
      <c r="BE819">
        <v>0</v>
      </c>
    </row>
    <row r="820" spans="1:57" x14ac:dyDescent="0.45">
      <c r="A820" t="s">
        <v>2155</v>
      </c>
      <c r="B820" t="s">
        <v>79</v>
      </c>
      <c r="C820" t="s">
        <v>967</v>
      </c>
      <c r="D820" t="s">
        <v>81</v>
      </c>
      <c r="E820" s="2" t="str">
        <f>HYPERLINK("capsilon://?command=openfolder&amp;siteaddress=FAM.docvelocity-na8.net&amp;folderid=FX77916BE9-19BC-80D2-4FA2-1AA7EF6AC0E5","FX201228437")</f>
        <v>FX201228437</v>
      </c>
      <c r="F820" t="s">
        <v>19</v>
      </c>
      <c r="G820" t="s">
        <v>19</v>
      </c>
      <c r="H820" t="s">
        <v>82</v>
      </c>
      <c r="I820" t="s">
        <v>2156</v>
      </c>
      <c r="J820">
        <v>31</v>
      </c>
      <c r="K820" t="s">
        <v>84</v>
      </c>
      <c r="L820" t="s">
        <v>85</v>
      </c>
      <c r="M820" t="s">
        <v>86</v>
      </c>
      <c r="N820">
        <v>3</v>
      </c>
      <c r="O820" s="1">
        <v>44208.400069444448</v>
      </c>
      <c r="P820" s="1">
        <v>44208.479733796295</v>
      </c>
      <c r="Q820">
        <v>3851</v>
      </c>
      <c r="R820">
        <v>3032</v>
      </c>
      <c r="S820" t="b">
        <v>0</v>
      </c>
      <c r="T820" t="s">
        <v>87</v>
      </c>
      <c r="U820" t="b">
        <v>0</v>
      </c>
      <c r="V820" t="s">
        <v>105</v>
      </c>
      <c r="W820" s="1">
        <v>44208.429363425923</v>
      </c>
      <c r="X820">
        <v>2003</v>
      </c>
      <c r="Y820">
        <v>45</v>
      </c>
      <c r="Z820">
        <v>0</v>
      </c>
      <c r="AA820">
        <v>45</v>
      </c>
      <c r="AB820">
        <v>0</v>
      </c>
      <c r="AC820">
        <v>40</v>
      </c>
      <c r="AD820">
        <v>-14</v>
      </c>
      <c r="AE820">
        <v>0</v>
      </c>
      <c r="AF820">
        <v>0</v>
      </c>
      <c r="AG820">
        <v>0</v>
      </c>
      <c r="AH820" t="s">
        <v>108</v>
      </c>
      <c r="AI820" s="1">
        <v>44208.477592592593</v>
      </c>
      <c r="AJ820">
        <v>991</v>
      </c>
      <c r="AK820">
        <v>0</v>
      </c>
      <c r="AL820">
        <v>0</v>
      </c>
      <c r="AM820">
        <v>0</v>
      </c>
      <c r="AN820">
        <v>45</v>
      </c>
      <c r="AO820">
        <v>10</v>
      </c>
      <c r="AP820">
        <v>-14</v>
      </c>
      <c r="AQ820">
        <v>0</v>
      </c>
      <c r="AR820">
        <v>0</v>
      </c>
      <c r="AS820">
        <v>0</v>
      </c>
      <c r="AT820" t="s">
        <v>90</v>
      </c>
      <c r="AU820" s="1">
        <v>44208.479733796295</v>
      </c>
      <c r="AV820">
        <v>2</v>
      </c>
      <c r="AW820">
        <v>0</v>
      </c>
      <c r="AX820">
        <v>0</v>
      </c>
      <c r="AY820">
        <v>0</v>
      </c>
      <c r="AZ820">
        <v>45</v>
      </c>
      <c r="BA820">
        <v>0</v>
      </c>
      <c r="BB820">
        <v>-14</v>
      </c>
      <c r="BC820">
        <v>0</v>
      </c>
      <c r="BD820">
        <v>0</v>
      </c>
      <c r="BE820">
        <v>0</v>
      </c>
    </row>
    <row r="821" spans="1:57" x14ac:dyDescent="0.45">
      <c r="A821" t="s">
        <v>2157</v>
      </c>
      <c r="B821" t="s">
        <v>79</v>
      </c>
      <c r="C821" t="s">
        <v>967</v>
      </c>
      <c r="D821" t="s">
        <v>81</v>
      </c>
      <c r="E821" s="2" t="str">
        <f>HYPERLINK("capsilon://?command=openfolder&amp;siteaddress=FAM.docvelocity-na8.net&amp;folderid=FX77916BE9-19BC-80D2-4FA2-1AA7EF6AC0E5","FX201228437")</f>
        <v>FX201228437</v>
      </c>
      <c r="F821" t="s">
        <v>19</v>
      </c>
      <c r="G821" t="s">
        <v>19</v>
      </c>
      <c r="H821" t="s">
        <v>82</v>
      </c>
      <c r="I821" t="s">
        <v>2158</v>
      </c>
      <c r="J821">
        <v>31</v>
      </c>
      <c r="K821" t="s">
        <v>84</v>
      </c>
      <c r="L821" t="s">
        <v>85</v>
      </c>
      <c r="M821" t="s">
        <v>86</v>
      </c>
      <c r="N821">
        <v>3</v>
      </c>
      <c r="O821" s="1">
        <v>44208.400821759256</v>
      </c>
      <c r="P821" s="1">
        <v>44208.479849537034</v>
      </c>
      <c r="Q821">
        <v>3974</v>
      </c>
      <c r="R821">
        <v>2854</v>
      </c>
      <c r="S821" t="b">
        <v>0</v>
      </c>
      <c r="T821" t="s">
        <v>87</v>
      </c>
      <c r="U821" t="b">
        <v>0</v>
      </c>
      <c r="V821" t="s">
        <v>112</v>
      </c>
      <c r="W821" s="1">
        <v>44208.445104166669</v>
      </c>
      <c r="X821">
        <v>2757</v>
      </c>
      <c r="Y821">
        <v>23</v>
      </c>
      <c r="Z821">
        <v>0</v>
      </c>
      <c r="AA821">
        <v>23</v>
      </c>
      <c r="AB821">
        <v>33</v>
      </c>
      <c r="AC821">
        <v>29</v>
      </c>
      <c r="AD821">
        <v>8</v>
      </c>
      <c r="AE821">
        <v>0</v>
      </c>
      <c r="AF821">
        <v>0</v>
      </c>
      <c r="AG821">
        <v>0</v>
      </c>
      <c r="AH821" t="s">
        <v>128</v>
      </c>
      <c r="AI821" s="1">
        <v>44208.468865740739</v>
      </c>
      <c r="AJ821">
        <v>46</v>
      </c>
      <c r="AK821">
        <v>0</v>
      </c>
      <c r="AL821">
        <v>0</v>
      </c>
      <c r="AM821">
        <v>0</v>
      </c>
      <c r="AN821">
        <v>33</v>
      </c>
      <c r="AO821">
        <v>0</v>
      </c>
      <c r="AP821">
        <v>8</v>
      </c>
      <c r="AQ821">
        <v>0</v>
      </c>
      <c r="AR821">
        <v>0</v>
      </c>
      <c r="AS821">
        <v>0</v>
      </c>
      <c r="AT821" t="s">
        <v>90</v>
      </c>
      <c r="AU821" s="1">
        <v>44208.479849537034</v>
      </c>
      <c r="AV821">
        <v>9</v>
      </c>
      <c r="AW821">
        <v>0</v>
      </c>
      <c r="AX821">
        <v>0</v>
      </c>
      <c r="AY821">
        <v>0</v>
      </c>
      <c r="AZ821">
        <v>33</v>
      </c>
      <c r="BA821">
        <v>0</v>
      </c>
      <c r="BB821">
        <v>8</v>
      </c>
      <c r="BC821">
        <v>0</v>
      </c>
      <c r="BD821">
        <v>0</v>
      </c>
      <c r="BE821">
        <v>0</v>
      </c>
    </row>
    <row r="822" spans="1:57" x14ac:dyDescent="0.45">
      <c r="A822" t="s">
        <v>2159</v>
      </c>
      <c r="B822" t="s">
        <v>79</v>
      </c>
      <c r="C822" t="s">
        <v>2160</v>
      </c>
      <c r="D822" t="s">
        <v>81</v>
      </c>
      <c r="E822" s="2" t="str">
        <f>HYPERLINK("capsilon://?command=openfolder&amp;siteaddress=FAM.docvelocity-na8.net&amp;folderid=FXB93939A7-F534-8086-9B91-C7F6193F6F90","FX201229042")</f>
        <v>FX201229042</v>
      </c>
      <c r="F822" t="s">
        <v>19</v>
      </c>
      <c r="G822" t="s">
        <v>19</v>
      </c>
      <c r="H822" t="s">
        <v>82</v>
      </c>
      <c r="I822" t="s">
        <v>2161</v>
      </c>
      <c r="J822">
        <v>66</v>
      </c>
      <c r="K822" t="s">
        <v>84</v>
      </c>
      <c r="L822" t="s">
        <v>85</v>
      </c>
      <c r="M822" t="s">
        <v>86</v>
      </c>
      <c r="N822">
        <v>3</v>
      </c>
      <c r="O822" s="1">
        <v>44208.400868055556</v>
      </c>
      <c r="P822" s="1">
        <v>44208.48028935185</v>
      </c>
      <c r="Q822">
        <v>5504</v>
      </c>
      <c r="R822">
        <v>1358</v>
      </c>
      <c r="S822" t="b">
        <v>0</v>
      </c>
      <c r="T822" t="s">
        <v>87</v>
      </c>
      <c r="U822" t="b">
        <v>0</v>
      </c>
      <c r="V822" t="s">
        <v>419</v>
      </c>
      <c r="W822" s="1">
        <v>44208.42765046296</v>
      </c>
      <c r="X822">
        <v>1116</v>
      </c>
      <c r="Y822">
        <v>52</v>
      </c>
      <c r="Z822">
        <v>0</v>
      </c>
      <c r="AA822">
        <v>52</v>
      </c>
      <c r="AB822">
        <v>0</v>
      </c>
      <c r="AC822">
        <v>28</v>
      </c>
      <c r="AD822">
        <v>14</v>
      </c>
      <c r="AE822">
        <v>0</v>
      </c>
      <c r="AF822">
        <v>0</v>
      </c>
      <c r="AG822">
        <v>0</v>
      </c>
      <c r="AH822" t="s">
        <v>128</v>
      </c>
      <c r="AI822" s="1">
        <v>44208.471250000002</v>
      </c>
      <c r="AJ822">
        <v>205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13</v>
      </c>
      <c r="AQ822">
        <v>0</v>
      </c>
      <c r="AR822">
        <v>0</v>
      </c>
      <c r="AS822">
        <v>0</v>
      </c>
      <c r="AT822" t="s">
        <v>90</v>
      </c>
      <c r="AU822" s="1">
        <v>44208.48028935185</v>
      </c>
      <c r="AV822">
        <v>37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13</v>
      </c>
      <c r="BC822">
        <v>0</v>
      </c>
      <c r="BD822">
        <v>0</v>
      </c>
      <c r="BE822">
        <v>0</v>
      </c>
    </row>
    <row r="823" spans="1:57" hidden="1" x14ac:dyDescent="0.45">
      <c r="A823" t="s">
        <v>2162</v>
      </c>
      <c r="B823" t="s">
        <v>79</v>
      </c>
      <c r="C823" t="s">
        <v>967</v>
      </c>
      <c r="D823" t="s">
        <v>81</v>
      </c>
      <c r="E823" s="2" t="str">
        <f>HYPERLINK("capsilon://?command=openfolder&amp;siteaddress=FAM.docvelocity-na8.net&amp;folderid=FX77916BE9-19BC-80D2-4FA2-1AA7EF6AC0E5","FX201228437")</f>
        <v>FX201228437</v>
      </c>
      <c r="F823" t="s">
        <v>19</v>
      </c>
      <c r="G823" t="s">
        <v>19</v>
      </c>
      <c r="H823" t="s">
        <v>82</v>
      </c>
      <c r="I823" t="s">
        <v>2163</v>
      </c>
      <c r="J823">
        <v>26</v>
      </c>
      <c r="K823" t="s">
        <v>84</v>
      </c>
      <c r="L823" t="s">
        <v>85</v>
      </c>
      <c r="M823" t="s">
        <v>86</v>
      </c>
      <c r="N823">
        <v>1</v>
      </c>
      <c r="O823" s="1">
        <v>44208.40152777778</v>
      </c>
      <c r="P823" s="1">
        <v>44208.439525462964</v>
      </c>
      <c r="Q823">
        <v>1601</v>
      </c>
      <c r="R823">
        <v>1682</v>
      </c>
      <c r="S823" t="b">
        <v>0</v>
      </c>
      <c r="T823" t="s">
        <v>87</v>
      </c>
      <c r="U823" t="b">
        <v>0</v>
      </c>
      <c r="V823" t="s">
        <v>419</v>
      </c>
      <c r="W823" s="1">
        <v>44208.439525462964</v>
      </c>
      <c r="X823">
        <v>302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26</v>
      </c>
      <c r="AE823">
        <v>21</v>
      </c>
      <c r="AF823">
        <v>0</v>
      </c>
      <c r="AG823">
        <v>1</v>
      </c>
      <c r="AH823" t="s">
        <v>87</v>
      </c>
      <c r="AI823" t="s">
        <v>87</v>
      </c>
      <c r="AJ823" t="s">
        <v>87</v>
      </c>
      <c r="AK823" t="s">
        <v>87</v>
      </c>
      <c r="AL823" t="s">
        <v>87</v>
      </c>
      <c r="AM823" t="s">
        <v>87</v>
      </c>
      <c r="AN823" t="s">
        <v>87</v>
      </c>
      <c r="AO823" t="s">
        <v>87</v>
      </c>
      <c r="AP823" t="s">
        <v>87</v>
      </c>
      <c r="AQ823" t="s">
        <v>87</v>
      </c>
      <c r="AR823" t="s">
        <v>87</v>
      </c>
      <c r="AS823" t="s">
        <v>87</v>
      </c>
      <c r="AT823" t="s">
        <v>87</v>
      </c>
      <c r="AU823" t="s">
        <v>87</v>
      </c>
      <c r="AV823" t="s">
        <v>87</v>
      </c>
      <c r="AW823" t="s">
        <v>87</v>
      </c>
      <c r="AX823" t="s">
        <v>87</v>
      </c>
      <c r="AY823" t="s">
        <v>87</v>
      </c>
      <c r="AZ823" t="s">
        <v>87</v>
      </c>
      <c r="BA823" t="s">
        <v>87</v>
      </c>
      <c r="BB823" t="s">
        <v>87</v>
      </c>
      <c r="BC823" t="s">
        <v>87</v>
      </c>
      <c r="BD823" t="s">
        <v>87</v>
      </c>
      <c r="BE823" t="s">
        <v>87</v>
      </c>
    </row>
    <row r="824" spans="1:57" x14ac:dyDescent="0.45">
      <c r="A824" t="s">
        <v>2164</v>
      </c>
      <c r="B824" t="s">
        <v>79</v>
      </c>
      <c r="C824" t="s">
        <v>967</v>
      </c>
      <c r="D824" t="s">
        <v>81</v>
      </c>
      <c r="E824" s="2" t="str">
        <f>HYPERLINK("capsilon://?command=openfolder&amp;siteaddress=FAM.docvelocity-na8.net&amp;folderid=FX77916BE9-19BC-80D2-4FA2-1AA7EF6AC0E5","FX201228437")</f>
        <v>FX201228437</v>
      </c>
      <c r="F824" t="s">
        <v>19</v>
      </c>
      <c r="G824" t="s">
        <v>19</v>
      </c>
      <c r="H824" t="s">
        <v>82</v>
      </c>
      <c r="I824" t="s">
        <v>2165</v>
      </c>
      <c r="J824">
        <v>26</v>
      </c>
      <c r="K824" t="s">
        <v>84</v>
      </c>
      <c r="L824" t="s">
        <v>85</v>
      </c>
      <c r="M824" t="s">
        <v>86</v>
      </c>
      <c r="N824">
        <v>3</v>
      </c>
      <c r="O824" s="1">
        <v>44208.402060185188</v>
      </c>
      <c r="P824" s="1">
        <v>44208.480358796296</v>
      </c>
      <c r="Q824">
        <v>6031</v>
      </c>
      <c r="R824">
        <v>734</v>
      </c>
      <c r="S824" t="b">
        <v>0</v>
      </c>
      <c r="T824" t="s">
        <v>87</v>
      </c>
      <c r="U824" t="b">
        <v>0</v>
      </c>
      <c r="V824" t="s">
        <v>919</v>
      </c>
      <c r="W824" s="1">
        <v>44208.427754629629</v>
      </c>
      <c r="X824">
        <v>366</v>
      </c>
      <c r="Y824">
        <v>21</v>
      </c>
      <c r="Z824">
        <v>0</v>
      </c>
      <c r="AA824">
        <v>21</v>
      </c>
      <c r="AB824">
        <v>0</v>
      </c>
      <c r="AC824">
        <v>1</v>
      </c>
      <c r="AD824">
        <v>5</v>
      </c>
      <c r="AE824">
        <v>0</v>
      </c>
      <c r="AF824">
        <v>0</v>
      </c>
      <c r="AG824">
        <v>0</v>
      </c>
      <c r="AH824" t="s">
        <v>94</v>
      </c>
      <c r="AI824" s="1">
        <v>44208.473217592589</v>
      </c>
      <c r="AJ824">
        <v>363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5</v>
      </c>
      <c r="AQ824">
        <v>0</v>
      </c>
      <c r="AR824">
        <v>0</v>
      </c>
      <c r="AS824">
        <v>0</v>
      </c>
      <c r="AT824" t="s">
        <v>90</v>
      </c>
      <c r="AU824" s="1">
        <v>44208.480358796296</v>
      </c>
      <c r="AV824">
        <v>5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5</v>
      </c>
      <c r="BC824">
        <v>0</v>
      </c>
      <c r="BD824">
        <v>0</v>
      </c>
      <c r="BE824">
        <v>0</v>
      </c>
    </row>
    <row r="825" spans="1:57" hidden="1" x14ac:dyDescent="0.45">
      <c r="A825" t="s">
        <v>2166</v>
      </c>
      <c r="B825" t="s">
        <v>79</v>
      </c>
      <c r="C825" t="s">
        <v>967</v>
      </c>
      <c r="D825" t="s">
        <v>81</v>
      </c>
      <c r="E825" s="2" t="str">
        <f>HYPERLINK("capsilon://?command=openfolder&amp;siteaddress=FAM.docvelocity-na8.net&amp;folderid=FX77916BE9-19BC-80D2-4FA2-1AA7EF6AC0E5","FX201228437")</f>
        <v>FX201228437</v>
      </c>
      <c r="F825" t="s">
        <v>19</v>
      </c>
      <c r="G825" t="s">
        <v>19</v>
      </c>
      <c r="H825" t="s">
        <v>82</v>
      </c>
      <c r="I825" t="s">
        <v>2167</v>
      </c>
      <c r="J825">
        <v>26</v>
      </c>
      <c r="K825" t="s">
        <v>84</v>
      </c>
      <c r="L825" t="s">
        <v>85</v>
      </c>
      <c r="M825" t="s">
        <v>86</v>
      </c>
      <c r="N825">
        <v>3</v>
      </c>
      <c r="O825" s="1">
        <v>44208.403032407405</v>
      </c>
      <c r="P825" s="1">
        <v>44208.480416666665</v>
      </c>
      <c r="Q825">
        <v>5887</v>
      </c>
      <c r="R825">
        <v>799</v>
      </c>
      <c r="S825" t="b">
        <v>0</v>
      </c>
      <c r="T825" t="s">
        <v>87</v>
      </c>
      <c r="U825" t="b">
        <v>0</v>
      </c>
      <c r="V825" t="s">
        <v>419</v>
      </c>
      <c r="W825" s="1">
        <v>44208.436018518521</v>
      </c>
      <c r="X825">
        <v>722</v>
      </c>
      <c r="Y825">
        <v>0</v>
      </c>
      <c r="Z825">
        <v>0</v>
      </c>
      <c r="AA825">
        <v>0</v>
      </c>
      <c r="AB825">
        <v>21</v>
      </c>
      <c r="AC825">
        <v>0</v>
      </c>
      <c r="AD825">
        <v>26</v>
      </c>
      <c r="AE825">
        <v>0</v>
      </c>
      <c r="AF825">
        <v>0</v>
      </c>
      <c r="AG825">
        <v>0</v>
      </c>
      <c r="AH825" t="s">
        <v>128</v>
      </c>
      <c r="AI825" s="1">
        <v>44208.471666666665</v>
      </c>
      <c r="AJ825">
        <v>35</v>
      </c>
      <c r="AK825">
        <v>0</v>
      </c>
      <c r="AL825">
        <v>0</v>
      </c>
      <c r="AM825">
        <v>0</v>
      </c>
      <c r="AN825">
        <v>21</v>
      </c>
      <c r="AO825">
        <v>0</v>
      </c>
      <c r="AP825">
        <v>26</v>
      </c>
      <c r="AQ825">
        <v>0</v>
      </c>
      <c r="AR825">
        <v>0</v>
      </c>
      <c r="AS825">
        <v>0</v>
      </c>
      <c r="AT825" t="s">
        <v>90</v>
      </c>
      <c r="AU825" s="1">
        <v>44208.480416666665</v>
      </c>
      <c r="AV825">
        <v>4</v>
      </c>
      <c r="AW825">
        <v>0</v>
      </c>
      <c r="AX825">
        <v>0</v>
      </c>
      <c r="AY825">
        <v>0</v>
      </c>
      <c r="AZ825">
        <v>21</v>
      </c>
      <c r="BA825">
        <v>0</v>
      </c>
      <c r="BB825">
        <v>26</v>
      </c>
      <c r="BC825">
        <v>0</v>
      </c>
      <c r="BD825">
        <v>0</v>
      </c>
      <c r="BE825">
        <v>0</v>
      </c>
    </row>
    <row r="826" spans="1:57" x14ac:dyDescent="0.45">
      <c r="A826" t="s">
        <v>2168</v>
      </c>
      <c r="B826" t="s">
        <v>79</v>
      </c>
      <c r="C826" t="s">
        <v>1308</v>
      </c>
      <c r="D826" t="s">
        <v>81</v>
      </c>
      <c r="E826" s="2" t="str">
        <f>HYPERLINK("capsilon://?command=openfolder&amp;siteaddress=FAM.docvelocity-na8.net&amp;folderid=FX35D8438A-7A32-28B4-7F63-4652EAF5E604","FX201227383")</f>
        <v>FX201227383</v>
      </c>
      <c r="F826" t="s">
        <v>19</v>
      </c>
      <c r="G826" t="s">
        <v>19</v>
      </c>
      <c r="H826" t="s">
        <v>82</v>
      </c>
      <c r="I826" t="s">
        <v>2169</v>
      </c>
      <c r="J826">
        <v>66</v>
      </c>
      <c r="K826" t="s">
        <v>84</v>
      </c>
      <c r="L826" t="s">
        <v>85</v>
      </c>
      <c r="M826" t="s">
        <v>86</v>
      </c>
      <c r="N826">
        <v>3</v>
      </c>
      <c r="O826" s="1">
        <v>44208.403136574074</v>
      </c>
      <c r="P826" s="1">
        <v>44208.514120370368</v>
      </c>
      <c r="Q826">
        <v>6818</v>
      </c>
      <c r="R826">
        <v>2771</v>
      </c>
      <c r="S826" t="b">
        <v>0</v>
      </c>
      <c r="T826" t="s">
        <v>87</v>
      </c>
      <c r="U826" t="b">
        <v>0</v>
      </c>
      <c r="V826" t="s">
        <v>160</v>
      </c>
      <c r="W826" s="1">
        <v>44208.446932870371</v>
      </c>
      <c r="X826">
        <v>1636</v>
      </c>
      <c r="Y826">
        <v>53</v>
      </c>
      <c r="Z826">
        <v>0</v>
      </c>
      <c r="AA826">
        <v>53</v>
      </c>
      <c r="AB826">
        <v>0</v>
      </c>
      <c r="AC826">
        <v>36</v>
      </c>
      <c r="AD826">
        <v>13</v>
      </c>
      <c r="AE826">
        <v>-31</v>
      </c>
      <c r="AF826">
        <v>0</v>
      </c>
      <c r="AG826">
        <v>0</v>
      </c>
      <c r="AH826" t="s">
        <v>94</v>
      </c>
      <c r="AI826" s="1">
        <v>44208.486145833333</v>
      </c>
      <c r="AJ826">
        <v>1116</v>
      </c>
      <c r="AK826">
        <v>1</v>
      </c>
      <c r="AL826">
        <v>0</v>
      </c>
      <c r="AM826">
        <v>1</v>
      </c>
      <c r="AN826">
        <v>0</v>
      </c>
      <c r="AO826">
        <v>0</v>
      </c>
      <c r="AP826">
        <v>12</v>
      </c>
      <c r="AQ826">
        <v>0</v>
      </c>
      <c r="AR826">
        <v>0</v>
      </c>
      <c r="AS826">
        <v>0</v>
      </c>
      <c r="AT826" t="s">
        <v>90</v>
      </c>
      <c r="AU826" s="1">
        <v>44208.514120370368</v>
      </c>
      <c r="AV826">
        <v>9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12</v>
      </c>
      <c r="BC826">
        <v>0</v>
      </c>
      <c r="BD826">
        <v>0</v>
      </c>
      <c r="BE826">
        <v>0</v>
      </c>
    </row>
    <row r="827" spans="1:57" hidden="1" x14ac:dyDescent="0.45">
      <c r="A827" t="s">
        <v>2170</v>
      </c>
      <c r="B827" t="s">
        <v>79</v>
      </c>
      <c r="C827" t="s">
        <v>758</v>
      </c>
      <c r="D827" t="s">
        <v>81</v>
      </c>
      <c r="E827" s="2" t="str">
        <f>HYPERLINK("capsilon://?command=openfolder&amp;siteaddress=FAM.docvelocity-na8.net&amp;folderid=FX35433881-2D8C-62F4-050E-89D09958B575","FX201115620")</f>
        <v>FX201115620</v>
      </c>
      <c r="F827" t="s">
        <v>19</v>
      </c>
      <c r="G827" t="s">
        <v>19</v>
      </c>
      <c r="H827" t="s">
        <v>82</v>
      </c>
      <c r="I827" t="s">
        <v>2171</v>
      </c>
      <c r="J827">
        <v>52</v>
      </c>
      <c r="K827" t="s">
        <v>84</v>
      </c>
      <c r="L827" t="s">
        <v>85</v>
      </c>
      <c r="M827" t="s">
        <v>86</v>
      </c>
      <c r="N827">
        <v>1</v>
      </c>
      <c r="O827" s="1">
        <v>44200.606585648151</v>
      </c>
      <c r="P827" s="1">
        <v>44200.707731481481</v>
      </c>
      <c r="Q827">
        <v>8578</v>
      </c>
      <c r="R827">
        <v>161</v>
      </c>
      <c r="S827" t="b">
        <v>0</v>
      </c>
      <c r="T827" t="s">
        <v>87</v>
      </c>
      <c r="U827" t="b">
        <v>0</v>
      </c>
      <c r="V827" t="s">
        <v>142</v>
      </c>
      <c r="W827" s="1">
        <v>44200.707731481481</v>
      </c>
      <c r="X827">
        <v>161</v>
      </c>
      <c r="Y827">
        <v>0</v>
      </c>
      <c r="Z827">
        <v>0</v>
      </c>
      <c r="AA827">
        <v>0</v>
      </c>
      <c r="AB827">
        <v>21</v>
      </c>
      <c r="AC827">
        <v>0</v>
      </c>
      <c r="AD827">
        <v>52</v>
      </c>
      <c r="AE827">
        <v>21</v>
      </c>
      <c r="AF827">
        <v>0</v>
      </c>
      <c r="AG827">
        <v>2</v>
      </c>
      <c r="AH827" t="s">
        <v>87</v>
      </c>
      <c r="AI827" t="s">
        <v>87</v>
      </c>
      <c r="AJ827" t="s">
        <v>87</v>
      </c>
      <c r="AK827" t="s">
        <v>87</v>
      </c>
      <c r="AL827" t="s">
        <v>87</v>
      </c>
      <c r="AM827" t="s">
        <v>87</v>
      </c>
      <c r="AN827" t="s">
        <v>87</v>
      </c>
      <c r="AO827" t="s">
        <v>87</v>
      </c>
      <c r="AP827" t="s">
        <v>87</v>
      </c>
      <c r="AQ827" t="s">
        <v>87</v>
      </c>
      <c r="AR827" t="s">
        <v>87</v>
      </c>
      <c r="AS827" t="s">
        <v>87</v>
      </c>
      <c r="AT827" t="s">
        <v>87</v>
      </c>
      <c r="AU827" t="s">
        <v>87</v>
      </c>
      <c r="AV827" t="s">
        <v>87</v>
      </c>
      <c r="AW827" t="s">
        <v>87</v>
      </c>
      <c r="AX827" t="s">
        <v>87</v>
      </c>
      <c r="AY827" t="s">
        <v>87</v>
      </c>
      <c r="AZ827" t="s">
        <v>87</v>
      </c>
      <c r="BA827" t="s">
        <v>87</v>
      </c>
      <c r="BB827" t="s">
        <v>87</v>
      </c>
      <c r="BC827" t="s">
        <v>87</v>
      </c>
      <c r="BD827" t="s">
        <v>87</v>
      </c>
      <c r="BE827" t="s">
        <v>87</v>
      </c>
    </row>
    <row r="828" spans="1:57" x14ac:dyDescent="0.45">
      <c r="A828" t="s">
        <v>2172</v>
      </c>
      <c r="B828" t="s">
        <v>79</v>
      </c>
      <c r="C828" t="s">
        <v>2173</v>
      </c>
      <c r="D828" t="s">
        <v>81</v>
      </c>
      <c r="E828" s="2" t="str">
        <f>HYPERLINK("capsilon://?command=openfolder&amp;siteaddress=FAM.docvelocity-na8.net&amp;folderid=FX7B78246B-7465-AE7F-6125-3A77A40F91BA","FX201116779")</f>
        <v>FX201116779</v>
      </c>
      <c r="F828" t="s">
        <v>19</v>
      </c>
      <c r="G828" t="s">
        <v>19</v>
      </c>
      <c r="H828" t="s">
        <v>82</v>
      </c>
      <c r="I828" t="s">
        <v>2174</v>
      </c>
      <c r="J828">
        <v>402</v>
      </c>
      <c r="K828" t="s">
        <v>84</v>
      </c>
      <c r="L828" t="s">
        <v>85</v>
      </c>
      <c r="M828" t="s">
        <v>86</v>
      </c>
      <c r="N828">
        <v>3</v>
      </c>
      <c r="O828" s="1">
        <v>44208.41474537037</v>
      </c>
      <c r="P828" s="1">
        <v>44208.5156712963</v>
      </c>
      <c r="Q828">
        <v>4055</v>
      </c>
      <c r="R828">
        <v>4665</v>
      </c>
      <c r="S828" t="b">
        <v>0</v>
      </c>
      <c r="T828" t="s">
        <v>87</v>
      </c>
      <c r="U828" t="b">
        <v>0</v>
      </c>
      <c r="V828" t="s">
        <v>105</v>
      </c>
      <c r="W828" s="1">
        <v>44208.470231481479</v>
      </c>
      <c r="X828">
        <v>3530</v>
      </c>
      <c r="Y828">
        <v>306</v>
      </c>
      <c r="Z828">
        <v>0</v>
      </c>
      <c r="AA828">
        <v>306</v>
      </c>
      <c r="AB828">
        <v>0</v>
      </c>
      <c r="AC828">
        <v>133</v>
      </c>
      <c r="AD828">
        <v>96</v>
      </c>
      <c r="AE828">
        <v>0</v>
      </c>
      <c r="AF828">
        <v>0</v>
      </c>
      <c r="AG828">
        <v>0</v>
      </c>
      <c r="AH828" t="s">
        <v>128</v>
      </c>
      <c r="AI828" s="1">
        <v>44208.492523148147</v>
      </c>
      <c r="AJ828">
        <v>930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96</v>
      </c>
      <c r="AQ828">
        <v>0</v>
      </c>
      <c r="AR828">
        <v>0</v>
      </c>
      <c r="AS828">
        <v>0</v>
      </c>
      <c r="AT828" t="s">
        <v>90</v>
      </c>
      <c r="AU828" s="1">
        <v>44208.5156712963</v>
      </c>
      <c r="AV828">
        <v>133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96</v>
      </c>
      <c r="BC828">
        <v>0</v>
      </c>
      <c r="BD828">
        <v>0</v>
      </c>
      <c r="BE828">
        <v>0</v>
      </c>
    </row>
    <row r="829" spans="1:57" x14ac:dyDescent="0.45">
      <c r="A829" t="s">
        <v>2175</v>
      </c>
      <c r="B829" t="s">
        <v>79</v>
      </c>
      <c r="C829" t="s">
        <v>2176</v>
      </c>
      <c r="D829" t="s">
        <v>81</v>
      </c>
      <c r="E829" s="2" t="str">
        <f>HYPERLINK("capsilon://?command=openfolder&amp;siteaddress=FAM.docvelocity-na8.net&amp;folderid=FX0D890677-EE05-1999-2EC6-014733141145","FX21013402")</f>
        <v>FX21013402</v>
      </c>
      <c r="F829" t="s">
        <v>19</v>
      </c>
      <c r="G829" t="s">
        <v>19</v>
      </c>
      <c r="H829" t="s">
        <v>82</v>
      </c>
      <c r="I829" t="s">
        <v>2177</v>
      </c>
      <c r="J829">
        <v>162</v>
      </c>
      <c r="K829" t="s">
        <v>84</v>
      </c>
      <c r="L829" t="s">
        <v>85</v>
      </c>
      <c r="M829" t="s">
        <v>86</v>
      </c>
      <c r="N829">
        <v>3</v>
      </c>
      <c r="O829" s="1">
        <v>44208.423958333333</v>
      </c>
      <c r="P829" s="1">
        <v>44208.516111111108</v>
      </c>
      <c r="Q829">
        <v>4200</v>
      </c>
      <c r="R829">
        <v>3762</v>
      </c>
      <c r="S829" t="b">
        <v>0</v>
      </c>
      <c r="T829" t="s">
        <v>87</v>
      </c>
      <c r="U829" t="b">
        <v>0</v>
      </c>
      <c r="V829" t="s">
        <v>88</v>
      </c>
      <c r="W829" s="1">
        <v>44208.465243055558</v>
      </c>
      <c r="X829">
        <v>2877</v>
      </c>
      <c r="Y829">
        <v>128</v>
      </c>
      <c r="Z829">
        <v>0</v>
      </c>
      <c r="AA829">
        <v>128</v>
      </c>
      <c r="AB829">
        <v>37</v>
      </c>
      <c r="AC829">
        <v>83</v>
      </c>
      <c r="AD829">
        <v>34</v>
      </c>
      <c r="AE829">
        <v>0</v>
      </c>
      <c r="AF829">
        <v>0</v>
      </c>
      <c r="AG829">
        <v>0</v>
      </c>
      <c r="AH829" t="s">
        <v>267</v>
      </c>
      <c r="AI829" s="1">
        <v>44208.491932870369</v>
      </c>
      <c r="AJ829">
        <v>848</v>
      </c>
      <c r="AK829">
        <v>7</v>
      </c>
      <c r="AL829">
        <v>0</v>
      </c>
      <c r="AM829">
        <v>7</v>
      </c>
      <c r="AN829">
        <v>37</v>
      </c>
      <c r="AO829">
        <v>6</v>
      </c>
      <c r="AP829">
        <v>27</v>
      </c>
      <c r="AQ829">
        <v>0</v>
      </c>
      <c r="AR829">
        <v>0</v>
      </c>
      <c r="AS829">
        <v>0</v>
      </c>
      <c r="AT829" t="s">
        <v>90</v>
      </c>
      <c r="AU829" s="1">
        <v>44208.516111111108</v>
      </c>
      <c r="AV829">
        <v>37</v>
      </c>
      <c r="AW829">
        <v>0</v>
      </c>
      <c r="AX829">
        <v>0</v>
      </c>
      <c r="AY829">
        <v>0</v>
      </c>
      <c r="AZ829">
        <v>37</v>
      </c>
      <c r="BA829">
        <v>0</v>
      </c>
      <c r="BB829">
        <v>27</v>
      </c>
      <c r="BC829">
        <v>0</v>
      </c>
      <c r="BD829">
        <v>0</v>
      </c>
      <c r="BE829">
        <v>0</v>
      </c>
    </row>
    <row r="830" spans="1:57" x14ac:dyDescent="0.45">
      <c r="A830" t="s">
        <v>2178</v>
      </c>
      <c r="B830" t="s">
        <v>79</v>
      </c>
      <c r="C830" t="s">
        <v>2179</v>
      </c>
      <c r="D830" t="s">
        <v>81</v>
      </c>
      <c r="E830" s="2" t="str">
        <f>HYPERLINK("capsilon://?command=openfolder&amp;siteaddress=FAM.docvelocity-na8.net&amp;folderid=FXCA633015-5D3E-8DCC-C6A3-96175280A1C0","FX21014359")</f>
        <v>FX21014359</v>
      </c>
      <c r="F830" t="s">
        <v>19</v>
      </c>
      <c r="G830" t="s">
        <v>19</v>
      </c>
      <c r="H830" t="s">
        <v>82</v>
      </c>
      <c r="I830" t="s">
        <v>2180</v>
      </c>
      <c r="J830">
        <v>208</v>
      </c>
      <c r="K830" t="s">
        <v>84</v>
      </c>
      <c r="L830" t="s">
        <v>85</v>
      </c>
      <c r="M830" t="s">
        <v>86</v>
      </c>
      <c r="N830">
        <v>3</v>
      </c>
      <c r="O830" s="1">
        <v>44208.42460648148</v>
      </c>
      <c r="P830" s="1">
        <v>44208.517094907409</v>
      </c>
      <c r="Q830">
        <v>4065</v>
      </c>
      <c r="R830">
        <v>3926</v>
      </c>
      <c r="S830" t="b">
        <v>0</v>
      </c>
      <c r="T830" t="s">
        <v>87</v>
      </c>
      <c r="U830" t="b">
        <v>0</v>
      </c>
      <c r="V830" t="s">
        <v>919</v>
      </c>
      <c r="W830" s="1">
        <v>44208.466446759259</v>
      </c>
      <c r="X830">
        <v>2906</v>
      </c>
      <c r="Y830">
        <v>193</v>
      </c>
      <c r="Z830">
        <v>0</v>
      </c>
      <c r="AA830">
        <v>193</v>
      </c>
      <c r="AB830">
        <v>0</v>
      </c>
      <c r="AC830">
        <v>65</v>
      </c>
      <c r="AD830">
        <v>15</v>
      </c>
      <c r="AE830">
        <v>0</v>
      </c>
      <c r="AF830">
        <v>0</v>
      </c>
      <c r="AG830">
        <v>0</v>
      </c>
      <c r="AH830" t="s">
        <v>108</v>
      </c>
      <c r="AI830" s="1">
        <v>44208.495081018518</v>
      </c>
      <c r="AJ830">
        <v>936</v>
      </c>
      <c r="AK830">
        <v>3</v>
      </c>
      <c r="AL830">
        <v>0</v>
      </c>
      <c r="AM830">
        <v>3</v>
      </c>
      <c r="AN830">
        <v>0</v>
      </c>
      <c r="AO830">
        <v>1</v>
      </c>
      <c r="AP830">
        <v>12</v>
      </c>
      <c r="AQ830">
        <v>0</v>
      </c>
      <c r="AR830">
        <v>0</v>
      </c>
      <c r="AS830">
        <v>0</v>
      </c>
      <c r="AT830" t="s">
        <v>90</v>
      </c>
      <c r="AU830" s="1">
        <v>44208.517094907409</v>
      </c>
      <c r="AV830">
        <v>84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12</v>
      </c>
      <c r="BC830">
        <v>0</v>
      </c>
      <c r="BD830">
        <v>0</v>
      </c>
      <c r="BE830">
        <v>0</v>
      </c>
    </row>
    <row r="831" spans="1:57" x14ac:dyDescent="0.45">
      <c r="A831" t="s">
        <v>2181</v>
      </c>
      <c r="B831" t="s">
        <v>79</v>
      </c>
      <c r="C831" t="s">
        <v>2182</v>
      </c>
      <c r="D831" t="s">
        <v>81</v>
      </c>
      <c r="E831" s="2" t="str">
        <f>HYPERLINK("capsilon://?command=openfolder&amp;siteaddress=FAM.docvelocity-na8.net&amp;folderid=FX28396455-9C9E-C048-04EC-26CCF7E98A0E","FX21013992")</f>
        <v>FX21013992</v>
      </c>
      <c r="F831" t="s">
        <v>19</v>
      </c>
      <c r="G831" t="s">
        <v>19</v>
      </c>
      <c r="H831" t="s">
        <v>82</v>
      </c>
      <c r="I831" t="s">
        <v>2183</v>
      </c>
      <c r="J831">
        <v>144</v>
      </c>
      <c r="K831" t="s">
        <v>84</v>
      </c>
      <c r="L831" t="s">
        <v>85</v>
      </c>
      <c r="M831" t="s">
        <v>86</v>
      </c>
      <c r="N831">
        <v>3</v>
      </c>
      <c r="O831" s="1">
        <v>44208.43136574074</v>
      </c>
      <c r="P831" s="1">
        <v>44208.523298611108</v>
      </c>
      <c r="Q831">
        <v>3811</v>
      </c>
      <c r="R831">
        <v>4132</v>
      </c>
      <c r="S831" t="b">
        <v>0</v>
      </c>
      <c r="T831" t="s">
        <v>87</v>
      </c>
      <c r="U831" t="b">
        <v>0</v>
      </c>
      <c r="V831" t="s">
        <v>146</v>
      </c>
      <c r="W831" s="1">
        <v>44208.460023148145</v>
      </c>
      <c r="X831">
        <v>2066</v>
      </c>
      <c r="Y831">
        <v>130</v>
      </c>
      <c r="Z831">
        <v>0</v>
      </c>
      <c r="AA831">
        <v>130</v>
      </c>
      <c r="AB831">
        <v>21</v>
      </c>
      <c r="AC831">
        <v>72</v>
      </c>
      <c r="AD831">
        <v>14</v>
      </c>
      <c r="AE831">
        <v>0</v>
      </c>
      <c r="AF831">
        <v>0</v>
      </c>
      <c r="AG831">
        <v>0</v>
      </c>
      <c r="AH831" t="s">
        <v>89</v>
      </c>
      <c r="AI831" s="1">
        <v>44208.506851851853</v>
      </c>
      <c r="AJ831">
        <v>1520</v>
      </c>
      <c r="AK831">
        <v>10</v>
      </c>
      <c r="AL831">
        <v>0</v>
      </c>
      <c r="AM831">
        <v>10</v>
      </c>
      <c r="AN831">
        <v>21</v>
      </c>
      <c r="AO831">
        <v>9</v>
      </c>
      <c r="AP831">
        <v>4</v>
      </c>
      <c r="AQ831">
        <v>0</v>
      </c>
      <c r="AR831">
        <v>0</v>
      </c>
      <c r="AS831">
        <v>0</v>
      </c>
      <c r="AT831" t="s">
        <v>90</v>
      </c>
      <c r="AU831" s="1">
        <v>44208.523298611108</v>
      </c>
      <c r="AV831">
        <v>535</v>
      </c>
      <c r="AW831">
        <v>0</v>
      </c>
      <c r="AX831">
        <v>0</v>
      </c>
      <c r="AY831">
        <v>0</v>
      </c>
      <c r="AZ831">
        <v>21</v>
      </c>
      <c r="BA831">
        <v>0</v>
      </c>
      <c r="BB831">
        <v>4</v>
      </c>
      <c r="BC831">
        <v>0</v>
      </c>
      <c r="BD831">
        <v>0</v>
      </c>
      <c r="BE831">
        <v>0</v>
      </c>
    </row>
    <row r="832" spans="1:57" x14ac:dyDescent="0.45">
      <c r="A832" t="s">
        <v>2184</v>
      </c>
      <c r="B832" t="s">
        <v>79</v>
      </c>
      <c r="C832" t="s">
        <v>2185</v>
      </c>
      <c r="D832" t="s">
        <v>81</v>
      </c>
      <c r="E832" s="2" t="str">
        <f>HYPERLINK("capsilon://?command=openfolder&amp;siteaddress=FAM.docvelocity-na8.net&amp;folderid=FX33BDD503-D82E-A914-FD89-A8A9999E80E1","FX21015674")</f>
        <v>FX21015674</v>
      </c>
      <c r="F832" t="s">
        <v>19</v>
      </c>
      <c r="G832" t="s">
        <v>19</v>
      </c>
      <c r="H832" t="s">
        <v>82</v>
      </c>
      <c r="I832" t="s">
        <v>2186</v>
      </c>
      <c r="J832">
        <v>190</v>
      </c>
      <c r="K832" t="s">
        <v>84</v>
      </c>
      <c r="L832" t="s">
        <v>85</v>
      </c>
      <c r="M832" t="s">
        <v>86</v>
      </c>
      <c r="N832">
        <v>3</v>
      </c>
      <c r="O832" s="1">
        <v>44208.431655092594</v>
      </c>
      <c r="P832" s="1">
        <v>44208.524282407408</v>
      </c>
      <c r="Q832">
        <v>1070</v>
      </c>
      <c r="R832">
        <v>6933</v>
      </c>
      <c r="S832" t="b">
        <v>0</v>
      </c>
      <c r="T832" t="s">
        <v>87</v>
      </c>
      <c r="U832" t="b">
        <v>0</v>
      </c>
      <c r="V832" t="s">
        <v>419</v>
      </c>
      <c r="W832" s="1">
        <v>44208.507731481484</v>
      </c>
      <c r="X832">
        <v>5892</v>
      </c>
      <c r="Y832">
        <v>258</v>
      </c>
      <c r="Z832">
        <v>0</v>
      </c>
      <c r="AA832">
        <v>258</v>
      </c>
      <c r="AB832">
        <v>0</v>
      </c>
      <c r="AC832">
        <v>157</v>
      </c>
      <c r="AD832">
        <v>-68</v>
      </c>
      <c r="AE832">
        <v>0</v>
      </c>
      <c r="AF832">
        <v>0</v>
      </c>
      <c r="AG832">
        <v>0</v>
      </c>
      <c r="AH832" t="s">
        <v>128</v>
      </c>
      <c r="AI832" s="1">
        <v>44208.519386574073</v>
      </c>
      <c r="AJ832">
        <v>957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-68</v>
      </c>
      <c r="AQ832">
        <v>0</v>
      </c>
      <c r="AR832">
        <v>0</v>
      </c>
      <c r="AS832">
        <v>0</v>
      </c>
      <c r="AT832" t="s">
        <v>90</v>
      </c>
      <c r="AU832" s="1">
        <v>44208.524282407408</v>
      </c>
      <c r="AV832">
        <v>84</v>
      </c>
      <c r="AW832">
        <v>1</v>
      </c>
      <c r="AX832">
        <v>0</v>
      </c>
      <c r="AY832">
        <v>1</v>
      </c>
      <c r="AZ832">
        <v>0</v>
      </c>
      <c r="BA832">
        <v>1</v>
      </c>
      <c r="BB832">
        <v>-69</v>
      </c>
      <c r="BC832">
        <v>0</v>
      </c>
      <c r="BD832">
        <v>0</v>
      </c>
      <c r="BE832">
        <v>0</v>
      </c>
    </row>
    <row r="833" spans="1:57" x14ac:dyDescent="0.45">
      <c r="A833" t="s">
        <v>2187</v>
      </c>
      <c r="B833" t="s">
        <v>79</v>
      </c>
      <c r="C833" t="s">
        <v>2188</v>
      </c>
      <c r="D833" t="s">
        <v>81</v>
      </c>
      <c r="E833" s="2" t="str">
        <f>HYPERLINK("capsilon://?command=openfolder&amp;siteaddress=FAM.docvelocity-na8.net&amp;folderid=FX8CF22139-9F30-00C5-4B2A-90500DB7B948","FX201228198")</f>
        <v>FX201228198</v>
      </c>
      <c r="F833" t="s">
        <v>19</v>
      </c>
      <c r="G833" t="s">
        <v>19</v>
      </c>
      <c r="H833" t="s">
        <v>82</v>
      </c>
      <c r="I833" t="s">
        <v>2189</v>
      </c>
      <c r="J833">
        <v>450</v>
      </c>
      <c r="K833" t="s">
        <v>84</v>
      </c>
      <c r="L833" t="s">
        <v>85</v>
      </c>
      <c r="M833" t="s">
        <v>86</v>
      </c>
      <c r="N833">
        <v>3</v>
      </c>
      <c r="O833" s="1">
        <v>44200.607719907406</v>
      </c>
      <c r="P833" s="1">
        <v>44201.382256944446</v>
      </c>
      <c r="Q833">
        <v>60195</v>
      </c>
      <c r="R833">
        <v>6725</v>
      </c>
      <c r="S833" t="b">
        <v>0</v>
      </c>
      <c r="T833" t="s">
        <v>87</v>
      </c>
      <c r="U833" t="b">
        <v>0</v>
      </c>
      <c r="V833" t="s">
        <v>88</v>
      </c>
      <c r="W833" s="1">
        <v>44200.831053240741</v>
      </c>
      <c r="X833">
        <v>5229</v>
      </c>
      <c r="Y833">
        <v>385</v>
      </c>
      <c r="Z833">
        <v>0</v>
      </c>
      <c r="AA833">
        <v>385</v>
      </c>
      <c r="AB833">
        <v>42</v>
      </c>
      <c r="AC833">
        <v>155</v>
      </c>
      <c r="AD833">
        <v>65</v>
      </c>
      <c r="AE833">
        <v>0</v>
      </c>
      <c r="AF833">
        <v>0</v>
      </c>
      <c r="AG833">
        <v>0</v>
      </c>
      <c r="AH833" t="s">
        <v>267</v>
      </c>
      <c r="AI833" s="1">
        <v>44200.839675925927</v>
      </c>
      <c r="AJ833">
        <v>707</v>
      </c>
      <c r="AK833">
        <v>5</v>
      </c>
      <c r="AL833">
        <v>0</v>
      </c>
      <c r="AM833">
        <v>5</v>
      </c>
      <c r="AN833">
        <v>42</v>
      </c>
      <c r="AO833">
        <v>4</v>
      </c>
      <c r="AP833">
        <v>60</v>
      </c>
      <c r="AQ833">
        <v>0</v>
      </c>
      <c r="AR833">
        <v>0</v>
      </c>
      <c r="AS833">
        <v>0</v>
      </c>
      <c r="AT833" t="s">
        <v>90</v>
      </c>
      <c r="AU833" s="1">
        <v>44201.382256944446</v>
      </c>
      <c r="AV833">
        <v>104</v>
      </c>
      <c r="AW833">
        <v>0</v>
      </c>
      <c r="AX833">
        <v>0</v>
      </c>
      <c r="AY833">
        <v>0</v>
      </c>
      <c r="AZ833">
        <v>42</v>
      </c>
      <c r="BA833">
        <v>0</v>
      </c>
      <c r="BB833">
        <v>60</v>
      </c>
      <c r="BC833">
        <v>0</v>
      </c>
      <c r="BD833">
        <v>0</v>
      </c>
      <c r="BE833">
        <v>0</v>
      </c>
    </row>
    <row r="834" spans="1:57" x14ac:dyDescent="0.45">
      <c r="A834" t="s">
        <v>2190</v>
      </c>
      <c r="B834" t="s">
        <v>79</v>
      </c>
      <c r="C834" t="s">
        <v>2191</v>
      </c>
      <c r="D834" t="s">
        <v>81</v>
      </c>
      <c r="E834" s="2" t="str">
        <f>HYPERLINK("capsilon://?command=openfolder&amp;siteaddress=FAM.docvelocity-na8.net&amp;folderid=FX3C298AC9-5214-B0FF-4D48-090041E2CA7B","FX21015544")</f>
        <v>FX21015544</v>
      </c>
      <c r="F834" t="s">
        <v>19</v>
      </c>
      <c r="G834" t="s">
        <v>19</v>
      </c>
      <c r="H834" t="s">
        <v>82</v>
      </c>
      <c r="I834" t="s">
        <v>2192</v>
      </c>
      <c r="J834">
        <v>114</v>
      </c>
      <c r="K834" t="s">
        <v>84</v>
      </c>
      <c r="L834" t="s">
        <v>85</v>
      </c>
      <c r="M834" t="s">
        <v>86</v>
      </c>
      <c r="N834">
        <v>3</v>
      </c>
      <c r="O834" s="1">
        <v>44208.439363425925</v>
      </c>
      <c r="P834" s="1">
        <v>44208.524768518517</v>
      </c>
      <c r="Q834">
        <v>4092</v>
      </c>
      <c r="R834">
        <v>3287</v>
      </c>
      <c r="S834" t="b">
        <v>0</v>
      </c>
      <c r="T834" t="s">
        <v>87</v>
      </c>
      <c r="U834" t="b">
        <v>0</v>
      </c>
      <c r="V834" t="s">
        <v>98</v>
      </c>
      <c r="W834" s="1">
        <v>44208.49009259259</v>
      </c>
      <c r="X834">
        <v>2309</v>
      </c>
      <c r="Y834">
        <v>128</v>
      </c>
      <c r="Z834">
        <v>0</v>
      </c>
      <c r="AA834">
        <v>128</v>
      </c>
      <c r="AB834">
        <v>0</v>
      </c>
      <c r="AC834">
        <v>89</v>
      </c>
      <c r="AD834">
        <v>-14</v>
      </c>
      <c r="AE834">
        <v>0</v>
      </c>
      <c r="AF834">
        <v>0</v>
      </c>
      <c r="AG834">
        <v>0</v>
      </c>
      <c r="AH834" t="s">
        <v>267</v>
      </c>
      <c r="AI834" s="1">
        <v>44208.495057870372</v>
      </c>
      <c r="AJ834">
        <v>269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-14</v>
      </c>
      <c r="AQ834">
        <v>0</v>
      </c>
      <c r="AR834">
        <v>0</v>
      </c>
      <c r="AS834">
        <v>0</v>
      </c>
      <c r="AT834" t="s">
        <v>90</v>
      </c>
      <c r="AU834" s="1">
        <v>44208.524768518517</v>
      </c>
      <c r="AV834">
        <v>41</v>
      </c>
      <c r="AW834">
        <v>0</v>
      </c>
      <c r="AX834">
        <v>0</v>
      </c>
      <c r="AY834">
        <v>0</v>
      </c>
      <c r="AZ834">
        <v>84</v>
      </c>
      <c r="BA834">
        <v>0</v>
      </c>
      <c r="BB834">
        <v>-14</v>
      </c>
      <c r="BC834">
        <v>0</v>
      </c>
      <c r="BD834">
        <v>0</v>
      </c>
      <c r="BE834">
        <v>0</v>
      </c>
    </row>
    <row r="835" spans="1:57" hidden="1" x14ac:dyDescent="0.45">
      <c r="A835" t="s">
        <v>2193</v>
      </c>
      <c r="B835" t="s">
        <v>79</v>
      </c>
      <c r="C835" t="s">
        <v>967</v>
      </c>
      <c r="D835" t="s">
        <v>81</v>
      </c>
      <c r="E835" s="2" t="str">
        <f>HYPERLINK("capsilon://?command=openfolder&amp;siteaddress=FAM.docvelocity-na8.net&amp;folderid=FX77916BE9-19BC-80D2-4FA2-1AA7EF6AC0E5","FX201228437")</f>
        <v>FX201228437</v>
      </c>
      <c r="F835" t="s">
        <v>19</v>
      </c>
      <c r="G835" t="s">
        <v>19</v>
      </c>
      <c r="H835" t="s">
        <v>82</v>
      </c>
      <c r="I835" t="s">
        <v>2163</v>
      </c>
      <c r="J835">
        <v>26</v>
      </c>
      <c r="K835" t="s">
        <v>84</v>
      </c>
      <c r="L835" t="s">
        <v>85</v>
      </c>
      <c r="M835" t="s">
        <v>86</v>
      </c>
      <c r="N835">
        <v>3</v>
      </c>
      <c r="O835" s="1">
        <v>44208.439814814818</v>
      </c>
      <c r="P835" s="1">
        <v>44208.479108796295</v>
      </c>
      <c r="Q835">
        <v>2450</v>
      </c>
      <c r="R835">
        <v>945</v>
      </c>
      <c r="S835" t="b">
        <v>0</v>
      </c>
      <c r="T835" t="s">
        <v>87</v>
      </c>
      <c r="U835" t="b">
        <v>1</v>
      </c>
      <c r="V835" t="s">
        <v>98</v>
      </c>
      <c r="W835" s="1">
        <v>44208.452094907407</v>
      </c>
      <c r="X835">
        <v>772</v>
      </c>
      <c r="Y835">
        <v>0</v>
      </c>
      <c r="Z835">
        <v>0</v>
      </c>
      <c r="AA835">
        <v>0</v>
      </c>
      <c r="AB835">
        <v>21</v>
      </c>
      <c r="AC835">
        <v>2</v>
      </c>
      <c r="AD835">
        <v>26</v>
      </c>
      <c r="AE835">
        <v>0</v>
      </c>
      <c r="AF835">
        <v>0</v>
      </c>
      <c r="AG835">
        <v>0</v>
      </c>
      <c r="AH835" t="s">
        <v>128</v>
      </c>
      <c r="AI835" s="1">
        <v>44208.463078703702</v>
      </c>
      <c r="AJ835">
        <v>83</v>
      </c>
      <c r="AK835">
        <v>0</v>
      </c>
      <c r="AL835">
        <v>0</v>
      </c>
      <c r="AM835">
        <v>0</v>
      </c>
      <c r="AN835">
        <v>21</v>
      </c>
      <c r="AO835">
        <v>0</v>
      </c>
      <c r="AP835">
        <v>26</v>
      </c>
      <c r="AQ835">
        <v>0</v>
      </c>
      <c r="AR835">
        <v>0</v>
      </c>
      <c r="AS835">
        <v>0</v>
      </c>
      <c r="AT835" t="s">
        <v>90</v>
      </c>
      <c r="AU835" s="1">
        <v>44208.479108796295</v>
      </c>
      <c r="AV835">
        <v>27</v>
      </c>
      <c r="AW835">
        <v>0</v>
      </c>
      <c r="AX835">
        <v>0</v>
      </c>
      <c r="AY835">
        <v>0</v>
      </c>
      <c r="AZ835">
        <v>21</v>
      </c>
      <c r="BA835">
        <v>0</v>
      </c>
      <c r="BB835">
        <v>26</v>
      </c>
      <c r="BC835">
        <v>0</v>
      </c>
      <c r="BD835">
        <v>0</v>
      </c>
      <c r="BE835">
        <v>0</v>
      </c>
    </row>
    <row r="836" spans="1:57" x14ac:dyDescent="0.45">
      <c r="A836" t="s">
        <v>2194</v>
      </c>
      <c r="B836" t="s">
        <v>79</v>
      </c>
      <c r="C836" t="s">
        <v>414</v>
      </c>
      <c r="D836" t="s">
        <v>81</v>
      </c>
      <c r="E836" s="2" t="str">
        <f>HYPERLINK("capsilon://?command=openfolder&amp;siteaddress=FAM.docvelocity-na8.net&amp;folderid=FX2FF501F7-4BEA-365D-F57D-E177A2D26809","FX201228321")</f>
        <v>FX201228321</v>
      </c>
      <c r="F836" t="s">
        <v>19</v>
      </c>
      <c r="G836" t="s">
        <v>19</v>
      </c>
      <c r="H836" t="s">
        <v>82</v>
      </c>
      <c r="I836" t="s">
        <v>2195</v>
      </c>
      <c r="J836">
        <v>284</v>
      </c>
      <c r="K836" t="s">
        <v>84</v>
      </c>
      <c r="L836" t="s">
        <v>85</v>
      </c>
      <c r="M836" t="s">
        <v>86</v>
      </c>
      <c r="N836">
        <v>3</v>
      </c>
      <c r="O836" s="1">
        <v>44200.607870370368</v>
      </c>
      <c r="P836" s="1">
        <v>44201.381898148145</v>
      </c>
      <c r="Q836">
        <v>64426</v>
      </c>
      <c r="R836">
        <v>2450</v>
      </c>
      <c r="S836" t="b">
        <v>0</v>
      </c>
      <c r="T836" t="s">
        <v>87</v>
      </c>
      <c r="U836" t="b">
        <v>0</v>
      </c>
      <c r="V836" t="s">
        <v>142</v>
      </c>
      <c r="W836" s="1">
        <v>44200.72446759259</v>
      </c>
      <c r="X836">
        <v>1398</v>
      </c>
      <c r="Y836">
        <v>238</v>
      </c>
      <c r="Z836">
        <v>0</v>
      </c>
      <c r="AA836">
        <v>238</v>
      </c>
      <c r="AB836">
        <v>0</v>
      </c>
      <c r="AC836">
        <v>115</v>
      </c>
      <c r="AD836">
        <v>46</v>
      </c>
      <c r="AE836">
        <v>0</v>
      </c>
      <c r="AF836">
        <v>0</v>
      </c>
      <c r="AG836">
        <v>0</v>
      </c>
      <c r="AH836" t="s">
        <v>267</v>
      </c>
      <c r="AI836" s="1">
        <v>44200.768761574072</v>
      </c>
      <c r="AJ836">
        <v>859</v>
      </c>
      <c r="AK836">
        <v>4</v>
      </c>
      <c r="AL836">
        <v>0</v>
      </c>
      <c r="AM836">
        <v>4</v>
      </c>
      <c r="AN836">
        <v>0</v>
      </c>
      <c r="AO836">
        <v>3</v>
      </c>
      <c r="AP836">
        <v>42</v>
      </c>
      <c r="AQ836">
        <v>0</v>
      </c>
      <c r="AR836">
        <v>0</v>
      </c>
      <c r="AS836">
        <v>0</v>
      </c>
      <c r="AT836" t="s">
        <v>549</v>
      </c>
      <c r="AU836" s="1">
        <v>44201.381898148145</v>
      </c>
      <c r="AV836">
        <v>193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42</v>
      </c>
      <c r="BC836">
        <v>0</v>
      </c>
      <c r="BD836">
        <v>0</v>
      </c>
      <c r="BE836">
        <v>0</v>
      </c>
    </row>
    <row r="837" spans="1:57" x14ac:dyDescent="0.45">
      <c r="A837" t="s">
        <v>2196</v>
      </c>
      <c r="B837" t="s">
        <v>79</v>
      </c>
      <c r="C837" t="s">
        <v>374</v>
      </c>
      <c r="D837" t="s">
        <v>81</v>
      </c>
      <c r="E837" s="2" t="str">
        <f>HYPERLINK("capsilon://?command=openfolder&amp;siteaddress=FAM.docvelocity-na8.net&amp;folderid=FX9DB31829-F916-2D88-3A11-1694C448F202","FX21016484")</f>
        <v>FX21016484</v>
      </c>
      <c r="F837" t="s">
        <v>19</v>
      </c>
      <c r="G837" t="s">
        <v>19</v>
      </c>
      <c r="H837" t="s">
        <v>82</v>
      </c>
      <c r="I837" t="s">
        <v>2197</v>
      </c>
      <c r="J837">
        <v>76</v>
      </c>
      <c r="K837" t="s">
        <v>84</v>
      </c>
      <c r="L837" t="s">
        <v>85</v>
      </c>
      <c r="M837" t="s">
        <v>86</v>
      </c>
      <c r="N837">
        <v>3</v>
      </c>
      <c r="O837" s="1">
        <v>44208.444085648145</v>
      </c>
      <c r="P837" s="1">
        <v>44208.524837962963</v>
      </c>
      <c r="Q837">
        <v>5663</v>
      </c>
      <c r="R837">
        <v>1314</v>
      </c>
      <c r="S837" t="b">
        <v>0</v>
      </c>
      <c r="T837" t="s">
        <v>87</v>
      </c>
      <c r="U837" t="b">
        <v>0</v>
      </c>
      <c r="V837" t="s">
        <v>179</v>
      </c>
      <c r="W837" s="1">
        <v>44208.460833333331</v>
      </c>
      <c r="X837">
        <v>1048</v>
      </c>
      <c r="Y837">
        <v>74</v>
      </c>
      <c r="Z837">
        <v>0</v>
      </c>
      <c r="AA837">
        <v>74</v>
      </c>
      <c r="AB837">
        <v>0</v>
      </c>
      <c r="AC837">
        <v>68</v>
      </c>
      <c r="AD837">
        <v>2</v>
      </c>
      <c r="AE837">
        <v>0</v>
      </c>
      <c r="AF837">
        <v>0</v>
      </c>
      <c r="AG837">
        <v>0</v>
      </c>
      <c r="AH837" t="s">
        <v>128</v>
      </c>
      <c r="AI837" s="1">
        <v>44208.49554398148</v>
      </c>
      <c r="AJ837">
        <v>260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2</v>
      </c>
      <c r="AQ837">
        <v>0</v>
      </c>
      <c r="AR837">
        <v>0</v>
      </c>
      <c r="AS837">
        <v>0</v>
      </c>
      <c r="AT837" t="s">
        <v>90</v>
      </c>
      <c r="AU837" s="1">
        <v>44208.524837962963</v>
      </c>
      <c r="AV837">
        <v>6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2</v>
      </c>
      <c r="BC837">
        <v>0</v>
      </c>
      <c r="BD837">
        <v>0</v>
      </c>
      <c r="BE837">
        <v>0</v>
      </c>
    </row>
    <row r="838" spans="1:57" hidden="1" x14ac:dyDescent="0.45">
      <c r="A838" t="s">
        <v>2198</v>
      </c>
      <c r="B838" t="s">
        <v>79</v>
      </c>
      <c r="C838" t="s">
        <v>2199</v>
      </c>
      <c r="D838" t="s">
        <v>81</v>
      </c>
      <c r="E838" s="2" t="str">
        <f>HYPERLINK("capsilon://?command=openfolder&amp;siteaddress=FAM.docvelocity-na8.net&amp;folderid=FX3E508EA4-D795-A5DE-8974-97DB8256FC06","FX201223829")</f>
        <v>FX201223829</v>
      </c>
      <c r="F838" t="s">
        <v>19</v>
      </c>
      <c r="G838" t="s">
        <v>19</v>
      </c>
      <c r="H838" t="s">
        <v>82</v>
      </c>
      <c r="I838" t="s">
        <v>2200</v>
      </c>
      <c r="J838">
        <v>26</v>
      </c>
      <c r="K838" t="s">
        <v>84</v>
      </c>
      <c r="L838" t="s">
        <v>85</v>
      </c>
      <c r="M838" t="s">
        <v>86</v>
      </c>
      <c r="N838">
        <v>1</v>
      </c>
      <c r="O838" s="1">
        <v>44200.607997685183</v>
      </c>
      <c r="P838" s="1">
        <v>44200.720567129632</v>
      </c>
      <c r="Q838">
        <v>9499</v>
      </c>
      <c r="R838">
        <v>227</v>
      </c>
      <c r="S838" t="b">
        <v>0</v>
      </c>
      <c r="T838" t="s">
        <v>87</v>
      </c>
      <c r="U838" t="b">
        <v>0</v>
      </c>
      <c r="V838" t="s">
        <v>255</v>
      </c>
      <c r="W838" s="1">
        <v>44200.720567129632</v>
      </c>
      <c r="X838">
        <v>227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26</v>
      </c>
      <c r="AE838">
        <v>21</v>
      </c>
      <c r="AF838">
        <v>0</v>
      </c>
      <c r="AG838">
        <v>2</v>
      </c>
      <c r="AH838" t="s">
        <v>87</v>
      </c>
      <c r="AI838" t="s">
        <v>87</v>
      </c>
      <c r="AJ838" t="s">
        <v>87</v>
      </c>
      <c r="AK838" t="s">
        <v>87</v>
      </c>
      <c r="AL838" t="s">
        <v>87</v>
      </c>
      <c r="AM838" t="s">
        <v>87</v>
      </c>
      <c r="AN838" t="s">
        <v>87</v>
      </c>
      <c r="AO838" t="s">
        <v>87</v>
      </c>
      <c r="AP838" t="s">
        <v>87</v>
      </c>
      <c r="AQ838" t="s">
        <v>87</v>
      </c>
      <c r="AR838" t="s">
        <v>87</v>
      </c>
      <c r="AS838" t="s">
        <v>87</v>
      </c>
      <c r="AT838" t="s">
        <v>87</v>
      </c>
      <c r="AU838" t="s">
        <v>87</v>
      </c>
      <c r="AV838" t="s">
        <v>87</v>
      </c>
      <c r="AW838" t="s">
        <v>87</v>
      </c>
      <c r="AX838" t="s">
        <v>87</v>
      </c>
      <c r="AY838" t="s">
        <v>87</v>
      </c>
      <c r="AZ838" t="s">
        <v>87</v>
      </c>
      <c r="BA838" t="s">
        <v>87</v>
      </c>
      <c r="BB838" t="s">
        <v>87</v>
      </c>
      <c r="BC838" t="s">
        <v>87</v>
      </c>
      <c r="BD838" t="s">
        <v>87</v>
      </c>
      <c r="BE838" t="s">
        <v>87</v>
      </c>
    </row>
    <row r="839" spans="1:57" x14ac:dyDescent="0.45">
      <c r="A839" t="s">
        <v>2201</v>
      </c>
      <c r="B839" t="s">
        <v>79</v>
      </c>
      <c r="C839" t="s">
        <v>1673</v>
      </c>
      <c r="D839" t="s">
        <v>81</v>
      </c>
      <c r="E839" s="2" t="str">
        <f>HYPERLINK("capsilon://?command=openfolder&amp;siteaddress=FAM.docvelocity-na8.net&amp;folderid=FX9D0FDC21-052F-3980-BD5A-56CAB7C228BB","FX201113730")</f>
        <v>FX201113730</v>
      </c>
      <c r="F839" t="s">
        <v>19</v>
      </c>
      <c r="G839" t="s">
        <v>19</v>
      </c>
      <c r="H839" t="s">
        <v>82</v>
      </c>
      <c r="I839" t="s">
        <v>2202</v>
      </c>
      <c r="J839">
        <v>208</v>
      </c>
      <c r="K839" t="s">
        <v>84</v>
      </c>
      <c r="L839" t="s">
        <v>85</v>
      </c>
      <c r="M839" t="s">
        <v>86</v>
      </c>
      <c r="N839">
        <v>3</v>
      </c>
      <c r="O839" s="1">
        <v>44208.446689814817</v>
      </c>
      <c r="P839" s="1">
        <v>44208.525856481479</v>
      </c>
      <c r="Q839">
        <v>5274</v>
      </c>
      <c r="R839">
        <v>1566</v>
      </c>
      <c r="S839" t="b">
        <v>0</v>
      </c>
      <c r="T839" t="s">
        <v>87</v>
      </c>
      <c r="U839" t="b">
        <v>0</v>
      </c>
      <c r="V839" t="s">
        <v>168</v>
      </c>
      <c r="W839" s="1">
        <v>44208.463935185187</v>
      </c>
      <c r="X839">
        <v>1106</v>
      </c>
      <c r="Y839">
        <v>122</v>
      </c>
      <c r="Z839">
        <v>0</v>
      </c>
      <c r="AA839">
        <v>122</v>
      </c>
      <c r="AB839">
        <v>0</v>
      </c>
      <c r="AC839">
        <v>8</v>
      </c>
      <c r="AD839">
        <v>86</v>
      </c>
      <c r="AE839">
        <v>0</v>
      </c>
      <c r="AF839">
        <v>0</v>
      </c>
      <c r="AG839">
        <v>0</v>
      </c>
      <c r="AH839" t="s">
        <v>108</v>
      </c>
      <c r="AI839" s="1">
        <v>44208.499340277776</v>
      </c>
      <c r="AJ839">
        <v>367</v>
      </c>
      <c r="AK839">
        <v>2</v>
      </c>
      <c r="AL839">
        <v>0</v>
      </c>
      <c r="AM839">
        <v>2</v>
      </c>
      <c r="AN839">
        <v>0</v>
      </c>
      <c r="AO839">
        <v>0</v>
      </c>
      <c r="AP839">
        <v>84</v>
      </c>
      <c r="AQ839">
        <v>0</v>
      </c>
      <c r="AR839">
        <v>0</v>
      </c>
      <c r="AS839">
        <v>0</v>
      </c>
      <c r="AT839" t="s">
        <v>90</v>
      </c>
      <c r="AU839" s="1">
        <v>44208.525856481479</v>
      </c>
      <c r="AV839">
        <v>81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84</v>
      </c>
      <c r="BC839">
        <v>0</v>
      </c>
      <c r="BD839">
        <v>0</v>
      </c>
      <c r="BE839">
        <v>0</v>
      </c>
    </row>
    <row r="840" spans="1:57" x14ac:dyDescent="0.45">
      <c r="A840" t="s">
        <v>2203</v>
      </c>
      <c r="B840" t="s">
        <v>79</v>
      </c>
      <c r="C840" t="s">
        <v>2204</v>
      </c>
      <c r="D840" t="s">
        <v>81</v>
      </c>
      <c r="E840" s="2" t="str">
        <f>HYPERLINK("capsilon://?command=openfolder&amp;siteaddress=FAM.docvelocity-na8.net&amp;folderid=FX2BD2845D-C95F-0065-B6DD-DBAD26032789","FX201112228")</f>
        <v>FX201112228</v>
      </c>
      <c r="F840" t="s">
        <v>19</v>
      </c>
      <c r="G840" t="s">
        <v>19</v>
      </c>
      <c r="H840" t="s">
        <v>82</v>
      </c>
      <c r="I840" t="s">
        <v>2205</v>
      </c>
      <c r="J840">
        <v>66</v>
      </c>
      <c r="K840" t="s">
        <v>84</v>
      </c>
      <c r="L840" t="s">
        <v>85</v>
      </c>
      <c r="M840" t="s">
        <v>86</v>
      </c>
      <c r="N840">
        <v>3</v>
      </c>
      <c r="O840" s="1">
        <v>44208.448472222219</v>
      </c>
      <c r="P840" s="1">
        <v>44208.526377314818</v>
      </c>
      <c r="Q840">
        <v>4401</v>
      </c>
      <c r="R840">
        <v>2330</v>
      </c>
      <c r="S840" t="b">
        <v>0</v>
      </c>
      <c r="T840" t="s">
        <v>87</v>
      </c>
      <c r="U840" t="b">
        <v>0</v>
      </c>
      <c r="V840" t="s">
        <v>112</v>
      </c>
      <c r="W840" s="1">
        <v>44208.478784722225</v>
      </c>
      <c r="X840">
        <v>1081</v>
      </c>
      <c r="Y840">
        <v>52</v>
      </c>
      <c r="Z840">
        <v>0</v>
      </c>
      <c r="AA840">
        <v>52</v>
      </c>
      <c r="AB840">
        <v>0</v>
      </c>
      <c r="AC840">
        <v>28</v>
      </c>
      <c r="AD840">
        <v>14</v>
      </c>
      <c r="AE840">
        <v>0</v>
      </c>
      <c r="AF840">
        <v>0</v>
      </c>
      <c r="AG840">
        <v>0</v>
      </c>
      <c r="AH840" t="s">
        <v>267</v>
      </c>
      <c r="AI840" s="1">
        <v>44208.496215277781</v>
      </c>
      <c r="AJ840">
        <v>99</v>
      </c>
      <c r="AK840">
        <v>3</v>
      </c>
      <c r="AL840">
        <v>0</v>
      </c>
      <c r="AM840">
        <v>3</v>
      </c>
      <c r="AN840">
        <v>0</v>
      </c>
      <c r="AO840">
        <v>2</v>
      </c>
      <c r="AP840">
        <v>11</v>
      </c>
      <c r="AQ840">
        <v>0</v>
      </c>
      <c r="AR840">
        <v>0</v>
      </c>
      <c r="AS840">
        <v>0</v>
      </c>
      <c r="AT840" t="s">
        <v>90</v>
      </c>
      <c r="AU840" s="1">
        <v>44208.526377314818</v>
      </c>
      <c r="AV840">
        <v>44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11</v>
      </c>
      <c r="BC840">
        <v>0</v>
      </c>
      <c r="BD840">
        <v>0</v>
      </c>
      <c r="BE840">
        <v>0</v>
      </c>
    </row>
    <row r="841" spans="1:57" x14ac:dyDescent="0.45">
      <c r="A841" t="s">
        <v>2206</v>
      </c>
      <c r="B841" t="s">
        <v>79</v>
      </c>
      <c r="C841" t="s">
        <v>2207</v>
      </c>
      <c r="D841" t="s">
        <v>81</v>
      </c>
      <c r="E841" s="2" t="str">
        <f>HYPERLINK("capsilon://?command=openfolder&amp;siteaddress=FAM.docvelocity-na8.net&amp;folderid=FX9841E19E-C331-114E-D4E2-1AE575A91BC2","FX20124180")</f>
        <v>FX20124180</v>
      </c>
      <c r="F841" t="s">
        <v>19</v>
      </c>
      <c r="G841" t="s">
        <v>19</v>
      </c>
      <c r="H841" t="s">
        <v>82</v>
      </c>
      <c r="I841" t="s">
        <v>2208</v>
      </c>
      <c r="J841">
        <v>38</v>
      </c>
      <c r="K841" t="s">
        <v>84</v>
      </c>
      <c r="L841" t="s">
        <v>85</v>
      </c>
      <c r="M841" t="s">
        <v>86</v>
      </c>
      <c r="N841">
        <v>3</v>
      </c>
      <c r="O841" s="1">
        <v>44208.448865740742</v>
      </c>
      <c r="P841" s="1">
        <v>44208.526574074072</v>
      </c>
      <c r="Q841">
        <v>5963</v>
      </c>
      <c r="R841">
        <v>751</v>
      </c>
      <c r="S841" t="b">
        <v>0</v>
      </c>
      <c r="T841" t="s">
        <v>87</v>
      </c>
      <c r="U841" t="b">
        <v>0</v>
      </c>
      <c r="V841" t="s">
        <v>98</v>
      </c>
      <c r="W841" s="1">
        <v>44208.457997685182</v>
      </c>
      <c r="X841">
        <v>509</v>
      </c>
      <c r="Y841">
        <v>37</v>
      </c>
      <c r="Z841">
        <v>0</v>
      </c>
      <c r="AA841">
        <v>37</v>
      </c>
      <c r="AB841">
        <v>0</v>
      </c>
      <c r="AC841">
        <v>29</v>
      </c>
      <c r="AD841">
        <v>1</v>
      </c>
      <c r="AE841">
        <v>0</v>
      </c>
      <c r="AF841">
        <v>0</v>
      </c>
      <c r="AG841">
        <v>0</v>
      </c>
      <c r="AH841" t="s">
        <v>128</v>
      </c>
      <c r="AI841" s="1">
        <v>44208.498229166667</v>
      </c>
      <c r="AJ841">
        <v>231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 t="s">
        <v>90</v>
      </c>
      <c r="AU841" s="1">
        <v>44208.526574074072</v>
      </c>
      <c r="AV841">
        <v>11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</row>
    <row r="842" spans="1:57" hidden="1" x14ac:dyDescent="0.45">
      <c r="A842" t="s">
        <v>2209</v>
      </c>
      <c r="B842" t="s">
        <v>79</v>
      </c>
      <c r="C842" t="s">
        <v>1092</v>
      </c>
      <c r="D842" t="s">
        <v>81</v>
      </c>
      <c r="E842" s="2" t="str">
        <f>HYPERLINK("capsilon://?command=openfolder&amp;siteaddress=FAM.docvelocity-na8.net&amp;folderid=FX6A733E17-C6EF-057A-90D9-C8FF7BA96FD4","FX201223339")</f>
        <v>FX201223339</v>
      </c>
      <c r="F842" t="s">
        <v>19</v>
      </c>
      <c r="G842" t="s">
        <v>19</v>
      </c>
      <c r="H842" t="s">
        <v>82</v>
      </c>
      <c r="I842" t="s">
        <v>2210</v>
      </c>
      <c r="J842">
        <v>66</v>
      </c>
      <c r="K842" t="s">
        <v>84</v>
      </c>
      <c r="L842" t="s">
        <v>85</v>
      </c>
      <c r="M842" t="s">
        <v>86</v>
      </c>
      <c r="N842">
        <v>3</v>
      </c>
      <c r="O842" s="1">
        <v>44208.449062500003</v>
      </c>
      <c r="P842" s="1">
        <v>44208.526608796295</v>
      </c>
      <c r="Q842">
        <v>6565</v>
      </c>
      <c r="R842">
        <v>135</v>
      </c>
      <c r="S842" t="b">
        <v>0</v>
      </c>
      <c r="T842" t="s">
        <v>87</v>
      </c>
      <c r="U842" t="b">
        <v>0</v>
      </c>
      <c r="V842" t="s">
        <v>160</v>
      </c>
      <c r="W842" s="1">
        <v>44208.459548611114</v>
      </c>
      <c r="X842">
        <v>107</v>
      </c>
      <c r="Y842">
        <v>0</v>
      </c>
      <c r="Z842">
        <v>0</v>
      </c>
      <c r="AA842">
        <v>0</v>
      </c>
      <c r="AB842">
        <v>52</v>
      </c>
      <c r="AC842">
        <v>0</v>
      </c>
      <c r="AD842">
        <v>66</v>
      </c>
      <c r="AE842">
        <v>0</v>
      </c>
      <c r="AF842">
        <v>0</v>
      </c>
      <c r="AG842">
        <v>0</v>
      </c>
      <c r="AH842" t="s">
        <v>267</v>
      </c>
      <c r="AI842" s="1">
        <v>44208.496550925927</v>
      </c>
      <c r="AJ842">
        <v>26</v>
      </c>
      <c r="AK842">
        <v>0</v>
      </c>
      <c r="AL842">
        <v>0</v>
      </c>
      <c r="AM842">
        <v>0</v>
      </c>
      <c r="AN842">
        <v>52</v>
      </c>
      <c r="AO842">
        <v>0</v>
      </c>
      <c r="AP842">
        <v>66</v>
      </c>
      <c r="AQ842">
        <v>0</v>
      </c>
      <c r="AR842">
        <v>0</v>
      </c>
      <c r="AS842">
        <v>0</v>
      </c>
      <c r="AT842" t="s">
        <v>90</v>
      </c>
      <c r="AU842" s="1">
        <v>44208.526608796295</v>
      </c>
      <c r="AV842">
        <v>2</v>
      </c>
      <c r="AW842">
        <v>0</v>
      </c>
      <c r="AX842">
        <v>0</v>
      </c>
      <c r="AY842">
        <v>0</v>
      </c>
      <c r="AZ842">
        <v>52</v>
      </c>
      <c r="BA842">
        <v>0</v>
      </c>
      <c r="BB842">
        <v>66</v>
      </c>
      <c r="BC842">
        <v>0</v>
      </c>
      <c r="BD842">
        <v>0</v>
      </c>
      <c r="BE842">
        <v>0</v>
      </c>
    </row>
    <row r="843" spans="1:57" x14ac:dyDescent="0.45">
      <c r="A843" t="s">
        <v>2211</v>
      </c>
      <c r="B843" t="s">
        <v>79</v>
      </c>
      <c r="C843" t="s">
        <v>2212</v>
      </c>
      <c r="D843" t="s">
        <v>81</v>
      </c>
      <c r="E843" s="2" t="str">
        <f>HYPERLINK("capsilon://?command=openfolder&amp;siteaddress=FAM.docvelocity-na8.net&amp;folderid=FX5772D456-1633-19DC-5E74-D9CB236B0758","FX201229434")</f>
        <v>FX201229434</v>
      </c>
      <c r="F843" t="s">
        <v>19</v>
      </c>
      <c r="G843" t="s">
        <v>19</v>
      </c>
      <c r="H843" t="s">
        <v>82</v>
      </c>
      <c r="I843" t="s">
        <v>2213</v>
      </c>
      <c r="J843">
        <v>54</v>
      </c>
      <c r="K843" t="s">
        <v>84</v>
      </c>
      <c r="L843" t="s">
        <v>85</v>
      </c>
      <c r="M843" t="s">
        <v>86</v>
      </c>
      <c r="N843">
        <v>3</v>
      </c>
      <c r="O843" s="1">
        <v>44208.451886574076</v>
      </c>
      <c r="P843" s="1">
        <v>44208.526990740742</v>
      </c>
      <c r="Q843">
        <v>5684</v>
      </c>
      <c r="R843">
        <v>805</v>
      </c>
      <c r="S843" t="b">
        <v>0</v>
      </c>
      <c r="T843" t="s">
        <v>87</v>
      </c>
      <c r="U843" t="b">
        <v>0</v>
      </c>
      <c r="V843" t="s">
        <v>160</v>
      </c>
      <c r="W843" s="1">
        <v>44208.468043981484</v>
      </c>
      <c r="X843">
        <v>681</v>
      </c>
      <c r="Y843">
        <v>66</v>
      </c>
      <c r="Z843">
        <v>0</v>
      </c>
      <c r="AA843">
        <v>66</v>
      </c>
      <c r="AB843">
        <v>0</v>
      </c>
      <c r="AC843">
        <v>34</v>
      </c>
      <c r="AD843">
        <v>-12</v>
      </c>
      <c r="AE843">
        <v>0</v>
      </c>
      <c r="AF843">
        <v>0</v>
      </c>
      <c r="AG843">
        <v>0</v>
      </c>
      <c r="AH843" t="s">
        <v>267</v>
      </c>
      <c r="AI843" s="1">
        <v>44208.497650462959</v>
      </c>
      <c r="AJ843">
        <v>94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-12</v>
      </c>
      <c r="AQ843">
        <v>0</v>
      </c>
      <c r="AR843">
        <v>0</v>
      </c>
      <c r="AS843">
        <v>0</v>
      </c>
      <c r="AT843" t="s">
        <v>90</v>
      </c>
      <c r="AU843" s="1">
        <v>44208.526990740742</v>
      </c>
      <c r="AV843">
        <v>30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-12</v>
      </c>
      <c r="BC843">
        <v>0</v>
      </c>
      <c r="BD843">
        <v>0</v>
      </c>
      <c r="BE843">
        <v>0</v>
      </c>
    </row>
    <row r="844" spans="1:57" hidden="1" x14ac:dyDescent="0.45">
      <c r="A844" t="s">
        <v>2214</v>
      </c>
      <c r="B844" t="s">
        <v>79</v>
      </c>
      <c r="C844" t="s">
        <v>2215</v>
      </c>
      <c r="D844" t="s">
        <v>81</v>
      </c>
      <c r="E844" s="2" t="str">
        <f>HYPERLINK("capsilon://?command=openfolder&amp;siteaddress=FAM.docvelocity-na8.net&amp;folderid=FX836FED4F-215B-446B-1405-EA5FAC9A9410","FX21014502")</f>
        <v>FX21014502</v>
      </c>
      <c r="F844" t="s">
        <v>19</v>
      </c>
      <c r="G844" t="s">
        <v>19</v>
      </c>
      <c r="H844" t="s">
        <v>82</v>
      </c>
      <c r="I844" t="s">
        <v>2216</v>
      </c>
      <c r="J844">
        <v>141</v>
      </c>
      <c r="K844" t="s">
        <v>84</v>
      </c>
      <c r="L844" t="s">
        <v>85</v>
      </c>
      <c r="M844" t="s">
        <v>86</v>
      </c>
      <c r="N844">
        <v>1</v>
      </c>
      <c r="O844" s="1">
        <v>44208.452187499999</v>
      </c>
      <c r="P844" s="1">
        <v>44208.483738425923</v>
      </c>
      <c r="Q844">
        <v>942</v>
      </c>
      <c r="R844">
        <v>1784</v>
      </c>
      <c r="S844" t="b">
        <v>0</v>
      </c>
      <c r="T844" t="s">
        <v>87</v>
      </c>
      <c r="U844" t="b">
        <v>0</v>
      </c>
      <c r="V844" t="s">
        <v>88</v>
      </c>
      <c r="W844" s="1">
        <v>44208.483738425923</v>
      </c>
      <c r="X844">
        <v>1472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141</v>
      </c>
      <c r="AE844">
        <v>132</v>
      </c>
      <c r="AF844">
        <v>2</v>
      </c>
      <c r="AG844">
        <v>7</v>
      </c>
      <c r="AH844" t="s">
        <v>87</v>
      </c>
      <c r="AI844" t="s">
        <v>87</v>
      </c>
      <c r="AJ844" t="s">
        <v>87</v>
      </c>
      <c r="AK844" t="s">
        <v>87</v>
      </c>
      <c r="AL844" t="s">
        <v>87</v>
      </c>
      <c r="AM844" t="s">
        <v>87</v>
      </c>
      <c r="AN844" t="s">
        <v>87</v>
      </c>
      <c r="AO844" t="s">
        <v>87</v>
      </c>
      <c r="AP844" t="s">
        <v>87</v>
      </c>
      <c r="AQ844" t="s">
        <v>87</v>
      </c>
      <c r="AR844" t="s">
        <v>87</v>
      </c>
      <c r="AS844" t="s">
        <v>87</v>
      </c>
      <c r="AT844" t="s">
        <v>87</v>
      </c>
      <c r="AU844" t="s">
        <v>87</v>
      </c>
      <c r="AV844" t="s">
        <v>87</v>
      </c>
      <c r="AW844" t="s">
        <v>87</v>
      </c>
      <c r="AX844" t="s">
        <v>87</v>
      </c>
      <c r="AY844" t="s">
        <v>87</v>
      </c>
      <c r="AZ844" t="s">
        <v>87</v>
      </c>
      <c r="BA844" t="s">
        <v>87</v>
      </c>
      <c r="BB844" t="s">
        <v>87</v>
      </c>
      <c r="BC844" t="s">
        <v>87</v>
      </c>
      <c r="BD844" t="s">
        <v>87</v>
      </c>
      <c r="BE844" t="s">
        <v>87</v>
      </c>
    </row>
    <row r="845" spans="1:57" x14ac:dyDescent="0.45">
      <c r="A845" t="s">
        <v>2217</v>
      </c>
      <c r="B845" t="s">
        <v>79</v>
      </c>
      <c r="C845" t="s">
        <v>2212</v>
      </c>
      <c r="D845" t="s">
        <v>81</v>
      </c>
      <c r="E845" s="2" t="str">
        <f>HYPERLINK("capsilon://?command=openfolder&amp;siteaddress=FAM.docvelocity-na8.net&amp;folderid=FX5772D456-1633-19DC-5E74-D9CB236B0758","FX201229434")</f>
        <v>FX201229434</v>
      </c>
      <c r="F845" t="s">
        <v>19</v>
      </c>
      <c r="G845" t="s">
        <v>19</v>
      </c>
      <c r="H845" t="s">
        <v>82</v>
      </c>
      <c r="I845" t="s">
        <v>2218</v>
      </c>
      <c r="J845">
        <v>51</v>
      </c>
      <c r="K845" t="s">
        <v>84</v>
      </c>
      <c r="L845" t="s">
        <v>85</v>
      </c>
      <c r="M845" t="s">
        <v>86</v>
      </c>
      <c r="N845">
        <v>3</v>
      </c>
      <c r="O845" s="1">
        <v>44208.454131944447</v>
      </c>
      <c r="P845" s="1">
        <v>44208.527071759258</v>
      </c>
      <c r="Q845">
        <v>5096</v>
      </c>
      <c r="R845">
        <v>1206</v>
      </c>
      <c r="S845" t="b">
        <v>0</v>
      </c>
      <c r="T845" t="s">
        <v>87</v>
      </c>
      <c r="U845" t="b">
        <v>0</v>
      </c>
      <c r="V845" t="s">
        <v>146</v>
      </c>
      <c r="W845" s="1">
        <v>44208.475243055553</v>
      </c>
      <c r="X845">
        <v>1102</v>
      </c>
      <c r="Y845">
        <v>66</v>
      </c>
      <c r="Z845">
        <v>0</v>
      </c>
      <c r="AA845">
        <v>66</v>
      </c>
      <c r="AB845">
        <v>0</v>
      </c>
      <c r="AC845">
        <v>53</v>
      </c>
      <c r="AD845">
        <v>-15</v>
      </c>
      <c r="AE845">
        <v>0</v>
      </c>
      <c r="AF845">
        <v>0</v>
      </c>
      <c r="AG845">
        <v>0</v>
      </c>
      <c r="AH845" t="s">
        <v>267</v>
      </c>
      <c r="AI845" s="1">
        <v>44208.498784722222</v>
      </c>
      <c r="AJ845">
        <v>98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-15</v>
      </c>
      <c r="AQ845">
        <v>0</v>
      </c>
      <c r="AR845">
        <v>0</v>
      </c>
      <c r="AS845">
        <v>0</v>
      </c>
      <c r="AT845" t="s">
        <v>90</v>
      </c>
      <c r="AU845" s="1">
        <v>44208.527071759258</v>
      </c>
      <c r="AV845">
        <v>6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-15</v>
      </c>
      <c r="BC845">
        <v>0</v>
      </c>
      <c r="BD845">
        <v>0</v>
      </c>
      <c r="BE845">
        <v>0</v>
      </c>
    </row>
    <row r="846" spans="1:57" x14ac:dyDescent="0.45">
      <c r="A846" t="s">
        <v>2219</v>
      </c>
      <c r="B846" t="s">
        <v>79</v>
      </c>
      <c r="C846" t="s">
        <v>2212</v>
      </c>
      <c r="D846" t="s">
        <v>81</v>
      </c>
      <c r="E846" s="2" t="str">
        <f>HYPERLINK("capsilon://?command=openfolder&amp;siteaddress=FAM.docvelocity-na8.net&amp;folderid=FX5772D456-1633-19DC-5E74-D9CB236B0758","FX201229434")</f>
        <v>FX201229434</v>
      </c>
      <c r="F846" t="s">
        <v>19</v>
      </c>
      <c r="G846" t="s">
        <v>19</v>
      </c>
      <c r="H846" t="s">
        <v>82</v>
      </c>
      <c r="I846" t="s">
        <v>2220</v>
      </c>
      <c r="J846">
        <v>56</v>
      </c>
      <c r="K846" t="s">
        <v>84</v>
      </c>
      <c r="L846" t="s">
        <v>85</v>
      </c>
      <c r="M846" t="s">
        <v>86</v>
      </c>
      <c r="N846">
        <v>3</v>
      </c>
      <c r="O846" s="1">
        <v>44208.454502314817</v>
      </c>
      <c r="P846" s="1">
        <v>44208.527222222219</v>
      </c>
      <c r="Q846">
        <v>4469</v>
      </c>
      <c r="R846">
        <v>1814</v>
      </c>
      <c r="S846" t="b">
        <v>0</v>
      </c>
      <c r="T846" t="s">
        <v>87</v>
      </c>
      <c r="U846" t="b">
        <v>0</v>
      </c>
      <c r="V846" t="s">
        <v>919</v>
      </c>
      <c r="W846" s="1">
        <v>44208.484652777777</v>
      </c>
      <c r="X846">
        <v>1572</v>
      </c>
      <c r="Y846">
        <v>71</v>
      </c>
      <c r="Z846">
        <v>0</v>
      </c>
      <c r="AA846">
        <v>71</v>
      </c>
      <c r="AB846">
        <v>0</v>
      </c>
      <c r="AC846">
        <v>38</v>
      </c>
      <c r="AD846">
        <v>-15</v>
      </c>
      <c r="AE846">
        <v>0</v>
      </c>
      <c r="AF846">
        <v>0</v>
      </c>
      <c r="AG846">
        <v>0</v>
      </c>
      <c r="AH846" t="s">
        <v>128</v>
      </c>
      <c r="AI846" s="1">
        <v>44208.500925925924</v>
      </c>
      <c r="AJ846">
        <v>229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-15</v>
      </c>
      <c r="AQ846">
        <v>0</v>
      </c>
      <c r="AR846">
        <v>0</v>
      </c>
      <c r="AS846">
        <v>0</v>
      </c>
      <c r="AT846" t="s">
        <v>90</v>
      </c>
      <c r="AU846" s="1">
        <v>44208.527222222219</v>
      </c>
      <c r="AV846">
        <v>13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-15</v>
      </c>
      <c r="BC846">
        <v>0</v>
      </c>
      <c r="BD846">
        <v>0</v>
      </c>
      <c r="BE846">
        <v>0</v>
      </c>
    </row>
    <row r="847" spans="1:57" x14ac:dyDescent="0.45">
      <c r="A847" t="s">
        <v>2221</v>
      </c>
      <c r="B847" t="s">
        <v>79</v>
      </c>
      <c r="C847" t="s">
        <v>2222</v>
      </c>
      <c r="D847" t="s">
        <v>81</v>
      </c>
      <c r="E847" s="2" t="str">
        <f>HYPERLINK("capsilon://?command=openfolder&amp;siteaddress=FAM.docvelocity-na8.net&amp;folderid=FXD4FC1323-689C-BAE7-F014-22CCFFA21E75","FX21011991")</f>
        <v>FX21011991</v>
      </c>
      <c r="F847" t="s">
        <v>19</v>
      </c>
      <c r="G847" t="s">
        <v>19</v>
      </c>
      <c r="H847" t="s">
        <v>82</v>
      </c>
      <c r="I847" t="s">
        <v>2223</v>
      </c>
      <c r="J847">
        <v>351</v>
      </c>
      <c r="K847" t="s">
        <v>84</v>
      </c>
      <c r="L847" t="s">
        <v>85</v>
      </c>
      <c r="M847" t="s">
        <v>86</v>
      </c>
      <c r="N847">
        <v>3</v>
      </c>
      <c r="O847" s="1">
        <v>44208.455405092594</v>
      </c>
      <c r="P847" s="1">
        <v>44208.527592592596</v>
      </c>
      <c r="Q847">
        <v>2623</v>
      </c>
      <c r="R847">
        <v>3614</v>
      </c>
      <c r="S847" t="b">
        <v>0</v>
      </c>
      <c r="T847" t="s">
        <v>87</v>
      </c>
      <c r="U847" t="b">
        <v>0</v>
      </c>
      <c r="V847" t="s">
        <v>242</v>
      </c>
      <c r="W847" s="1">
        <v>44208.501215277778</v>
      </c>
      <c r="X847">
        <v>2893</v>
      </c>
      <c r="Y847">
        <v>298</v>
      </c>
      <c r="Z847">
        <v>0</v>
      </c>
      <c r="AA847">
        <v>298</v>
      </c>
      <c r="AB847">
        <v>0</v>
      </c>
      <c r="AC847">
        <v>135</v>
      </c>
      <c r="AD847">
        <v>53</v>
      </c>
      <c r="AE847">
        <v>0</v>
      </c>
      <c r="AF847">
        <v>0</v>
      </c>
      <c r="AG847">
        <v>0</v>
      </c>
      <c r="AH847" t="s">
        <v>267</v>
      </c>
      <c r="AI847" s="1">
        <v>44208.509016203701</v>
      </c>
      <c r="AJ847">
        <v>629</v>
      </c>
      <c r="AK847">
        <v>2</v>
      </c>
      <c r="AL847">
        <v>0</v>
      </c>
      <c r="AM847">
        <v>2</v>
      </c>
      <c r="AN847">
        <v>0</v>
      </c>
      <c r="AO847">
        <v>1</v>
      </c>
      <c r="AP847">
        <v>51</v>
      </c>
      <c r="AQ847">
        <v>0</v>
      </c>
      <c r="AR847">
        <v>0</v>
      </c>
      <c r="AS847">
        <v>0</v>
      </c>
      <c r="AT847" t="s">
        <v>90</v>
      </c>
      <c r="AU847" s="1">
        <v>44208.527592592596</v>
      </c>
      <c r="AV847">
        <v>31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51</v>
      </c>
      <c r="BC847">
        <v>0</v>
      </c>
      <c r="BD847">
        <v>0</v>
      </c>
      <c r="BE847">
        <v>0</v>
      </c>
    </row>
    <row r="848" spans="1:57" x14ac:dyDescent="0.45">
      <c r="A848" t="s">
        <v>2224</v>
      </c>
      <c r="B848" t="s">
        <v>79</v>
      </c>
      <c r="C848" t="s">
        <v>2225</v>
      </c>
      <c r="D848" t="s">
        <v>81</v>
      </c>
      <c r="E848" s="2" t="str">
        <f>HYPERLINK("capsilon://?command=openfolder&amp;siteaddress=FAM.docvelocity-na8.net&amp;folderid=FX5584591D-10BD-4DE7-F973-0B2624BC2CC1","FX20125867")</f>
        <v>FX20125867</v>
      </c>
      <c r="F848" t="s">
        <v>19</v>
      </c>
      <c r="G848" t="s">
        <v>19</v>
      </c>
      <c r="H848" t="s">
        <v>82</v>
      </c>
      <c r="I848" t="s">
        <v>2226</v>
      </c>
      <c r="J848">
        <v>108</v>
      </c>
      <c r="K848" t="s">
        <v>84</v>
      </c>
      <c r="L848" t="s">
        <v>85</v>
      </c>
      <c r="M848" t="s">
        <v>86</v>
      </c>
      <c r="N848">
        <v>3</v>
      </c>
      <c r="O848" s="1">
        <v>44208.461053240739</v>
      </c>
      <c r="P848" s="1">
        <v>44208.528483796297</v>
      </c>
      <c r="Q848">
        <v>3983</v>
      </c>
      <c r="R848">
        <v>1843</v>
      </c>
      <c r="S848" t="b">
        <v>0</v>
      </c>
      <c r="T848" t="s">
        <v>87</v>
      </c>
      <c r="U848" t="b">
        <v>0</v>
      </c>
      <c r="V848" t="s">
        <v>171</v>
      </c>
      <c r="W848" s="1">
        <v>44208.484236111108</v>
      </c>
      <c r="X848">
        <v>1513</v>
      </c>
      <c r="Y848">
        <v>180</v>
      </c>
      <c r="Z848">
        <v>0</v>
      </c>
      <c r="AA848">
        <v>180</v>
      </c>
      <c r="AB848">
        <v>0</v>
      </c>
      <c r="AC848">
        <v>125</v>
      </c>
      <c r="AD848">
        <v>-72</v>
      </c>
      <c r="AE848">
        <v>0</v>
      </c>
      <c r="AF848">
        <v>0</v>
      </c>
      <c r="AG848">
        <v>0</v>
      </c>
      <c r="AH848" t="s">
        <v>267</v>
      </c>
      <c r="AI848" s="1">
        <v>44208.50172453704</v>
      </c>
      <c r="AJ848">
        <v>254</v>
      </c>
      <c r="AK848">
        <v>2</v>
      </c>
      <c r="AL848">
        <v>0</v>
      </c>
      <c r="AM848">
        <v>2</v>
      </c>
      <c r="AN848">
        <v>0</v>
      </c>
      <c r="AO848">
        <v>1</v>
      </c>
      <c r="AP848">
        <v>-74</v>
      </c>
      <c r="AQ848">
        <v>0</v>
      </c>
      <c r="AR848">
        <v>0</v>
      </c>
      <c r="AS848">
        <v>0</v>
      </c>
      <c r="AT848" t="s">
        <v>90</v>
      </c>
      <c r="AU848" s="1">
        <v>44208.528483796297</v>
      </c>
      <c r="AV848">
        <v>76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-74</v>
      </c>
      <c r="BC848">
        <v>0</v>
      </c>
      <c r="BD848">
        <v>0</v>
      </c>
      <c r="BE848">
        <v>0</v>
      </c>
    </row>
    <row r="849" spans="1:57" x14ac:dyDescent="0.45">
      <c r="A849" t="s">
        <v>2227</v>
      </c>
      <c r="B849" t="s">
        <v>79</v>
      </c>
      <c r="C849" t="s">
        <v>2228</v>
      </c>
      <c r="D849" t="s">
        <v>81</v>
      </c>
      <c r="E849" s="2" t="str">
        <f>HYPERLINK("capsilon://?command=openfolder&amp;siteaddress=FAM.docvelocity-na8.net&amp;folderid=FX15225A50-45FE-C8DA-18DE-825A613FBCBA","FX21014787")</f>
        <v>FX21014787</v>
      </c>
      <c r="F849" t="s">
        <v>19</v>
      </c>
      <c r="G849" t="s">
        <v>19</v>
      </c>
      <c r="H849" t="s">
        <v>82</v>
      </c>
      <c r="I849" t="s">
        <v>2229</v>
      </c>
      <c r="J849">
        <v>100</v>
      </c>
      <c r="K849" t="s">
        <v>84</v>
      </c>
      <c r="L849" t="s">
        <v>85</v>
      </c>
      <c r="M849" t="s">
        <v>86</v>
      </c>
      <c r="N849">
        <v>3</v>
      </c>
      <c r="O849" s="1">
        <v>44208.461805555555</v>
      </c>
      <c r="P849" s="1">
        <v>44208.528784722221</v>
      </c>
      <c r="Q849">
        <v>1986</v>
      </c>
      <c r="R849">
        <v>3801</v>
      </c>
      <c r="S849" t="b">
        <v>0</v>
      </c>
      <c r="T849" t="s">
        <v>87</v>
      </c>
      <c r="U849" t="b">
        <v>0</v>
      </c>
      <c r="V849" t="s">
        <v>168</v>
      </c>
      <c r="W849" s="1">
        <v>44208.503460648149</v>
      </c>
      <c r="X849">
        <v>3121</v>
      </c>
      <c r="Y849">
        <v>144</v>
      </c>
      <c r="Z849">
        <v>0</v>
      </c>
      <c r="AA849">
        <v>144</v>
      </c>
      <c r="AB849">
        <v>0</v>
      </c>
      <c r="AC849">
        <v>110</v>
      </c>
      <c r="AD849">
        <v>-44</v>
      </c>
      <c r="AE849">
        <v>0</v>
      </c>
      <c r="AF849">
        <v>0</v>
      </c>
      <c r="AG849">
        <v>0</v>
      </c>
      <c r="AH849" t="s">
        <v>108</v>
      </c>
      <c r="AI849" s="1">
        <v>44208.51394675926</v>
      </c>
      <c r="AJ849">
        <v>638</v>
      </c>
      <c r="AK849">
        <v>4</v>
      </c>
      <c r="AL849">
        <v>0</v>
      </c>
      <c r="AM849">
        <v>4</v>
      </c>
      <c r="AN849">
        <v>0</v>
      </c>
      <c r="AO849">
        <v>2</v>
      </c>
      <c r="AP849">
        <v>-48</v>
      </c>
      <c r="AQ849">
        <v>0</v>
      </c>
      <c r="AR849">
        <v>0</v>
      </c>
      <c r="AS849">
        <v>0</v>
      </c>
      <c r="AT849" t="s">
        <v>90</v>
      </c>
      <c r="AU849" s="1">
        <v>44208.528784722221</v>
      </c>
      <c r="AV849">
        <v>25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-48</v>
      </c>
      <c r="BC849">
        <v>0</v>
      </c>
      <c r="BD849">
        <v>0</v>
      </c>
      <c r="BE849">
        <v>0</v>
      </c>
    </row>
    <row r="850" spans="1:57" x14ac:dyDescent="0.45">
      <c r="A850" t="s">
        <v>2230</v>
      </c>
      <c r="B850" t="s">
        <v>79</v>
      </c>
      <c r="C850" t="s">
        <v>2231</v>
      </c>
      <c r="D850" t="s">
        <v>81</v>
      </c>
      <c r="E850" s="2" t="str">
        <f>HYPERLINK("capsilon://?command=openfolder&amp;siteaddress=FAM.docvelocity-na8.net&amp;folderid=FX084AA432-4E7D-CDF2-DE39-66935F38EF6C","FX201229023")</f>
        <v>FX201229023</v>
      </c>
      <c r="F850" t="s">
        <v>19</v>
      </c>
      <c r="G850" t="s">
        <v>19</v>
      </c>
      <c r="H850" t="s">
        <v>82</v>
      </c>
      <c r="I850" t="s">
        <v>2232</v>
      </c>
      <c r="J850">
        <v>325</v>
      </c>
      <c r="K850" t="s">
        <v>84</v>
      </c>
      <c r="L850" t="s">
        <v>85</v>
      </c>
      <c r="M850" t="s">
        <v>86</v>
      </c>
      <c r="N850">
        <v>3</v>
      </c>
      <c r="O850" s="1">
        <v>44200.610092592593</v>
      </c>
      <c r="P850" s="1">
        <v>44201.385150462964</v>
      </c>
      <c r="Q850">
        <v>64335</v>
      </c>
      <c r="R850">
        <v>2630</v>
      </c>
      <c r="S850" t="b">
        <v>0</v>
      </c>
      <c r="T850" t="s">
        <v>87</v>
      </c>
      <c r="U850" t="b">
        <v>0</v>
      </c>
      <c r="V850" t="s">
        <v>255</v>
      </c>
      <c r="W850" s="1">
        <v>44200.737893518519</v>
      </c>
      <c r="X850">
        <v>1496</v>
      </c>
      <c r="Y850">
        <v>268</v>
      </c>
      <c r="Z850">
        <v>0</v>
      </c>
      <c r="AA850">
        <v>268</v>
      </c>
      <c r="AB850">
        <v>37</v>
      </c>
      <c r="AC850">
        <v>140</v>
      </c>
      <c r="AD850">
        <v>57</v>
      </c>
      <c r="AE850">
        <v>0</v>
      </c>
      <c r="AF850">
        <v>0</v>
      </c>
      <c r="AG850">
        <v>0</v>
      </c>
      <c r="AH850" t="s">
        <v>94</v>
      </c>
      <c r="AI850" s="1">
        <v>44200.769050925926</v>
      </c>
      <c r="AJ850">
        <v>854</v>
      </c>
      <c r="AK850">
        <v>0</v>
      </c>
      <c r="AL850">
        <v>0</v>
      </c>
      <c r="AM850">
        <v>0</v>
      </c>
      <c r="AN850">
        <v>37</v>
      </c>
      <c r="AO850">
        <v>0</v>
      </c>
      <c r="AP850">
        <v>57</v>
      </c>
      <c r="AQ850">
        <v>0</v>
      </c>
      <c r="AR850">
        <v>0</v>
      </c>
      <c r="AS850">
        <v>0</v>
      </c>
      <c r="AT850" t="s">
        <v>549</v>
      </c>
      <c r="AU850" s="1">
        <v>44201.385150462964</v>
      </c>
      <c r="AV850">
        <v>280</v>
      </c>
      <c r="AW850">
        <v>0</v>
      </c>
      <c r="AX850">
        <v>0</v>
      </c>
      <c r="AY850">
        <v>0</v>
      </c>
      <c r="AZ850">
        <v>37</v>
      </c>
      <c r="BA850">
        <v>0</v>
      </c>
      <c r="BB850">
        <v>57</v>
      </c>
      <c r="BC850">
        <v>0</v>
      </c>
      <c r="BD850">
        <v>0</v>
      </c>
      <c r="BE850">
        <v>0</v>
      </c>
    </row>
    <row r="851" spans="1:57" x14ac:dyDescent="0.45">
      <c r="A851" t="s">
        <v>2233</v>
      </c>
      <c r="B851" t="s">
        <v>79</v>
      </c>
      <c r="C851" t="s">
        <v>2234</v>
      </c>
      <c r="D851" t="s">
        <v>81</v>
      </c>
      <c r="E851" s="2" t="str">
        <f>HYPERLINK("capsilon://?command=openfolder&amp;siteaddress=FAM.docvelocity-na8.net&amp;folderid=FXE4AEE163-953A-0F64-B70C-8A23167A726A","FX21013741")</f>
        <v>FX21013741</v>
      </c>
      <c r="F851" t="s">
        <v>19</v>
      </c>
      <c r="G851" t="s">
        <v>19</v>
      </c>
      <c r="H851" t="s">
        <v>82</v>
      </c>
      <c r="I851" t="s">
        <v>2235</v>
      </c>
      <c r="J851">
        <v>152</v>
      </c>
      <c r="K851" t="s">
        <v>84</v>
      </c>
      <c r="L851" t="s">
        <v>85</v>
      </c>
      <c r="M851" t="s">
        <v>86</v>
      </c>
      <c r="N851">
        <v>3</v>
      </c>
      <c r="O851" s="1">
        <v>44208.465115740742</v>
      </c>
      <c r="P851" s="1">
        <v>44208.529988425929</v>
      </c>
      <c r="Q851">
        <v>456</v>
      </c>
      <c r="R851">
        <v>5149</v>
      </c>
      <c r="S851" t="b">
        <v>0</v>
      </c>
      <c r="T851" t="s">
        <v>87</v>
      </c>
      <c r="U851" t="b">
        <v>0</v>
      </c>
      <c r="V851" t="s">
        <v>179</v>
      </c>
      <c r="W851" s="1">
        <v>44208.516759259262</v>
      </c>
      <c r="X851">
        <v>4246</v>
      </c>
      <c r="Y851">
        <v>206</v>
      </c>
      <c r="Z851">
        <v>0</v>
      </c>
      <c r="AA851">
        <v>206</v>
      </c>
      <c r="AB851">
        <v>0</v>
      </c>
      <c r="AC851">
        <v>135</v>
      </c>
      <c r="AD851">
        <v>-54</v>
      </c>
      <c r="AE851">
        <v>0</v>
      </c>
      <c r="AF851">
        <v>0</v>
      </c>
      <c r="AG851">
        <v>0</v>
      </c>
      <c r="AH851" t="s">
        <v>128</v>
      </c>
      <c r="AI851" s="1">
        <v>44208.528645833336</v>
      </c>
      <c r="AJ851">
        <v>799</v>
      </c>
      <c r="AK851">
        <v>0</v>
      </c>
      <c r="AL851">
        <v>0</v>
      </c>
      <c r="AM851">
        <v>0</v>
      </c>
      <c r="AN851">
        <v>86</v>
      </c>
      <c r="AO851">
        <v>0</v>
      </c>
      <c r="AP851">
        <v>-54</v>
      </c>
      <c r="AQ851">
        <v>0</v>
      </c>
      <c r="AR851">
        <v>0</v>
      </c>
      <c r="AS851">
        <v>0</v>
      </c>
      <c r="AT851" t="s">
        <v>90</v>
      </c>
      <c r="AU851" s="1">
        <v>44208.529988425929</v>
      </c>
      <c r="AV851">
        <v>104</v>
      </c>
      <c r="AW851">
        <v>0</v>
      </c>
      <c r="AX851">
        <v>0</v>
      </c>
      <c r="AY851">
        <v>0</v>
      </c>
      <c r="AZ851">
        <v>86</v>
      </c>
      <c r="BA851">
        <v>0</v>
      </c>
      <c r="BB851">
        <v>-54</v>
      </c>
      <c r="BC851">
        <v>0</v>
      </c>
      <c r="BD851">
        <v>0</v>
      </c>
      <c r="BE851">
        <v>0</v>
      </c>
    </row>
    <row r="852" spans="1:57" x14ac:dyDescent="0.45">
      <c r="A852" t="s">
        <v>2236</v>
      </c>
      <c r="B852" t="s">
        <v>79</v>
      </c>
      <c r="C852" t="s">
        <v>2237</v>
      </c>
      <c r="D852" t="s">
        <v>81</v>
      </c>
      <c r="E852" s="2" t="str">
        <f>HYPERLINK("capsilon://?command=openfolder&amp;siteaddress=FAM.docvelocity-na8.net&amp;folderid=FXCA989868-B26D-A0D9-D6C0-39DC0FFB723B","FX21013652")</f>
        <v>FX21013652</v>
      </c>
      <c r="F852" t="s">
        <v>19</v>
      </c>
      <c r="G852" t="s">
        <v>19</v>
      </c>
      <c r="H852" t="s">
        <v>82</v>
      </c>
      <c r="I852" t="s">
        <v>2238</v>
      </c>
      <c r="J852">
        <v>188</v>
      </c>
      <c r="K852" t="s">
        <v>84</v>
      </c>
      <c r="L852" t="s">
        <v>85</v>
      </c>
      <c r="M852" t="s">
        <v>86</v>
      </c>
      <c r="N852">
        <v>3</v>
      </c>
      <c r="O852" s="1">
        <v>44208.470370370371</v>
      </c>
      <c r="P852" s="1">
        <v>44208.530509259261</v>
      </c>
      <c r="Q852">
        <v>2855</v>
      </c>
      <c r="R852">
        <v>2341</v>
      </c>
      <c r="S852" t="b">
        <v>0</v>
      </c>
      <c r="T852" t="s">
        <v>87</v>
      </c>
      <c r="U852" t="b">
        <v>0</v>
      </c>
      <c r="V852" t="s">
        <v>160</v>
      </c>
      <c r="W852" s="1">
        <v>44208.491342592592</v>
      </c>
      <c r="X852">
        <v>1812</v>
      </c>
      <c r="Y852">
        <v>175</v>
      </c>
      <c r="Z852">
        <v>0</v>
      </c>
      <c r="AA852">
        <v>175</v>
      </c>
      <c r="AB852">
        <v>0</v>
      </c>
      <c r="AC852">
        <v>70</v>
      </c>
      <c r="AD852">
        <v>13</v>
      </c>
      <c r="AE852">
        <v>0</v>
      </c>
      <c r="AF852">
        <v>0</v>
      </c>
      <c r="AG852">
        <v>0</v>
      </c>
      <c r="AH852" t="s">
        <v>128</v>
      </c>
      <c r="AI852" s="1">
        <v>44208.506273148145</v>
      </c>
      <c r="AJ852">
        <v>461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13</v>
      </c>
      <c r="AQ852">
        <v>0</v>
      </c>
      <c r="AR852">
        <v>0</v>
      </c>
      <c r="AS852">
        <v>0</v>
      </c>
      <c r="AT852" t="s">
        <v>90</v>
      </c>
      <c r="AU852" s="1">
        <v>44208.530509259261</v>
      </c>
      <c r="AV852">
        <v>45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13</v>
      </c>
      <c r="BC852">
        <v>0</v>
      </c>
      <c r="BD852">
        <v>0</v>
      </c>
      <c r="BE852">
        <v>0</v>
      </c>
    </row>
    <row r="853" spans="1:57" x14ac:dyDescent="0.45">
      <c r="A853" t="s">
        <v>2239</v>
      </c>
      <c r="B853" t="s">
        <v>79</v>
      </c>
      <c r="C853" t="s">
        <v>2240</v>
      </c>
      <c r="D853" t="s">
        <v>81</v>
      </c>
      <c r="E853" s="2" t="str">
        <f>HYPERLINK("capsilon://?command=openfolder&amp;siteaddress=FAM.docvelocity-na8.net&amp;folderid=FX7AAD4FCD-18B9-8DFE-65C9-4290AFDC0DCF","FX21015545")</f>
        <v>FX21015545</v>
      </c>
      <c r="F853" t="s">
        <v>19</v>
      </c>
      <c r="G853" t="s">
        <v>19</v>
      </c>
      <c r="H853" t="s">
        <v>82</v>
      </c>
      <c r="I853" t="s">
        <v>2241</v>
      </c>
      <c r="J853">
        <v>169</v>
      </c>
      <c r="K853" t="s">
        <v>84</v>
      </c>
      <c r="L853" t="s">
        <v>85</v>
      </c>
      <c r="M853" t="s">
        <v>86</v>
      </c>
      <c r="N853">
        <v>3</v>
      </c>
      <c r="O853" s="1">
        <v>44208.474421296298</v>
      </c>
      <c r="P853" s="1">
        <v>44208.544872685183</v>
      </c>
      <c r="Q853">
        <v>939</v>
      </c>
      <c r="R853">
        <v>5148</v>
      </c>
      <c r="S853" t="b">
        <v>0</v>
      </c>
      <c r="T853" t="s">
        <v>87</v>
      </c>
      <c r="U853" t="b">
        <v>0</v>
      </c>
      <c r="V853" t="s">
        <v>259</v>
      </c>
      <c r="W853" s="1">
        <v>44208.497418981482</v>
      </c>
      <c r="X853">
        <v>1945</v>
      </c>
      <c r="Y853">
        <v>156</v>
      </c>
      <c r="Z853">
        <v>0</v>
      </c>
      <c r="AA853">
        <v>156</v>
      </c>
      <c r="AB853">
        <v>0</v>
      </c>
      <c r="AC853">
        <v>75</v>
      </c>
      <c r="AD853">
        <v>13</v>
      </c>
      <c r="AE853">
        <v>0</v>
      </c>
      <c r="AF853">
        <v>0</v>
      </c>
      <c r="AG853">
        <v>0</v>
      </c>
      <c r="AH853" t="s">
        <v>89</v>
      </c>
      <c r="AI853" s="1">
        <v>44208.543726851851</v>
      </c>
      <c r="AJ853">
        <v>3167</v>
      </c>
      <c r="AK853">
        <v>4</v>
      </c>
      <c r="AL853">
        <v>0</v>
      </c>
      <c r="AM853">
        <v>4</v>
      </c>
      <c r="AN853">
        <v>0</v>
      </c>
      <c r="AO853">
        <v>3</v>
      </c>
      <c r="AP853">
        <v>9</v>
      </c>
      <c r="AQ853">
        <v>0</v>
      </c>
      <c r="AR853">
        <v>0</v>
      </c>
      <c r="AS853">
        <v>0</v>
      </c>
      <c r="AT853" t="s">
        <v>90</v>
      </c>
      <c r="AU853" s="1">
        <v>44208.544872685183</v>
      </c>
      <c r="AV853">
        <v>24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9</v>
      </c>
      <c r="BC853">
        <v>0</v>
      </c>
      <c r="BD853">
        <v>0</v>
      </c>
      <c r="BE853">
        <v>0</v>
      </c>
    </row>
    <row r="854" spans="1:57" x14ac:dyDescent="0.45">
      <c r="A854" t="s">
        <v>2242</v>
      </c>
      <c r="B854" t="s">
        <v>79</v>
      </c>
      <c r="C854" t="s">
        <v>2243</v>
      </c>
      <c r="D854" t="s">
        <v>81</v>
      </c>
      <c r="E854" s="2" t="str">
        <f>HYPERLINK("capsilon://?command=openfolder&amp;siteaddress=FAM.docvelocity-na8.net&amp;folderid=FXE2F9FDEE-1CA8-A9E4-D764-E15BE3C4AF34","FX21015498")</f>
        <v>FX21015498</v>
      </c>
      <c r="F854" t="s">
        <v>19</v>
      </c>
      <c r="G854" t="s">
        <v>19</v>
      </c>
      <c r="H854" t="s">
        <v>82</v>
      </c>
      <c r="I854" t="s">
        <v>2244</v>
      </c>
      <c r="J854">
        <v>206</v>
      </c>
      <c r="K854" t="s">
        <v>84</v>
      </c>
      <c r="L854" t="s">
        <v>85</v>
      </c>
      <c r="M854" t="s">
        <v>86</v>
      </c>
      <c r="N854">
        <v>3</v>
      </c>
      <c r="O854" s="1">
        <v>44208.477870370371</v>
      </c>
      <c r="P854" s="1">
        <v>44208.577013888891</v>
      </c>
      <c r="Q854">
        <v>3166</v>
      </c>
      <c r="R854">
        <v>5400</v>
      </c>
      <c r="S854" t="b">
        <v>0</v>
      </c>
      <c r="T854" t="s">
        <v>87</v>
      </c>
      <c r="U854" t="b">
        <v>0</v>
      </c>
      <c r="V854" t="s">
        <v>146</v>
      </c>
      <c r="W854" s="1">
        <v>44208.52065972222</v>
      </c>
      <c r="X854">
        <v>3696</v>
      </c>
      <c r="Y854">
        <v>187</v>
      </c>
      <c r="Z854">
        <v>0</v>
      </c>
      <c r="AA854">
        <v>187</v>
      </c>
      <c r="AB854">
        <v>0</v>
      </c>
      <c r="AC854">
        <v>63</v>
      </c>
      <c r="AD854">
        <v>19</v>
      </c>
      <c r="AE854">
        <v>0</v>
      </c>
      <c r="AF854">
        <v>0</v>
      </c>
      <c r="AG854">
        <v>0</v>
      </c>
      <c r="AH854" t="s">
        <v>128</v>
      </c>
      <c r="AI854" s="1">
        <v>44208.546759259261</v>
      </c>
      <c r="AJ854">
        <v>1565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18</v>
      </c>
      <c r="AQ854">
        <v>0</v>
      </c>
      <c r="AR854">
        <v>0</v>
      </c>
      <c r="AS854">
        <v>0</v>
      </c>
      <c r="AT854" t="s">
        <v>90</v>
      </c>
      <c r="AU854" s="1">
        <v>44208.577013888891</v>
      </c>
      <c r="AV854">
        <v>37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18</v>
      </c>
      <c r="BC854">
        <v>0</v>
      </c>
      <c r="BD854">
        <v>0</v>
      </c>
      <c r="BE854">
        <v>0</v>
      </c>
    </row>
    <row r="855" spans="1:57" hidden="1" x14ac:dyDescent="0.45">
      <c r="A855" t="s">
        <v>2245</v>
      </c>
      <c r="B855" t="s">
        <v>79</v>
      </c>
      <c r="C855" t="s">
        <v>2246</v>
      </c>
      <c r="D855" t="s">
        <v>81</v>
      </c>
      <c r="E855" s="2" t="str">
        <f>HYPERLINK("capsilon://?command=openfolder&amp;siteaddress=FAM.docvelocity-na8.net&amp;folderid=FXBF39C21F-E0CC-EAFE-180E-C1C4B5FDF21A","FX201112027")</f>
        <v>FX201112027</v>
      </c>
      <c r="F855" t="s">
        <v>19</v>
      </c>
      <c r="G855" t="s">
        <v>19</v>
      </c>
      <c r="H855" t="s">
        <v>82</v>
      </c>
      <c r="I855" t="s">
        <v>2247</v>
      </c>
      <c r="J855">
        <v>107</v>
      </c>
      <c r="K855" t="s">
        <v>84</v>
      </c>
      <c r="L855" t="s">
        <v>85</v>
      </c>
      <c r="M855" t="s">
        <v>86</v>
      </c>
      <c r="N855">
        <v>1</v>
      </c>
      <c r="O855" s="1">
        <v>44208.481828703705</v>
      </c>
      <c r="P855" s="1">
        <v>44208.498182870368</v>
      </c>
      <c r="Q855">
        <v>361</v>
      </c>
      <c r="R855">
        <v>1052</v>
      </c>
      <c r="S855" t="b">
        <v>0</v>
      </c>
      <c r="T855" t="s">
        <v>87</v>
      </c>
      <c r="U855" t="b">
        <v>0</v>
      </c>
      <c r="V855" t="s">
        <v>255</v>
      </c>
      <c r="W855" s="1">
        <v>44208.498182870368</v>
      </c>
      <c r="X855">
        <v>400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107</v>
      </c>
      <c r="AE855">
        <v>103</v>
      </c>
      <c r="AF855">
        <v>0</v>
      </c>
      <c r="AG855">
        <v>9</v>
      </c>
      <c r="AH855" t="s">
        <v>87</v>
      </c>
      <c r="AI855" t="s">
        <v>87</v>
      </c>
      <c r="AJ855" t="s">
        <v>87</v>
      </c>
      <c r="AK855" t="s">
        <v>87</v>
      </c>
      <c r="AL855" t="s">
        <v>87</v>
      </c>
      <c r="AM855" t="s">
        <v>87</v>
      </c>
      <c r="AN855" t="s">
        <v>87</v>
      </c>
      <c r="AO855" t="s">
        <v>87</v>
      </c>
      <c r="AP855" t="s">
        <v>87</v>
      </c>
      <c r="AQ855" t="s">
        <v>87</v>
      </c>
      <c r="AR855" t="s">
        <v>87</v>
      </c>
      <c r="AS855" t="s">
        <v>87</v>
      </c>
      <c r="AT855" t="s">
        <v>87</v>
      </c>
      <c r="AU855" t="s">
        <v>87</v>
      </c>
      <c r="AV855" t="s">
        <v>87</v>
      </c>
      <c r="AW855" t="s">
        <v>87</v>
      </c>
      <c r="AX855" t="s">
        <v>87</v>
      </c>
      <c r="AY855" t="s">
        <v>87</v>
      </c>
      <c r="AZ855" t="s">
        <v>87</v>
      </c>
      <c r="BA855" t="s">
        <v>87</v>
      </c>
      <c r="BB855" t="s">
        <v>87</v>
      </c>
      <c r="BC855" t="s">
        <v>87</v>
      </c>
      <c r="BD855" t="s">
        <v>87</v>
      </c>
      <c r="BE855" t="s">
        <v>87</v>
      </c>
    </row>
    <row r="856" spans="1:57" hidden="1" x14ac:dyDescent="0.45">
      <c r="A856" t="s">
        <v>2248</v>
      </c>
      <c r="B856" t="s">
        <v>79</v>
      </c>
      <c r="C856" t="s">
        <v>2246</v>
      </c>
      <c r="D856" t="s">
        <v>81</v>
      </c>
      <c r="E856" s="2" t="str">
        <f>HYPERLINK("capsilon://?command=openfolder&amp;siteaddress=FAM.docvelocity-na8.net&amp;folderid=FXBF39C21F-E0CC-EAFE-180E-C1C4B5FDF21A","FX201112027")</f>
        <v>FX201112027</v>
      </c>
      <c r="F856" t="s">
        <v>19</v>
      </c>
      <c r="G856" t="s">
        <v>19</v>
      </c>
      <c r="H856" t="s">
        <v>82</v>
      </c>
      <c r="I856" t="s">
        <v>2249</v>
      </c>
      <c r="J856">
        <v>107</v>
      </c>
      <c r="K856" t="s">
        <v>84</v>
      </c>
      <c r="L856" t="s">
        <v>85</v>
      </c>
      <c r="M856" t="s">
        <v>86</v>
      </c>
      <c r="N856">
        <v>1</v>
      </c>
      <c r="O856" s="1">
        <v>44208.484039351853</v>
      </c>
      <c r="P856" s="1">
        <v>44208.492048611108</v>
      </c>
      <c r="Q856">
        <v>35</v>
      </c>
      <c r="R856">
        <v>657</v>
      </c>
      <c r="S856" t="b">
        <v>0</v>
      </c>
      <c r="T856" t="s">
        <v>87</v>
      </c>
      <c r="U856" t="b">
        <v>0</v>
      </c>
      <c r="V856" t="s">
        <v>255</v>
      </c>
      <c r="W856" s="1">
        <v>44208.492048611108</v>
      </c>
      <c r="X856">
        <v>508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107</v>
      </c>
      <c r="AE856">
        <v>103</v>
      </c>
      <c r="AF856">
        <v>0</v>
      </c>
      <c r="AG856">
        <v>9</v>
      </c>
      <c r="AH856" t="s">
        <v>87</v>
      </c>
      <c r="AI856" t="s">
        <v>87</v>
      </c>
      <c r="AJ856" t="s">
        <v>87</v>
      </c>
      <c r="AK856" t="s">
        <v>87</v>
      </c>
      <c r="AL856" t="s">
        <v>87</v>
      </c>
      <c r="AM856" t="s">
        <v>87</v>
      </c>
      <c r="AN856" t="s">
        <v>87</v>
      </c>
      <c r="AO856" t="s">
        <v>87</v>
      </c>
      <c r="AP856" t="s">
        <v>87</v>
      </c>
      <c r="AQ856" t="s">
        <v>87</v>
      </c>
      <c r="AR856" t="s">
        <v>87</v>
      </c>
      <c r="AS856" t="s">
        <v>87</v>
      </c>
      <c r="AT856" t="s">
        <v>87</v>
      </c>
      <c r="AU856" t="s">
        <v>87</v>
      </c>
      <c r="AV856" t="s">
        <v>87</v>
      </c>
      <c r="AW856" t="s">
        <v>87</v>
      </c>
      <c r="AX856" t="s">
        <v>87</v>
      </c>
      <c r="AY856" t="s">
        <v>87</v>
      </c>
      <c r="AZ856" t="s">
        <v>87</v>
      </c>
      <c r="BA856" t="s">
        <v>87</v>
      </c>
      <c r="BB856" t="s">
        <v>87</v>
      </c>
      <c r="BC856" t="s">
        <v>87</v>
      </c>
      <c r="BD856" t="s">
        <v>87</v>
      </c>
      <c r="BE856" t="s">
        <v>87</v>
      </c>
    </row>
    <row r="857" spans="1:57" x14ac:dyDescent="0.45">
      <c r="A857" t="s">
        <v>2250</v>
      </c>
      <c r="B857" t="s">
        <v>79</v>
      </c>
      <c r="C857" t="s">
        <v>2215</v>
      </c>
      <c r="D857" t="s">
        <v>81</v>
      </c>
      <c r="E857" s="2" t="str">
        <f>HYPERLINK("capsilon://?command=openfolder&amp;siteaddress=FAM.docvelocity-na8.net&amp;folderid=FX836FED4F-215B-446B-1405-EA5FAC9A9410","FX21014502")</f>
        <v>FX21014502</v>
      </c>
      <c r="F857" t="s">
        <v>19</v>
      </c>
      <c r="G857" t="s">
        <v>19</v>
      </c>
      <c r="H857" t="s">
        <v>82</v>
      </c>
      <c r="I857" t="s">
        <v>2216</v>
      </c>
      <c r="J857">
        <v>261</v>
      </c>
      <c r="K857" t="s">
        <v>84</v>
      </c>
      <c r="L857" t="s">
        <v>85</v>
      </c>
      <c r="M857" t="s">
        <v>86</v>
      </c>
      <c r="N857">
        <v>3</v>
      </c>
      <c r="O857" s="1">
        <v>44208.485289351855</v>
      </c>
      <c r="P857" s="1">
        <v>44208.573634259257</v>
      </c>
      <c r="Q857">
        <v>2582</v>
      </c>
      <c r="R857">
        <v>5051</v>
      </c>
      <c r="S857" t="b">
        <v>0</v>
      </c>
      <c r="T857" t="s">
        <v>87</v>
      </c>
      <c r="U857" t="b">
        <v>1</v>
      </c>
      <c r="V857" t="s">
        <v>98</v>
      </c>
      <c r="W857" s="1">
        <v>44208.537604166668</v>
      </c>
      <c r="X857">
        <v>4104</v>
      </c>
      <c r="Y857">
        <v>201</v>
      </c>
      <c r="Z857">
        <v>0</v>
      </c>
      <c r="AA857">
        <v>201</v>
      </c>
      <c r="AB857">
        <v>0</v>
      </c>
      <c r="AC857">
        <v>137</v>
      </c>
      <c r="AD857">
        <v>60</v>
      </c>
      <c r="AE857">
        <v>0</v>
      </c>
      <c r="AF857">
        <v>0</v>
      </c>
      <c r="AG857">
        <v>0</v>
      </c>
      <c r="AH857" t="s">
        <v>128</v>
      </c>
      <c r="AI857" s="1">
        <v>44208.555590277778</v>
      </c>
      <c r="AJ857">
        <v>762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60</v>
      </c>
      <c r="AQ857">
        <v>0</v>
      </c>
      <c r="AR857">
        <v>0</v>
      </c>
      <c r="AS857">
        <v>0</v>
      </c>
      <c r="AT857" t="s">
        <v>90</v>
      </c>
      <c r="AU857" s="1">
        <v>44208.573634259257</v>
      </c>
      <c r="AV857">
        <v>25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60</v>
      </c>
      <c r="BC857">
        <v>0</v>
      </c>
      <c r="BD857">
        <v>0</v>
      </c>
      <c r="BE857">
        <v>0</v>
      </c>
    </row>
    <row r="858" spans="1:57" x14ac:dyDescent="0.45">
      <c r="A858" t="s">
        <v>2251</v>
      </c>
      <c r="B858" t="s">
        <v>79</v>
      </c>
      <c r="C858" t="s">
        <v>2252</v>
      </c>
      <c r="D858" t="s">
        <v>81</v>
      </c>
      <c r="E858" s="2" t="str">
        <f>HYPERLINK("capsilon://?command=openfolder&amp;siteaddress=FAM.docvelocity-na8.net&amp;folderid=FXA90022D5-9823-D729-0C26-622DC7039BD3","FX201228069")</f>
        <v>FX201228069</v>
      </c>
      <c r="F858" t="s">
        <v>19</v>
      </c>
      <c r="G858" t="s">
        <v>19</v>
      </c>
      <c r="H858" t="s">
        <v>82</v>
      </c>
      <c r="I858" t="s">
        <v>2253</v>
      </c>
      <c r="J858">
        <v>197</v>
      </c>
      <c r="K858" t="s">
        <v>84</v>
      </c>
      <c r="L858" t="s">
        <v>85</v>
      </c>
      <c r="M858" t="s">
        <v>86</v>
      </c>
      <c r="N858">
        <v>3</v>
      </c>
      <c r="O858" s="1">
        <v>44200.612141203703</v>
      </c>
      <c r="P858" s="1">
        <v>44201.383298611108</v>
      </c>
      <c r="Q858">
        <v>62732</v>
      </c>
      <c r="R858">
        <v>3896</v>
      </c>
      <c r="S858" t="b">
        <v>0</v>
      </c>
      <c r="T858" t="s">
        <v>87</v>
      </c>
      <c r="U858" t="b">
        <v>0</v>
      </c>
      <c r="V858" t="s">
        <v>88</v>
      </c>
      <c r="W858" s="1">
        <v>44200.757303240738</v>
      </c>
      <c r="X858">
        <v>2727</v>
      </c>
      <c r="Y858">
        <v>192</v>
      </c>
      <c r="Z858">
        <v>0</v>
      </c>
      <c r="AA858">
        <v>192</v>
      </c>
      <c r="AB858">
        <v>0</v>
      </c>
      <c r="AC858">
        <v>101</v>
      </c>
      <c r="AD858">
        <v>5</v>
      </c>
      <c r="AE858">
        <v>0</v>
      </c>
      <c r="AF858">
        <v>0</v>
      </c>
      <c r="AG858">
        <v>0</v>
      </c>
      <c r="AH858" t="s">
        <v>128</v>
      </c>
      <c r="AI858" s="1">
        <v>44200.775497685187</v>
      </c>
      <c r="AJ858">
        <v>1079</v>
      </c>
      <c r="AK858">
        <v>2</v>
      </c>
      <c r="AL858">
        <v>0</v>
      </c>
      <c r="AM858">
        <v>2</v>
      </c>
      <c r="AN858">
        <v>0</v>
      </c>
      <c r="AO858">
        <v>2</v>
      </c>
      <c r="AP858">
        <v>3</v>
      </c>
      <c r="AQ858">
        <v>0</v>
      </c>
      <c r="AR858">
        <v>0</v>
      </c>
      <c r="AS858">
        <v>0</v>
      </c>
      <c r="AT858" t="s">
        <v>90</v>
      </c>
      <c r="AU858" s="1">
        <v>44201.383298611108</v>
      </c>
      <c r="AV858">
        <v>90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3</v>
      </c>
      <c r="BC858">
        <v>0</v>
      </c>
      <c r="BD858">
        <v>0</v>
      </c>
      <c r="BE858">
        <v>0</v>
      </c>
    </row>
    <row r="859" spans="1:57" x14ac:dyDescent="0.45">
      <c r="A859" t="s">
        <v>2254</v>
      </c>
      <c r="B859" t="s">
        <v>79</v>
      </c>
      <c r="C859" t="s">
        <v>2246</v>
      </c>
      <c r="D859" t="s">
        <v>81</v>
      </c>
      <c r="E859" s="2" t="str">
        <f>HYPERLINK("capsilon://?command=openfolder&amp;siteaddress=FAM.docvelocity-na8.net&amp;folderid=FXBF39C21F-E0CC-EAFE-180E-C1C4B5FDF21A","FX201112027")</f>
        <v>FX201112027</v>
      </c>
      <c r="F859" t="s">
        <v>19</v>
      </c>
      <c r="G859" t="s">
        <v>19</v>
      </c>
      <c r="H859" t="s">
        <v>82</v>
      </c>
      <c r="I859" t="s">
        <v>2249</v>
      </c>
      <c r="J859">
        <v>451</v>
      </c>
      <c r="K859" t="s">
        <v>84</v>
      </c>
      <c r="L859" t="s">
        <v>85</v>
      </c>
      <c r="M859" t="s">
        <v>86</v>
      </c>
      <c r="N859">
        <v>3</v>
      </c>
      <c r="O859" s="1">
        <v>44208.494085648148</v>
      </c>
      <c r="P859" s="1">
        <v>44208.575856481482</v>
      </c>
      <c r="Q859">
        <v>3018</v>
      </c>
      <c r="R859">
        <v>4047</v>
      </c>
      <c r="S859" t="b">
        <v>0</v>
      </c>
      <c r="T859" t="s">
        <v>87</v>
      </c>
      <c r="U859" t="b">
        <v>1</v>
      </c>
      <c r="V859" t="s">
        <v>919</v>
      </c>
      <c r="W859" s="1">
        <v>44208.528807870367</v>
      </c>
      <c r="X859">
        <v>2971</v>
      </c>
      <c r="Y859">
        <v>415</v>
      </c>
      <c r="Z859">
        <v>0</v>
      </c>
      <c r="AA859">
        <v>415</v>
      </c>
      <c r="AB859">
        <v>0</v>
      </c>
      <c r="AC859">
        <v>86</v>
      </c>
      <c r="AD859">
        <v>36</v>
      </c>
      <c r="AE859">
        <v>0</v>
      </c>
      <c r="AF859">
        <v>0</v>
      </c>
      <c r="AG859">
        <v>0</v>
      </c>
      <c r="AH859" t="s">
        <v>132</v>
      </c>
      <c r="AI859" s="1">
        <v>44208.559583333335</v>
      </c>
      <c r="AJ859">
        <v>866</v>
      </c>
      <c r="AK859">
        <v>0</v>
      </c>
      <c r="AL859">
        <v>0</v>
      </c>
      <c r="AM859">
        <v>0</v>
      </c>
      <c r="AN859">
        <v>39</v>
      </c>
      <c r="AO859">
        <v>0</v>
      </c>
      <c r="AP859">
        <v>36</v>
      </c>
      <c r="AQ859">
        <v>0</v>
      </c>
      <c r="AR859">
        <v>0</v>
      </c>
      <c r="AS859">
        <v>0</v>
      </c>
      <c r="AT859" t="s">
        <v>90</v>
      </c>
      <c r="AU859" s="1">
        <v>44208.575856481482</v>
      </c>
      <c r="AV859">
        <v>191</v>
      </c>
      <c r="AW859">
        <v>0</v>
      </c>
      <c r="AX859">
        <v>0</v>
      </c>
      <c r="AY859">
        <v>0</v>
      </c>
      <c r="AZ859">
        <v>291</v>
      </c>
      <c r="BA859">
        <v>0</v>
      </c>
      <c r="BB859">
        <v>36</v>
      </c>
      <c r="BC859">
        <v>0</v>
      </c>
      <c r="BD859">
        <v>0</v>
      </c>
      <c r="BE859">
        <v>0</v>
      </c>
    </row>
    <row r="860" spans="1:57" x14ac:dyDescent="0.45">
      <c r="A860" t="s">
        <v>2255</v>
      </c>
      <c r="B860" t="s">
        <v>79</v>
      </c>
      <c r="C860" t="s">
        <v>2256</v>
      </c>
      <c r="D860" t="s">
        <v>81</v>
      </c>
      <c r="E860" s="2" t="str">
        <f>HYPERLINK("capsilon://?command=openfolder&amp;siteaddress=FAM.docvelocity-na8.net&amp;folderid=FX12B64DBF-2092-75E2-CB5F-61A3C45C931A","FX201225000")</f>
        <v>FX201225000</v>
      </c>
      <c r="F860" t="s">
        <v>19</v>
      </c>
      <c r="G860" t="s">
        <v>19</v>
      </c>
      <c r="H860" t="s">
        <v>82</v>
      </c>
      <c r="I860" t="s">
        <v>2257</v>
      </c>
      <c r="J860">
        <v>66</v>
      </c>
      <c r="K860" t="s">
        <v>84</v>
      </c>
      <c r="L860" t="s">
        <v>85</v>
      </c>
      <c r="M860" t="s">
        <v>86</v>
      </c>
      <c r="N860">
        <v>3</v>
      </c>
      <c r="O860" s="1">
        <v>44208.495243055557</v>
      </c>
      <c r="P860" s="1">
        <v>44208.577118055553</v>
      </c>
      <c r="Q860">
        <v>5459</v>
      </c>
      <c r="R860">
        <v>1615</v>
      </c>
      <c r="S860" t="b">
        <v>0</v>
      </c>
      <c r="T860" t="s">
        <v>87</v>
      </c>
      <c r="U860" t="b">
        <v>0</v>
      </c>
      <c r="V860" t="s">
        <v>88</v>
      </c>
      <c r="W860" s="1">
        <v>44208.511377314811</v>
      </c>
      <c r="X860">
        <v>1281</v>
      </c>
      <c r="Y860">
        <v>52</v>
      </c>
      <c r="Z860">
        <v>0</v>
      </c>
      <c r="AA860">
        <v>52</v>
      </c>
      <c r="AB860">
        <v>0</v>
      </c>
      <c r="AC860">
        <v>41</v>
      </c>
      <c r="AD860">
        <v>14</v>
      </c>
      <c r="AE860">
        <v>0</v>
      </c>
      <c r="AF860">
        <v>0</v>
      </c>
      <c r="AG860">
        <v>0</v>
      </c>
      <c r="AH860" t="s">
        <v>128</v>
      </c>
      <c r="AI860" s="1">
        <v>44208.559710648151</v>
      </c>
      <c r="AJ860">
        <v>232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14</v>
      </c>
      <c r="AQ860">
        <v>0</v>
      </c>
      <c r="AR860">
        <v>0</v>
      </c>
      <c r="AS860">
        <v>0</v>
      </c>
      <c r="AT860" t="s">
        <v>90</v>
      </c>
      <c r="AU860" s="1">
        <v>44208.577118055553</v>
      </c>
      <c r="AV860">
        <v>8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14</v>
      </c>
      <c r="BC860">
        <v>0</v>
      </c>
      <c r="BD860">
        <v>0</v>
      </c>
      <c r="BE860">
        <v>0</v>
      </c>
    </row>
    <row r="861" spans="1:57" x14ac:dyDescent="0.45">
      <c r="A861" t="s">
        <v>2258</v>
      </c>
      <c r="B861" t="s">
        <v>79</v>
      </c>
      <c r="C861" t="s">
        <v>2259</v>
      </c>
      <c r="D861" t="s">
        <v>81</v>
      </c>
      <c r="E861" s="2" t="str">
        <f>HYPERLINK("capsilon://?command=openfolder&amp;siteaddress=FAM.docvelocity-na8.net&amp;folderid=FX0345DC9A-0A60-89E3-BB42-62E775748689","FX21011200")</f>
        <v>FX21011200</v>
      </c>
      <c r="F861" t="s">
        <v>19</v>
      </c>
      <c r="G861" t="s">
        <v>19</v>
      </c>
      <c r="H861" t="s">
        <v>82</v>
      </c>
      <c r="I861" t="s">
        <v>2260</v>
      </c>
      <c r="J861">
        <v>354</v>
      </c>
      <c r="K861" t="s">
        <v>84</v>
      </c>
      <c r="L861" t="s">
        <v>85</v>
      </c>
      <c r="M861" t="s">
        <v>86</v>
      </c>
      <c r="N861">
        <v>3</v>
      </c>
      <c r="O861" s="1">
        <v>44208.498287037037</v>
      </c>
      <c r="P861" s="1">
        <v>44208.579108796293</v>
      </c>
      <c r="Q861">
        <v>3262</v>
      </c>
      <c r="R861">
        <v>3721</v>
      </c>
      <c r="S861" t="b">
        <v>0</v>
      </c>
      <c r="T861" t="s">
        <v>87</v>
      </c>
      <c r="U861" t="b">
        <v>0</v>
      </c>
      <c r="V861" t="s">
        <v>255</v>
      </c>
      <c r="W861" s="1">
        <v>44208.528182870374</v>
      </c>
      <c r="X861">
        <v>2579</v>
      </c>
      <c r="Y861">
        <v>376</v>
      </c>
      <c r="Z861">
        <v>0</v>
      </c>
      <c r="AA861">
        <v>376</v>
      </c>
      <c r="AB861">
        <v>0</v>
      </c>
      <c r="AC861">
        <v>199</v>
      </c>
      <c r="AD861">
        <v>-22</v>
      </c>
      <c r="AE861">
        <v>0</v>
      </c>
      <c r="AF861">
        <v>0</v>
      </c>
      <c r="AG861">
        <v>0</v>
      </c>
      <c r="AH861" t="s">
        <v>132</v>
      </c>
      <c r="AI861" s="1">
        <v>44208.570833333331</v>
      </c>
      <c r="AJ861">
        <v>971</v>
      </c>
      <c r="AK861">
        <v>2</v>
      </c>
      <c r="AL861">
        <v>0</v>
      </c>
      <c r="AM861">
        <v>2</v>
      </c>
      <c r="AN861">
        <v>0</v>
      </c>
      <c r="AO861">
        <v>1</v>
      </c>
      <c r="AP861">
        <v>-24</v>
      </c>
      <c r="AQ861">
        <v>0</v>
      </c>
      <c r="AR861">
        <v>0</v>
      </c>
      <c r="AS861">
        <v>0</v>
      </c>
      <c r="AT861" t="s">
        <v>90</v>
      </c>
      <c r="AU861" s="1">
        <v>44208.579108796293</v>
      </c>
      <c r="AV861">
        <v>171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-24</v>
      </c>
      <c r="BC861">
        <v>0</v>
      </c>
      <c r="BD861">
        <v>0</v>
      </c>
      <c r="BE861">
        <v>0</v>
      </c>
    </row>
    <row r="862" spans="1:57" x14ac:dyDescent="0.45">
      <c r="A862" t="s">
        <v>2261</v>
      </c>
      <c r="B862" t="s">
        <v>79</v>
      </c>
      <c r="C862" t="s">
        <v>2262</v>
      </c>
      <c r="D862" t="s">
        <v>81</v>
      </c>
      <c r="E862" s="2" t="str">
        <f>HYPERLINK("capsilon://?command=openfolder&amp;siteaddress=FAM.docvelocity-na8.net&amp;folderid=FX54FCBB5C-D4EA-0414-0853-3E248DB3125B","FX21014081")</f>
        <v>FX21014081</v>
      </c>
      <c r="F862" t="s">
        <v>19</v>
      </c>
      <c r="G862" t="s">
        <v>19</v>
      </c>
      <c r="H862" t="s">
        <v>82</v>
      </c>
      <c r="I862" t="s">
        <v>2263</v>
      </c>
      <c r="J862">
        <v>300</v>
      </c>
      <c r="K862" t="s">
        <v>84</v>
      </c>
      <c r="L862" t="s">
        <v>85</v>
      </c>
      <c r="M862" t="s">
        <v>86</v>
      </c>
      <c r="N862">
        <v>3</v>
      </c>
      <c r="O862" s="1">
        <v>44208.498657407406</v>
      </c>
      <c r="P862" s="1">
        <v>44208.582071759258</v>
      </c>
      <c r="Q862">
        <v>4408</v>
      </c>
      <c r="R862">
        <v>2799</v>
      </c>
      <c r="S862" t="b">
        <v>0</v>
      </c>
      <c r="T862" t="s">
        <v>87</v>
      </c>
      <c r="U862" t="b">
        <v>0</v>
      </c>
      <c r="V862" t="s">
        <v>343</v>
      </c>
      <c r="W862" s="1">
        <v>44208.546840277777</v>
      </c>
      <c r="X862">
        <v>1900</v>
      </c>
      <c r="Y862">
        <v>186</v>
      </c>
      <c r="Z862">
        <v>0</v>
      </c>
      <c r="AA862">
        <v>186</v>
      </c>
      <c r="AB862">
        <v>0</v>
      </c>
      <c r="AC862">
        <v>69</v>
      </c>
      <c r="AD862">
        <v>114</v>
      </c>
      <c r="AE862">
        <v>0</v>
      </c>
      <c r="AF862">
        <v>0</v>
      </c>
      <c r="AG862">
        <v>0</v>
      </c>
      <c r="AH862" t="s">
        <v>128</v>
      </c>
      <c r="AI862" s="1">
        <v>44208.567164351851</v>
      </c>
      <c r="AJ862">
        <v>644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114</v>
      </c>
      <c r="AQ862">
        <v>0</v>
      </c>
      <c r="AR862">
        <v>0</v>
      </c>
      <c r="AS862">
        <v>0</v>
      </c>
      <c r="AT862" t="s">
        <v>90</v>
      </c>
      <c r="AU862" s="1">
        <v>44208.582071759258</v>
      </c>
      <c r="AV862">
        <v>255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114</v>
      </c>
      <c r="BC862">
        <v>0</v>
      </c>
      <c r="BD862">
        <v>0</v>
      </c>
      <c r="BE862">
        <v>0</v>
      </c>
    </row>
    <row r="863" spans="1:57" x14ac:dyDescent="0.45">
      <c r="A863" t="s">
        <v>2264</v>
      </c>
      <c r="B863" t="s">
        <v>79</v>
      </c>
      <c r="C863" t="s">
        <v>2265</v>
      </c>
      <c r="D863" t="s">
        <v>81</v>
      </c>
      <c r="E863" s="2" t="str">
        <f>HYPERLINK("capsilon://?command=openfolder&amp;siteaddress=FAM.docvelocity-na8.net&amp;folderid=FX66533994-632A-A421-78D7-E2C20C394190","FX21012978")</f>
        <v>FX21012978</v>
      </c>
      <c r="F863" t="s">
        <v>19</v>
      </c>
      <c r="G863" t="s">
        <v>19</v>
      </c>
      <c r="H863" t="s">
        <v>82</v>
      </c>
      <c r="I863" t="s">
        <v>2266</v>
      </c>
      <c r="J863">
        <v>352</v>
      </c>
      <c r="K863" t="s">
        <v>84</v>
      </c>
      <c r="L863" t="s">
        <v>85</v>
      </c>
      <c r="M863" t="s">
        <v>86</v>
      </c>
      <c r="N863">
        <v>3</v>
      </c>
      <c r="O863" s="1">
        <v>44208.499374999999</v>
      </c>
      <c r="P863" s="1">
        <v>44208.582685185182</v>
      </c>
      <c r="Q863">
        <v>4614</v>
      </c>
      <c r="R863">
        <v>2584</v>
      </c>
      <c r="S863" t="b">
        <v>0</v>
      </c>
      <c r="T863" t="s">
        <v>87</v>
      </c>
      <c r="U863" t="b">
        <v>0</v>
      </c>
      <c r="V863" t="s">
        <v>171</v>
      </c>
      <c r="W863" s="1">
        <v>44208.525949074072</v>
      </c>
      <c r="X863">
        <v>1927</v>
      </c>
      <c r="Y863">
        <v>236</v>
      </c>
      <c r="Z863">
        <v>0</v>
      </c>
      <c r="AA863">
        <v>236</v>
      </c>
      <c r="AB863">
        <v>0</v>
      </c>
      <c r="AC863">
        <v>24</v>
      </c>
      <c r="AD863">
        <v>116</v>
      </c>
      <c r="AE863">
        <v>0</v>
      </c>
      <c r="AF863">
        <v>0</v>
      </c>
      <c r="AG863">
        <v>0</v>
      </c>
      <c r="AH863" t="s">
        <v>128</v>
      </c>
      <c r="AI863" s="1">
        <v>44208.57366898148</v>
      </c>
      <c r="AJ863">
        <v>560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116</v>
      </c>
      <c r="AQ863">
        <v>0</v>
      </c>
      <c r="AR863">
        <v>0</v>
      </c>
      <c r="AS863">
        <v>0</v>
      </c>
      <c r="AT863" t="s">
        <v>90</v>
      </c>
      <c r="AU863" s="1">
        <v>44208.582685185182</v>
      </c>
      <c r="AV863">
        <v>53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116</v>
      </c>
      <c r="BC863">
        <v>0</v>
      </c>
      <c r="BD863">
        <v>0</v>
      </c>
      <c r="BE863">
        <v>0</v>
      </c>
    </row>
    <row r="864" spans="1:57" x14ac:dyDescent="0.45">
      <c r="A864" t="s">
        <v>2267</v>
      </c>
      <c r="B864" t="s">
        <v>79</v>
      </c>
      <c r="C864" t="s">
        <v>2246</v>
      </c>
      <c r="D864" t="s">
        <v>81</v>
      </c>
      <c r="E864" s="2" t="str">
        <f>HYPERLINK("capsilon://?command=openfolder&amp;siteaddress=FAM.docvelocity-na8.net&amp;folderid=FXBF39C21F-E0CC-EAFE-180E-C1C4B5FDF21A","FX201112027")</f>
        <v>FX201112027</v>
      </c>
      <c r="F864" t="s">
        <v>19</v>
      </c>
      <c r="G864" t="s">
        <v>19</v>
      </c>
      <c r="H864" t="s">
        <v>82</v>
      </c>
      <c r="I864" t="s">
        <v>2247</v>
      </c>
      <c r="J864">
        <v>451</v>
      </c>
      <c r="K864" t="s">
        <v>84</v>
      </c>
      <c r="L864" t="s">
        <v>85</v>
      </c>
      <c r="M864" t="s">
        <v>86</v>
      </c>
      <c r="N864">
        <v>3</v>
      </c>
      <c r="O864" s="1">
        <v>44208.500277777777</v>
      </c>
      <c r="P864" s="1">
        <v>44208.576412037037</v>
      </c>
      <c r="Q864">
        <v>2887</v>
      </c>
      <c r="R864">
        <v>3691</v>
      </c>
      <c r="S864" t="b">
        <v>0</v>
      </c>
      <c r="T864" t="s">
        <v>87</v>
      </c>
      <c r="U864" t="b">
        <v>1</v>
      </c>
      <c r="V864" t="s">
        <v>242</v>
      </c>
      <c r="W864" s="1">
        <v>44208.515335648146</v>
      </c>
      <c r="X864">
        <v>1055</v>
      </c>
      <c r="Y864">
        <v>374</v>
      </c>
      <c r="Z864">
        <v>0</v>
      </c>
      <c r="AA864">
        <v>374</v>
      </c>
      <c r="AB864">
        <v>0</v>
      </c>
      <c r="AC864">
        <v>80</v>
      </c>
      <c r="AD864">
        <v>77</v>
      </c>
      <c r="AE864">
        <v>0</v>
      </c>
      <c r="AF864">
        <v>0</v>
      </c>
      <c r="AG864">
        <v>0</v>
      </c>
      <c r="AH864" t="s">
        <v>267</v>
      </c>
      <c r="AI864" s="1">
        <v>44208.548437500001</v>
      </c>
      <c r="AJ864">
        <v>2512</v>
      </c>
      <c r="AK864">
        <v>0</v>
      </c>
      <c r="AL864">
        <v>0</v>
      </c>
      <c r="AM864">
        <v>0</v>
      </c>
      <c r="AN864">
        <v>36</v>
      </c>
      <c r="AO864">
        <v>0</v>
      </c>
      <c r="AP864">
        <v>77</v>
      </c>
      <c r="AQ864">
        <v>0</v>
      </c>
      <c r="AR864">
        <v>0</v>
      </c>
      <c r="AS864">
        <v>0</v>
      </c>
      <c r="AT864" t="s">
        <v>90</v>
      </c>
      <c r="AU864" s="1">
        <v>44208.576412037037</v>
      </c>
      <c r="AV864">
        <v>48</v>
      </c>
      <c r="AW864">
        <v>0</v>
      </c>
      <c r="AX864">
        <v>0</v>
      </c>
      <c r="AY864">
        <v>0</v>
      </c>
      <c r="AZ864">
        <v>288</v>
      </c>
      <c r="BA864">
        <v>0</v>
      </c>
      <c r="BB864">
        <v>77</v>
      </c>
      <c r="BC864">
        <v>0</v>
      </c>
      <c r="BD864">
        <v>0</v>
      </c>
      <c r="BE864">
        <v>0</v>
      </c>
    </row>
    <row r="865" spans="1:57" x14ac:dyDescent="0.45">
      <c r="A865" t="s">
        <v>2268</v>
      </c>
      <c r="B865" t="s">
        <v>79</v>
      </c>
      <c r="C865" t="s">
        <v>2269</v>
      </c>
      <c r="D865" t="s">
        <v>81</v>
      </c>
      <c r="E865" s="2" t="str">
        <f>HYPERLINK("capsilon://?command=openfolder&amp;siteaddress=FAM.docvelocity-na8.net&amp;folderid=FX9AE414F7-9289-1BD0-31A3-47EB50290ABB","FX21014052")</f>
        <v>FX21014052</v>
      </c>
      <c r="F865" t="s">
        <v>19</v>
      </c>
      <c r="G865" t="s">
        <v>19</v>
      </c>
      <c r="H865" t="s">
        <v>82</v>
      </c>
      <c r="I865" t="s">
        <v>2270</v>
      </c>
      <c r="J865">
        <v>348</v>
      </c>
      <c r="K865" t="s">
        <v>84</v>
      </c>
      <c r="L865" t="s">
        <v>85</v>
      </c>
      <c r="M865" t="s">
        <v>86</v>
      </c>
      <c r="N865">
        <v>3</v>
      </c>
      <c r="O865" s="1">
        <v>44208.501944444448</v>
      </c>
      <c r="P865" s="1">
        <v>44208.585150462961</v>
      </c>
      <c r="Q865">
        <v>3080</v>
      </c>
      <c r="R865">
        <v>4109</v>
      </c>
      <c r="S865" t="b">
        <v>0</v>
      </c>
      <c r="T865" t="s">
        <v>87</v>
      </c>
      <c r="U865" t="b">
        <v>0</v>
      </c>
      <c r="V865" t="s">
        <v>419</v>
      </c>
      <c r="W865" s="1">
        <v>44208.545393518521</v>
      </c>
      <c r="X865">
        <v>3253</v>
      </c>
      <c r="Y865">
        <v>249</v>
      </c>
      <c r="Z865">
        <v>0</v>
      </c>
      <c r="AA865">
        <v>249</v>
      </c>
      <c r="AB865">
        <v>37</v>
      </c>
      <c r="AC865">
        <v>108</v>
      </c>
      <c r="AD865">
        <v>99</v>
      </c>
      <c r="AE865">
        <v>0</v>
      </c>
      <c r="AF865">
        <v>0</v>
      </c>
      <c r="AG865">
        <v>0</v>
      </c>
      <c r="AH865" t="s">
        <v>132</v>
      </c>
      <c r="AI865" s="1">
        <v>44208.576655092591</v>
      </c>
      <c r="AJ865">
        <v>502</v>
      </c>
      <c r="AK865">
        <v>0</v>
      </c>
      <c r="AL865">
        <v>0</v>
      </c>
      <c r="AM865">
        <v>0</v>
      </c>
      <c r="AN865">
        <v>37</v>
      </c>
      <c r="AO865">
        <v>0</v>
      </c>
      <c r="AP865">
        <v>99</v>
      </c>
      <c r="AQ865">
        <v>0</v>
      </c>
      <c r="AR865">
        <v>0</v>
      </c>
      <c r="AS865">
        <v>0</v>
      </c>
      <c r="AT865" t="s">
        <v>90</v>
      </c>
      <c r="AU865" s="1">
        <v>44208.585150462961</v>
      </c>
      <c r="AV865">
        <v>213</v>
      </c>
      <c r="AW865">
        <v>0</v>
      </c>
      <c r="AX865">
        <v>0</v>
      </c>
      <c r="AY865">
        <v>0</v>
      </c>
      <c r="AZ865">
        <v>37</v>
      </c>
      <c r="BA865">
        <v>0</v>
      </c>
      <c r="BB865">
        <v>99</v>
      </c>
      <c r="BC865">
        <v>0</v>
      </c>
      <c r="BD865">
        <v>0</v>
      </c>
      <c r="BE865">
        <v>0</v>
      </c>
    </row>
    <row r="866" spans="1:57" x14ac:dyDescent="0.45">
      <c r="A866" t="s">
        <v>2271</v>
      </c>
      <c r="B866" t="s">
        <v>79</v>
      </c>
      <c r="C866" t="s">
        <v>1807</v>
      </c>
      <c r="D866" t="s">
        <v>81</v>
      </c>
      <c r="E866" s="2" t="str">
        <f>HYPERLINK("capsilon://?command=openfolder&amp;siteaddress=FAM.docvelocity-na8.net&amp;folderid=FXBC5B85A4-60BC-18B7-C50E-83AEAC80491C","FX201227108")</f>
        <v>FX201227108</v>
      </c>
      <c r="F866" t="s">
        <v>19</v>
      </c>
      <c r="G866" t="s">
        <v>19</v>
      </c>
      <c r="H866" t="s">
        <v>82</v>
      </c>
      <c r="I866" t="s">
        <v>2272</v>
      </c>
      <c r="J866">
        <v>26</v>
      </c>
      <c r="K866" t="s">
        <v>84</v>
      </c>
      <c r="L866" t="s">
        <v>85</v>
      </c>
      <c r="M866" t="s">
        <v>86</v>
      </c>
      <c r="N866">
        <v>3</v>
      </c>
      <c r="O866" s="1">
        <v>44208.502025462964</v>
      </c>
      <c r="P866" s="1">
        <v>44208.585428240738</v>
      </c>
      <c r="Q866">
        <v>6778</v>
      </c>
      <c r="R866">
        <v>428</v>
      </c>
      <c r="S866" t="b">
        <v>0</v>
      </c>
      <c r="T866" t="s">
        <v>87</v>
      </c>
      <c r="U866" t="b">
        <v>0</v>
      </c>
      <c r="V866" t="s">
        <v>259</v>
      </c>
      <c r="W866" s="1">
        <v>44208.515567129631</v>
      </c>
      <c r="X866">
        <v>295</v>
      </c>
      <c r="Y866">
        <v>21</v>
      </c>
      <c r="Z866">
        <v>0</v>
      </c>
      <c r="AA866">
        <v>21</v>
      </c>
      <c r="AB866">
        <v>0</v>
      </c>
      <c r="AC866">
        <v>11</v>
      </c>
      <c r="AD866">
        <v>5</v>
      </c>
      <c r="AE866">
        <v>0</v>
      </c>
      <c r="AF866">
        <v>0</v>
      </c>
      <c r="AG866">
        <v>0</v>
      </c>
      <c r="AH866" t="s">
        <v>128</v>
      </c>
      <c r="AI866" s="1">
        <v>44208.574872685182</v>
      </c>
      <c r="AJ866">
        <v>103</v>
      </c>
      <c r="AK866">
        <v>1</v>
      </c>
      <c r="AL866">
        <v>0</v>
      </c>
      <c r="AM866">
        <v>1</v>
      </c>
      <c r="AN866">
        <v>0</v>
      </c>
      <c r="AO866">
        <v>1</v>
      </c>
      <c r="AP866">
        <v>4</v>
      </c>
      <c r="AQ866">
        <v>0</v>
      </c>
      <c r="AR866">
        <v>0</v>
      </c>
      <c r="AS866">
        <v>0</v>
      </c>
      <c r="AT866" t="s">
        <v>90</v>
      </c>
      <c r="AU866" s="1">
        <v>44208.585428240738</v>
      </c>
      <c r="AV866">
        <v>23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4</v>
      </c>
      <c r="BC866">
        <v>0</v>
      </c>
      <c r="BD866">
        <v>0</v>
      </c>
      <c r="BE866">
        <v>0</v>
      </c>
    </row>
    <row r="867" spans="1:57" x14ac:dyDescent="0.45">
      <c r="A867" t="s">
        <v>2273</v>
      </c>
      <c r="B867" t="s">
        <v>79</v>
      </c>
      <c r="C867" t="s">
        <v>2274</v>
      </c>
      <c r="D867" t="s">
        <v>81</v>
      </c>
      <c r="E867" s="2" t="str">
        <f>HYPERLINK("capsilon://?command=openfolder&amp;siteaddress=FAM.docvelocity-na8.net&amp;folderid=FX3D938018-DFA4-E673-B423-F4FDE548B063","FX201225439")</f>
        <v>FX201225439</v>
      </c>
      <c r="F867" t="s">
        <v>19</v>
      </c>
      <c r="G867" t="s">
        <v>19</v>
      </c>
      <c r="H867" t="s">
        <v>82</v>
      </c>
      <c r="I867" t="s">
        <v>2275</v>
      </c>
      <c r="J867">
        <v>152</v>
      </c>
      <c r="K867" t="s">
        <v>84</v>
      </c>
      <c r="L867" t="s">
        <v>85</v>
      </c>
      <c r="M867" t="s">
        <v>86</v>
      </c>
      <c r="N867">
        <v>3</v>
      </c>
      <c r="O867" s="1">
        <v>44200.613946759258</v>
      </c>
      <c r="P867" s="1">
        <v>44201.38417824074</v>
      </c>
      <c r="Q867">
        <v>65218</v>
      </c>
      <c r="R867">
        <v>1330</v>
      </c>
      <c r="S867" t="b">
        <v>0</v>
      </c>
      <c r="T867" t="s">
        <v>87</v>
      </c>
      <c r="U867" t="b">
        <v>0</v>
      </c>
      <c r="V867" t="s">
        <v>266</v>
      </c>
      <c r="W867" s="1">
        <v>44200.737164351849</v>
      </c>
      <c r="X867">
        <v>963</v>
      </c>
      <c r="Y867">
        <v>177</v>
      </c>
      <c r="Z867">
        <v>0</v>
      </c>
      <c r="AA867">
        <v>177</v>
      </c>
      <c r="AB867">
        <v>0</v>
      </c>
      <c r="AC867">
        <v>79</v>
      </c>
      <c r="AD867">
        <v>-25</v>
      </c>
      <c r="AE867">
        <v>0</v>
      </c>
      <c r="AF867">
        <v>0</v>
      </c>
      <c r="AG867">
        <v>0</v>
      </c>
      <c r="AH867" t="s">
        <v>267</v>
      </c>
      <c r="AI867" s="1">
        <v>44200.779456018521</v>
      </c>
      <c r="AJ867">
        <v>292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-25</v>
      </c>
      <c r="AQ867">
        <v>0</v>
      </c>
      <c r="AR867">
        <v>0</v>
      </c>
      <c r="AS867">
        <v>0</v>
      </c>
      <c r="AT867" t="s">
        <v>90</v>
      </c>
      <c r="AU867" s="1">
        <v>44201.38417824074</v>
      </c>
      <c r="AV867">
        <v>75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-25</v>
      </c>
      <c r="BC867">
        <v>0</v>
      </c>
      <c r="BD867">
        <v>0</v>
      </c>
      <c r="BE867">
        <v>0</v>
      </c>
    </row>
    <row r="868" spans="1:57" x14ac:dyDescent="0.45">
      <c r="A868" t="s">
        <v>2276</v>
      </c>
      <c r="B868" t="s">
        <v>79</v>
      </c>
      <c r="C868" t="s">
        <v>2277</v>
      </c>
      <c r="D868" t="s">
        <v>81</v>
      </c>
      <c r="E868" s="2" t="str">
        <f>HYPERLINK("capsilon://?command=openfolder&amp;siteaddress=FAM.docvelocity-na8.net&amp;folderid=FX75E5B3FB-B179-806A-D012-377E07D9E09F","FX21015621")</f>
        <v>FX21015621</v>
      </c>
      <c r="F868" t="s">
        <v>19</v>
      </c>
      <c r="G868" t="s">
        <v>19</v>
      </c>
      <c r="H868" t="s">
        <v>82</v>
      </c>
      <c r="I868" t="s">
        <v>2278</v>
      </c>
      <c r="J868">
        <v>246</v>
      </c>
      <c r="K868" t="s">
        <v>84</v>
      </c>
      <c r="L868" t="s">
        <v>85</v>
      </c>
      <c r="M868" t="s">
        <v>86</v>
      </c>
      <c r="N868">
        <v>3</v>
      </c>
      <c r="O868" s="1">
        <v>44208.51</v>
      </c>
      <c r="P868" s="1">
        <v>44208.587685185186</v>
      </c>
      <c r="Q868">
        <v>3302</v>
      </c>
      <c r="R868">
        <v>3410</v>
      </c>
      <c r="S868" t="b">
        <v>0</v>
      </c>
      <c r="T868" t="s">
        <v>87</v>
      </c>
      <c r="U868" t="b">
        <v>0</v>
      </c>
      <c r="V868" t="s">
        <v>242</v>
      </c>
      <c r="W868" s="1">
        <v>44208.545312499999</v>
      </c>
      <c r="X868">
        <v>2589</v>
      </c>
      <c r="Y868">
        <v>209</v>
      </c>
      <c r="Z868">
        <v>0</v>
      </c>
      <c r="AA868">
        <v>209</v>
      </c>
      <c r="AB868">
        <v>0</v>
      </c>
      <c r="AC868">
        <v>96</v>
      </c>
      <c r="AD868">
        <v>37</v>
      </c>
      <c r="AE868">
        <v>0</v>
      </c>
      <c r="AF868">
        <v>0</v>
      </c>
      <c r="AG868">
        <v>0</v>
      </c>
      <c r="AH868" t="s">
        <v>128</v>
      </c>
      <c r="AI868" s="1">
        <v>44208.582141203704</v>
      </c>
      <c r="AJ868">
        <v>627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37</v>
      </c>
      <c r="AQ868">
        <v>0</v>
      </c>
      <c r="AR868">
        <v>0</v>
      </c>
      <c r="AS868">
        <v>0</v>
      </c>
      <c r="AT868" t="s">
        <v>90</v>
      </c>
      <c r="AU868" s="1">
        <v>44208.587685185186</v>
      </c>
      <c r="AV868">
        <v>194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37</v>
      </c>
      <c r="BC868">
        <v>0</v>
      </c>
      <c r="BD868">
        <v>0</v>
      </c>
      <c r="BE868">
        <v>0</v>
      </c>
    </row>
    <row r="869" spans="1:57" x14ac:dyDescent="0.45">
      <c r="A869" t="s">
        <v>2279</v>
      </c>
      <c r="B869" t="s">
        <v>79</v>
      </c>
      <c r="C869" t="s">
        <v>2280</v>
      </c>
      <c r="D869" t="s">
        <v>81</v>
      </c>
      <c r="E869" s="2" t="str">
        <f>HYPERLINK("capsilon://?command=openfolder&amp;siteaddress=FAM.docvelocity-na8.net&amp;folderid=FXFC44110F-F85A-1BA9-35AD-27A6F4AE8FFE","FX21014714")</f>
        <v>FX21014714</v>
      </c>
      <c r="F869" t="s">
        <v>19</v>
      </c>
      <c r="G869" t="s">
        <v>19</v>
      </c>
      <c r="H869" t="s">
        <v>82</v>
      </c>
      <c r="I869" t="s">
        <v>2281</v>
      </c>
      <c r="J869">
        <v>387</v>
      </c>
      <c r="K869" t="s">
        <v>84</v>
      </c>
      <c r="L869" t="s">
        <v>85</v>
      </c>
      <c r="M869" t="s">
        <v>81</v>
      </c>
      <c r="N869">
        <v>2</v>
      </c>
      <c r="O869" s="1">
        <v>44208.513472222221</v>
      </c>
      <c r="P869" s="1">
        <v>44208.596712962964</v>
      </c>
      <c r="Q869">
        <v>3114</v>
      </c>
      <c r="R869">
        <v>4078</v>
      </c>
      <c r="S869" t="b">
        <v>0</v>
      </c>
      <c r="T869" t="s">
        <v>262</v>
      </c>
      <c r="U869" t="b">
        <v>0</v>
      </c>
      <c r="V869" t="s">
        <v>160</v>
      </c>
      <c r="W869" s="1">
        <v>44208.550393518519</v>
      </c>
      <c r="X869">
        <v>2653</v>
      </c>
      <c r="Y869">
        <v>278</v>
      </c>
      <c r="Z869">
        <v>0</v>
      </c>
      <c r="AA869">
        <v>278</v>
      </c>
      <c r="AB869">
        <v>37</v>
      </c>
      <c r="AC869">
        <v>92</v>
      </c>
      <c r="AD869">
        <v>109</v>
      </c>
      <c r="AE869">
        <v>0</v>
      </c>
      <c r="AF869">
        <v>0</v>
      </c>
      <c r="AG869">
        <v>0</v>
      </c>
      <c r="AH869" t="s">
        <v>262</v>
      </c>
      <c r="AI869" s="1">
        <v>44208.596712962964</v>
      </c>
      <c r="AJ869">
        <v>14</v>
      </c>
      <c r="AK869">
        <v>0</v>
      </c>
      <c r="AL869">
        <v>0</v>
      </c>
      <c r="AM869">
        <v>0</v>
      </c>
      <c r="AN869">
        <v>37</v>
      </c>
      <c r="AO869">
        <v>0</v>
      </c>
      <c r="AP869">
        <v>109</v>
      </c>
      <c r="AQ869">
        <v>0</v>
      </c>
      <c r="AR869">
        <v>0</v>
      </c>
      <c r="AS869">
        <v>4</v>
      </c>
      <c r="AT869" t="s">
        <v>87</v>
      </c>
      <c r="AU869" t="s">
        <v>87</v>
      </c>
      <c r="AV869" t="s">
        <v>87</v>
      </c>
      <c r="AW869" t="s">
        <v>87</v>
      </c>
      <c r="AX869" t="s">
        <v>87</v>
      </c>
      <c r="AY869" t="s">
        <v>87</v>
      </c>
      <c r="AZ869" t="s">
        <v>87</v>
      </c>
      <c r="BA869" t="s">
        <v>87</v>
      </c>
      <c r="BB869" t="s">
        <v>87</v>
      </c>
      <c r="BC869" t="s">
        <v>87</v>
      </c>
      <c r="BD869" t="s">
        <v>87</v>
      </c>
      <c r="BE869" t="s">
        <v>87</v>
      </c>
    </row>
    <row r="870" spans="1:57" hidden="1" x14ac:dyDescent="0.45">
      <c r="A870" t="s">
        <v>2282</v>
      </c>
      <c r="B870" t="s">
        <v>79</v>
      </c>
      <c r="C870" t="s">
        <v>2283</v>
      </c>
      <c r="D870" t="s">
        <v>81</v>
      </c>
      <c r="E870" s="2" t="str">
        <f>HYPERLINK("capsilon://?command=openfolder&amp;siteaddress=FAM.docvelocity-na8.net&amp;folderid=FX357645B6-E31A-09D8-E837-C8284C6B9B0D","FX201222484")</f>
        <v>FX201222484</v>
      </c>
      <c r="F870" t="s">
        <v>19</v>
      </c>
      <c r="G870" t="s">
        <v>19</v>
      </c>
      <c r="H870" t="s">
        <v>82</v>
      </c>
      <c r="I870" t="s">
        <v>2284</v>
      </c>
      <c r="J870">
        <v>66</v>
      </c>
      <c r="K870" t="s">
        <v>84</v>
      </c>
      <c r="L870" t="s">
        <v>85</v>
      </c>
      <c r="M870" t="s">
        <v>86</v>
      </c>
      <c r="N870">
        <v>1</v>
      </c>
      <c r="O870" s="1">
        <v>44208.516886574071</v>
      </c>
      <c r="P870" s="1">
        <v>44208.520543981482</v>
      </c>
      <c r="Q870">
        <v>49</v>
      </c>
      <c r="R870">
        <v>267</v>
      </c>
      <c r="S870" t="b">
        <v>0</v>
      </c>
      <c r="T870" t="s">
        <v>87</v>
      </c>
      <c r="U870" t="b">
        <v>0</v>
      </c>
      <c r="V870" t="s">
        <v>179</v>
      </c>
      <c r="W870" s="1">
        <v>44208.520543981482</v>
      </c>
      <c r="X870">
        <v>74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66</v>
      </c>
      <c r="AE870">
        <v>52</v>
      </c>
      <c r="AF870">
        <v>0</v>
      </c>
      <c r="AG870">
        <v>1</v>
      </c>
      <c r="AH870" t="s">
        <v>87</v>
      </c>
      <c r="AI870" t="s">
        <v>87</v>
      </c>
      <c r="AJ870" t="s">
        <v>87</v>
      </c>
      <c r="AK870" t="s">
        <v>87</v>
      </c>
      <c r="AL870" t="s">
        <v>87</v>
      </c>
      <c r="AM870" t="s">
        <v>87</v>
      </c>
      <c r="AN870" t="s">
        <v>87</v>
      </c>
      <c r="AO870" t="s">
        <v>87</v>
      </c>
      <c r="AP870" t="s">
        <v>87</v>
      </c>
      <c r="AQ870" t="s">
        <v>87</v>
      </c>
      <c r="AR870" t="s">
        <v>87</v>
      </c>
      <c r="AS870" t="s">
        <v>87</v>
      </c>
      <c r="AT870" t="s">
        <v>87</v>
      </c>
      <c r="AU870" t="s">
        <v>87</v>
      </c>
      <c r="AV870" t="s">
        <v>87</v>
      </c>
      <c r="AW870" t="s">
        <v>87</v>
      </c>
      <c r="AX870" t="s">
        <v>87</v>
      </c>
      <c r="AY870" t="s">
        <v>87</v>
      </c>
      <c r="AZ870" t="s">
        <v>87</v>
      </c>
      <c r="BA870" t="s">
        <v>87</v>
      </c>
      <c r="BB870" t="s">
        <v>87</v>
      </c>
      <c r="BC870" t="s">
        <v>87</v>
      </c>
      <c r="BD870" t="s">
        <v>87</v>
      </c>
      <c r="BE870" t="s">
        <v>87</v>
      </c>
    </row>
    <row r="871" spans="1:57" x14ac:dyDescent="0.45">
      <c r="A871" t="s">
        <v>2285</v>
      </c>
      <c r="B871" t="s">
        <v>79</v>
      </c>
      <c r="C871" t="s">
        <v>2283</v>
      </c>
      <c r="D871" t="s">
        <v>81</v>
      </c>
      <c r="E871" s="2" t="str">
        <f>HYPERLINK("capsilon://?command=openfolder&amp;siteaddress=FAM.docvelocity-na8.net&amp;folderid=FX357645B6-E31A-09D8-E837-C8284C6B9B0D","FX201222484")</f>
        <v>FX201222484</v>
      </c>
      <c r="F871" t="s">
        <v>19</v>
      </c>
      <c r="G871" t="s">
        <v>19</v>
      </c>
      <c r="H871" t="s">
        <v>82</v>
      </c>
      <c r="I871" t="s">
        <v>2284</v>
      </c>
      <c r="J871">
        <v>38</v>
      </c>
      <c r="K871" t="s">
        <v>84</v>
      </c>
      <c r="L871" t="s">
        <v>85</v>
      </c>
      <c r="M871" t="s">
        <v>86</v>
      </c>
      <c r="N871">
        <v>3</v>
      </c>
      <c r="O871" s="1">
        <v>44208.520868055559</v>
      </c>
      <c r="P871" s="1">
        <v>44208.576481481483</v>
      </c>
      <c r="Q871">
        <v>2901</v>
      </c>
      <c r="R871">
        <v>1904</v>
      </c>
      <c r="S871" t="b">
        <v>0</v>
      </c>
      <c r="T871" t="s">
        <v>87</v>
      </c>
      <c r="U871" t="b">
        <v>1</v>
      </c>
      <c r="V871" t="s">
        <v>179</v>
      </c>
      <c r="W871" s="1">
        <v>44208.539363425924</v>
      </c>
      <c r="X871">
        <v>1597</v>
      </c>
      <c r="Y871">
        <v>37</v>
      </c>
      <c r="Z871">
        <v>0</v>
      </c>
      <c r="AA871">
        <v>37</v>
      </c>
      <c r="AB871">
        <v>0</v>
      </c>
      <c r="AC871">
        <v>34</v>
      </c>
      <c r="AD871">
        <v>1</v>
      </c>
      <c r="AE871">
        <v>0</v>
      </c>
      <c r="AF871">
        <v>0</v>
      </c>
      <c r="AG871">
        <v>0</v>
      </c>
      <c r="AH871" t="s">
        <v>94</v>
      </c>
      <c r="AI871" s="1">
        <v>44208.55605324074</v>
      </c>
      <c r="AJ871">
        <v>61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 t="s">
        <v>90</v>
      </c>
      <c r="AU871" s="1">
        <v>44208.576481481483</v>
      </c>
      <c r="AV871">
        <v>5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</row>
    <row r="872" spans="1:57" x14ac:dyDescent="0.45">
      <c r="A872" t="s">
        <v>2286</v>
      </c>
      <c r="B872" t="s">
        <v>79</v>
      </c>
      <c r="C872" t="s">
        <v>2287</v>
      </c>
      <c r="D872" t="s">
        <v>81</v>
      </c>
      <c r="E872" s="2" t="str">
        <f>HYPERLINK("capsilon://?command=openfolder&amp;siteaddress=FAM.docvelocity-na8.net&amp;folderid=FXEE86E449-72AE-0650-F974-B0C1442E8D1E","FX201227434")</f>
        <v>FX201227434</v>
      </c>
      <c r="F872" t="s">
        <v>19</v>
      </c>
      <c r="G872" t="s">
        <v>19</v>
      </c>
      <c r="H872" t="s">
        <v>82</v>
      </c>
      <c r="I872" t="s">
        <v>2288</v>
      </c>
      <c r="J872">
        <v>66</v>
      </c>
      <c r="K872" t="s">
        <v>84</v>
      </c>
      <c r="L872" t="s">
        <v>85</v>
      </c>
      <c r="M872" t="s">
        <v>86</v>
      </c>
      <c r="N872">
        <v>3</v>
      </c>
      <c r="O872" s="1">
        <v>44208.52138888889</v>
      </c>
      <c r="P872" s="1">
        <v>44208.644004629627</v>
      </c>
      <c r="Q872">
        <v>8372</v>
      </c>
      <c r="R872">
        <v>2222</v>
      </c>
      <c r="S872" t="b">
        <v>0</v>
      </c>
      <c r="T872" t="s">
        <v>87</v>
      </c>
      <c r="U872" t="b">
        <v>0</v>
      </c>
      <c r="V872" t="s">
        <v>146</v>
      </c>
      <c r="W872" s="1">
        <v>44208.542094907411</v>
      </c>
      <c r="X872">
        <v>1788</v>
      </c>
      <c r="Y872">
        <v>52</v>
      </c>
      <c r="Z872">
        <v>0</v>
      </c>
      <c r="AA872">
        <v>52</v>
      </c>
      <c r="AB872">
        <v>0</v>
      </c>
      <c r="AC872">
        <v>31</v>
      </c>
      <c r="AD872">
        <v>14</v>
      </c>
      <c r="AE872">
        <v>0</v>
      </c>
      <c r="AF872">
        <v>0</v>
      </c>
      <c r="AG872">
        <v>0</v>
      </c>
      <c r="AH872" t="s">
        <v>128</v>
      </c>
      <c r="AI872" s="1">
        <v>44208.594247685185</v>
      </c>
      <c r="AJ872">
        <v>295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14</v>
      </c>
      <c r="AQ872">
        <v>0</v>
      </c>
      <c r="AR872">
        <v>0</v>
      </c>
      <c r="AS872">
        <v>0</v>
      </c>
      <c r="AT872" t="s">
        <v>90</v>
      </c>
      <c r="AU872" s="1">
        <v>44208.644004629627</v>
      </c>
      <c r="AV872">
        <v>139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14</v>
      </c>
      <c r="BC872">
        <v>0</v>
      </c>
      <c r="BD872">
        <v>0</v>
      </c>
      <c r="BE872">
        <v>0</v>
      </c>
    </row>
    <row r="873" spans="1:57" x14ac:dyDescent="0.45">
      <c r="A873" t="s">
        <v>2289</v>
      </c>
      <c r="B873" t="s">
        <v>79</v>
      </c>
      <c r="C873" t="s">
        <v>1631</v>
      </c>
      <c r="D873" t="s">
        <v>81</v>
      </c>
      <c r="E873" s="2" t="str">
        <f>HYPERLINK("capsilon://?command=openfolder&amp;siteaddress=FAM.docvelocity-na8.net&amp;folderid=FX7ADA080F-954E-0547-72AB-0286AF906F3F","FX21014120")</f>
        <v>FX21014120</v>
      </c>
      <c r="F873" t="s">
        <v>19</v>
      </c>
      <c r="G873" t="s">
        <v>19</v>
      </c>
      <c r="H873" t="s">
        <v>82</v>
      </c>
      <c r="I873" t="s">
        <v>2290</v>
      </c>
      <c r="J873">
        <v>26</v>
      </c>
      <c r="K873" t="s">
        <v>84</v>
      </c>
      <c r="L873" t="s">
        <v>85</v>
      </c>
      <c r="M873" t="s">
        <v>86</v>
      </c>
      <c r="N873">
        <v>3</v>
      </c>
      <c r="O873" s="1">
        <v>44208.526099537034</v>
      </c>
      <c r="P873" s="1">
        <v>44208.644259259258</v>
      </c>
      <c r="Q873">
        <v>9798</v>
      </c>
      <c r="R873">
        <v>411</v>
      </c>
      <c r="S873" t="b">
        <v>0</v>
      </c>
      <c r="T873" t="s">
        <v>87</v>
      </c>
      <c r="U873" t="b">
        <v>0</v>
      </c>
      <c r="V873" t="s">
        <v>255</v>
      </c>
      <c r="W873" s="1">
        <v>44208.532141203701</v>
      </c>
      <c r="X873">
        <v>341</v>
      </c>
      <c r="Y873">
        <v>21</v>
      </c>
      <c r="Z873">
        <v>0</v>
      </c>
      <c r="AA873">
        <v>21</v>
      </c>
      <c r="AB873">
        <v>0</v>
      </c>
      <c r="AC873">
        <v>3</v>
      </c>
      <c r="AD873">
        <v>5</v>
      </c>
      <c r="AE873">
        <v>0</v>
      </c>
      <c r="AF873">
        <v>0</v>
      </c>
      <c r="AG873">
        <v>0</v>
      </c>
      <c r="AH873" t="s">
        <v>132</v>
      </c>
      <c r="AI873" s="1">
        <v>44208.593587962961</v>
      </c>
      <c r="AJ873">
        <v>49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5</v>
      </c>
      <c r="AQ873">
        <v>0</v>
      </c>
      <c r="AR873">
        <v>0</v>
      </c>
      <c r="AS873">
        <v>0</v>
      </c>
      <c r="AT873" t="s">
        <v>90</v>
      </c>
      <c r="AU873" s="1">
        <v>44208.644259259258</v>
      </c>
      <c r="AV873">
        <v>21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5</v>
      </c>
      <c r="BC873">
        <v>0</v>
      </c>
      <c r="BD873">
        <v>0</v>
      </c>
      <c r="BE873">
        <v>0</v>
      </c>
    </row>
    <row r="874" spans="1:57" x14ac:dyDescent="0.45">
      <c r="A874" t="s">
        <v>2291</v>
      </c>
      <c r="B874" t="s">
        <v>79</v>
      </c>
      <c r="C874" t="s">
        <v>2292</v>
      </c>
      <c r="D874" t="s">
        <v>81</v>
      </c>
      <c r="E874" s="2" t="str">
        <f>HYPERLINK("capsilon://?command=openfolder&amp;siteaddress=FAM.docvelocity-na8.net&amp;folderid=FXDE9BCECE-0B0B-766A-E930-8340662B6447","FX21014644")</f>
        <v>FX21014644</v>
      </c>
      <c r="F874" t="s">
        <v>19</v>
      </c>
      <c r="G874" t="s">
        <v>19</v>
      </c>
      <c r="H874" t="s">
        <v>82</v>
      </c>
      <c r="I874" t="s">
        <v>2293</v>
      </c>
      <c r="J874">
        <v>38</v>
      </c>
      <c r="K874" t="s">
        <v>84</v>
      </c>
      <c r="L874" t="s">
        <v>85</v>
      </c>
      <c r="M874" t="s">
        <v>86</v>
      </c>
      <c r="N874">
        <v>3</v>
      </c>
      <c r="O874" s="1">
        <v>44208.52616898148</v>
      </c>
      <c r="P874" s="1">
        <v>44208.64434027778</v>
      </c>
      <c r="Q874">
        <v>9690</v>
      </c>
      <c r="R874">
        <v>520</v>
      </c>
      <c r="S874" t="b">
        <v>0</v>
      </c>
      <c r="T874" t="s">
        <v>87</v>
      </c>
      <c r="U874" t="b">
        <v>0</v>
      </c>
      <c r="V874" t="s">
        <v>259</v>
      </c>
      <c r="W874" s="1">
        <v>44208.534594907411</v>
      </c>
      <c r="X874">
        <v>450</v>
      </c>
      <c r="Y874">
        <v>37</v>
      </c>
      <c r="Z874">
        <v>0</v>
      </c>
      <c r="AA874">
        <v>37</v>
      </c>
      <c r="AB874">
        <v>0</v>
      </c>
      <c r="AC874">
        <v>23</v>
      </c>
      <c r="AD874">
        <v>1</v>
      </c>
      <c r="AE874">
        <v>0</v>
      </c>
      <c r="AF874">
        <v>0</v>
      </c>
      <c r="AG874">
        <v>0</v>
      </c>
      <c r="AH874" t="s">
        <v>132</v>
      </c>
      <c r="AI874" s="1">
        <v>44208.594259259262</v>
      </c>
      <c r="AJ874">
        <v>57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 t="s">
        <v>90</v>
      </c>
      <c r="AU874" s="1">
        <v>44208.64434027778</v>
      </c>
      <c r="AV874">
        <v>7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</row>
    <row r="875" spans="1:57" x14ac:dyDescent="0.45">
      <c r="A875" t="s">
        <v>2294</v>
      </c>
      <c r="B875" t="s">
        <v>79</v>
      </c>
      <c r="C875" t="s">
        <v>2228</v>
      </c>
      <c r="D875" t="s">
        <v>81</v>
      </c>
      <c r="E875" s="2" t="str">
        <f>HYPERLINK("capsilon://?command=openfolder&amp;siteaddress=FAM.docvelocity-na8.net&amp;folderid=FX15225A50-45FE-C8DA-18DE-825A613FBCBA","FX21014787")</f>
        <v>FX21014787</v>
      </c>
      <c r="F875" t="s">
        <v>19</v>
      </c>
      <c r="G875" t="s">
        <v>19</v>
      </c>
      <c r="H875" t="s">
        <v>82</v>
      </c>
      <c r="I875" t="s">
        <v>2295</v>
      </c>
      <c r="J875">
        <v>66</v>
      </c>
      <c r="K875" t="s">
        <v>84</v>
      </c>
      <c r="L875" t="s">
        <v>85</v>
      </c>
      <c r="M875" t="s">
        <v>86</v>
      </c>
      <c r="N875">
        <v>3</v>
      </c>
      <c r="O875" s="1">
        <v>44208.528414351851</v>
      </c>
      <c r="P875" s="1">
        <v>44208.647824074076</v>
      </c>
      <c r="Q875">
        <v>7870</v>
      </c>
      <c r="R875">
        <v>2447</v>
      </c>
      <c r="S875" t="b">
        <v>0</v>
      </c>
      <c r="T875" t="s">
        <v>87</v>
      </c>
      <c r="U875" t="b">
        <v>0</v>
      </c>
      <c r="V875" t="s">
        <v>262</v>
      </c>
      <c r="W875" s="1">
        <v>44208.552372685182</v>
      </c>
      <c r="X875">
        <v>1888</v>
      </c>
      <c r="Y875">
        <v>52</v>
      </c>
      <c r="Z875">
        <v>0</v>
      </c>
      <c r="AA875">
        <v>52</v>
      </c>
      <c r="AB875">
        <v>0</v>
      </c>
      <c r="AC875">
        <v>35</v>
      </c>
      <c r="AD875">
        <v>14</v>
      </c>
      <c r="AE875">
        <v>0</v>
      </c>
      <c r="AF875">
        <v>0</v>
      </c>
      <c r="AG875">
        <v>0</v>
      </c>
      <c r="AH875" t="s">
        <v>132</v>
      </c>
      <c r="AI875" s="1">
        <v>44208.597268518519</v>
      </c>
      <c r="AJ875">
        <v>259</v>
      </c>
      <c r="AK875">
        <v>2</v>
      </c>
      <c r="AL875">
        <v>0</v>
      </c>
      <c r="AM875">
        <v>2</v>
      </c>
      <c r="AN875">
        <v>0</v>
      </c>
      <c r="AO875">
        <v>1</v>
      </c>
      <c r="AP875">
        <v>12</v>
      </c>
      <c r="AQ875">
        <v>0</v>
      </c>
      <c r="AR875">
        <v>0</v>
      </c>
      <c r="AS875">
        <v>0</v>
      </c>
      <c r="AT875" t="s">
        <v>90</v>
      </c>
      <c r="AU875" s="1">
        <v>44208.647824074076</v>
      </c>
      <c r="AV875">
        <v>300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12</v>
      </c>
      <c r="BC875">
        <v>0</v>
      </c>
      <c r="BD875">
        <v>0</v>
      </c>
      <c r="BE875">
        <v>0</v>
      </c>
    </row>
    <row r="876" spans="1:57" hidden="1" x14ac:dyDescent="0.45">
      <c r="A876" t="s">
        <v>2296</v>
      </c>
      <c r="B876" t="s">
        <v>79</v>
      </c>
      <c r="C876" t="s">
        <v>2297</v>
      </c>
      <c r="D876" t="s">
        <v>81</v>
      </c>
      <c r="E876" s="2" t="str">
        <f>HYPERLINK("capsilon://?command=openfolder&amp;siteaddress=FAM.docvelocity-na8.net&amp;folderid=FXC1E1BD5B-5BEF-BFEF-EB99-C146112DF103","FX20111432")</f>
        <v>FX20111432</v>
      </c>
      <c r="F876" t="s">
        <v>19</v>
      </c>
      <c r="G876" t="s">
        <v>19</v>
      </c>
      <c r="H876" t="s">
        <v>82</v>
      </c>
      <c r="I876" t="s">
        <v>2298</v>
      </c>
      <c r="J876">
        <v>66</v>
      </c>
      <c r="K876" t="s">
        <v>84</v>
      </c>
      <c r="L876" t="s">
        <v>85</v>
      </c>
      <c r="M876" t="s">
        <v>86</v>
      </c>
      <c r="N876">
        <v>1</v>
      </c>
      <c r="O876" s="1">
        <v>44208.528553240743</v>
      </c>
      <c r="P876" s="1">
        <v>44208.532835648148</v>
      </c>
      <c r="Q876">
        <v>311</v>
      </c>
      <c r="R876">
        <v>59</v>
      </c>
      <c r="S876" t="b">
        <v>0</v>
      </c>
      <c r="T876" t="s">
        <v>87</v>
      </c>
      <c r="U876" t="b">
        <v>0</v>
      </c>
      <c r="V876" t="s">
        <v>255</v>
      </c>
      <c r="W876" s="1">
        <v>44208.532835648148</v>
      </c>
      <c r="X876">
        <v>59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66</v>
      </c>
      <c r="AE876">
        <v>52</v>
      </c>
      <c r="AF876">
        <v>0</v>
      </c>
      <c r="AG876">
        <v>1</v>
      </c>
      <c r="AH876" t="s">
        <v>87</v>
      </c>
      <c r="AI876" t="s">
        <v>87</v>
      </c>
      <c r="AJ876" t="s">
        <v>87</v>
      </c>
      <c r="AK876" t="s">
        <v>87</v>
      </c>
      <c r="AL876" t="s">
        <v>87</v>
      </c>
      <c r="AM876" t="s">
        <v>87</v>
      </c>
      <c r="AN876" t="s">
        <v>87</v>
      </c>
      <c r="AO876" t="s">
        <v>87</v>
      </c>
      <c r="AP876" t="s">
        <v>87</v>
      </c>
      <c r="AQ876" t="s">
        <v>87</v>
      </c>
      <c r="AR876" t="s">
        <v>87</v>
      </c>
      <c r="AS876" t="s">
        <v>87</v>
      </c>
      <c r="AT876" t="s">
        <v>87</v>
      </c>
      <c r="AU876" t="s">
        <v>87</v>
      </c>
      <c r="AV876" t="s">
        <v>87</v>
      </c>
      <c r="AW876" t="s">
        <v>87</v>
      </c>
      <c r="AX876" t="s">
        <v>87</v>
      </c>
      <c r="AY876" t="s">
        <v>87</v>
      </c>
      <c r="AZ876" t="s">
        <v>87</v>
      </c>
      <c r="BA876" t="s">
        <v>87</v>
      </c>
      <c r="BB876" t="s">
        <v>87</v>
      </c>
      <c r="BC876" t="s">
        <v>87</v>
      </c>
      <c r="BD876" t="s">
        <v>87</v>
      </c>
      <c r="BE876" t="s">
        <v>87</v>
      </c>
    </row>
    <row r="877" spans="1:57" x14ac:dyDescent="0.45">
      <c r="A877" t="s">
        <v>2299</v>
      </c>
      <c r="B877" t="s">
        <v>79</v>
      </c>
      <c r="C877" t="s">
        <v>358</v>
      </c>
      <c r="D877" t="s">
        <v>81</v>
      </c>
      <c r="E877" s="2" t="str">
        <f>HYPERLINK("capsilon://?command=openfolder&amp;siteaddress=FAM.docvelocity-na8.net&amp;folderid=FX7015030B-92AD-1FD5-ECEA-50796840F6C0","FX201010020")</f>
        <v>FX201010020</v>
      </c>
      <c r="F877" t="s">
        <v>19</v>
      </c>
      <c r="G877" t="s">
        <v>19</v>
      </c>
      <c r="H877" t="s">
        <v>82</v>
      </c>
      <c r="I877" t="s">
        <v>2300</v>
      </c>
      <c r="J877">
        <v>79</v>
      </c>
      <c r="K877" t="s">
        <v>84</v>
      </c>
      <c r="L877" t="s">
        <v>85</v>
      </c>
      <c r="M877" t="s">
        <v>86</v>
      </c>
      <c r="N877">
        <v>3</v>
      </c>
      <c r="O877" s="1">
        <v>44208.530729166669</v>
      </c>
      <c r="P877" s="1">
        <v>44208.648287037038</v>
      </c>
      <c r="Q877">
        <v>9246</v>
      </c>
      <c r="R877">
        <v>911</v>
      </c>
      <c r="S877" t="b">
        <v>0</v>
      </c>
      <c r="T877" t="s">
        <v>87</v>
      </c>
      <c r="U877" t="b">
        <v>0</v>
      </c>
      <c r="V877" t="s">
        <v>171</v>
      </c>
      <c r="W877" s="1">
        <v>44208.54111111111</v>
      </c>
      <c r="X877">
        <v>737</v>
      </c>
      <c r="Y877">
        <v>57</v>
      </c>
      <c r="Z877">
        <v>0</v>
      </c>
      <c r="AA877">
        <v>57</v>
      </c>
      <c r="AB877">
        <v>0</v>
      </c>
      <c r="AC877">
        <v>14</v>
      </c>
      <c r="AD877">
        <v>22</v>
      </c>
      <c r="AE877">
        <v>0</v>
      </c>
      <c r="AF877">
        <v>0</v>
      </c>
      <c r="AG877">
        <v>0</v>
      </c>
      <c r="AH877" t="s">
        <v>128</v>
      </c>
      <c r="AI877" s="1">
        <v>44208.598460648151</v>
      </c>
      <c r="AJ877">
        <v>141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22</v>
      </c>
      <c r="AQ877">
        <v>0</v>
      </c>
      <c r="AR877">
        <v>0</v>
      </c>
      <c r="AS877">
        <v>0</v>
      </c>
      <c r="AT877" t="s">
        <v>90</v>
      </c>
      <c r="AU877" s="1">
        <v>44208.648287037038</v>
      </c>
      <c r="AV877">
        <v>33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22</v>
      </c>
      <c r="BC877">
        <v>0</v>
      </c>
      <c r="BD877">
        <v>0</v>
      </c>
      <c r="BE877">
        <v>0</v>
      </c>
    </row>
    <row r="878" spans="1:57" hidden="1" x14ac:dyDescent="0.45">
      <c r="A878" t="s">
        <v>2301</v>
      </c>
      <c r="B878" t="s">
        <v>79</v>
      </c>
      <c r="C878" t="s">
        <v>2133</v>
      </c>
      <c r="D878" t="s">
        <v>81</v>
      </c>
      <c r="E878" s="2" t="str">
        <f>HYPERLINK("capsilon://?command=openfolder&amp;siteaddress=FAM.docvelocity-na8.net&amp;folderid=FX92A4F952-48C5-8DBE-EED9-87778BA9827B","FX20116508")</f>
        <v>FX20116508</v>
      </c>
      <c r="F878" t="s">
        <v>19</v>
      </c>
      <c r="G878" t="s">
        <v>19</v>
      </c>
      <c r="H878" t="s">
        <v>82</v>
      </c>
      <c r="I878" t="s">
        <v>2302</v>
      </c>
      <c r="J878">
        <v>66</v>
      </c>
      <c r="K878" t="s">
        <v>84</v>
      </c>
      <c r="L878" t="s">
        <v>85</v>
      </c>
      <c r="M878" t="s">
        <v>86</v>
      </c>
      <c r="N878">
        <v>3</v>
      </c>
      <c r="O878" s="1">
        <v>44208.531006944446</v>
      </c>
      <c r="P878" s="1">
        <v>44208.648333333331</v>
      </c>
      <c r="Q878">
        <v>9869</v>
      </c>
      <c r="R878">
        <v>268</v>
      </c>
      <c r="S878" t="b">
        <v>0</v>
      </c>
      <c r="T878" t="s">
        <v>87</v>
      </c>
      <c r="U878" t="b">
        <v>0</v>
      </c>
      <c r="V878" t="s">
        <v>255</v>
      </c>
      <c r="W878" s="1">
        <v>44208.533750000002</v>
      </c>
      <c r="X878">
        <v>78</v>
      </c>
      <c r="Y878">
        <v>0</v>
      </c>
      <c r="Z878">
        <v>0</v>
      </c>
      <c r="AA878">
        <v>0</v>
      </c>
      <c r="AB878">
        <v>52</v>
      </c>
      <c r="AC878">
        <v>0</v>
      </c>
      <c r="AD878">
        <v>66</v>
      </c>
      <c r="AE878">
        <v>0</v>
      </c>
      <c r="AF878">
        <v>0</v>
      </c>
      <c r="AG878">
        <v>0</v>
      </c>
      <c r="AH878" t="s">
        <v>132</v>
      </c>
      <c r="AI878" s="1">
        <v>44208.599444444444</v>
      </c>
      <c r="AJ878">
        <v>187</v>
      </c>
      <c r="AK878">
        <v>0</v>
      </c>
      <c r="AL878">
        <v>0</v>
      </c>
      <c r="AM878">
        <v>0</v>
      </c>
      <c r="AN878">
        <v>52</v>
      </c>
      <c r="AO878">
        <v>0</v>
      </c>
      <c r="AP878">
        <v>66</v>
      </c>
      <c r="AQ878">
        <v>0</v>
      </c>
      <c r="AR878">
        <v>0</v>
      </c>
      <c r="AS878">
        <v>0</v>
      </c>
      <c r="AT878" t="s">
        <v>90</v>
      </c>
      <c r="AU878" s="1">
        <v>44208.648333333331</v>
      </c>
      <c r="AV878">
        <v>3</v>
      </c>
      <c r="AW878">
        <v>0</v>
      </c>
      <c r="AX878">
        <v>0</v>
      </c>
      <c r="AY878">
        <v>0</v>
      </c>
      <c r="AZ878">
        <v>52</v>
      </c>
      <c r="BA878">
        <v>0</v>
      </c>
      <c r="BB878">
        <v>66</v>
      </c>
      <c r="BC878">
        <v>0</v>
      </c>
      <c r="BD878">
        <v>0</v>
      </c>
      <c r="BE878">
        <v>0</v>
      </c>
    </row>
    <row r="879" spans="1:57" x14ac:dyDescent="0.45">
      <c r="A879" t="s">
        <v>2303</v>
      </c>
      <c r="B879" t="s">
        <v>79</v>
      </c>
      <c r="C879" t="s">
        <v>358</v>
      </c>
      <c r="D879" t="s">
        <v>81</v>
      </c>
      <c r="E879" s="2" t="str">
        <f>HYPERLINK("capsilon://?command=openfolder&amp;siteaddress=FAM.docvelocity-na8.net&amp;folderid=FX7015030B-92AD-1FD5-ECEA-50796840F6C0","FX201010020")</f>
        <v>FX201010020</v>
      </c>
      <c r="F879" t="s">
        <v>19</v>
      </c>
      <c r="G879" t="s">
        <v>19</v>
      </c>
      <c r="H879" t="s">
        <v>82</v>
      </c>
      <c r="I879" t="s">
        <v>2304</v>
      </c>
      <c r="J879">
        <v>74</v>
      </c>
      <c r="K879" t="s">
        <v>84</v>
      </c>
      <c r="L879" t="s">
        <v>85</v>
      </c>
      <c r="M879" t="s">
        <v>86</v>
      </c>
      <c r="N879">
        <v>3</v>
      </c>
      <c r="O879" s="1">
        <v>44208.531180555554</v>
      </c>
      <c r="P879" s="1">
        <v>44208.649293981478</v>
      </c>
      <c r="Q879">
        <v>9639</v>
      </c>
      <c r="R879">
        <v>566</v>
      </c>
      <c r="S879" t="b">
        <v>0</v>
      </c>
      <c r="T879" t="s">
        <v>87</v>
      </c>
      <c r="U879" t="b">
        <v>0</v>
      </c>
      <c r="V879" t="s">
        <v>255</v>
      </c>
      <c r="W879" s="1">
        <v>44208.536678240744</v>
      </c>
      <c r="X879">
        <v>252</v>
      </c>
      <c r="Y879">
        <v>52</v>
      </c>
      <c r="Z879">
        <v>0</v>
      </c>
      <c r="AA879">
        <v>52</v>
      </c>
      <c r="AB879">
        <v>0</v>
      </c>
      <c r="AC879">
        <v>10</v>
      </c>
      <c r="AD879">
        <v>22</v>
      </c>
      <c r="AE879">
        <v>0</v>
      </c>
      <c r="AF879">
        <v>0</v>
      </c>
      <c r="AG879">
        <v>0</v>
      </c>
      <c r="AH879" t="s">
        <v>128</v>
      </c>
      <c r="AI879" s="1">
        <v>44208.601145833331</v>
      </c>
      <c r="AJ879">
        <v>231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22</v>
      </c>
      <c r="AQ879">
        <v>0</v>
      </c>
      <c r="AR879">
        <v>0</v>
      </c>
      <c r="AS879">
        <v>0</v>
      </c>
      <c r="AT879" t="s">
        <v>90</v>
      </c>
      <c r="AU879" s="1">
        <v>44208.649293981478</v>
      </c>
      <c r="AV879">
        <v>83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22</v>
      </c>
      <c r="BC879">
        <v>0</v>
      </c>
      <c r="BD879">
        <v>0</v>
      </c>
      <c r="BE879">
        <v>0</v>
      </c>
    </row>
    <row r="880" spans="1:57" x14ac:dyDescent="0.45">
      <c r="A880" t="s">
        <v>2305</v>
      </c>
      <c r="B880" t="s">
        <v>79</v>
      </c>
      <c r="C880" t="s">
        <v>358</v>
      </c>
      <c r="D880" t="s">
        <v>81</v>
      </c>
      <c r="E880" s="2" t="str">
        <f>HYPERLINK("capsilon://?command=openfolder&amp;siteaddress=FAM.docvelocity-na8.net&amp;folderid=FX7015030B-92AD-1FD5-ECEA-50796840F6C0","FX201010020")</f>
        <v>FX201010020</v>
      </c>
      <c r="F880" t="s">
        <v>19</v>
      </c>
      <c r="G880" t="s">
        <v>19</v>
      </c>
      <c r="H880" t="s">
        <v>82</v>
      </c>
      <c r="I880" t="s">
        <v>2306</v>
      </c>
      <c r="J880">
        <v>79</v>
      </c>
      <c r="K880" t="s">
        <v>84</v>
      </c>
      <c r="L880" t="s">
        <v>85</v>
      </c>
      <c r="M880" t="s">
        <v>86</v>
      </c>
      <c r="N880">
        <v>3</v>
      </c>
      <c r="O880" s="1">
        <v>44208.53197916667</v>
      </c>
      <c r="P880" s="1">
        <v>44208.649363425924</v>
      </c>
      <c r="Q880">
        <v>9542</v>
      </c>
      <c r="R880">
        <v>600</v>
      </c>
      <c r="S880" t="b">
        <v>0</v>
      </c>
      <c r="T880" t="s">
        <v>87</v>
      </c>
      <c r="U880" t="b">
        <v>0</v>
      </c>
      <c r="V880" t="s">
        <v>259</v>
      </c>
      <c r="W880" s="1">
        <v>44208.540659722225</v>
      </c>
      <c r="X880">
        <v>523</v>
      </c>
      <c r="Y880">
        <v>57</v>
      </c>
      <c r="Z880">
        <v>0</v>
      </c>
      <c r="AA880">
        <v>57</v>
      </c>
      <c r="AB880">
        <v>0</v>
      </c>
      <c r="AC880">
        <v>15</v>
      </c>
      <c r="AD880">
        <v>22</v>
      </c>
      <c r="AE880">
        <v>0</v>
      </c>
      <c r="AF880">
        <v>0</v>
      </c>
      <c r="AG880">
        <v>0</v>
      </c>
      <c r="AH880" t="s">
        <v>132</v>
      </c>
      <c r="AI880" s="1">
        <v>44208.600289351853</v>
      </c>
      <c r="AJ880">
        <v>72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22</v>
      </c>
      <c r="AQ880">
        <v>0</v>
      </c>
      <c r="AR880">
        <v>0</v>
      </c>
      <c r="AS880">
        <v>0</v>
      </c>
      <c r="AT880" t="s">
        <v>90</v>
      </c>
      <c r="AU880" s="1">
        <v>44208.649363425924</v>
      </c>
      <c r="AV880">
        <v>5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22</v>
      </c>
      <c r="BC880">
        <v>0</v>
      </c>
      <c r="BD880">
        <v>0</v>
      </c>
      <c r="BE880">
        <v>0</v>
      </c>
    </row>
    <row r="881" spans="1:57" x14ac:dyDescent="0.45">
      <c r="A881" t="s">
        <v>2307</v>
      </c>
      <c r="B881" t="s">
        <v>79</v>
      </c>
      <c r="C881" t="s">
        <v>358</v>
      </c>
      <c r="D881" t="s">
        <v>81</v>
      </c>
      <c r="E881" s="2" t="str">
        <f>HYPERLINK("capsilon://?command=openfolder&amp;siteaddress=FAM.docvelocity-na8.net&amp;folderid=FX7015030B-92AD-1FD5-ECEA-50796840F6C0","FX201010020")</f>
        <v>FX201010020</v>
      </c>
      <c r="F881" t="s">
        <v>19</v>
      </c>
      <c r="G881" t="s">
        <v>19</v>
      </c>
      <c r="H881" t="s">
        <v>82</v>
      </c>
      <c r="I881" t="s">
        <v>2308</v>
      </c>
      <c r="J881">
        <v>66</v>
      </c>
      <c r="K881" t="s">
        <v>84</v>
      </c>
      <c r="L881" t="s">
        <v>85</v>
      </c>
      <c r="M881" t="s">
        <v>86</v>
      </c>
      <c r="N881">
        <v>3</v>
      </c>
      <c r="O881" s="1">
        <v>44208.532256944447</v>
      </c>
      <c r="P881" s="1">
        <v>44208.649456018517</v>
      </c>
      <c r="Q881">
        <v>9806</v>
      </c>
      <c r="R881">
        <v>320</v>
      </c>
      <c r="S881" t="b">
        <v>0</v>
      </c>
      <c r="T881" t="s">
        <v>87</v>
      </c>
      <c r="U881" t="b">
        <v>0</v>
      </c>
      <c r="V881" t="s">
        <v>255</v>
      </c>
      <c r="W881" s="1">
        <v>44208.539074074077</v>
      </c>
      <c r="X881">
        <v>207</v>
      </c>
      <c r="Y881">
        <v>47</v>
      </c>
      <c r="Z881">
        <v>0</v>
      </c>
      <c r="AA881">
        <v>47</v>
      </c>
      <c r="AB881">
        <v>0</v>
      </c>
      <c r="AC881">
        <v>9</v>
      </c>
      <c r="AD881">
        <v>19</v>
      </c>
      <c r="AE881">
        <v>0</v>
      </c>
      <c r="AF881">
        <v>0</v>
      </c>
      <c r="AG881">
        <v>0</v>
      </c>
      <c r="AH881" t="s">
        <v>132</v>
      </c>
      <c r="AI881" s="1">
        <v>44208.6015162037</v>
      </c>
      <c r="AJ881">
        <v>105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19</v>
      </c>
      <c r="AQ881">
        <v>0</v>
      </c>
      <c r="AR881">
        <v>0</v>
      </c>
      <c r="AS881">
        <v>0</v>
      </c>
      <c r="AT881" t="s">
        <v>90</v>
      </c>
      <c r="AU881" s="1">
        <v>44208.649456018517</v>
      </c>
      <c r="AV881">
        <v>8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19</v>
      </c>
      <c r="BC881">
        <v>0</v>
      </c>
      <c r="BD881">
        <v>0</v>
      </c>
      <c r="BE881">
        <v>0</v>
      </c>
    </row>
    <row r="882" spans="1:57" x14ac:dyDescent="0.45">
      <c r="A882" t="s">
        <v>2309</v>
      </c>
      <c r="B882" t="s">
        <v>79</v>
      </c>
      <c r="C882" t="s">
        <v>358</v>
      </c>
      <c r="D882" t="s">
        <v>81</v>
      </c>
      <c r="E882" s="2" t="str">
        <f>HYPERLINK("capsilon://?command=openfolder&amp;siteaddress=FAM.docvelocity-na8.net&amp;folderid=FX7015030B-92AD-1FD5-ECEA-50796840F6C0","FX201010020")</f>
        <v>FX201010020</v>
      </c>
      <c r="F882" t="s">
        <v>19</v>
      </c>
      <c r="G882" t="s">
        <v>19</v>
      </c>
      <c r="H882" t="s">
        <v>82</v>
      </c>
      <c r="I882" t="s">
        <v>2310</v>
      </c>
      <c r="J882">
        <v>66</v>
      </c>
      <c r="K882" t="s">
        <v>84</v>
      </c>
      <c r="L882" t="s">
        <v>85</v>
      </c>
      <c r="M882" t="s">
        <v>86</v>
      </c>
      <c r="N882">
        <v>3</v>
      </c>
      <c r="O882" s="1">
        <v>44208.532916666663</v>
      </c>
      <c r="P882" s="1">
        <v>44208.649502314816</v>
      </c>
      <c r="Q882">
        <v>9596</v>
      </c>
      <c r="R882">
        <v>477</v>
      </c>
      <c r="S882" t="b">
        <v>0</v>
      </c>
      <c r="T882" t="s">
        <v>87</v>
      </c>
      <c r="U882" t="b">
        <v>0</v>
      </c>
      <c r="V882" t="s">
        <v>255</v>
      </c>
      <c r="W882" s="1">
        <v>44208.54173611111</v>
      </c>
      <c r="X882">
        <v>229</v>
      </c>
      <c r="Y882">
        <v>47</v>
      </c>
      <c r="Z882">
        <v>0</v>
      </c>
      <c r="AA882">
        <v>47</v>
      </c>
      <c r="AB882">
        <v>0</v>
      </c>
      <c r="AC882">
        <v>13</v>
      </c>
      <c r="AD882">
        <v>19</v>
      </c>
      <c r="AE882">
        <v>0</v>
      </c>
      <c r="AF882">
        <v>0</v>
      </c>
      <c r="AG882">
        <v>0</v>
      </c>
      <c r="AH882" t="s">
        <v>128</v>
      </c>
      <c r="AI882" s="1">
        <v>44208.603807870371</v>
      </c>
      <c r="AJ882">
        <v>229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19</v>
      </c>
      <c r="AQ882">
        <v>0</v>
      </c>
      <c r="AR882">
        <v>0</v>
      </c>
      <c r="AS882">
        <v>0</v>
      </c>
      <c r="AT882" t="s">
        <v>90</v>
      </c>
      <c r="AU882" s="1">
        <v>44208.649502314816</v>
      </c>
      <c r="AV882">
        <v>3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19</v>
      </c>
      <c r="BC882">
        <v>0</v>
      </c>
      <c r="BD882">
        <v>0</v>
      </c>
      <c r="BE882">
        <v>0</v>
      </c>
    </row>
    <row r="883" spans="1:57" x14ac:dyDescent="0.45">
      <c r="A883" t="s">
        <v>2311</v>
      </c>
      <c r="B883" t="s">
        <v>79</v>
      </c>
      <c r="C883" t="s">
        <v>2312</v>
      </c>
      <c r="D883" t="s">
        <v>81</v>
      </c>
      <c r="E883" s="2" t="str">
        <f>HYPERLINK("capsilon://?command=openfolder&amp;siteaddress=FAM.docvelocity-na8.net&amp;folderid=FXD804BA5F-4BE1-9080-5F58-11F232221154","FX21015004")</f>
        <v>FX21015004</v>
      </c>
      <c r="F883" t="s">
        <v>19</v>
      </c>
      <c r="G883" t="s">
        <v>19</v>
      </c>
      <c r="H883" t="s">
        <v>82</v>
      </c>
      <c r="I883" t="s">
        <v>2313</v>
      </c>
      <c r="J883">
        <v>38</v>
      </c>
      <c r="K883" t="s">
        <v>84</v>
      </c>
      <c r="L883" t="s">
        <v>85</v>
      </c>
      <c r="M883" t="s">
        <v>86</v>
      </c>
      <c r="N883">
        <v>3</v>
      </c>
      <c r="O883" s="1">
        <v>44208.533275462964</v>
      </c>
      <c r="P883" s="1">
        <v>44208.649571759262</v>
      </c>
      <c r="Q883">
        <v>9246</v>
      </c>
      <c r="R883">
        <v>802</v>
      </c>
      <c r="S883" t="b">
        <v>0</v>
      </c>
      <c r="T883" t="s">
        <v>87</v>
      </c>
      <c r="U883" t="b">
        <v>0</v>
      </c>
      <c r="V883" t="s">
        <v>179</v>
      </c>
      <c r="W883" s="1">
        <v>44208.547824074078</v>
      </c>
      <c r="X883">
        <v>731</v>
      </c>
      <c r="Y883">
        <v>37</v>
      </c>
      <c r="Z883">
        <v>0</v>
      </c>
      <c r="AA883">
        <v>37</v>
      </c>
      <c r="AB883">
        <v>0</v>
      </c>
      <c r="AC883">
        <v>21</v>
      </c>
      <c r="AD883">
        <v>1</v>
      </c>
      <c r="AE883">
        <v>0</v>
      </c>
      <c r="AF883">
        <v>0</v>
      </c>
      <c r="AG883">
        <v>0</v>
      </c>
      <c r="AH883" t="s">
        <v>132</v>
      </c>
      <c r="AI883" s="1">
        <v>44208.60229166667</v>
      </c>
      <c r="AJ883">
        <v>66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 t="s">
        <v>90</v>
      </c>
      <c r="AU883" s="1">
        <v>44208.649571759262</v>
      </c>
      <c r="AV883">
        <v>5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</row>
    <row r="884" spans="1:57" x14ac:dyDescent="0.45">
      <c r="A884" t="s">
        <v>2314</v>
      </c>
      <c r="B884" t="s">
        <v>79</v>
      </c>
      <c r="C884" t="s">
        <v>2297</v>
      </c>
      <c r="D884" t="s">
        <v>81</v>
      </c>
      <c r="E884" s="2" t="str">
        <f>HYPERLINK("capsilon://?command=openfolder&amp;siteaddress=FAM.docvelocity-na8.net&amp;folderid=FXC1E1BD5B-5BEF-BFEF-EB99-C146112DF103","FX20111432")</f>
        <v>FX20111432</v>
      </c>
      <c r="F884" t="s">
        <v>19</v>
      </c>
      <c r="G884" t="s">
        <v>19</v>
      </c>
      <c r="H884" t="s">
        <v>82</v>
      </c>
      <c r="I884" t="s">
        <v>2298</v>
      </c>
      <c r="J884">
        <v>38</v>
      </c>
      <c r="K884" t="s">
        <v>84</v>
      </c>
      <c r="L884" t="s">
        <v>85</v>
      </c>
      <c r="M884" t="s">
        <v>86</v>
      </c>
      <c r="N884">
        <v>3</v>
      </c>
      <c r="O884" s="1">
        <v>44208.533310185187</v>
      </c>
      <c r="P884" s="1">
        <v>44208.576574074075</v>
      </c>
      <c r="Q884">
        <v>2483</v>
      </c>
      <c r="R884">
        <v>1255</v>
      </c>
      <c r="S884" t="b">
        <v>0</v>
      </c>
      <c r="T884" t="s">
        <v>87</v>
      </c>
      <c r="U884" t="b">
        <v>1</v>
      </c>
      <c r="V884" t="s">
        <v>168</v>
      </c>
      <c r="W884" s="1">
        <v>44208.546643518515</v>
      </c>
      <c r="X884">
        <v>1124</v>
      </c>
      <c r="Y884">
        <v>37</v>
      </c>
      <c r="Z884">
        <v>0</v>
      </c>
      <c r="AA884">
        <v>37</v>
      </c>
      <c r="AB884">
        <v>0</v>
      </c>
      <c r="AC884">
        <v>35</v>
      </c>
      <c r="AD884">
        <v>1</v>
      </c>
      <c r="AE884">
        <v>0</v>
      </c>
      <c r="AF884">
        <v>0</v>
      </c>
      <c r="AG884">
        <v>0</v>
      </c>
      <c r="AH884" t="s">
        <v>128</v>
      </c>
      <c r="AI884" s="1">
        <v>44208.557013888887</v>
      </c>
      <c r="AJ884">
        <v>123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 t="s">
        <v>90</v>
      </c>
      <c r="AU884" s="1">
        <v>44208.576574074075</v>
      </c>
      <c r="AV884">
        <v>8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</row>
    <row r="885" spans="1:57" hidden="1" x14ac:dyDescent="0.45">
      <c r="A885" t="s">
        <v>2315</v>
      </c>
      <c r="B885" t="s">
        <v>79</v>
      </c>
      <c r="C885" t="s">
        <v>967</v>
      </c>
      <c r="D885" t="s">
        <v>81</v>
      </c>
      <c r="E885" s="2" t="str">
        <f>HYPERLINK("capsilon://?command=openfolder&amp;siteaddress=FAM.docvelocity-na8.net&amp;folderid=FX77916BE9-19BC-80D2-4FA2-1AA7EF6AC0E5","FX201228437")</f>
        <v>FX201228437</v>
      </c>
      <c r="F885" t="s">
        <v>19</v>
      </c>
      <c r="G885" t="s">
        <v>19</v>
      </c>
      <c r="H885" t="s">
        <v>82</v>
      </c>
      <c r="I885" t="s">
        <v>2316</v>
      </c>
      <c r="J885">
        <v>26</v>
      </c>
      <c r="K885" t="s">
        <v>84</v>
      </c>
      <c r="L885" t="s">
        <v>85</v>
      </c>
      <c r="M885" t="s">
        <v>86</v>
      </c>
      <c r="N885">
        <v>1</v>
      </c>
      <c r="O885" s="1">
        <v>44208.534444444442</v>
      </c>
      <c r="P885" s="1">
        <v>44208.552291666667</v>
      </c>
      <c r="Q885">
        <v>1363</v>
      </c>
      <c r="R885">
        <v>179</v>
      </c>
      <c r="S885" t="b">
        <v>0</v>
      </c>
      <c r="T885" t="s">
        <v>87</v>
      </c>
      <c r="U885" t="b">
        <v>0</v>
      </c>
      <c r="V885" t="s">
        <v>146</v>
      </c>
      <c r="W885" s="1">
        <v>44208.552291666667</v>
      </c>
      <c r="X885">
        <v>21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26</v>
      </c>
      <c r="AE885">
        <v>0</v>
      </c>
      <c r="AF885">
        <v>0</v>
      </c>
      <c r="AG885">
        <v>3</v>
      </c>
      <c r="AH885" t="s">
        <v>87</v>
      </c>
      <c r="AI885" t="s">
        <v>87</v>
      </c>
      <c r="AJ885" t="s">
        <v>87</v>
      </c>
      <c r="AK885" t="s">
        <v>87</v>
      </c>
      <c r="AL885" t="s">
        <v>87</v>
      </c>
      <c r="AM885" t="s">
        <v>87</v>
      </c>
      <c r="AN885" t="s">
        <v>87</v>
      </c>
      <c r="AO885" t="s">
        <v>87</v>
      </c>
      <c r="AP885" t="s">
        <v>87</v>
      </c>
      <c r="AQ885" t="s">
        <v>87</v>
      </c>
      <c r="AR885" t="s">
        <v>87</v>
      </c>
      <c r="AS885" t="s">
        <v>87</v>
      </c>
      <c r="AT885" t="s">
        <v>87</v>
      </c>
      <c r="AU885" t="s">
        <v>87</v>
      </c>
      <c r="AV885" t="s">
        <v>87</v>
      </c>
      <c r="AW885" t="s">
        <v>87</v>
      </c>
      <c r="AX885" t="s">
        <v>87</v>
      </c>
      <c r="AY885" t="s">
        <v>87</v>
      </c>
      <c r="AZ885" t="s">
        <v>87</v>
      </c>
      <c r="BA885" t="s">
        <v>87</v>
      </c>
      <c r="BB885" t="s">
        <v>87</v>
      </c>
      <c r="BC885" t="s">
        <v>87</v>
      </c>
      <c r="BD885" t="s">
        <v>87</v>
      </c>
      <c r="BE885" t="s">
        <v>87</v>
      </c>
    </row>
    <row r="886" spans="1:57" x14ac:dyDescent="0.45">
      <c r="A886" t="s">
        <v>2317</v>
      </c>
      <c r="B886" t="s">
        <v>79</v>
      </c>
      <c r="C886" t="s">
        <v>2318</v>
      </c>
      <c r="D886" t="s">
        <v>81</v>
      </c>
      <c r="E886" s="2" t="str">
        <f>HYPERLINK("capsilon://?command=openfolder&amp;siteaddress=FAM.docvelocity-na8.net&amp;folderid=FXE8CA8B0E-4B3F-3181-549F-CCE596A86228","FX201222551")</f>
        <v>FX201222551</v>
      </c>
      <c r="F886" t="s">
        <v>19</v>
      </c>
      <c r="G886" t="s">
        <v>19</v>
      </c>
      <c r="H886" t="s">
        <v>82</v>
      </c>
      <c r="I886" t="s">
        <v>2319</v>
      </c>
      <c r="J886">
        <v>38</v>
      </c>
      <c r="K886" t="s">
        <v>84</v>
      </c>
      <c r="L886" t="s">
        <v>85</v>
      </c>
      <c r="M886" t="s">
        <v>86</v>
      </c>
      <c r="N886">
        <v>3</v>
      </c>
      <c r="O886" s="1">
        <v>44208.535057870373</v>
      </c>
      <c r="P886" s="1">
        <v>44208.649641203701</v>
      </c>
      <c r="Q886">
        <v>9111</v>
      </c>
      <c r="R886">
        <v>789</v>
      </c>
      <c r="S886" t="b">
        <v>0</v>
      </c>
      <c r="T886" t="s">
        <v>87</v>
      </c>
      <c r="U886" t="b">
        <v>0</v>
      </c>
      <c r="V886" t="s">
        <v>171</v>
      </c>
      <c r="W886" s="1">
        <v>44208.549432870372</v>
      </c>
      <c r="X886">
        <v>718</v>
      </c>
      <c r="Y886">
        <v>37</v>
      </c>
      <c r="Z886">
        <v>0</v>
      </c>
      <c r="AA886">
        <v>37</v>
      </c>
      <c r="AB886">
        <v>0</v>
      </c>
      <c r="AC886">
        <v>35</v>
      </c>
      <c r="AD886">
        <v>1</v>
      </c>
      <c r="AE886">
        <v>0</v>
      </c>
      <c r="AF886">
        <v>0</v>
      </c>
      <c r="AG886">
        <v>0</v>
      </c>
      <c r="AH886" t="s">
        <v>132</v>
      </c>
      <c r="AI886" s="1">
        <v>44208.603067129632</v>
      </c>
      <c r="AJ886">
        <v>66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 t="s">
        <v>90</v>
      </c>
      <c r="AU886" s="1">
        <v>44208.649641203701</v>
      </c>
      <c r="AV886">
        <v>5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</row>
    <row r="887" spans="1:57" hidden="1" x14ac:dyDescent="0.45">
      <c r="A887" t="s">
        <v>2320</v>
      </c>
      <c r="B887" t="s">
        <v>79</v>
      </c>
      <c r="C887" t="s">
        <v>967</v>
      </c>
      <c r="D887" t="s">
        <v>81</v>
      </c>
      <c r="E887" s="2" t="str">
        <f>HYPERLINK("capsilon://?command=openfolder&amp;siteaddress=FAM.docvelocity-na8.net&amp;folderid=FX77916BE9-19BC-80D2-4FA2-1AA7EF6AC0E5","FX201228437")</f>
        <v>FX201228437</v>
      </c>
      <c r="F887" t="s">
        <v>19</v>
      </c>
      <c r="G887" t="s">
        <v>19</v>
      </c>
      <c r="H887" t="s">
        <v>82</v>
      </c>
      <c r="I887" t="s">
        <v>2321</v>
      </c>
      <c r="J887">
        <v>58</v>
      </c>
      <c r="K887" t="s">
        <v>84</v>
      </c>
      <c r="L887" t="s">
        <v>85</v>
      </c>
      <c r="M887" t="s">
        <v>86</v>
      </c>
      <c r="N887">
        <v>1</v>
      </c>
      <c r="O887" s="1">
        <v>44208.53738425926</v>
      </c>
      <c r="P887" s="1">
        <v>44208.555115740739</v>
      </c>
      <c r="Q887">
        <v>565</v>
      </c>
      <c r="R887">
        <v>967</v>
      </c>
      <c r="S887" t="b">
        <v>0</v>
      </c>
      <c r="T887" t="s">
        <v>87</v>
      </c>
      <c r="U887" t="b">
        <v>0</v>
      </c>
      <c r="V887" t="s">
        <v>242</v>
      </c>
      <c r="W887" s="1">
        <v>44208.555115740739</v>
      </c>
      <c r="X887">
        <v>839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58</v>
      </c>
      <c r="AE887">
        <v>54</v>
      </c>
      <c r="AF887">
        <v>1</v>
      </c>
      <c r="AG887">
        <v>4</v>
      </c>
      <c r="AH887" t="s">
        <v>87</v>
      </c>
      <c r="AI887" t="s">
        <v>87</v>
      </c>
      <c r="AJ887" t="s">
        <v>87</v>
      </c>
      <c r="AK887" t="s">
        <v>87</v>
      </c>
      <c r="AL887" t="s">
        <v>87</v>
      </c>
      <c r="AM887" t="s">
        <v>87</v>
      </c>
      <c r="AN887" t="s">
        <v>87</v>
      </c>
      <c r="AO887" t="s">
        <v>87</v>
      </c>
      <c r="AP887" t="s">
        <v>87</v>
      </c>
      <c r="AQ887" t="s">
        <v>87</v>
      </c>
      <c r="AR887" t="s">
        <v>87</v>
      </c>
      <c r="AS887" t="s">
        <v>87</v>
      </c>
      <c r="AT887" t="s">
        <v>87</v>
      </c>
      <c r="AU887" t="s">
        <v>87</v>
      </c>
      <c r="AV887" t="s">
        <v>87</v>
      </c>
      <c r="AW887" t="s">
        <v>87</v>
      </c>
      <c r="AX887" t="s">
        <v>87</v>
      </c>
      <c r="AY887" t="s">
        <v>87</v>
      </c>
      <c r="AZ887" t="s">
        <v>87</v>
      </c>
      <c r="BA887" t="s">
        <v>87</v>
      </c>
      <c r="BB887" t="s">
        <v>87</v>
      </c>
      <c r="BC887" t="s">
        <v>87</v>
      </c>
      <c r="BD887" t="s">
        <v>87</v>
      </c>
      <c r="BE887" t="s">
        <v>87</v>
      </c>
    </row>
    <row r="888" spans="1:57" x14ac:dyDescent="0.45">
      <c r="A888" t="s">
        <v>2322</v>
      </c>
      <c r="B888" t="s">
        <v>79</v>
      </c>
      <c r="C888" t="s">
        <v>2323</v>
      </c>
      <c r="D888" t="s">
        <v>81</v>
      </c>
      <c r="E888" s="2" t="str">
        <f>HYPERLINK("capsilon://?command=openfolder&amp;siteaddress=FAM.docvelocity-na8.net&amp;folderid=FXF0612C63-D805-ED0A-623D-280E379313FF","FX21014999")</f>
        <v>FX21014999</v>
      </c>
      <c r="F888" t="s">
        <v>19</v>
      </c>
      <c r="G888" t="s">
        <v>19</v>
      </c>
      <c r="H888" t="s">
        <v>82</v>
      </c>
      <c r="I888" t="s">
        <v>2324</v>
      </c>
      <c r="J888">
        <v>290</v>
      </c>
      <c r="K888" t="s">
        <v>84</v>
      </c>
      <c r="L888" t="s">
        <v>85</v>
      </c>
      <c r="M888" t="s">
        <v>86</v>
      </c>
      <c r="N888">
        <v>3</v>
      </c>
      <c r="O888" s="1">
        <v>44208.539953703701</v>
      </c>
      <c r="P888" s="1">
        <v>44208.652361111112</v>
      </c>
      <c r="Q888">
        <v>4730</v>
      </c>
      <c r="R888">
        <v>4982</v>
      </c>
      <c r="S888" t="b">
        <v>0</v>
      </c>
      <c r="T888" t="s">
        <v>87</v>
      </c>
      <c r="U888" t="b">
        <v>0</v>
      </c>
      <c r="V888" t="s">
        <v>255</v>
      </c>
      <c r="W888" s="1">
        <v>44208.594756944447</v>
      </c>
      <c r="X888">
        <v>4227</v>
      </c>
      <c r="Y888">
        <v>311</v>
      </c>
      <c r="Z888">
        <v>0</v>
      </c>
      <c r="AA888">
        <v>311</v>
      </c>
      <c r="AB888">
        <v>0</v>
      </c>
      <c r="AC888">
        <v>186</v>
      </c>
      <c r="AD888">
        <v>-21</v>
      </c>
      <c r="AE888">
        <v>0</v>
      </c>
      <c r="AF888">
        <v>0</v>
      </c>
      <c r="AG888">
        <v>0</v>
      </c>
      <c r="AH888" t="s">
        <v>132</v>
      </c>
      <c r="AI888" s="1">
        <v>44208.60900462963</v>
      </c>
      <c r="AJ888">
        <v>512</v>
      </c>
      <c r="AK888">
        <v>2</v>
      </c>
      <c r="AL888">
        <v>0</v>
      </c>
      <c r="AM888">
        <v>2</v>
      </c>
      <c r="AN888">
        <v>0</v>
      </c>
      <c r="AO888">
        <v>1</v>
      </c>
      <c r="AP888">
        <v>-23</v>
      </c>
      <c r="AQ888">
        <v>0</v>
      </c>
      <c r="AR888">
        <v>0</v>
      </c>
      <c r="AS888">
        <v>0</v>
      </c>
      <c r="AT888" t="s">
        <v>90</v>
      </c>
      <c r="AU888" s="1">
        <v>44208.652361111112</v>
      </c>
      <c r="AV888">
        <v>235</v>
      </c>
      <c r="AW888">
        <v>0</v>
      </c>
      <c r="AX888">
        <v>0</v>
      </c>
      <c r="AY888">
        <v>0</v>
      </c>
      <c r="AZ888">
        <v>81</v>
      </c>
      <c r="BA888">
        <v>0</v>
      </c>
      <c r="BB888">
        <v>-23</v>
      </c>
      <c r="BC888">
        <v>0</v>
      </c>
      <c r="BD888">
        <v>0</v>
      </c>
      <c r="BE888">
        <v>0</v>
      </c>
    </row>
    <row r="889" spans="1:57" x14ac:dyDescent="0.45">
      <c r="A889" t="s">
        <v>2325</v>
      </c>
      <c r="B889" t="s">
        <v>79</v>
      </c>
      <c r="C889" t="s">
        <v>1694</v>
      </c>
      <c r="D889" t="s">
        <v>81</v>
      </c>
      <c r="E889" s="2" t="str">
        <f>HYPERLINK("capsilon://?command=openfolder&amp;siteaddress=FAM.docvelocity-na8.net&amp;folderid=FXD80F3E95-85DC-A3C1-8B94-2C365488A410","FX20111599")</f>
        <v>FX20111599</v>
      </c>
      <c r="F889" t="s">
        <v>19</v>
      </c>
      <c r="G889" t="s">
        <v>19</v>
      </c>
      <c r="H889" t="s">
        <v>82</v>
      </c>
      <c r="I889" t="s">
        <v>2326</v>
      </c>
      <c r="J889">
        <v>48</v>
      </c>
      <c r="K889" t="s">
        <v>84</v>
      </c>
      <c r="L889" t="s">
        <v>85</v>
      </c>
      <c r="M889" t="s">
        <v>86</v>
      </c>
      <c r="N889">
        <v>3</v>
      </c>
      <c r="O889" s="1">
        <v>44208.550462962965</v>
      </c>
      <c r="P889" s="1">
        <v>44208.653321759259</v>
      </c>
      <c r="Q889">
        <v>6766</v>
      </c>
      <c r="R889">
        <v>2121</v>
      </c>
      <c r="S889" t="b">
        <v>0</v>
      </c>
      <c r="T889" t="s">
        <v>87</v>
      </c>
      <c r="U889" t="b">
        <v>0</v>
      </c>
      <c r="V889" t="s">
        <v>179</v>
      </c>
      <c r="W889" s="1">
        <v>44208.570185185185</v>
      </c>
      <c r="X889">
        <v>1703</v>
      </c>
      <c r="Y889">
        <v>42</v>
      </c>
      <c r="Z889">
        <v>0</v>
      </c>
      <c r="AA889">
        <v>42</v>
      </c>
      <c r="AB889">
        <v>0</v>
      </c>
      <c r="AC889">
        <v>26</v>
      </c>
      <c r="AD889">
        <v>6</v>
      </c>
      <c r="AE889">
        <v>0</v>
      </c>
      <c r="AF889">
        <v>0</v>
      </c>
      <c r="AG889">
        <v>0</v>
      </c>
      <c r="AH889" t="s">
        <v>128</v>
      </c>
      <c r="AI889" s="1">
        <v>44208.607708333337</v>
      </c>
      <c r="AJ889">
        <v>336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6</v>
      </c>
      <c r="AQ889">
        <v>0</v>
      </c>
      <c r="AR889">
        <v>0</v>
      </c>
      <c r="AS889">
        <v>0</v>
      </c>
      <c r="AT889" t="s">
        <v>90</v>
      </c>
      <c r="AU889" s="1">
        <v>44208.653321759259</v>
      </c>
      <c r="AV889">
        <v>82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6</v>
      </c>
      <c r="BC889">
        <v>0</v>
      </c>
      <c r="BD889">
        <v>0</v>
      </c>
      <c r="BE889">
        <v>0</v>
      </c>
    </row>
    <row r="890" spans="1:57" x14ac:dyDescent="0.45">
      <c r="A890" t="s">
        <v>2327</v>
      </c>
      <c r="B890" t="s">
        <v>79</v>
      </c>
      <c r="C890" t="s">
        <v>1694</v>
      </c>
      <c r="D890" t="s">
        <v>81</v>
      </c>
      <c r="E890" s="2" t="str">
        <f>HYPERLINK("capsilon://?command=openfolder&amp;siteaddress=FAM.docvelocity-na8.net&amp;folderid=FXD80F3E95-85DC-A3C1-8B94-2C365488A410","FX20111599")</f>
        <v>FX20111599</v>
      </c>
      <c r="F890" t="s">
        <v>19</v>
      </c>
      <c r="G890" t="s">
        <v>19</v>
      </c>
      <c r="H890" t="s">
        <v>82</v>
      </c>
      <c r="I890" t="s">
        <v>2328</v>
      </c>
      <c r="J890">
        <v>82</v>
      </c>
      <c r="K890" t="s">
        <v>84</v>
      </c>
      <c r="L890" t="s">
        <v>85</v>
      </c>
      <c r="M890" t="s">
        <v>86</v>
      </c>
      <c r="N890">
        <v>3</v>
      </c>
      <c r="O890" s="1">
        <v>44208.55269675926</v>
      </c>
      <c r="P890" s="1">
        <v>44208.653379629628</v>
      </c>
      <c r="Q890">
        <v>6690</v>
      </c>
      <c r="R890">
        <v>2009</v>
      </c>
      <c r="S890" t="b">
        <v>0</v>
      </c>
      <c r="T890" t="s">
        <v>87</v>
      </c>
      <c r="U890" t="b">
        <v>0</v>
      </c>
      <c r="V890" t="s">
        <v>160</v>
      </c>
      <c r="W890" s="1">
        <v>44208.572835648149</v>
      </c>
      <c r="X890">
        <v>1739</v>
      </c>
      <c r="Y890">
        <v>57</v>
      </c>
      <c r="Z890">
        <v>0</v>
      </c>
      <c r="AA890">
        <v>57</v>
      </c>
      <c r="AB890">
        <v>0</v>
      </c>
      <c r="AC890">
        <v>17</v>
      </c>
      <c r="AD890">
        <v>25</v>
      </c>
      <c r="AE890">
        <v>0</v>
      </c>
      <c r="AF890">
        <v>0</v>
      </c>
      <c r="AG890">
        <v>0</v>
      </c>
      <c r="AH890" t="s">
        <v>128</v>
      </c>
      <c r="AI890" s="1">
        <v>44208.61078703704</v>
      </c>
      <c r="AJ890">
        <v>265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25</v>
      </c>
      <c r="AQ890">
        <v>0</v>
      </c>
      <c r="AR890">
        <v>0</v>
      </c>
      <c r="AS890">
        <v>0</v>
      </c>
      <c r="AT890" t="s">
        <v>90</v>
      </c>
      <c r="AU890" s="1">
        <v>44208.653379629628</v>
      </c>
      <c r="AV890">
        <v>5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25</v>
      </c>
      <c r="BC890">
        <v>0</v>
      </c>
      <c r="BD890">
        <v>0</v>
      </c>
      <c r="BE890">
        <v>0</v>
      </c>
    </row>
    <row r="891" spans="1:57" x14ac:dyDescent="0.45">
      <c r="A891" t="s">
        <v>2329</v>
      </c>
      <c r="B891" t="s">
        <v>79</v>
      </c>
      <c r="C891" t="s">
        <v>1694</v>
      </c>
      <c r="D891" t="s">
        <v>81</v>
      </c>
      <c r="E891" s="2" t="str">
        <f>HYPERLINK("capsilon://?command=openfolder&amp;siteaddress=FAM.docvelocity-na8.net&amp;folderid=FXD80F3E95-85DC-A3C1-8B94-2C365488A410","FX20111599")</f>
        <v>FX20111599</v>
      </c>
      <c r="F891" t="s">
        <v>19</v>
      </c>
      <c r="G891" t="s">
        <v>19</v>
      </c>
      <c r="H891" t="s">
        <v>82</v>
      </c>
      <c r="I891" t="s">
        <v>2330</v>
      </c>
      <c r="J891">
        <v>82</v>
      </c>
      <c r="K891" t="s">
        <v>84</v>
      </c>
      <c r="L891" t="s">
        <v>85</v>
      </c>
      <c r="M891" t="s">
        <v>86</v>
      </c>
      <c r="N891">
        <v>3</v>
      </c>
      <c r="O891" s="1">
        <v>44208.553888888891</v>
      </c>
      <c r="P891" s="1">
        <v>44208.653449074074</v>
      </c>
      <c r="Q891">
        <v>8085</v>
      </c>
      <c r="R891">
        <v>517</v>
      </c>
      <c r="S891" t="b">
        <v>0</v>
      </c>
      <c r="T891" t="s">
        <v>87</v>
      </c>
      <c r="U891" t="b">
        <v>0</v>
      </c>
      <c r="V891" t="s">
        <v>168</v>
      </c>
      <c r="W891" s="1">
        <v>44208.558923611112</v>
      </c>
      <c r="X891">
        <v>434</v>
      </c>
      <c r="Y891">
        <v>51</v>
      </c>
      <c r="Z891">
        <v>0</v>
      </c>
      <c r="AA891">
        <v>51</v>
      </c>
      <c r="AB891">
        <v>0</v>
      </c>
      <c r="AC891">
        <v>20</v>
      </c>
      <c r="AD891">
        <v>31</v>
      </c>
      <c r="AE891">
        <v>0</v>
      </c>
      <c r="AF891">
        <v>0</v>
      </c>
      <c r="AG891">
        <v>0</v>
      </c>
      <c r="AH891" t="s">
        <v>132</v>
      </c>
      <c r="AI891" s="1">
        <v>44208.609918981485</v>
      </c>
      <c r="AJ891">
        <v>78</v>
      </c>
      <c r="AK891">
        <v>1</v>
      </c>
      <c r="AL891">
        <v>0</v>
      </c>
      <c r="AM891">
        <v>1</v>
      </c>
      <c r="AN891">
        <v>0</v>
      </c>
      <c r="AO891">
        <v>1</v>
      </c>
      <c r="AP891">
        <v>30</v>
      </c>
      <c r="AQ891">
        <v>0</v>
      </c>
      <c r="AR891">
        <v>0</v>
      </c>
      <c r="AS891">
        <v>0</v>
      </c>
      <c r="AT891" t="s">
        <v>90</v>
      </c>
      <c r="AU891" s="1">
        <v>44208.653449074074</v>
      </c>
      <c r="AV891">
        <v>5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30</v>
      </c>
      <c r="BC891">
        <v>0</v>
      </c>
      <c r="BD891">
        <v>0</v>
      </c>
      <c r="BE891">
        <v>0</v>
      </c>
    </row>
    <row r="892" spans="1:57" x14ac:dyDescent="0.45">
      <c r="A892" t="s">
        <v>2331</v>
      </c>
      <c r="B892" t="s">
        <v>79</v>
      </c>
      <c r="C892" t="s">
        <v>967</v>
      </c>
      <c r="D892" t="s">
        <v>81</v>
      </c>
      <c r="E892" s="2" t="str">
        <f>HYPERLINK("capsilon://?command=openfolder&amp;siteaddress=FAM.docvelocity-na8.net&amp;folderid=FX77916BE9-19BC-80D2-4FA2-1AA7EF6AC0E5","FX201228437")</f>
        <v>FX201228437</v>
      </c>
      <c r="F892" t="s">
        <v>19</v>
      </c>
      <c r="G892" t="s">
        <v>19</v>
      </c>
      <c r="H892" t="s">
        <v>82</v>
      </c>
      <c r="I892" t="s">
        <v>2316</v>
      </c>
      <c r="J892">
        <v>142</v>
      </c>
      <c r="K892" t="s">
        <v>84</v>
      </c>
      <c r="L892" t="s">
        <v>85</v>
      </c>
      <c r="M892" t="s">
        <v>86</v>
      </c>
      <c r="N892">
        <v>3</v>
      </c>
      <c r="O892" s="1">
        <v>44208.553993055553</v>
      </c>
      <c r="P892" s="1">
        <v>44208.638229166667</v>
      </c>
      <c r="Q892">
        <v>4148</v>
      </c>
      <c r="R892">
        <v>3130</v>
      </c>
      <c r="S892" t="b">
        <v>0</v>
      </c>
      <c r="T892" t="s">
        <v>87</v>
      </c>
      <c r="U892" t="b">
        <v>1</v>
      </c>
      <c r="V892" t="s">
        <v>146</v>
      </c>
      <c r="W892" s="1">
        <v>44208.581192129626</v>
      </c>
      <c r="X892">
        <v>2349</v>
      </c>
      <c r="Y892">
        <v>120</v>
      </c>
      <c r="Z892">
        <v>0</v>
      </c>
      <c r="AA892">
        <v>120</v>
      </c>
      <c r="AB892">
        <v>0</v>
      </c>
      <c r="AC892">
        <v>67</v>
      </c>
      <c r="AD892">
        <v>22</v>
      </c>
      <c r="AE892">
        <v>0</v>
      </c>
      <c r="AF892">
        <v>0</v>
      </c>
      <c r="AG892">
        <v>0</v>
      </c>
      <c r="AH892" t="s">
        <v>128</v>
      </c>
      <c r="AI892" s="1">
        <v>44208.590821759259</v>
      </c>
      <c r="AJ892">
        <v>749</v>
      </c>
      <c r="AK892">
        <v>1</v>
      </c>
      <c r="AL892">
        <v>0</v>
      </c>
      <c r="AM892">
        <v>1</v>
      </c>
      <c r="AN892">
        <v>0</v>
      </c>
      <c r="AO892">
        <v>1</v>
      </c>
      <c r="AP892">
        <v>21</v>
      </c>
      <c r="AQ892">
        <v>0</v>
      </c>
      <c r="AR892">
        <v>0</v>
      </c>
      <c r="AS892">
        <v>0</v>
      </c>
      <c r="AT892" t="s">
        <v>90</v>
      </c>
      <c r="AU892" s="1">
        <v>44208.638229166667</v>
      </c>
      <c r="AV892">
        <v>32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21</v>
      </c>
      <c r="BC892">
        <v>0</v>
      </c>
      <c r="BD892">
        <v>0</v>
      </c>
      <c r="BE892">
        <v>0</v>
      </c>
    </row>
    <row r="893" spans="1:57" x14ac:dyDescent="0.45">
      <c r="A893" t="s">
        <v>2332</v>
      </c>
      <c r="B893" t="s">
        <v>79</v>
      </c>
      <c r="C893" t="s">
        <v>967</v>
      </c>
      <c r="D893" t="s">
        <v>81</v>
      </c>
      <c r="E893" s="2" t="str">
        <f>HYPERLINK("capsilon://?command=openfolder&amp;siteaddress=FAM.docvelocity-na8.net&amp;folderid=FX77916BE9-19BC-80D2-4FA2-1AA7EF6AC0E5","FX201228437")</f>
        <v>FX201228437</v>
      </c>
      <c r="F893" t="s">
        <v>19</v>
      </c>
      <c r="G893" t="s">
        <v>19</v>
      </c>
      <c r="H893" t="s">
        <v>82</v>
      </c>
      <c r="I893" t="s">
        <v>2321</v>
      </c>
      <c r="J893">
        <v>174</v>
      </c>
      <c r="K893" t="s">
        <v>84</v>
      </c>
      <c r="L893" t="s">
        <v>85</v>
      </c>
      <c r="M893" t="s">
        <v>86</v>
      </c>
      <c r="N893">
        <v>3</v>
      </c>
      <c r="O893" s="1">
        <v>44208.556157407409</v>
      </c>
      <c r="P893" s="1">
        <v>44208.640694444446</v>
      </c>
      <c r="Q893">
        <v>4719</v>
      </c>
      <c r="R893">
        <v>2585</v>
      </c>
      <c r="S893" t="b">
        <v>0</v>
      </c>
      <c r="T893" t="s">
        <v>87</v>
      </c>
      <c r="U893" t="b">
        <v>1</v>
      </c>
      <c r="V893" t="s">
        <v>171</v>
      </c>
      <c r="W893" s="1">
        <v>44208.578912037039</v>
      </c>
      <c r="X893">
        <v>1935</v>
      </c>
      <c r="Y893">
        <v>153</v>
      </c>
      <c r="Z893">
        <v>0</v>
      </c>
      <c r="AA893">
        <v>153</v>
      </c>
      <c r="AB893">
        <v>0</v>
      </c>
      <c r="AC893">
        <v>69</v>
      </c>
      <c r="AD893">
        <v>21</v>
      </c>
      <c r="AE893">
        <v>0</v>
      </c>
      <c r="AF893">
        <v>0</v>
      </c>
      <c r="AG893">
        <v>0</v>
      </c>
      <c r="AH893" t="s">
        <v>132</v>
      </c>
      <c r="AI893" s="1">
        <v>44208.593009259261</v>
      </c>
      <c r="AJ893">
        <v>438</v>
      </c>
      <c r="AK893">
        <v>10</v>
      </c>
      <c r="AL893">
        <v>0</v>
      </c>
      <c r="AM893">
        <v>10</v>
      </c>
      <c r="AN893">
        <v>0</v>
      </c>
      <c r="AO893">
        <v>9</v>
      </c>
      <c r="AP893">
        <v>11</v>
      </c>
      <c r="AQ893">
        <v>0</v>
      </c>
      <c r="AR893">
        <v>0</v>
      </c>
      <c r="AS893">
        <v>0</v>
      </c>
      <c r="AT893" t="s">
        <v>90</v>
      </c>
      <c r="AU893" s="1">
        <v>44208.640694444446</v>
      </c>
      <c r="AV893">
        <v>212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11</v>
      </c>
      <c r="BC893">
        <v>0</v>
      </c>
      <c r="BD893">
        <v>0</v>
      </c>
      <c r="BE893">
        <v>0</v>
      </c>
    </row>
    <row r="894" spans="1:57" x14ac:dyDescent="0.45">
      <c r="A894" t="s">
        <v>2333</v>
      </c>
      <c r="B894" t="s">
        <v>79</v>
      </c>
      <c r="C894" t="s">
        <v>2334</v>
      </c>
      <c r="D894" t="s">
        <v>81</v>
      </c>
      <c r="E894" s="2" t="str">
        <f>HYPERLINK("capsilon://?command=openfolder&amp;siteaddress=FAM.docvelocity-na8.net&amp;folderid=FX3BD19923-9AEB-C908-59AC-F06DD87F5E46","FX21015575")</f>
        <v>FX21015575</v>
      </c>
      <c r="F894" t="s">
        <v>19</v>
      </c>
      <c r="G894" t="s">
        <v>19</v>
      </c>
      <c r="H894" t="s">
        <v>82</v>
      </c>
      <c r="I894" t="s">
        <v>2335</v>
      </c>
      <c r="J894">
        <v>383</v>
      </c>
      <c r="K894" t="s">
        <v>84</v>
      </c>
      <c r="L894" t="s">
        <v>85</v>
      </c>
      <c r="M894" t="s">
        <v>86</v>
      </c>
      <c r="N894">
        <v>3</v>
      </c>
      <c r="O894" s="1">
        <v>44208.557025462964</v>
      </c>
      <c r="P894" s="1">
        <v>44208.654745370368</v>
      </c>
      <c r="Q894">
        <v>4269</v>
      </c>
      <c r="R894">
        <v>4174</v>
      </c>
      <c r="S894" t="b">
        <v>0</v>
      </c>
      <c r="T894" t="s">
        <v>87</v>
      </c>
      <c r="U894" t="b">
        <v>0</v>
      </c>
      <c r="V894" t="s">
        <v>262</v>
      </c>
      <c r="W894" s="1">
        <v>44208.627233796295</v>
      </c>
      <c r="X894">
        <v>3586</v>
      </c>
      <c r="Y894">
        <v>315</v>
      </c>
      <c r="Z894">
        <v>0</v>
      </c>
      <c r="AA894">
        <v>315</v>
      </c>
      <c r="AB894">
        <v>0</v>
      </c>
      <c r="AC894">
        <v>142</v>
      </c>
      <c r="AD894">
        <v>68</v>
      </c>
      <c r="AE894">
        <v>0</v>
      </c>
      <c r="AF894">
        <v>0</v>
      </c>
      <c r="AG894">
        <v>0</v>
      </c>
      <c r="AH894" t="s">
        <v>132</v>
      </c>
      <c r="AI894" s="1">
        <v>44208.639930555553</v>
      </c>
      <c r="AJ894">
        <v>477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68</v>
      </c>
      <c r="AQ894">
        <v>0</v>
      </c>
      <c r="AR894">
        <v>0</v>
      </c>
      <c r="AS894">
        <v>0</v>
      </c>
      <c r="AT894" t="s">
        <v>90</v>
      </c>
      <c r="AU894" s="1">
        <v>44208.654745370368</v>
      </c>
      <c r="AV894">
        <v>111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68</v>
      </c>
      <c r="BC894">
        <v>0</v>
      </c>
      <c r="BD894">
        <v>0</v>
      </c>
      <c r="BE894">
        <v>0</v>
      </c>
    </row>
    <row r="895" spans="1:57" x14ac:dyDescent="0.45">
      <c r="A895" t="s">
        <v>2336</v>
      </c>
      <c r="B895" t="s">
        <v>79</v>
      </c>
      <c r="C895" t="s">
        <v>2337</v>
      </c>
      <c r="D895" t="s">
        <v>81</v>
      </c>
      <c r="E895" s="2" t="str">
        <f>HYPERLINK("capsilon://?command=openfolder&amp;siteaddress=FAM.docvelocity-na8.net&amp;folderid=FXD29E1D51-DCE4-E31F-005E-3354B6179FC9","FX201225797")</f>
        <v>FX201225797</v>
      </c>
      <c r="F895" t="s">
        <v>19</v>
      </c>
      <c r="G895" t="s">
        <v>19</v>
      </c>
      <c r="H895" t="s">
        <v>82</v>
      </c>
      <c r="I895" t="s">
        <v>2338</v>
      </c>
      <c r="J895">
        <v>216</v>
      </c>
      <c r="K895" t="s">
        <v>84</v>
      </c>
      <c r="L895" t="s">
        <v>85</v>
      </c>
      <c r="M895" t="s">
        <v>86</v>
      </c>
      <c r="N895">
        <v>3</v>
      </c>
      <c r="O895" s="1">
        <v>44208.557442129626</v>
      </c>
      <c r="P895" s="1">
        <v>44208.656111111108</v>
      </c>
      <c r="Q895">
        <v>4840</v>
      </c>
      <c r="R895">
        <v>3685</v>
      </c>
      <c r="S895" t="b">
        <v>0</v>
      </c>
      <c r="T895" t="s">
        <v>87</v>
      </c>
      <c r="U895" t="b">
        <v>0</v>
      </c>
      <c r="V895" t="s">
        <v>343</v>
      </c>
      <c r="W895" s="1">
        <v>44208.601099537038</v>
      </c>
      <c r="X895">
        <v>3248</v>
      </c>
      <c r="Y895">
        <v>134</v>
      </c>
      <c r="Z895">
        <v>0</v>
      </c>
      <c r="AA895">
        <v>134</v>
      </c>
      <c r="AB895">
        <v>58</v>
      </c>
      <c r="AC895">
        <v>61</v>
      </c>
      <c r="AD895">
        <v>82</v>
      </c>
      <c r="AE895">
        <v>0</v>
      </c>
      <c r="AF895">
        <v>0</v>
      </c>
      <c r="AG895">
        <v>0</v>
      </c>
      <c r="AH895" t="s">
        <v>132</v>
      </c>
      <c r="AI895" s="1">
        <v>44208.613437499997</v>
      </c>
      <c r="AJ895">
        <v>302</v>
      </c>
      <c r="AK895">
        <v>4</v>
      </c>
      <c r="AL895">
        <v>0</v>
      </c>
      <c r="AM895">
        <v>4</v>
      </c>
      <c r="AN895">
        <v>58</v>
      </c>
      <c r="AO895">
        <v>3</v>
      </c>
      <c r="AP895">
        <v>78</v>
      </c>
      <c r="AQ895">
        <v>0</v>
      </c>
      <c r="AR895">
        <v>0</v>
      </c>
      <c r="AS895">
        <v>0</v>
      </c>
      <c r="AT895" t="s">
        <v>90</v>
      </c>
      <c r="AU895" s="1">
        <v>44208.656111111108</v>
      </c>
      <c r="AV895">
        <v>117</v>
      </c>
      <c r="AW895">
        <v>0</v>
      </c>
      <c r="AX895">
        <v>0</v>
      </c>
      <c r="AY895">
        <v>0</v>
      </c>
      <c r="AZ895">
        <v>58</v>
      </c>
      <c r="BA895">
        <v>0</v>
      </c>
      <c r="BB895">
        <v>78</v>
      </c>
      <c r="BC895">
        <v>0</v>
      </c>
      <c r="BD895">
        <v>0</v>
      </c>
      <c r="BE895">
        <v>0</v>
      </c>
    </row>
    <row r="896" spans="1:57" x14ac:dyDescent="0.45">
      <c r="A896" t="s">
        <v>2339</v>
      </c>
      <c r="B896" t="s">
        <v>79</v>
      </c>
      <c r="C896" t="s">
        <v>2340</v>
      </c>
      <c r="D896" t="s">
        <v>81</v>
      </c>
      <c r="E896" s="2" t="str">
        <f>HYPERLINK("capsilon://?command=openfolder&amp;siteaddress=FAM.docvelocity-na8.net&amp;folderid=FX2AF0915C-E94A-1865-B21C-D7B39D194C36","FX20122352")</f>
        <v>FX20122352</v>
      </c>
      <c r="F896" t="s">
        <v>19</v>
      </c>
      <c r="G896" t="s">
        <v>19</v>
      </c>
      <c r="H896" t="s">
        <v>82</v>
      </c>
      <c r="I896" t="s">
        <v>2341</v>
      </c>
      <c r="J896">
        <v>76</v>
      </c>
      <c r="K896" t="s">
        <v>84</v>
      </c>
      <c r="L896" t="s">
        <v>85</v>
      </c>
      <c r="M896" t="s">
        <v>86</v>
      </c>
      <c r="N896">
        <v>3</v>
      </c>
      <c r="O896" s="1">
        <v>44208.559756944444</v>
      </c>
      <c r="P896" s="1">
        <v>44208.656192129631</v>
      </c>
      <c r="Q896">
        <v>6153</v>
      </c>
      <c r="R896">
        <v>2179</v>
      </c>
      <c r="S896" t="b">
        <v>0</v>
      </c>
      <c r="T896" t="s">
        <v>87</v>
      </c>
      <c r="U896" t="b">
        <v>0</v>
      </c>
      <c r="V896" t="s">
        <v>168</v>
      </c>
      <c r="W896" s="1">
        <v>44208.581111111111</v>
      </c>
      <c r="X896">
        <v>1844</v>
      </c>
      <c r="Y896">
        <v>74</v>
      </c>
      <c r="Z896">
        <v>0</v>
      </c>
      <c r="AA896">
        <v>74</v>
      </c>
      <c r="AB896">
        <v>0</v>
      </c>
      <c r="AC896">
        <v>67</v>
      </c>
      <c r="AD896">
        <v>2</v>
      </c>
      <c r="AE896">
        <v>0</v>
      </c>
      <c r="AF896">
        <v>0</v>
      </c>
      <c r="AG896">
        <v>0</v>
      </c>
      <c r="AH896" t="s">
        <v>128</v>
      </c>
      <c r="AI896" s="1">
        <v>44208.614606481482</v>
      </c>
      <c r="AJ896">
        <v>329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2</v>
      </c>
      <c r="AQ896">
        <v>0</v>
      </c>
      <c r="AR896">
        <v>0</v>
      </c>
      <c r="AS896">
        <v>0</v>
      </c>
      <c r="AT896" t="s">
        <v>90</v>
      </c>
      <c r="AU896" s="1">
        <v>44208.656192129631</v>
      </c>
      <c r="AV896">
        <v>6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2</v>
      </c>
      <c r="BC896">
        <v>0</v>
      </c>
      <c r="BD896">
        <v>0</v>
      </c>
      <c r="BE896">
        <v>0</v>
      </c>
    </row>
    <row r="897" spans="1:57" x14ac:dyDescent="0.45">
      <c r="A897" t="s">
        <v>2342</v>
      </c>
      <c r="B897" t="s">
        <v>79</v>
      </c>
      <c r="C897" t="s">
        <v>2343</v>
      </c>
      <c r="D897" t="s">
        <v>81</v>
      </c>
      <c r="E897" s="2" t="str">
        <f>HYPERLINK("capsilon://?command=openfolder&amp;siteaddress=FAM.docvelocity-na8.net&amp;folderid=FX3E718EC9-CC62-433B-4908-BAA52295DC8B","FX21013016")</f>
        <v>FX21013016</v>
      </c>
      <c r="F897" t="s">
        <v>19</v>
      </c>
      <c r="G897" t="s">
        <v>19</v>
      </c>
      <c r="H897" t="s">
        <v>82</v>
      </c>
      <c r="I897" t="s">
        <v>2344</v>
      </c>
      <c r="J897">
        <v>38</v>
      </c>
      <c r="K897" t="s">
        <v>84</v>
      </c>
      <c r="L897" t="s">
        <v>85</v>
      </c>
      <c r="M897" t="s">
        <v>86</v>
      </c>
      <c r="N897">
        <v>3</v>
      </c>
      <c r="O897" s="1">
        <v>44208.566354166665</v>
      </c>
      <c r="P897" s="1">
        <v>44208.656238425923</v>
      </c>
      <c r="Q897">
        <v>7305</v>
      </c>
      <c r="R897">
        <v>461</v>
      </c>
      <c r="S897" t="b">
        <v>0</v>
      </c>
      <c r="T897" t="s">
        <v>87</v>
      </c>
      <c r="U897" t="b">
        <v>0</v>
      </c>
      <c r="V897" t="s">
        <v>242</v>
      </c>
      <c r="W897" s="1">
        <v>44208.571215277778</v>
      </c>
      <c r="X897">
        <v>379</v>
      </c>
      <c r="Y897">
        <v>37</v>
      </c>
      <c r="Z897">
        <v>0</v>
      </c>
      <c r="AA897">
        <v>37</v>
      </c>
      <c r="AB897">
        <v>0</v>
      </c>
      <c r="AC897">
        <v>23</v>
      </c>
      <c r="AD897">
        <v>1</v>
      </c>
      <c r="AE897">
        <v>0</v>
      </c>
      <c r="AF897">
        <v>0</v>
      </c>
      <c r="AG897">
        <v>0</v>
      </c>
      <c r="AH897" t="s">
        <v>132</v>
      </c>
      <c r="AI897" s="1">
        <v>44208.614351851851</v>
      </c>
      <c r="AJ897">
        <v>78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 t="s">
        <v>90</v>
      </c>
      <c r="AU897" s="1">
        <v>44208.656238425923</v>
      </c>
      <c r="AV897">
        <v>4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</row>
    <row r="898" spans="1:57" x14ac:dyDescent="0.45">
      <c r="A898" t="s">
        <v>2345</v>
      </c>
      <c r="B898" t="s">
        <v>79</v>
      </c>
      <c r="C898" t="s">
        <v>2346</v>
      </c>
      <c r="D898" t="s">
        <v>81</v>
      </c>
      <c r="E898" s="2" t="str">
        <f>HYPERLINK("capsilon://?command=openfolder&amp;siteaddress=FAM.docvelocity-na8.net&amp;folderid=FX04A8FD4A-98E6-85C8-02F2-10A37939773F","FX201226971")</f>
        <v>FX201226971</v>
      </c>
      <c r="F898" t="s">
        <v>19</v>
      </c>
      <c r="G898" t="s">
        <v>19</v>
      </c>
      <c r="H898" t="s">
        <v>82</v>
      </c>
      <c r="I898" t="s">
        <v>2347</v>
      </c>
      <c r="J898">
        <v>453</v>
      </c>
      <c r="K898" t="s">
        <v>84</v>
      </c>
      <c r="L898" t="s">
        <v>85</v>
      </c>
      <c r="M898" t="s">
        <v>86</v>
      </c>
      <c r="N898">
        <v>3</v>
      </c>
      <c r="O898" s="1">
        <v>44208.567453703705</v>
      </c>
      <c r="P898" s="1">
        <v>44208.656817129631</v>
      </c>
      <c r="Q898">
        <v>4422</v>
      </c>
      <c r="R898">
        <v>3299</v>
      </c>
      <c r="S898" t="b">
        <v>0</v>
      </c>
      <c r="T898" t="s">
        <v>87</v>
      </c>
      <c r="U898" t="b">
        <v>0</v>
      </c>
      <c r="V898" t="s">
        <v>259</v>
      </c>
      <c r="W898" s="1">
        <v>44208.598321759258</v>
      </c>
      <c r="X898">
        <v>2591</v>
      </c>
      <c r="Y898">
        <v>364</v>
      </c>
      <c r="Z898">
        <v>0</v>
      </c>
      <c r="AA898">
        <v>364</v>
      </c>
      <c r="AB898">
        <v>0</v>
      </c>
      <c r="AC898">
        <v>136</v>
      </c>
      <c r="AD898">
        <v>89</v>
      </c>
      <c r="AE898">
        <v>0</v>
      </c>
      <c r="AF898">
        <v>0</v>
      </c>
      <c r="AG898">
        <v>0</v>
      </c>
      <c r="AH898" t="s">
        <v>132</v>
      </c>
      <c r="AI898" s="1">
        <v>44208.621990740743</v>
      </c>
      <c r="AJ898">
        <v>659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89</v>
      </c>
      <c r="AQ898">
        <v>0</v>
      </c>
      <c r="AR898">
        <v>0</v>
      </c>
      <c r="AS898">
        <v>0</v>
      </c>
      <c r="AT898" t="s">
        <v>90</v>
      </c>
      <c r="AU898" s="1">
        <v>44208.656817129631</v>
      </c>
      <c r="AV898">
        <v>49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89</v>
      </c>
      <c r="BC898">
        <v>0</v>
      </c>
      <c r="BD898">
        <v>0</v>
      </c>
      <c r="BE898">
        <v>0</v>
      </c>
    </row>
    <row r="899" spans="1:57" x14ac:dyDescent="0.45">
      <c r="A899" t="s">
        <v>2348</v>
      </c>
      <c r="B899" t="s">
        <v>79</v>
      </c>
      <c r="C899" t="s">
        <v>2349</v>
      </c>
      <c r="D899" t="s">
        <v>81</v>
      </c>
      <c r="E899" s="2" t="str">
        <f>HYPERLINK("capsilon://?command=openfolder&amp;siteaddress=FAM.docvelocity-na8.net&amp;folderid=FXE5FC2355-622C-00E0-95B6-1A7EAEB2DB26","FX201228170")</f>
        <v>FX201228170</v>
      </c>
      <c r="F899" t="s">
        <v>19</v>
      </c>
      <c r="G899" t="s">
        <v>19</v>
      </c>
      <c r="H899" t="s">
        <v>82</v>
      </c>
      <c r="I899" t="s">
        <v>2350</v>
      </c>
      <c r="J899">
        <v>276</v>
      </c>
      <c r="K899" t="s">
        <v>84</v>
      </c>
      <c r="L899" t="s">
        <v>85</v>
      </c>
      <c r="M899" t="s">
        <v>86</v>
      </c>
      <c r="N899">
        <v>3</v>
      </c>
      <c r="O899" s="1">
        <v>44200.620289351849</v>
      </c>
      <c r="P899" s="1">
        <v>44201.385000000002</v>
      </c>
      <c r="Q899">
        <v>64412</v>
      </c>
      <c r="R899">
        <v>1659</v>
      </c>
      <c r="S899" t="b">
        <v>0</v>
      </c>
      <c r="T899" t="s">
        <v>87</v>
      </c>
      <c r="U899" t="b">
        <v>0</v>
      </c>
      <c r="V899" t="s">
        <v>142</v>
      </c>
      <c r="W899" s="1">
        <v>44200.743842592594</v>
      </c>
      <c r="X899">
        <v>1157</v>
      </c>
      <c r="Y899">
        <v>257</v>
      </c>
      <c r="Z899">
        <v>0</v>
      </c>
      <c r="AA899">
        <v>257</v>
      </c>
      <c r="AB899">
        <v>0</v>
      </c>
      <c r="AC899">
        <v>135</v>
      </c>
      <c r="AD899">
        <v>19</v>
      </c>
      <c r="AE899">
        <v>0</v>
      </c>
      <c r="AF899">
        <v>0</v>
      </c>
      <c r="AG899">
        <v>0</v>
      </c>
      <c r="AH899" t="s">
        <v>267</v>
      </c>
      <c r="AI899" s="1">
        <v>44200.797268518516</v>
      </c>
      <c r="AJ899">
        <v>371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19</v>
      </c>
      <c r="AQ899">
        <v>0</v>
      </c>
      <c r="AR899">
        <v>0</v>
      </c>
      <c r="AS899">
        <v>0</v>
      </c>
      <c r="AT899" t="s">
        <v>90</v>
      </c>
      <c r="AU899" s="1">
        <v>44201.385000000002</v>
      </c>
      <c r="AV899">
        <v>71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19</v>
      </c>
      <c r="BC899">
        <v>0</v>
      </c>
      <c r="BD899">
        <v>0</v>
      </c>
      <c r="BE899">
        <v>0</v>
      </c>
    </row>
    <row r="900" spans="1:57" x14ac:dyDescent="0.45">
      <c r="A900" t="s">
        <v>2351</v>
      </c>
      <c r="B900" t="s">
        <v>79</v>
      </c>
      <c r="C900" t="s">
        <v>2352</v>
      </c>
      <c r="D900" t="s">
        <v>81</v>
      </c>
      <c r="E900" s="2" t="str">
        <f>HYPERLINK("capsilon://?command=openfolder&amp;siteaddress=FAM.docvelocity-na8.net&amp;folderid=FX89877677-7FDD-B83D-1403-9BE038314D1C","FX21015844")</f>
        <v>FX21015844</v>
      </c>
      <c r="F900" t="s">
        <v>19</v>
      </c>
      <c r="G900" t="s">
        <v>19</v>
      </c>
      <c r="H900" t="s">
        <v>82</v>
      </c>
      <c r="I900" t="s">
        <v>2353</v>
      </c>
      <c r="J900">
        <v>445</v>
      </c>
      <c r="K900" t="s">
        <v>84</v>
      </c>
      <c r="L900" t="s">
        <v>85</v>
      </c>
      <c r="M900" t="s">
        <v>86</v>
      </c>
      <c r="N900">
        <v>3</v>
      </c>
      <c r="O900" s="1">
        <v>44208.568969907406</v>
      </c>
      <c r="P900" s="1">
        <v>44208.65724537037</v>
      </c>
      <c r="Q900">
        <v>3132</v>
      </c>
      <c r="R900">
        <v>4495</v>
      </c>
      <c r="S900" t="b">
        <v>0</v>
      </c>
      <c r="T900" t="s">
        <v>87</v>
      </c>
      <c r="U900" t="b">
        <v>0</v>
      </c>
      <c r="V900" t="s">
        <v>242</v>
      </c>
      <c r="W900" s="1">
        <v>44208.619108796294</v>
      </c>
      <c r="X900">
        <v>3201</v>
      </c>
      <c r="Y900">
        <v>433</v>
      </c>
      <c r="Z900">
        <v>0</v>
      </c>
      <c r="AA900">
        <v>433</v>
      </c>
      <c r="AB900">
        <v>37</v>
      </c>
      <c r="AC900">
        <v>228</v>
      </c>
      <c r="AD900">
        <v>12</v>
      </c>
      <c r="AE900">
        <v>0</v>
      </c>
      <c r="AF900">
        <v>0</v>
      </c>
      <c r="AG900">
        <v>0</v>
      </c>
      <c r="AH900" t="s">
        <v>128</v>
      </c>
      <c r="AI900" s="1">
        <v>44208.635787037034</v>
      </c>
      <c r="AJ900">
        <v>945</v>
      </c>
      <c r="AK900">
        <v>0</v>
      </c>
      <c r="AL900">
        <v>0</v>
      </c>
      <c r="AM900">
        <v>0</v>
      </c>
      <c r="AN900">
        <v>37</v>
      </c>
      <c r="AO900">
        <v>0</v>
      </c>
      <c r="AP900">
        <v>12</v>
      </c>
      <c r="AQ900">
        <v>0</v>
      </c>
      <c r="AR900">
        <v>0</v>
      </c>
      <c r="AS900">
        <v>0</v>
      </c>
      <c r="AT900" t="s">
        <v>90</v>
      </c>
      <c r="AU900" s="1">
        <v>44208.65724537037</v>
      </c>
      <c r="AV900">
        <v>36</v>
      </c>
      <c r="AW900">
        <v>0</v>
      </c>
      <c r="AX900">
        <v>0</v>
      </c>
      <c r="AY900">
        <v>0</v>
      </c>
      <c r="AZ900">
        <v>37</v>
      </c>
      <c r="BA900">
        <v>0</v>
      </c>
      <c r="BB900">
        <v>12</v>
      </c>
      <c r="BC900">
        <v>0</v>
      </c>
      <c r="BD900">
        <v>0</v>
      </c>
      <c r="BE900">
        <v>0</v>
      </c>
    </row>
    <row r="901" spans="1:57" x14ac:dyDescent="0.45">
      <c r="A901" t="s">
        <v>2354</v>
      </c>
      <c r="B901" t="s">
        <v>79</v>
      </c>
      <c r="C901" t="s">
        <v>1416</v>
      </c>
      <c r="D901" t="s">
        <v>81</v>
      </c>
      <c r="E901" s="2" t="str">
        <f>HYPERLINK("capsilon://?command=openfolder&amp;siteaddress=FAM.docvelocity-na8.net&amp;folderid=FX0388648F-4BA8-298C-CA8D-080B4A2132E3","FX201229272")</f>
        <v>FX201229272</v>
      </c>
      <c r="F901" t="s">
        <v>19</v>
      </c>
      <c r="G901" t="s">
        <v>19</v>
      </c>
      <c r="H901" t="s">
        <v>82</v>
      </c>
      <c r="I901" t="s">
        <v>1417</v>
      </c>
      <c r="J901">
        <v>191</v>
      </c>
      <c r="K901" t="s">
        <v>84</v>
      </c>
      <c r="L901" t="s">
        <v>85</v>
      </c>
      <c r="M901" t="s">
        <v>86</v>
      </c>
      <c r="N901">
        <v>3</v>
      </c>
      <c r="O901" s="1">
        <v>44200.620949074073</v>
      </c>
      <c r="P901" s="1">
        <v>44201.335046296299</v>
      </c>
      <c r="Q901">
        <v>56892</v>
      </c>
      <c r="R901">
        <v>4806</v>
      </c>
      <c r="S901" t="b">
        <v>0</v>
      </c>
      <c r="T901" t="s">
        <v>87</v>
      </c>
      <c r="U901" t="b">
        <v>1</v>
      </c>
      <c r="V901" t="s">
        <v>88</v>
      </c>
      <c r="W901" s="1">
        <v>44200.674884259257</v>
      </c>
      <c r="X901">
        <v>4416</v>
      </c>
      <c r="Y901">
        <v>222</v>
      </c>
      <c r="Z901">
        <v>0</v>
      </c>
      <c r="AA901">
        <v>222</v>
      </c>
      <c r="AB901">
        <v>0</v>
      </c>
      <c r="AC901">
        <v>176</v>
      </c>
      <c r="AD901">
        <v>-31</v>
      </c>
      <c r="AE901">
        <v>0</v>
      </c>
      <c r="AF901">
        <v>0</v>
      </c>
      <c r="AG901">
        <v>0</v>
      </c>
      <c r="AH901" t="s">
        <v>267</v>
      </c>
      <c r="AI901" s="1">
        <v>44200.683680555558</v>
      </c>
      <c r="AJ901">
        <v>332</v>
      </c>
      <c r="AK901">
        <v>2</v>
      </c>
      <c r="AL901">
        <v>0</v>
      </c>
      <c r="AM901">
        <v>2</v>
      </c>
      <c r="AN901">
        <v>0</v>
      </c>
      <c r="AO901">
        <v>0</v>
      </c>
      <c r="AP901">
        <v>-33</v>
      </c>
      <c r="AQ901">
        <v>0</v>
      </c>
      <c r="AR901">
        <v>0</v>
      </c>
      <c r="AS901">
        <v>0</v>
      </c>
      <c r="AT901" t="s">
        <v>90</v>
      </c>
      <c r="AU901" s="1">
        <v>44201.335046296299</v>
      </c>
      <c r="AV901">
        <v>58</v>
      </c>
      <c r="AW901">
        <v>2</v>
      </c>
      <c r="AX901">
        <v>0</v>
      </c>
      <c r="AY901">
        <v>2</v>
      </c>
      <c r="AZ901">
        <v>0</v>
      </c>
      <c r="BA901">
        <v>2</v>
      </c>
      <c r="BB901">
        <v>-35</v>
      </c>
      <c r="BC901">
        <v>0</v>
      </c>
      <c r="BD901">
        <v>0</v>
      </c>
      <c r="BE901">
        <v>0</v>
      </c>
    </row>
    <row r="902" spans="1:57" x14ac:dyDescent="0.45">
      <c r="A902" t="s">
        <v>2355</v>
      </c>
      <c r="B902" t="s">
        <v>79</v>
      </c>
      <c r="C902" t="s">
        <v>2356</v>
      </c>
      <c r="D902" t="s">
        <v>81</v>
      </c>
      <c r="E902" s="2" t="str">
        <f>HYPERLINK("capsilon://?command=openfolder&amp;siteaddress=FAM.docvelocity-na8.net&amp;folderid=FX8CB798D0-3A95-1ACA-562F-3B86FFDF75E6","FX21014078")</f>
        <v>FX21014078</v>
      </c>
      <c r="F902" t="s">
        <v>19</v>
      </c>
      <c r="G902" t="s">
        <v>19</v>
      </c>
      <c r="H902" t="s">
        <v>82</v>
      </c>
      <c r="I902" t="s">
        <v>2357</v>
      </c>
      <c r="J902">
        <v>228</v>
      </c>
      <c r="K902" t="s">
        <v>84</v>
      </c>
      <c r="L902" t="s">
        <v>85</v>
      </c>
      <c r="M902" t="s">
        <v>86</v>
      </c>
      <c r="N902">
        <v>3</v>
      </c>
      <c r="O902" s="1">
        <v>44208.575115740743</v>
      </c>
      <c r="P902" s="1">
        <v>44208.659224537034</v>
      </c>
      <c r="Q902">
        <v>4831</v>
      </c>
      <c r="R902">
        <v>2436</v>
      </c>
      <c r="S902" t="b">
        <v>0</v>
      </c>
      <c r="T902" t="s">
        <v>87</v>
      </c>
      <c r="U902" t="b">
        <v>0</v>
      </c>
      <c r="V902" t="s">
        <v>255</v>
      </c>
      <c r="W902" s="1">
        <v>44208.61210648148</v>
      </c>
      <c r="X902">
        <v>1248</v>
      </c>
      <c r="Y902">
        <v>214</v>
      </c>
      <c r="Z902">
        <v>0</v>
      </c>
      <c r="AA902">
        <v>214</v>
      </c>
      <c r="AB902">
        <v>0</v>
      </c>
      <c r="AC902">
        <v>128</v>
      </c>
      <c r="AD902">
        <v>14</v>
      </c>
      <c r="AE902">
        <v>0</v>
      </c>
      <c r="AF902">
        <v>0</v>
      </c>
      <c r="AG902">
        <v>0</v>
      </c>
      <c r="AH902" t="s">
        <v>128</v>
      </c>
      <c r="AI902" s="1">
        <v>44208.624837962961</v>
      </c>
      <c r="AJ902">
        <v>884</v>
      </c>
      <c r="AK902">
        <v>9</v>
      </c>
      <c r="AL902">
        <v>0</v>
      </c>
      <c r="AM902">
        <v>9</v>
      </c>
      <c r="AN902">
        <v>0</v>
      </c>
      <c r="AO902">
        <v>9</v>
      </c>
      <c r="AP902">
        <v>5</v>
      </c>
      <c r="AQ902">
        <v>0</v>
      </c>
      <c r="AR902">
        <v>0</v>
      </c>
      <c r="AS902">
        <v>0</v>
      </c>
      <c r="AT902" t="s">
        <v>90</v>
      </c>
      <c r="AU902" s="1">
        <v>44208.659224537034</v>
      </c>
      <c r="AV902">
        <v>170</v>
      </c>
      <c r="AW902">
        <v>2</v>
      </c>
      <c r="AX902">
        <v>0</v>
      </c>
      <c r="AY902">
        <v>2</v>
      </c>
      <c r="AZ902">
        <v>0</v>
      </c>
      <c r="BA902">
        <v>2</v>
      </c>
      <c r="BB902">
        <v>3</v>
      </c>
      <c r="BC902">
        <v>0</v>
      </c>
      <c r="BD902">
        <v>0</v>
      </c>
      <c r="BE902">
        <v>0</v>
      </c>
    </row>
    <row r="903" spans="1:57" x14ac:dyDescent="0.45">
      <c r="A903" t="s">
        <v>2358</v>
      </c>
      <c r="B903" t="s">
        <v>79</v>
      </c>
      <c r="C903" t="s">
        <v>2359</v>
      </c>
      <c r="D903" t="s">
        <v>81</v>
      </c>
      <c r="E903" s="2" t="str">
        <f>HYPERLINK("capsilon://?command=openfolder&amp;siteaddress=FAM.docvelocity-na8.net&amp;folderid=FX07B66881-E963-E412-847E-2D37B420CE85","FX20125690")</f>
        <v>FX20125690</v>
      </c>
      <c r="F903" t="s">
        <v>19</v>
      </c>
      <c r="G903" t="s">
        <v>19</v>
      </c>
      <c r="H903" t="s">
        <v>82</v>
      </c>
      <c r="I903" t="s">
        <v>2360</v>
      </c>
      <c r="J903">
        <v>66</v>
      </c>
      <c r="K903" t="s">
        <v>84</v>
      </c>
      <c r="L903" t="s">
        <v>85</v>
      </c>
      <c r="M903" t="s">
        <v>86</v>
      </c>
      <c r="N903">
        <v>3</v>
      </c>
      <c r="O903" s="1">
        <v>44208.578750000001</v>
      </c>
      <c r="P903" s="1">
        <v>44208.65929398148</v>
      </c>
      <c r="Q903">
        <v>4803</v>
      </c>
      <c r="R903">
        <v>2156</v>
      </c>
      <c r="S903" t="b">
        <v>0</v>
      </c>
      <c r="T903" t="s">
        <v>87</v>
      </c>
      <c r="U903" t="b">
        <v>0</v>
      </c>
      <c r="V903" t="s">
        <v>171</v>
      </c>
      <c r="W903" s="1">
        <v>44208.602349537039</v>
      </c>
      <c r="X903">
        <v>1823</v>
      </c>
      <c r="Y903">
        <v>52</v>
      </c>
      <c r="Z903">
        <v>0</v>
      </c>
      <c r="AA903">
        <v>52</v>
      </c>
      <c r="AB903">
        <v>0</v>
      </c>
      <c r="AC903">
        <v>42</v>
      </c>
      <c r="AD903">
        <v>14</v>
      </c>
      <c r="AE903">
        <v>0</v>
      </c>
      <c r="AF903">
        <v>0</v>
      </c>
      <c r="AG903">
        <v>0</v>
      </c>
      <c r="AH903" t="s">
        <v>128</v>
      </c>
      <c r="AI903" s="1">
        <v>44208.63958333333</v>
      </c>
      <c r="AJ903">
        <v>327</v>
      </c>
      <c r="AK903">
        <v>2</v>
      </c>
      <c r="AL903">
        <v>0</v>
      </c>
      <c r="AM903">
        <v>2</v>
      </c>
      <c r="AN903">
        <v>0</v>
      </c>
      <c r="AO903">
        <v>2</v>
      </c>
      <c r="AP903">
        <v>12</v>
      </c>
      <c r="AQ903">
        <v>0</v>
      </c>
      <c r="AR903">
        <v>0</v>
      </c>
      <c r="AS903">
        <v>0</v>
      </c>
      <c r="AT903" t="s">
        <v>90</v>
      </c>
      <c r="AU903" s="1">
        <v>44208.65929398148</v>
      </c>
      <c r="AV903">
        <v>6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12</v>
      </c>
      <c r="BC903">
        <v>0</v>
      </c>
      <c r="BD903">
        <v>0</v>
      </c>
      <c r="BE903">
        <v>0</v>
      </c>
    </row>
    <row r="904" spans="1:57" x14ac:dyDescent="0.45">
      <c r="A904" t="s">
        <v>2361</v>
      </c>
      <c r="B904" t="s">
        <v>79</v>
      </c>
      <c r="C904" t="s">
        <v>2362</v>
      </c>
      <c r="D904" t="s">
        <v>81</v>
      </c>
      <c r="E904" s="2" t="str">
        <f>HYPERLINK("capsilon://?command=openfolder&amp;siteaddress=FAM.docvelocity-na8.net&amp;folderid=FX9AF999B0-86F9-7762-14CC-25BCBDB1E777","FX20116542")</f>
        <v>FX20116542</v>
      </c>
      <c r="F904" t="s">
        <v>19</v>
      </c>
      <c r="G904" t="s">
        <v>19</v>
      </c>
      <c r="H904" t="s">
        <v>82</v>
      </c>
      <c r="I904" t="s">
        <v>2363</v>
      </c>
      <c r="J904">
        <v>221</v>
      </c>
      <c r="K904" t="s">
        <v>84</v>
      </c>
      <c r="L904" t="s">
        <v>85</v>
      </c>
      <c r="M904" t="s">
        <v>86</v>
      </c>
      <c r="N904">
        <v>3</v>
      </c>
      <c r="O904" s="1">
        <v>44208.593217592592</v>
      </c>
      <c r="P904" s="1">
        <v>44208.659687500003</v>
      </c>
      <c r="Q904">
        <v>2634</v>
      </c>
      <c r="R904">
        <v>3109</v>
      </c>
      <c r="S904" t="b">
        <v>0</v>
      </c>
      <c r="T904" t="s">
        <v>87</v>
      </c>
      <c r="U904" t="b">
        <v>0</v>
      </c>
      <c r="V904" t="s">
        <v>343</v>
      </c>
      <c r="W904" s="1">
        <v>44208.630011574074</v>
      </c>
      <c r="X904">
        <v>2497</v>
      </c>
      <c r="Y904">
        <v>196</v>
      </c>
      <c r="Z904">
        <v>0</v>
      </c>
      <c r="AA904">
        <v>196</v>
      </c>
      <c r="AB904">
        <v>0</v>
      </c>
      <c r="AC904">
        <v>136</v>
      </c>
      <c r="AD904">
        <v>25</v>
      </c>
      <c r="AE904">
        <v>0</v>
      </c>
      <c r="AF904">
        <v>0</v>
      </c>
      <c r="AG904">
        <v>0</v>
      </c>
      <c r="AH904" t="s">
        <v>128</v>
      </c>
      <c r="AI904" s="1">
        <v>44208.646284722221</v>
      </c>
      <c r="AJ904">
        <v>578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25</v>
      </c>
      <c r="AQ904">
        <v>0</v>
      </c>
      <c r="AR904">
        <v>0</v>
      </c>
      <c r="AS904">
        <v>0</v>
      </c>
      <c r="AT904" t="s">
        <v>90</v>
      </c>
      <c r="AU904" s="1">
        <v>44208.659687500003</v>
      </c>
      <c r="AV904">
        <v>34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25</v>
      </c>
      <c r="BC904">
        <v>0</v>
      </c>
      <c r="BD904">
        <v>0</v>
      </c>
      <c r="BE904">
        <v>0</v>
      </c>
    </row>
    <row r="905" spans="1:57" x14ac:dyDescent="0.45">
      <c r="A905" t="s">
        <v>2364</v>
      </c>
      <c r="B905" t="s">
        <v>79</v>
      </c>
      <c r="C905" t="s">
        <v>301</v>
      </c>
      <c r="D905" t="s">
        <v>81</v>
      </c>
      <c r="E905" s="2" t="str">
        <f>HYPERLINK("capsilon://?command=openfolder&amp;siteaddress=FAM.docvelocity-na8.net&amp;folderid=FX92FF92E6-9D83-A7FF-9C46-83D03BCF16B5","FX20123914")</f>
        <v>FX20123914</v>
      </c>
      <c r="F905" t="s">
        <v>19</v>
      </c>
      <c r="G905" t="s">
        <v>19</v>
      </c>
      <c r="H905" t="s">
        <v>82</v>
      </c>
      <c r="I905" t="s">
        <v>2365</v>
      </c>
      <c r="J905">
        <v>66</v>
      </c>
      <c r="K905" t="s">
        <v>84</v>
      </c>
      <c r="L905" t="s">
        <v>85</v>
      </c>
      <c r="M905" t="s">
        <v>86</v>
      </c>
      <c r="N905">
        <v>3</v>
      </c>
      <c r="O905" s="1">
        <v>44208.596087962964</v>
      </c>
      <c r="P905" s="1">
        <v>44208.659942129627</v>
      </c>
      <c r="Q905">
        <v>3516</v>
      </c>
      <c r="R905">
        <v>2001</v>
      </c>
      <c r="S905" t="b">
        <v>0</v>
      </c>
      <c r="T905" t="s">
        <v>87</v>
      </c>
      <c r="U905" t="b">
        <v>0</v>
      </c>
      <c r="V905" t="s">
        <v>146</v>
      </c>
      <c r="W905" s="1">
        <v>44208.626342592594</v>
      </c>
      <c r="X905">
        <v>1513</v>
      </c>
      <c r="Y905">
        <v>52</v>
      </c>
      <c r="Z905">
        <v>0</v>
      </c>
      <c r="AA905">
        <v>52</v>
      </c>
      <c r="AB905">
        <v>0</v>
      </c>
      <c r="AC905">
        <v>24</v>
      </c>
      <c r="AD905">
        <v>14</v>
      </c>
      <c r="AE905">
        <v>0</v>
      </c>
      <c r="AF905">
        <v>0</v>
      </c>
      <c r="AG905">
        <v>0</v>
      </c>
      <c r="AH905" t="s">
        <v>132</v>
      </c>
      <c r="AI905" s="1">
        <v>44208.645196759258</v>
      </c>
      <c r="AJ905">
        <v>454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14</v>
      </c>
      <c r="AQ905">
        <v>0</v>
      </c>
      <c r="AR905">
        <v>0</v>
      </c>
      <c r="AS905">
        <v>0</v>
      </c>
      <c r="AT905" t="s">
        <v>90</v>
      </c>
      <c r="AU905" s="1">
        <v>44208.659942129627</v>
      </c>
      <c r="AV905">
        <v>21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14</v>
      </c>
      <c r="BC905">
        <v>0</v>
      </c>
      <c r="BD905">
        <v>0</v>
      </c>
      <c r="BE905">
        <v>0</v>
      </c>
    </row>
    <row r="906" spans="1:57" x14ac:dyDescent="0.45">
      <c r="A906" t="s">
        <v>2366</v>
      </c>
      <c r="B906" t="s">
        <v>79</v>
      </c>
      <c r="C906" t="s">
        <v>2367</v>
      </c>
      <c r="D906" t="s">
        <v>81</v>
      </c>
      <c r="E906" s="2" t="str">
        <f>HYPERLINK("capsilon://?command=openfolder&amp;siteaddress=FAM.docvelocity-na8.net&amp;folderid=FX3B375AA4-C745-C380-808B-4B1197DDF9F4","FX20125273")</f>
        <v>FX20125273</v>
      </c>
      <c r="F906" t="s">
        <v>19</v>
      </c>
      <c r="G906" t="s">
        <v>19</v>
      </c>
      <c r="H906" t="s">
        <v>82</v>
      </c>
      <c r="I906" t="s">
        <v>2368</v>
      </c>
      <c r="J906">
        <v>38</v>
      </c>
      <c r="K906" t="s">
        <v>84</v>
      </c>
      <c r="L906" t="s">
        <v>85</v>
      </c>
      <c r="M906" t="s">
        <v>86</v>
      </c>
      <c r="N906">
        <v>3</v>
      </c>
      <c r="O906" s="1">
        <v>44208.597303240742</v>
      </c>
      <c r="P906" s="1">
        <v>44208.66</v>
      </c>
      <c r="Q906">
        <v>4788</v>
      </c>
      <c r="R906">
        <v>629</v>
      </c>
      <c r="S906" t="b">
        <v>0</v>
      </c>
      <c r="T906" t="s">
        <v>87</v>
      </c>
      <c r="U906" t="b">
        <v>0</v>
      </c>
      <c r="V906" t="s">
        <v>179</v>
      </c>
      <c r="W906" s="1">
        <v>44208.614583333336</v>
      </c>
      <c r="X906">
        <v>497</v>
      </c>
      <c r="Y906">
        <v>37</v>
      </c>
      <c r="Z906">
        <v>0</v>
      </c>
      <c r="AA906">
        <v>37</v>
      </c>
      <c r="AB906">
        <v>0</v>
      </c>
      <c r="AC906">
        <v>34</v>
      </c>
      <c r="AD906">
        <v>1</v>
      </c>
      <c r="AE906">
        <v>0</v>
      </c>
      <c r="AF906">
        <v>0</v>
      </c>
      <c r="AG906">
        <v>0</v>
      </c>
      <c r="AH906" t="s">
        <v>128</v>
      </c>
      <c r="AI906" s="1">
        <v>44208.647777777776</v>
      </c>
      <c r="AJ906">
        <v>128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 t="s">
        <v>90</v>
      </c>
      <c r="AU906" s="1">
        <v>44208.66</v>
      </c>
      <c r="AV906">
        <v>4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</row>
    <row r="907" spans="1:57" x14ac:dyDescent="0.45">
      <c r="A907" t="s">
        <v>2369</v>
      </c>
      <c r="B907" t="s">
        <v>79</v>
      </c>
      <c r="C907" t="s">
        <v>2262</v>
      </c>
      <c r="D907" t="s">
        <v>81</v>
      </c>
      <c r="E907" s="2" t="str">
        <f>HYPERLINK("capsilon://?command=openfolder&amp;siteaddress=FAM.docvelocity-na8.net&amp;folderid=FX54FCBB5C-D4EA-0414-0853-3E248DB3125B","FX21014081")</f>
        <v>FX21014081</v>
      </c>
      <c r="F907" t="s">
        <v>19</v>
      </c>
      <c r="G907" t="s">
        <v>19</v>
      </c>
      <c r="H907" t="s">
        <v>82</v>
      </c>
      <c r="I907" t="s">
        <v>2370</v>
      </c>
      <c r="J907">
        <v>66</v>
      </c>
      <c r="K907" t="s">
        <v>84</v>
      </c>
      <c r="L907" t="s">
        <v>85</v>
      </c>
      <c r="M907" t="s">
        <v>86</v>
      </c>
      <c r="N907">
        <v>3</v>
      </c>
      <c r="O907" s="1">
        <v>44208.597870370373</v>
      </c>
      <c r="P907" s="1">
        <v>44208.664340277777</v>
      </c>
      <c r="Q907">
        <v>4781</v>
      </c>
      <c r="R907">
        <v>962</v>
      </c>
      <c r="S907" t="b">
        <v>0</v>
      </c>
      <c r="T907" t="s">
        <v>87</v>
      </c>
      <c r="U907" t="b">
        <v>0</v>
      </c>
      <c r="V907" t="s">
        <v>160</v>
      </c>
      <c r="W907" s="1">
        <v>44208.616875</v>
      </c>
      <c r="X907">
        <v>514</v>
      </c>
      <c r="Y907">
        <v>52</v>
      </c>
      <c r="Z907">
        <v>0</v>
      </c>
      <c r="AA907">
        <v>52</v>
      </c>
      <c r="AB907">
        <v>0</v>
      </c>
      <c r="AC907">
        <v>23</v>
      </c>
      <c r="AD907">
        <v>14</v>
      </c>
      <c r="AE907">
        <v>0</v>
      </c>
      <c r="AF907">
        <v>0</v>
      </c>
      <c r="AG907">
        <v>0</v>
      </c>
      <c r="AH907" t="s">
        <v>132</v>
      </c>
      <c r="AI907" s="1">
        <v>44208.647187499999</v>
      </c>
      <c r="AJ907">
        <v>74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14</v>
      </c>
      <c r="AQ907">
        <v>0</v>
      </c>
      <c r="AR907">
        <v>0</v>
      </c>
      <c r="AS907">
        <v>0</v>
      </c>
      <c r="AT907" t="s">
        <v>90</v>
      </c>
      <c r="AU907" s="1">
        <v>44208.664340277777</v>
      </c>
      <c r="AV907">
        <v>374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14</v>
      </c>
      <c r="BC907">
        <v>0</v>
      </c>
      <c r="BD907">
        <v>0</v>
      </c>
      <c r="BE907">
        <v>0</v>
      </c>
    </row>
    <row r="908" spans="1:57" x14ac:dyDescent="0.45">
      <c r="A908" t="s">
        <v>2371</v>
      </c>
      <c r="B908" t="s">
        <v>79</v>
      </c>
      <c r="C908" t="s">
        <v>2280</v>
      </c>
      <c r="D908" t="s">
        <v>81</v>
      </c>
      <c r="E908" s="2" t="str">
        <f>HYPERLINK("capsilon://?command=openfolder&amp;siteaddress=FAM.docvelocity-na8.net&amp;folderid=FXFC44110F-F85A-1BA9-35AD-27A6F4AE8FFE","FX21014714")</f>
        <v>FX21014714</v>
      </c>
      <c r="F908" t="s">
        <v>19</v>
      </c>
      <c r="G908" t="s">
        <v>19</v>
      </c>
      <c r="H908" t="s">
        <v>82</v>
      </c>
      <c r="I908" t="s">
        <v>2281</v>
      </c>
      <c r="J908">
        <v>259</v>
      </c>
      <c r="K908" t="s">
        <v>84</v>
      </c>
      <c r="L908" t="s">
        <v>85</v>
      </c>
      <c r="M908" t="s">
        <v>86</v>
      </c>
      <c r="N908">
        <v>3</v>
      </c>
      <c r="O908" s="1">
        <v>44208.598009259258</v>
      </c>
      <c r="P908" s="1">
        <v>44208.64230324074</v>
      </c>
      <c r="Q908">
        <v>840</v>
      </c>
      <c r="R908">
        <v>2987</v>
      </c>
      <c r="S908" t="b">
        <v>0</v>
      </c>
      <c r="T908" t="s">
        <v>87</v>
      </c>
      <c r="U908" t="b">
        <v>1</v>
      </c>
      <c r="V908" t="s">
        <v>259</v>
      </c>
      <c r="W908" s="1">
        <v>44208.620138888888</v>
      </c>
      <c r="X908">
        <v>1869</v>
      </c>
      <c r="Y908">
        <v>353</v>
      </c>
      <c r="Z908">
        <v>0</v>
      </c>
      <c r="AA908">
        <v>353</v>
      </c>
      <c r="AB908">
        <v>74</v>
      </c>
      <c r="AC908">
        <v>126</v>
      </c>
      <c r="AD908">
        <v>-94</v>
      </c>
      <c r="AE908">
        <v>0</v>
      </c>
      <c r="AF908">
        <v>0</v>
      </c>
      <c r="AG908">
        <v>0</v>
      </c>
      <c r="AH908" t="s">
        <v>132</v>
      </c>
      <c r="AI908" s="1">
        <v>44208.633356481485</v>
      </c>
      <c r="AJ908">
        <v>981</v>
      </c>
      <c r="AK908">
        <v>0</v>
      </c>
      <c r="AL908">
        <v>0</v>
      </c>
      <c r="AM908">
        <v>0</v>
      </c>
      <c r="AN908">
        <v>37</v>
      </c>
      <c r="AO908">
        <v>0</v>
      </c>
      <c r="AP908">
        <v>-94</v>
      </c>
      <c r="AQ908">
        <v>0</v>
      </c>
      <c r="AR908">
        <v>0</v>
      </c>
      <c r="AS908">
        <v>0</v>
      </c>
      <c r="AT908" t="s">
        <v>90</v>
      </c>
      <c r="AU908" s="1">
        <v>44208.64230324074</v>
      </c>
      <c r="AV908">
        <v>137</v>
      </c>
      <c r="AW908">
        <v>0</v>
      </c>
      <c r="AX908">
        <v>0</v>
      </c>
      <c r="AY908">
        <v>0</v>
      </c>
      <c r="AZ908">
        <v>37</v>
      </c>
      <c r="BA908">
        <v>0</v>
      </c>
      <c r="BB908">
        <v>-94</v>
      </c>
      <c r="BC908">
        <v>0</v>
      </c>
      <c r="BD908">
        <v>0</v>
      </c>
      <c r="BE908">
        <v>0</v>
      </c>
    </row>
    <row r="909" spans="1:57" x14ac:dyDescent="0.45">
      <c r="A909" t="s">
        <v>2372</v>
      </c>
      <c r="B909" t="s">
        <v>79</v>
      </c>
      <c r="C909" t="s">
        <v>144</v>
      </c>
      <c r="D909" t="s">
        <v>81</v>
      </c>
      <c r="E909" s="2" t="str">
        <f>HYPERLINK("capsilon://?command=openfolder&amp;siteaddress=FAM.docvelocity-na8.net&amp;folderid=FX0E950CB9-4A07-26B1-A1F6-160FF7886E5B","FX201223577")</f>
        <v>FX201223577</v>
      </c>
      <c r="F909" t="s">
        <v>19</v>
      </c>
      <c r="G909" t="s">
        <v>19</v>
      </c>
      <c r="H909" t="s">
        <v>82</v>
      </c>
      <c r="I909" t="s">
        <v>2373</v>
      </c>
      <c r="J909">
        <v>112</v>
      </c>
      <c r="K909" t="s">
        <v>84</v>
      </c>
      <c r="L909" t="s">
        <v>85</v>
      </c>
      <c r="M909" t="s">
        <v>86</v>
      </c>
      <c r="N909">
        <v>3</v>
      </c>
      <c r="O909" s="1">
        <v>44200.622893518521</v>
      </c>
      <c r="P909" s="1">
        <v>44201.386643518519</v>
      </c>
      <c r="Q909">
        <v>64762</v>
      </c>
      <c r="R909">
        <v>1226</v>
      </c>
      <c r="S909" t="b">
        <v>0</v>
      </c>
      <c r="T909" t="s">
        <v>87</v>
      </c>
      <c r="U909" t="b">
        <v>0</v>
      </c>
      <c r="V909" t="s">
        <v>262</v>
      </c>
      <c r="W909" s="1">
        <v>44200.742349537039</v>
      </c>
      <c r="X909">
        <v>906</v>
      </c>
      <c r="Y909">
        <v>72</v>
      </c>
      <c r="Z909">
        <v>0</v>
      </c>
      <c r="AA909">
        <v>72</v>
      </c>
      <c r="AB909">
        <v>0</v>
      </c>
      <c r="AC909">
        <v>15</v>
      </c>
      <c r="AD909">
        <v>40</v>
      </c>
      <c r="AE909">
        <v>0</v>
      </c>
      <c r="AF909">
        <v>0</v>
      </c>
      <c r="AG909">
        <v>0</v>
      </c>
      <c r="AH909" t="s">
        <v>267</v>
      </c>
      <c r="AI909" s="1">
        <v>44200.799328703702</v>
      </c>
      <c r="AJ909">
        <v>178</v>
      </c>
      <c r="AK909">
        <v>4</v>
      </c>
      <c r="AL909">
        <v>0</v>
      </c>
      <c r="AM909">
        <v>4</v>
      </c>
      <c r="AN909">
        <v>0</v>
      </c>
      <c r="AO909">
        <v>4</v>
      </c>
      <c r="AP909">
        <v>36</v>
      </c>
      <c r="AQ909">
        <v>0</v>
      </c>
      <c r="AR909">
        <v>0</v>
      </c>
      <c r="AS909">
        <v>0</v>
      </c>
      <c r="AT909" t="s">
        <v>90</v>
      </c>
      <c r="AU909" s="1">
        <v>44201.386643518519</v>
      </c>
      <c r="AV909">
        <v>142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36</v>
      </c>
      <c r="BC909">
        <v>0</v>
      </c>
      <c r="BD909">
        <v>0</v>
      </c>
      <c r="BE909">
        <v>0</v>
      </c>
    </row>
    <row r="910" spans="1:57" x14ac:dyDescent="0.45">
      <c r="A910" t="s">
        <v>2374</v>
      </c>
      <c r="B910" t="s">
        <v>79</v>
      </c>
      <c r="C910" t="s">
        <v>2375</v>
      </c>
      <c r="D910" t="s">
        <v>81</v>
      </c>
      <c r="E910" s="2" t="str">
        <f>HYPERLINK("capsilon://?command=openfolder&amp;siteaddress=FAM.docvelocity-na8.net&amp;folderid=FXBD9E2A42-4FC0-6C33-0968-62724F269A30","FX20127789")</f>
        <v>FX20127789</v>
      </c>
      <c r="F910" t="s">
        <v>19</v>
      </c>
      <c r="G910" t="s">
        <v>19</v>
      </c>
      <c r="H910" t="s">
        <v>82</v>
      </c>
      <c r="I910" t="s">
        <v>2376</v>
      </c>
      <c r="J910">
        <v>126</v>
      </c>
      <c r="K910" t="s">
        <v>84</v>
      </c>
      <c r="L910" t="s">
        <v>85</v>
      </c>
      <c r="M910" t="s">
        <v>86</v>
      </c>
      <c r="N910">
        <v>3</v>
      </c>
      <c r="O910" s="1">
        <v>44208.60355324074</v>
      </c>
      <c r="P910" s="1">
        <v>44208.665092592593</v>
      </c>
      <c r="Q910">
        <v>4512</v>
      </c>
      <c r="R910">
        <v>805</v>
      </c>
      <c r="S910" t="b">
        <v>0</v>
      </c>
      <c r="T910" t="s">
        <v>87</v>
      </c>
      <c r="U910" t="b">
        <v>0</v>
      </c>
      <c r="V910" t="s">
        <v>255</v>
      </c>
      <c r="W910" s="1">
        <v>44208.618564814817</v>
      </c>
      <c r="X910">
        <v>557</v>
      </c>
      <c r="Y910">
        <v>127</v>
      </c>
      <c r="Z910">
        <v>0</v>
      </c>
      <c r="AA910">
        <v>127</v>
      </c>
      <c r="AB910">
        <v>0</v>
      </c>
      <c r="AC910">
        <v>68</v>
      </c>
      <c r="AD910">
        <v>-1</v>
      </c>
      <c r="AE910">
        <v>0</v>
      </c>
      <c r="AF910">
        <v>0</v>
      </c>
      <c r="AG910">
        <v>0</v>
      </c>
      <c r="AH910" t="s">
        <v>132</v>
      </c>
      <c r="AI910" s="1">
        <v>44208.649317129632</v>
      </c>
      <c r="AJ910">
        <v>184</v>
      </c>
      <c r="AK910">
        <v>2</v>
      </c>
      <c r="AL910">
        <v>0</v>
      </c>
      <c r="AM910">
        <v>2</v>
      </c>
      <c r="AN910">
        <v>0</v>
      </c>
      <c r="AO910">
        <v>1</v>
      </c>
      <c r="AP910">
        <v>-3</v>
      </c>
      <c r="AQ910">
        <v>0</v>
      </c>
      <c r="AR910">
        <v>0</v>
      </c>
      <c r="AS910">
        <v>0</v>
      </c>
      <c r="AT910" t="s">
        <v>90</v>
      </c>
      <c r="AU910" s="1">
        <v>44208.665092592593</v>
      </c>
      <c r="AV910">
        <v>64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-3</v>
      </c>
      <c r="BC910">
        <v>0</v>
      </c>
      <c r="BD910">
        <v>0</v>
      </c>
      <c r="BE910">
        <v>0</v>
      </c>
    </row>
    <row r="911" spans="1:57" hidden="1" x14ac:dyDescent="0.45">
      <c r="A911" t="s">
        <v>2377</v>
      </c>
      <c r="B911" t="s">
        <v>79</v>
      </c>
      <c r="C911" t="s">
        <v>2375</v>
      </c>
      <c r="D911" t="s">
        <v>81</v>
      </c>
      <c r="E911" s="2" t="str">
        <f>HYPERLINK("capsilon://?command=openfolder&amp;siteaddress=FAM.docvelocity-na8.net&amp;folderid=FXBD9E2A42-4FC0-6C33-0968-62724F269A30","FX20127789")</f>
        <v>FX20127789</v>
      </c>
      <c r="F911" t="s">
        <v>19</v>
      </c>
      <c r="G911" t="s">
        <v>19</v>
      </c>
      <c r="H911" t="s">
        <v>82</v>
      </c>
      <c r="I911" t="s">
        <v>2378</v>
      </c>
      <c r="J911">
        <v>66</v>
      </c>
      <c r="K911" t="s">
        <v>84</v>
      </c>
      <c r="L911" t="s">
        <v>85</v>
      </c>
      <c r="M911" t="s">
        <v>86</v>
      </c>
      <c r="N911">
        <v>1</v>
      </c>
      <c r="O911" s="1">
        <v>44208.604189814818</v>
      </c>
      <c r="P911" s="1">
        <v>44208.618958333333</v>
      </c>
      <c r="Q911">
        <v>899</v>
      </c>
      <c r="R911">
        <v>377</v>
      </c>
      <c r="S911" t="b">
        <v>0</v>
      </c>
      <c r="T911" t="s">
        <v>87</v>
      </c>
      <c r="U911" t="b">
        <v>0</v>
      </c>
      <c r="V911" t="s">
        <v>179</v>
      </c>
      <c r="W911" s="1">
        <v>44208.618958333333</v>
      </c>
      <c r="X911">
        <v>377</v>
      </c>
      <c r="Y911">
        <v>7</v>
      </c>
      <c r="Z911">
        <v>0</v>
      </c>
      <c r="AA911">
        <v>7</v>
      </c>
      <c r="AB911">
        <v>0</v>
      </c>
      <c r="AC911">
        <v>8</v>
      </c>
      <c r="AD911">
        <v>59</v>
      </c>
      <c r="AE911">
        <v>52</v>
      </c>
      <c r="AF911">
        <v>0</v>
      </c>
      <c r="AG911">
        <v>1</v>
      </c>
      <c r="AH911" t="s">
        <v>87</v>
      </c>
      <c r="AI911" t="s">
        <v>87</v>
      </c>
      <c r="AJ911" t="s">
        <v>87</v>
      </c>
      <c r="AK911" t="s">
        <v>87</v>
      </c>
      <c r="AL911" t="s">
        <v>87</v>
      </c>
      <c r="AM911" t="s">
        <v>87</v>
      </c>
      <c r="AN911" t="s">
        <v>87</v>
      </c>
      <c r="AO911" t="s">
        <v>87</v>
      </c>
      <c r="AP911" t="s">
        <v>87</v>
      </c>
      <c r="AQ911" t="s">
        <v>87</v>
      </c>
      <c r="AR911" t="s">
        <v>87</v>
      </c>
      <c r="AS911" t="s">
        <v>87</v>
      </c>
      <c r="AT911" t="s">
        <v>87</v>
      </c>
      <c r="AU911" t="s">
        <v>87</v>
      </c>
      <c r="AV911" t="s">
        <v>87</v>
      </c>
      <c r="AW911" t="s">
        <v>87</v>
      </c>
      <c r="AX911" t="s">
        <v>87</v>
      </c>
      <c r="AY911" t="s">
        <v>87</v>
      </c>
      <c r="AZ911" t="s">
        <v>87</v>
      </c>
      <c r="BA911" t="s">
        <v>87</v>
      </c>
      <c r="BB911" t="s">
        <v>87</v>
      </c>
      <c r="BC911" t="s">
        <v>87</v>
      </c>
      <c r="BD911" t="s">
        <v>87</v>
      </c>
      <c r="BE911" t="s">
        <v>87</v>
      </c>
    </row>
    <row r="912" spans="1:57" hidden="1" x14ac:dyDescent="0.45">
      <c r="A912" t="s">
        <v>2379</v>
      </c>
      <c r="B912" t="s">
        <v>79</v>
      </c>
      <c r="C912" t="s">
        <v>1176</v>
      </c>
      <c r="D912" t="s">
        <v>81</v>
      </c>
      <c r="E912" s="2" t="str">
        <f>HYPERLINK("capsilon://?command=openfolder&amp;siteaddress=FAM.docvelocity-na8.net&amp;folderid=FX91B59C8C-7156-28F2-7CAA-0398D9407AC1","FX2101507")</f>
        <v>FX2101507</v>
      </c>
      <c r="F912" t="s">
        <v>19</v>
      </c>
      <c r="G912" t="s">
        <v>19</v>
      </c>
      <c r="H912" t="s">
        <v>82</v>
      </c>
      <c r="I912" t="s">
        <v>2380</v>
      </c>
      <c r="J912">
        <v>66</v>
      </c>
      <c r="K912" t="s">
        <v>84</v>
      </c>
      <c r="L912" t="s">
        <v>85</v>
      </c>
      <c r="M912" t="s">
        <v>86</v>
      </c>
      <c r="N912">
        <v>3</v>
      </c>
      <c r="O912" s="1">
        <v>44208.607141203705</v>
      </c>
      <c r="P912" s="1">
        <v>44208.665127314816</v>
      </c>
      <c r="Q912">
        <v>4789</v>
      </c>
      <c r="R912">
        <v>221</v>
      </c>
      <c r="S912" t="b">
        <v>0</v>
      </c>
      <c r="T912" t="s">
        <v>87</v>
      </c>
      <c r="U912" t="b">
        <v>0</v>
      </c>
      <c r="V912" t="s">
        <v>160</v>
      </c>
      <c r="W912" s="1">
        <v>44208.618854166663</v>
      </c>
      <c r="X912">
        <v>171</v>
      </c>
      <c r="Y912">
        <v>0</v>
      </c>
      <c r="Z912">
        <v>0</v>
      </c>
      <c r="AA912">
        <v>0</v>
      </c>
      <c r="AB912">
        <v>52</v>
      </c>
      <c r="AC912">
        <v>0</v>
      </c>
      <c r="AD912">
        <v>66</v>
      </c>
      <c r="AE912">
        <v>0</v>
      </c>
      <c r="AF912">
        <v>0</v>
      </c>
      <c r="AG912">
        <v>0</v>
      </c>
      <c r="AH912" t="s">
        <v>128</v>
      </c>
      <c r="AI912" s="1">
        <v>44208.648333333331</v>
      </c>
      <c r="AJ912">
        <v>48</v>
      </c>
      <c r="AK912">
        <v>0</v>
      </c>
      <c r="AL912">
        <v>0</v>
      </c>
      <c r="AM912">
        <v>0</v>
      </c>
      <c r="AN912">
        <v>52</v>
      </c>
      <c r="AO912">
        <v>0</v>
      </c>
      <c r="AP912">
        <v>66</v>
      </c>
      <c r="AQ912">
        <v>0</v>
      </c>
      <c r="AR912">
        <v>0</v>
      </c>
      <c r="AS912">
        <v>0</v>
      </c>
      <c r="AT912" t="s">
        <v>90</v>
      </c>
      <c r="AU912" s="1">
        <v>44208.665127314816</v>
      </c>
      <c r="AV912">
        <v>2</v>
      </c>
      <c r="AW912">
        <v>0</v>
      </c>
      <c r="AX912">
        <v>0</v>
      </c>
      <c r="AY912">
        <v>0</v>
      </c>
      <c r="AZ912">
        <v>52</v>
      </c>
      <c r="BA912">
        <v>0</v>
      </c>
      <c r="BB912">
        <v>66</v>
      </c>
      <c r="BC912">
        <v>0</v>
      </c>
      <c r="BD912">
        <v>0</v>
      </c>
      <c r="BE912">
        <v>0</v>
      </c>
    </row>
    <row r="913" spans="1:57" x14ac:dyDescent="0.45">
      <c r="A913" t="s">
        <v>2381</v>
      </c>
      <c r="B913" t="s">
        <v>79</v>
      </c>
      <c r="C913" t="s">
        <v>2382</v>
      </c>
      <c r="D913" t="s">
        <v>81</v>
      </c>
      <c r="E913" s="2" t="str">
        <f>HYPERLINK("capsilon://?command=openfolder&amp;siteaddress=FAM.docvelocity-na8.net&amp;folderid=FX52868E03-6CB3-25A2-865A-ECFDF9C8EC5E","FX21015504")</f>
        <v>FX21015504</v>
      </c>
      <c r="F913" t="s">
        <v>19</v>
      </c>
      <c r="G913" t="s">
        <v>19</v>
      </c>
      <c r="H913" t="s">
        <v>82</v>
      </c>
      <c r="I913" t="s">
        <v>2383</v>
      </c>
      <c r="J913">
        <v>567</v>
      </c>
      <c r="K913" t="s">
        <v>84</v>
      </c>
      <c r="L913" t="s">
        <v>85</v>
      </c>
      <c r="M913" t="s">
        <v>86</v>
      </c>
      <c r="N913">
        <v>3</v>
      </c>
      <c r="O913" s="1">
        <v>44208.613275462965</v>
      </c>
      <c r="P913" s="1">
        <v>44208.667546296296</v>
      </c>
      <c r="Q913">
        <v>868</v>
      </c>
      <c r="R913">
        <v>3821</v>
      </c>
      <c r="S913" t="b">
        <v>0</v>
      </c>
      <c r="T913" t="s">
        <v>87</v>
      </c>
      <c r="U913" t="b">
        <v>0</v>
      </c>
      <c r="V913" t="s">
        <v>255</v>
      </c>
      <c r="W913" s="1">
        <v>44208.649895833332</v>
      </c>
      <c r="X913">
        <v>2706</v>
      </c>
      <c r="Y913">
        <v>539</v>
      </c>
      <c r="Z913">
        <v>0</v>
      </c>
      <c r="AA913">
        <v>539</v>
      </c>
      <c r="AB913">
        <v>37</v>
      </c>
      <c r="AC913">
        <v>278</v>
      </c>
      <c r="AD913">
        <v>28</v>
      </c>
      <c r="AE913">
        <v>0</v>
      </c>
      <c r="AF913">
        <v>0</v>
      </c>
      <c r="AG913">
        <v>0</v>
      </c>
      <c r="AH913" t="s">
        <v>132</v>
      </c>
      <c r="AI913" s="1">
        <v>44208.663090277776</v>
      </c>
      <c r="AJ913">
        <v>836</v>
      </c>
      <c r="AK913">
        <v>4</v>
      </c>
      <c r="AL913">
        <v>0</v>
      </c>
      <c r="AM913">
        <v>4</v>
      </c>
      <c r="AN913">
        <v>37</v>
      </c>
      <c r="AO913">
        <v>3</v>
      </c>
      <c r="AP913">
        <v>24</v>
      </c>
      <c r="AQ913">
        <v>0</v>
      </c>
      <c r="AR913">
        <v>0</v>
      </c>
      <c r="AS913">
        <v>0</v>
      </c>
      <c r="AT913" t="s">
        <v>90</v>
      </c>
      <c r="AU913" s="1">
        <v>44208.667546296296</v>
      </c>
      <c r="AV913">
        <v>208</v>
      </c>
      <c r="AW913">
        <v>3</v>
      </c>
      <c r="AX913">
        <v>0</v>
      </c>
      <c r="AY913">
        <v>3</v>
      </c>
      <c r="AZ913">
        <v>37</v>
      </c>
      <c r="BA913">
        <v>4</v>
      </c>
      <c r="BB913">
        <v>21</v>
      </c>
      <c r="BC913">
        <v>0</v>
      </c>
      <c r="BD913">
        <v>0</v>
      </c>
      <c r="BE913">
        <v>0</v>
      </c>
    </row>
    <row r="914" spans="1:57" x14ac:dyDescent="0.45">
      <c r="A914" t="s">
        <v>2384</v>
      </c>
      <c r="B914" t="s">
        <v>79</v>
      </c>
      <c r="C914" t="s">
        <v>2375</v>
      </c>
      <c r="D914" t="s">
        <v>81</v>
      </c>
      <c r="E914" s="2" t="str">
        <f>HYPERLINK("capsilon://?command=openfolder&amp;siteaddress=FAM.docvelocity-na8.net&amp;folderid=FXBD9E2A42-4FC0-6C33-0968-62724F269A30","FX20127789")</f>
        <v>FX20127789</v>
      </c>
      <c r="F914" t="s">
        <v>19</v>
      </c>
      <c r="G914" t="s">
        <v>19</v>
      </c>
      <c r="H914" t="s">
        <v>82</v>
      </c>
      <c r="I914" t="s">
        <v>2378</v>
      </c>
      <c r="J914">
        <v>38</v>
      </c>
      <c r="K914" t="s">
        <v>84</v>
      </c>
      <c r="L914" t="s">
        <v>85</v>
      </c>
      <c r="M914" t="s">
        <v>86</v>
      </c>
      <c r="N914">
        <v>3</v>
      </c>
      <c r="O914" s="1">
        <v>44208.619259259256</v>
      </c>
      <c r="P914" s="1">
        <v>44208.642395833333</v>
      </c>
      <c r="Q914">
        <v>1162</v>
      </c>
      <c r="R914">
        <v>837</v>
      </c>
      <c r="S914" t="b">
        <v>0</v>
      </c>
      <c r="T914" t="s">
        <v>87</v>
      </c>
      <c r="U914" t="b">
        <v>1</v>
      </c>
      <c r="V914" t="s">
        <v>179</v>
      </c>
      <c r="W914" s="1">
        <v>44208.627858796295</v>
      </c>
      <c r="X914">
        <v>741</v>
      </c>
      <c r="Y914">
        <v>37</v>
      </c>
      <c r="Z914">
        <v>0</v>
      </c>
      <c r="AA914">
        <v>37</v>
      </c>
      <c r="AB914">
        <v>0</v>
      </c>
      <c r="AC914">
        <v>34</v>
      </c>
      <c r="AD914">
        <v>1</v>
      </c>
      <c r="AE914">
        <v>0</v>
      </c>
      <c r="AF914">
        <v>0</v>
      </c>
      <c r="AG914">
        <v>0</v>
      </c>
      <c r="AH914" t="s">
        <v>132</v>
      </c>
      <c r="AI914" s="1">
        <v>44208.634398148148</v>
      </c>
      <c r="AJ914">
        <v>89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 t="s">
        <v>90</v>
      </c>
      <c r="AU914" s="1">
        <v>44208.642395833333</v>
      </c>
      <c r="AV914">
        <v>7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</row>
    <row r="915" spans="1:57" x14ac:dyDescent="0.45">
      <c r="A915" t="s">
        <v>2385</v>
      </c>
      <c r="B915" t="s">
        <v>79</v>
      </c>
      <c r="C915" t="s">
        <v>2386</v>
      </c>
      <c r="D915" t="s">
        <v>81</v>
      </c>
      <c r="E915" s="2" t="str">
        <f>HYPERLINK("capsilon://?command=openfolder&amp;siteaddress=FAM.docvelocity-na8.net&amp;folderid=FXA607DE19-F731-66CD-CBC9-20C45AA30C22","FX21012803")</f>
        <v>FX21012803</v>
      </c>
      <c r="F915" t="s">
        <v>19</v>
      </c>
      <c r="G915" t="s">
        <v>19</v>
      </c>
      <c r="H915" t="s">
        <v>82</v>
      </c>
      <c r="I915" t="s">
        <v>2387</v>
      </c>
      <c r="J915">
        <v>38</v>
      </c>
      <c r="K915" t="s">
        <v>84</v>
      </c>
      <c r="L915" t="s">
        <v>85</v>
      </c>
      <c r="M915" t="s">
        <v>86</v>
      </c>
      <c r="N915">
        <v>3</v>
      </c>
      <c r="O915" s="1">
        <v>44208.625451388885</v>
      </c>
      <c r="P915" s="1">
        <v>44208.667719907404</v>
      </c>
      <c r="Q915">
        <v>2721</v>
      </c>
      <c r="R915">
        <v>931</v>
      </c>
      <c r="S915" t="b">
        <v>0</v>
      </c>
      <c r="T915" t="s">
        <v>87</v>
      </c>
      <c r="U915" t="b">
        <v>0</v>
      </c>
      <c r="V915" t="s">
        <v>160</v>
      </c>
      <c r="W915" s="1">
        <v>44208.634699074071</v>
      </c>
      <c r="X915">
        <v>798</v>
      </c>
      <c r="Y915">
        <v>37</v>
      </c>
      <c r="Z915">
        <v>0</v>
      </c>
      <c r="AA915">
        <v>37</v>
      </c>
      <c r="AB915">
        <v>0</v>
      </c>
      <c r="AC915">
        <v>14</v>
      </c>
      <c r="AD915">
        <v>1</v>
      </c>
      <c r="AE915">
        <v>0</v>
      </c>
      <c r="AF915">
        <v>0</v>
      </c>
      <c r="AG915">
        <v>0</v>
      </c>
      <c r="AH915" t="s">
        <v>128</v>
      </c>
      <c r="AI915" s="1">
        <v>44208.649722222224</v>
      </c>
      <c r="AJ915">
        <v>119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 t="s">
        <v>90</v>
      </c>
      <c r="AU915" s="1">
        <v>44208.667719907404</v>
      </c>
      <c r="AV915">
        <v>14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</row>
    <row r="916" spans="1:57" x14ac:dyDescent="0.45">
      <c r="A916" t="s">
        <v>2388</v>
      </c>
      <c r="B916" t="s">
        <v>79</v>
      </c>
      <c r="C916" t="s">
        <v>2179</v>
      </c>
      <c r="D916" t="s">
        <v>81</v>
      </c>
      <c r="E916" s="2" t="str">
        <f>HYPERLINK("capsilon://?command=openfolder&amp;siteaddress=FAM.docvelocity-na8.net&amp;folderid=FXCA633015-5D3E-8DCC-C6A3-96175280A1C0","FX21014359")</f>
        <v>FX21014359</v>
      </c>
      <c r="F916" t="s">
        <v>19</v>
      </c>
      <c r="G916" t="s">
        <v>19</v>
      </c>
      <c r="H916" t="s">
        <v>82</v>
      </c>
      <c r="I916" t="s">
        <v>2389</v>
      </c>
      <c r="J916">
        <v>149</v>
      </c>
      <c r="K916" t="s">
        <v>84</v>
      </c>
      <c r="L916" t="s">
        <v>85</v>
      </c>
      <c r="M916" t="s">
        <v>86</v>
      </c>
      <c r="N916">
        <v>3</v>
      </c>
      <c r="O916" s="1">
        <v>44208.628703703704</v>
      </c>
      <c r="P916" s="1">
        <v>44208.671585648146</v>
      </c>
      <c r="Q916">
        <v>2117</v>
      </c>
      <c r="R916">
        <v>1588</v>
      </c>
      <c r="S916" t="b">
        <v>0</v>
      </c>
      <c r="T916" t="s">
        <v>87</v>
      </c>
      <c r="U916" t="b">
        <v>0</v>
      </c>
      <c r="V916" t="s">
        <v>168</v>
      </c>
      <c r="W916" s="1">
        <v>44208.640451388892</v>
      </c>
      <c r="X916">
        <v>1014</v>
      </c>
      <c r="Y916">
        <v>114</v>
      </c>
      <c r="Z916">
        <v>0</v>
      </c>
      <c r="AA916">
        <v>114</v>
      </c>
      <c r="AB916">
        <v>0</v>
      </c>
      <c r="AC916">
        <v>25</v>
      </c>
      <c r="AD916">
        <v>35</v>
      </c>
      <c r="AE916">
        <v>0</v>
      </c>
      <c r="AF916">
        <v>0</v>
      </c>
      <c r="AG916">
        <v>0</v>
      </c>
      <c r="AH916" t="s">
        <v>128</v>
      </c>
      <c r="AI916" s="1">
        <v>44208.65519675926</v>
      </c>
      <c r="AJ916">
        <v>45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35</v>
      </c>
      <c r="AQ916">
        <v>0</v>
      </c>
      <c r="AR916">
        <v>0</v>
      </c>
      <c r="AS916">
        <v>0</v>
      </c>
      <c r="AT916" t="s">
        <v>90</v>
      </c>
      <c r="AU916" s="1">
        <v>44208.671585648146</v>
      </c>
      <c r="AV916">
        <v>334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35</v>
      </c>
      <c r="BC916">
        <v>0</v>
      </c>
      <c r="BD916">
        <v>0</v>
      </c>
      <c r="BE916">
        <v>0</v>
      </c>
    </row>
    <row r="917" spans="1:57" x14ac:dyDescent="0.45">
      <c r="A917" t="s">
        <v>2390</v>
      </c>
      <c r="B917" t="s">
        <v>79</v>
      </c>
      <c r="C917" t="s">
        <v>2391</v>
      </c>
      <c r="D917" t="s">
        <v>81</v>
      </c>
      <c r="E917" s="2" t="str">
        <f>HYPERLINK("capsilon://?command=openfolder&amp;siteaddress=FAM.docvelocity-na8.net&amp;folderid=FX4DC0C472-5F69-4D7A-5807-800378F061BB","FX21012198")</f>
        <v>FX21012198</v>
      </c>
      <c r="F917" t="s">
        <v>19</v>
      </c>
      <c r="G917" t="s">
        <v>19</v>
      </c>
      <c r="H917" t="s">
        <v>82</v>
      </c>
      <c r="I917" t="s">
        <v>2392</v>
      </c>
      <c r="J917">
        <v>38</v>
      </c>
      <c r="K917" t="s">
        <v>84</v>
      </c>
      <c r="L917" t="s">
        <v>85</v>
      </c>
      <c r="M917" t="s">
        <v>86</v>
      </c>
      <c r="N917">
        <v>3</v>
      </c>
      <c r="O917" s="1">
        <v>44208.629849537036</v>
      </c>
      <c r="P917" s="1">
        <v>44208.671643518515</v>
      </c>
      <c r="Q917">
        <v>2902</v>
      </c>
      <c r="R917">
        <v>709</v>
      </c>
      <c r="S917" t="b">
        <v>0</v>
      </c>
      <c r="T917" t="s">
        <v>87</v>
      </c>
      <c r="U917" t="b">
        <v>0</v>
      </c>
      <c r="V917" t="s">
        <v>179</v>
      </c>
      <c r="W917" s="1">
        <v>44208.636250000003</v>
      </c>
      <c r="X917">
        <v>552</v>
      </c>
      <c r="Y917">
        <v>37</v>
      </c>
      <c r="Z917">
        <v>0</v>
      </c>
      <c r="AA917">
        <v>37</v>
      </c>
      <c r="AB917">
        <v>0</v>
      </c>
      <c r="AC917">
        <v>6</v>
      </c>
      <c r="AD917">
        <v>1</v>
      </c>
      <c r="AE917">
        <v>0</v>
      </c>
      <c r="AF917">
        <v>0</v>
      </c>
      <c r="AG917">
        <v>0</v>
      </c>
      <c r="AH917" t="s">
        <v>128</v>
      </c>
      <c r="AI917" s="1">
        <v>44208.651493055557</v>
      </c>
      <c r="AJ917">
        <v>152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 t="s">
        <v>90</v>
      </c>
      <c r="AU917" s="1">
        <v>44208.671643518515</v>
      </c>
      <c r="AV917">
        <v>5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</row>
    <row r="918" spans="1:57" x14ac:dyDescent="0.45">
      <c r="A918" t="s">
        <v>2393</v>
      </c>
      <c r="B918" t="s">
        <v>79</v>
      </c>
      <c r="C918" t="s">
        <v>2394</v>
      </c>
      <c r="D918" t="s">
        <v>81</v>
      </c>
      <c r="E918" s="2" t="str">
        <f>HYPERLINK("capsilon://?command=openfolder&amp;siteaddress=FAM.docvelocity-na8.net&amp;folderid=FX20F9F097-AAD2-069A-DBE1-F86323B353B1","FX21015541")</f>
        <v>FX21015541</v>
      </c>
      <c r="F918" t="s">
        <v>19</v>
      </c>
      <c r="G918" t="s">
        <v>19</v>
      </c>
      <c r="H918" t="s">
        <v>82</v>
      </c>
      <c r="I918" t="s">
        <v>2395</v>
      </c>
      <c r="J918">
        <v>140</v>
      </c>
      <c r="K918" t="s">
        <v>84</v>
      </c>
      <c r="L918" t="s">
        <v>85</v>
      </c>
      <c r="M918" t="s">
        <v>86</v>
      </c>
      <c r="N918">
        <v>3</v>
      </c>
      <c r="O918" s="1">
        <v>44208.63349537037</v>
      </c>
      <c r="P918" s="1">
        <v>44208.671736111108</v>
      </c>
      <c r="Q918">
        <v>1035</v>
      </c>
      <c r="R918">
        <v>2269</v>
      </c>
      <c r="S918" t="b">
        <v>0</v>
      </c>
      <c r="T918" t="s">
        <v>87</v>
      </c>
      <c r="U918" t="b">
        <v>0</v>
      </c>
      <c r="V918" t="s">
        <v>146</v>
      </c>
      <c r="W918" s="1">
        <v>44208.654849537037</v>
      </c>
      <c r="X918">
        <v>1844</v>
      </c>
      <c r="Y918">
        <v>117</v>
      </c>
      <c r="Z918">
        <v>0</v>
      </c>
      <c r="AA918">
        <v>117</v>
      </c>
      <c r="AB918">
        <v>54</v>
      </c>
      <c r="AC918">
        <v>63</v>
      </c>
      <c r="AD918">
        <v>23</v>
      </c>
      <c r="AE918">
        <v>0</v>
      </c>
      <c r="AF918">
        <v>0</v>
      </c>
      <c r="AG918">
        <v>0</v>
      </c>
      <c r="AH918" t="s">
        <v>128</v>
      </c>
      <c r="AI918" s="1">
        <v>44208.660046296296</v>
      </c>
      <c r="AJ918">
        <v>418</v>
      </c>
      <c r="AK918">
        <v>1</v>
      </c>
      <c r="AL918">
        <v>0</v>
      </c>
      <c r="AM918">
        <v>1</v>
      </c>
      <c r="AN918">
        <v>54</v>
      </c>
      <c r="AO918">
        <v>1</v>
      </c>
      <c r="AP918">
        <v>22</v>
      </c>
      <c r="AQ918">
        <v>0</v>
      </c>
      <c r="AR918">
        <v>0</v>
      </c>
      <c r="AS918">
        <v>0</v>
      </c>
      <c r="AT918" t="s">
        <v>90</v>
      </c>
      <c r="AU918" s="1">
        <v>44208.671736111108</v>
      </c>
      <c r="AV918">
        <v>7</v>
      </c>
      <c r="AW918">
        <v>0</v>
      </c>
      <c r="AX918">
        <v>0</v>
      </c>
      <c r="AY918">
        <v>0</v>
      </c>
      <c r="AZ918">
        <v>54</v>
      </c>
      <c r="BA918">
        <v>0</v>
      </c>
      <c r="BB918">
        <v>22</v>
      </c>
      <c r="BC918">
        <v>0</v>
      </c>
      <c r="BD918">
        <v>0</v>
      </c>
      <c r="BE918">
        <v>0</v>
      </c>
    </row>
    <row r="919" spans="1:57" x14ac:dyDescent="0.45">
      <c r="A919" t="s">
        <v>2396</v>
      </c>
      <c r="B919" t="s">
        <v>79</v>
      </c>
      <c r="C919" t="s">
        <v>2397</v>
      </c>
      <c r="D919" t="s">
        <v>81</v>
      </c>
      <c r="E919" s="2" t="str">
        <f>HYPERLINK("capsilon://?command=openfolder&amp;siteaddress=FAM.docvelocity-na8.net&amp;folderid=FX0B956E4F-5271-E0EC-0084-B3A90306F63B","FX201222889")</f>
        <v>FX201222889</v>
      </c>
      <c r="F919" t="s">
        <v>19</v>
      </c>
      <c r="G919" t="s">
        <v>19</v>
      </c>
      <c r="H919" t="s">
        <v>82</v>
      </c>
      <c r="I919" t="s">
        <v>2398</v>
      </c>
      <c r="J919">
        <v>66</v>
      </c>
      <c r="K919" t="s">
        <v>84</v>
      </c>
      <c r="L919" t="s">
        <v>85</v>
      </c>
      <c r="M919" t="s">
        <v>86</v>
      </c>
      <c r="N919">
        <v>3</v>
      </c>
      <c r="O919" s="1">
        <v>44208.633645833332</v>
      </c>
      <c r="P919" s="1">
        <v>44208.671805555554</v>
      </c>
      <c r="Q919">
        <v>2179</v>
      </c>
      <c r="R919">
        <v>1118</v>
      </c>
      <c r="S919" t="b">
        <v>0</v>
      </c>
      <c r="T919" t="s">
        <v>87</v>
      </c>
      <c r="U919" t="b">
        <v>0</v>
      </c>
      <c r="V919" t="s">
        <v>242</v>
      </c>
      <c r="W919" s="1">
        <v>44208.644409722219</v>
      </c>
      <c r="X919">
        <v>913</v>
      </c>
      <c r="Y919">
        <v>52</v>
      </c>
      <c r="Z919">
        <v>0</v>
      </c>
      <c r="AA919">
        <v>52</v>
      </c>
      <c r="AB919">
        <v>0</v>
      </c>
      <c r="AC919">
        <v>43</v>
      </c>
      <c r="AD919">
        <v>14</v>
      </c>
      <c r="AE919">
        <v>0</v>
      </c>
      <c r="AF919">
        <v>0</v>
      </c>
      <c r="AG919">
        <v>0</v>
      </c>
      <c r="AH919" t="s">
        <v>128</v>
      </c>
      <c r="AI919" s="1">
        <v>44208.662349537037</v>
      </c>
      <c r="AJ919">
        <v>199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14</v>
      </c>
      <c r="AQ919">
        <v>0</v>
      </c>
      <c r="AR919">
        <v>0</v>
      </c>
      <c r="AS919">
        <v>0</v>
      </c>
      <c r="AT919" t="s">
        <v>90</v>
      </c>
      <c r="AU919" s="1">
        <v>44208.671805555554</v>
      </c>
      <c r="AV919">
        <v>6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14</v>
      </c>
      <c r="BC919">
        <v>0</v>
      </c>
      <c r="BD919">
        <v>0</v>
      </c>
      <c r="BE919">
        <v>0</v>
      </c>
    </row>
    <row r="920" spans="1:57" hidden="1" x14ac:dyDescent="0.45">
      <c r="A920" t="s">
        <v>2399</v>
      </c>
      <c r="B920" t="s">
        <v>79</v>
      </c>
      <c r="C920" t="s">
        <v>1973</v>
      </c>
      <c r="D920" t="s">
        <v>81</v>
      </c>
      <c r="E920" s="2" t="str">
        <f>HYPERLINK("capsilon://?command=openfolder&amp;siteaddress=FAM.docvelocity-na8.net&amp;folderid=FX19A6AD5F-D797-D493-FD2A-03E90425F4F6","FX20126346")</f>
        <v>FX20126346</v>
      </c>
      <c r="F920" t="s">
        <v>19</v>
      </c>
      <c r="G920" t="s">
        <v>19</v>
      </c>
      <c r="H920" t="s">
        <v>82</v>
      </c>
      <c r="I920" t="s">
        <v>2400</v>
      </c>
      <c r="J920">
        <v>66</v>
      </c>
      <c r="K920" t="s">
        <v>84</v>
      </c>
      <c r="L920" t="s">
        <v>85</v>
      </c>
      <c r="M920" t="s">
        <v>86</v>
      </c>
      <c r="N920">
        <v>1</v>
      </c>
      <c r="O920" s="1">
        <v>44208.633900462963</v>
      </c>
      <c r="P920" s="1">
        <v>44208.635335648149</v>
      </c>
      <c r="Q920">
        <v>69</v>
      </c>
      <c r="R920">
        <v>55</v>
      </c>
      <c r="S920" t="b">
        <v>0</v>
      </c>
      <c r="T920" t="s">
        <v>87</v>
      </c>
      <c r="U920" t="b">
        <v>0</v>
      </c>
      <c r="V920" t="s">
        <v>262</v>
      </c>
      <c r="W920" s="1">
        <v>44208.635335648149</v>
      </c>
      <c r="X920">
        <v>55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66</v>
      </c>
      <c r="AE920">
        <v>52</v>
      </c>
      <c r="AF920">
        <v>0</v>
      </c>
      <c r="AG920">
        <v>1</v>
      </c>
      <c r="AH920" t="s">
        <v>87</v>
      </c>
      <c r="AI920" t="s">
        <v>87</v>
      </c>
      <c r="AJ920" t="s">
        <v>87</v>
      </c>
      <c r="AK920" t="s">
        <v>87</v>
      </c>
      <c r="AL920" t="s">
        <v>87</v>
      </c>
      <c r="AM920" t="s">
        <v>87</v>
      </c>
      <c r="AN920" t="s">
        <v>87</v>
      </c>
      <c r="AO920" t="s">
        <v>87</v>
      </c>
      <c r="AP920" t="s">
        <v>87</v>
      </c>
      <c r="AQ920" t="s">
        <v>87</v>
      </c>
      <c r="AR920" t="s">
        <v>87</v>
      </c>
      <c r="AS920" t="s">
        <v>87</v>
      </c>
      <c r="AT920" t="s">
        <v>87</v>
      </c>
      <c r="AU920" t="s">
        <v>87</v>
      </c>
      <c r="AV920" t="s">
        <v>87</v>
      </c>
      <c r="AW920" t="s">
        <v>87</v>
      </c>
      <c r="AX920" t="s">
        <v>87</v>
      </c>
      <c r="AY920" t="s">
        <v>87</v>
      </c>
      <c r="AZ920" t="s">
        <v>87</v>
      </c>
      <c r="BA920" t="s">
        <v>87</v>
      </c>
      <c r="BB920" t="s">
        <v>87</v>
      </c>
      <c r="BC920" t="s">
        <v>87</v>
      </c>
      <c r="BD920" t="s">
        <v>87</v>
      </c>
      <c r="BE920" t="s">
        <v>87</v>
      </c>
    </row>
    <row r="921" spans="1:57" x14ac:dyDescent="0.45">
      <c r="A921" t="s">
        <v>2401</v>
      </c>
      <c r="B921" t="s">
        <v>79</v>
      </c>
      <c r="C921" t="s">
        <v>2402</v>
      </c>
      <c r="D921" t="s">
        <v>81</v>
      </c>
      <c r="E921" s="2" t="str">
        <f>HYPERLINK("capsilon://?command=openfolder&amp;siteaddress=FAM.docvelocity-na8.net&amp;folderid=FX184356FC-8897-878C-C77B-0D10CFE9F753","FX201222917")</f>
        <v>FX201222917</v>
      </c>
      <c r="F921" t="s">
        <v>19</v>
      </c>
      <c r="G921" t="s">
        <v>19</v>
      </c>
      <c r="H921" t="s">
        <v>82</v>
      </c>
      <c r="I921" t="s">
        <v>2403</v>
      </c>
      <c r="J921">
        <v>93</v>
      </c>
      <c r="K921" t="s">
        <v>84</v>
      </c>
      <c r="L921" t="s">
        <v>85</v>
      </c>
      <c r="M921" t="s">
        <v>86</v>
      </c>
      <c r="N921">
        <v>3</v>
      </c>
      <c r="O921" s="1">
        <v>44208.635092592594</v>
      </c>
      <c r="P921" s="1">
        <v>44209.370509259257</v>
      </c>
      <c r="Q921">
        <v>58889</v>
      </c>
      <c r="R921">
        <v>4651</v>
      </c>
      <c r="S921" t="b">
        <v>0</v>
      </c>
      <c r="T921" t="s">
        <v>87</v>
      </c>
      <c r="U921" t="b">
        <v>0</v>
      </c>
      <c r="V921" t="s">
        <v>160</v>
      </c>
      <c r="W921" s="1">
        <v>44208.680451388886</v>
      </c>
      <c r="X921">
        <v>3903</v>
      </c>
      <c r="Y921">
        <v>152</v>
      </c>
      <c r="Z921">
        <v>0</v>
      </c>
      <c r="AA921">
        <v>152</v>
      </c>
      <c r="AB921">
        <v>0</v>
      </c>
      <c r="AC921">
        <v>112</v>
      </c>
      <c r="AD921">
        <v>-59</v>
      </c>
      <c r="AE921">
        <v>0</v>
      </c>
      <c r="AF921">
        <v>0</v>
      </c>
      <c r="AG921">
        <v>0</v>
      </c>
      <c r="AH921" t="s">
        <v>128</v>
      </c>
      <c r="AI921" s="1">
        <v>44208.694513888891</v>
      </c>
      <c r="AJ921">
        <v>693</v>
      </c>
      <c r="AK921">
        <v>3</v>
      </c>
      <c r="AL921">
        <v>0</v>
      </c>
      <c r="AM921">
        <v>3</v>
      </c>
      <c r="AN921">
        <v>0</v>
      </c>
      <c r="AO921">
        <v>3</v>
      </c>
      <c r="AP921">
        <v>-62</v>
      </c>
      <c r="AQ921">
        <v>0</v>
      </c>
      <c r="AR921">
        <v>0</v>
      </c>
      <c r="AS921">
        <v>0</v>
      </c>
      <c r="AT921" t="s">
        <v>90</v>
      </c>
      <c r="AU921" s="1">
        <v>44209.370509259257</v>
      </c>
      <c r="AV921">
        <v>55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-62</v>
      </c>
      <c r="BC921">
        <v>0</v>
      </c>
      <c r="BD921">
        <v>0</v>
      </c>
      <c r="BE921">
        <v>0</v>
      </c>
    </row>
    <row r="922" spans="1:57" x14ac:dyDescent="0.45">
      <c r="A922" t="s">
        <v>2404</v>
      </c>
      <c r="B922" t="s">
        <v>79</v>
      </c>
      <c r="C922" t="s">
        <v>2397</v>
      </c>
      <c r="D922" t="s">
        <v>81</v>
      </c>
      <c r="E922" s="2" t="str">
        <f>HYPERLINK("capsilon://?command=openfolder&amp;siteaddress=FAM.docvelocity-na8.net&amp;folderid=FX0B956E4F-5271-E0EC-0084-B3A90306F63B","FX201222889")</f>
        <v>FX201222889</v>
      </c>
      <c r="F922" t="s">
        <v>19</v>
      </c>
      <c r="G922" t="s">
        <v>19</v>
      </c>
      <c r="H922" t="s">
        <v>82</v>
      </c>
      <c r="I922" t="s">
        <v>2405</v>
      </c>
      <c r="J922">
        <v>38</v>
      </c>
      <c r="K922" t="s">
        <v>84</v>
      </c>
      <c r="L922" t="s">
        <v>85</v>
      </c>
      <c r="M922" t="s">
        <v>86</v>
      </c>
      <c r="N922">
        <v>3</v>
      </c>
      <c r="O922" s="1">
        <v>44208.635254629633</v>
      </c>
      <c r="P922" s="1">
        <v>44208.671875</v>
      </c>
      <c r="Q922">
        <v>2572</v>
      </c>
      <c r="R922">
        <v>592</v>
      </c>
      <c r="S922" t="b">
        <v>0</v>
      </c>
      <c r="T922" t="s">
        <v>87</v>
      </c>
      <c r="U922" t="b">
        <v>0</v>
      </c>
      <c r="V922" t="s">
        <v>262</v>
      </c>
      <c r="W922" s="1">
        <v>44208.639456018522</v>
      </c>
      <c r="X922">
        <v>355</v>
      </c>
      <c r="Y922">
        <v>37</v>
      </c>
      <c r="Z922">
        <v>0</v>
      </c>
      <c r="AA922">
        <v>37</v>
      </c>
      <c r="AB922">
        <v>0</v>
      </c>
      <c r="AC922">
        <v>22</v>
      </c>
      <c r="AD922">
        <v>1</v>
      </c>
      <c r="AE922">
        <v>0</v>
      </c>
      <c r="AF922">
        <v>0</v>
      </c>
      <c r="AG922">
        <v>0</v>
      </c>
      <c r="AH922" t="s">
        <v>128</v>
      </c>
      <c r="AI922" s="1">
        <v>44208.665034722224</v>
      </c>
      <c r="AJ922">
        <v>231</v>
      </c>
      <c r="AK922">
        <v>1</v>
      </c>
      <c r="AL922">
        <v>0</v>
      </c>
      <c r="AM922">
        <v>1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 t="s">
        <v>90</v>
      </c>
      <c r="AU922" s="1">
        <v>44208.671875</v>
      </c>
      <c r="AV922">
        <v>6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</row>
    <row r="923" spans="1:57" x14ac:dyDescent="0.45">
      <c r="A923" t="s">
        <v>2406</v>
      </c>
      <c r="B923" t="s">
        <v>79</v>
      </c>
      <c r="C923" t="s">
        <v>2397</v>
      </c>
      <c r="D923" t="s">
        <v>81</v>
      </c>
      <c r="E923" s="2" t="str">
        <f>HYPERLINK("capsilon://?command=openfolder&amp;siteaddress=FAM.docvelocity-na8.net&amp;folderid=FX0B956E4F-5271-E0EC-0084-B3A90306F63B","FX201222889")</f>
        <v>FX201222889</v>
      </c>
      <c r="F923" t="s">
        <v>19</v>
      </c>
      <c r="G923" t="s">
        <v>19</v>
      </c>
      <c r="H923" t="s">
        <v>82</v>
      </c>
      <c r="I923" t="s">
        <v>2407</v>
      </c>
      <c r="J923">
        <v>359</v>
      </c>
      <c r="K923" t="s">
        <v>84</v>
      </c>
      <c r="L923" t="s">
        <v>85</v>
      </c>
      <c r="M923" t="s">
        <v>86</v>
      </c>
      <c r="N923">
        <v>3</v>
      </c>
      <c r="O923" s="1">
        <v>44208.635694444441</v>
      </c>
      <c r="P923" s="1">
        <v>44208.672777777778</v>
      </c>
      <c r="Q923">
        <v>127</v>
      </c>
      <c r="R923">
        <v>3077</v>
      </c>
      <c r="S923" t="b">
        <v>0</v>
      </c>
      <c r="T923" t="s">
        <v>87</v>
      </c>
      <c r="U923" t="b">
        <v>0</v>
      </c>
      <c r="V923" t="s">
        <v>179</v>
      </c>
      <c r="W923" s="1">
        <v>44208.668321759258</v>
      </c>
      <c r="X923">
        <v>2686</v>
      </c>
      <c r="Y923">
        <v>266</v>
      </c>
      <c r="Z923">
        <v>0</v>
      </c>
      <c r="AA923">
        <v>266</v>
      </c>
      <c r="AB923">
        <v>0</v>
      </c>
      <c r="AC923">
        <v>65</v>
      </c>
      <c r="AD923">
        <v>93</v>
      </c>
      <c r="AE923">
        <v>0</v>
      </c>
      <c r="AF923">
        <v>0</v>
      </c>
      <c r="AG923">
        <v>0</v>
      </c>
      <c r="AH923" t="s">
        <v>132</v>
      </c>
      <c r="AI923" s="1">
        <v>44208.672268518516</v>
      </c>
      <c r="AJ923">
        <v>322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93</v>
      </c>
      <c r="AQ923">
        <v>0</v>
      </c>
      <c r="AR923">
        <v>0</v>
      </c>
      <c r="AS923">
        <v>0</v>
      </c>
      <c r="AT923" t="s">
        <v>90</v>
      </c>
      <c r="AU923" s="1">
        <v>44208.672777777778</v>
      </c>
      <c r="AV923">
        <v>29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93</v>
      </c>
      <c r="BC923">
        <v>0</v>
      </c>
      <c r="BD923">
        <v>0</v>
      </c>
      <c r="BE923">
        <v>0</v>
      </c>
    </row>
    <row r="924" spans="1:57" x14ac:dyDescent="0.45">
      <c r="A924" t="s">
        <v>2408</v>
      </c>
      <c r="B924" t="s">
        <v>79</v>
      </c>
      <c r="C924" t="s">
        <v>1973</v>
      </c>
      <c r="D924" t="s">
        <v>81</v>
      </c>
      <c r="E924" s="2" t="str">
        <f>HYPERLINK("capsilon://?command=openfolder&amp;siteaddress=FAM.docvelocity-na8.net&amp;folderid=FX19A6AD5F-D797-D493-FD2A-03E90425F4F6","FX20126346")</f>
        <v>FX20126346</v>
      </c>
      <c r="F924" t="s">
        <v>19</v>
      </c>
      <c r="G924" t="s">
        <v>19</v>
      </c>
      <c r="H924" t="s">
        <v>82</v>
      </c>
      <c r="I924" t="s">
        <v>2400</v>
      </c>
      <c r="J924">
        <v>38</v>
      </c>
      <c r="K924" t="s">
        <v>84</v>
      </c>
      <c r="L924" t="s">
        <v>85</v>
      </c>
      <c r="M924" t="s">
        <v>86</v>
      </c>
      <c r="N924">
        <v>3</v>
      </c>
      <c r="O924" s="1">
        <v>44208.636469907404</v>
      </c>
      <c r="P924" s="1">
        <v>44208.647893518515</v>
      </c>
      <c r="Q924">
        <v>397</v>
      </c>
      <c r="R924">
        <v>590</v>
      </c>
      <c r="S924" t="b">
        <v>0</v>
      </c>
      <c r="T924" t="s">
        <v>87</v>
      </c>
      <c r="U924" t="b">
        <v>1</v>
      </c>
      <c r="V924" t="s">
        <v>171</v>
      </c>
      <c r="W924" s="1">
        <v>44208.642118055555</v>
      </c>
      <c r="X924">
        <v>487</v>
      </c>
      <c r="Y924">
        <v>37</v>
      </c>
      <c r="Z924">
        <v>0</v>
      </c>
      <c r="AA924">
        <v>37</v>
      </c>
      <c r="AB924">
        <v>0</v>
      </c>
      <c r="AC924">
        <v>35</v>
      </c>
      <c r="AD924">
        <v>1</v>
      </c>
      <c r="AE924">
        <v>0</v>
      </c>
      <c r="AF924">
        <v>0</v>
      </c>
      <c r="AG924">
        <v>0</v>
      </c>
      <c r="AH924" t="s">
        <v>132</v>
      </c>
      <c r="AI924" s="1">
        <v>44208.646319444444</v>
      </c>
      <c r="AJ924">
        <v>97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 t="s">
        <v>90</v>
      </c>
      <c r="AU924" s="1">
        <v>44208.647893518515</v>
      </c>
      <c r="AV924">
        <v>6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0</v>
      </c>
    </row>
    <row r="925" spans="1:57" x14ac:dyDescent="0.45">
      <c r="A925" t="s">
        <v>2409</v>
      </c>
      <c r="B925" t="s">
        <v>79</v>
      </c>
      <c r="C925" t="s">
        <v>967</v>
      </c>
      <c r="D925" t="s">
        <v>81</v>
      </c>
      <c r="E925" s="2" t="str">
        <f>HYPERLINK("capsilon://?command=openfolder&amp;siteaddress=FAM.docvelocity-na8.net&amp;folderid=FX77916BE9-19BC-80D2-4FA2-1AA7EF6AC0E5","FX201228437")</f>
        <v>FX201228437</v>
      </c>
      <c r="F925" t="s">
        <v>19</v>
      </c>
      <c r="G925" t="s">
        <v>19</v>
      </c>
      <c r="H925" t="s">
        <v>82</v>
      </c>
      <c r="I925" t="s">
        <v>2410</v>
      </c>
      <c r="J925">
        <v>52</v>
      </c>
      <c r="K925" t="s">
        <v>84</v>
      </c>
      <c r="L925" t="s">
        <v>85</v>
      </c>
      <c r="M925" t="s">
        <v>86</v>
      </c>
      <c r="N925">
        <v>3</v>
      </c>
      <c r="O925" s="1">
        <v>44208.637094907404</v>
      </c>
      <c r="P925" s="1">
        <v>44208.672430555554</v>
      </c>
      <c r="Q925">
        <v>2282</v>
      </c>
      <c r="R925">
        <v>771</v>
      </c>
      <c r="S925" t="b">
        <v>0</v>
      </c>
      <c r="T925" t="s">
        <v>87</v>
      </c>
      <c r="U925" t="b">
        <v>0</v>
      </c>
      <c r="V925" t="s">
        <v>259</v>
      </c>
      <c r="W925" s="1">
        <v>44208.645428240743</v>
      </c>
      <c r="X925">
        <v>651</v>
      </c>
      <c r="Y925">
        <v>39</v>
      </c>
      <c r="Z925">
        <v>0</v>
      </c>
      <c r="AA925">
        <v>39</v>
      </c>
      <c r="AB925">
        <v>0</v>
      </c>
      <c r="AC925">
        <v>14</v>
      </c>
      <c r="AD925">
        <v>13</v>
      </c>
      <c r="AE925">
        <v>0</v>
      </c>
      <c r="AF925">
        <v>0</v>
      </c>
      <c r="AG925">
        <v>0</v>
      </c>
      <c r="AH925" t="s">
        <v>132</v>
      </c>
      <c r="AI925" s="1">
        <v>44208.663946759261</v>
      </c>
      <c r="AJ925">
        <v>73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13</v>
      </c>
      <c r="AQ925">
        <v>0</v>
      </c>
      <c r="AR925">
        <v>0</v>
      </c>
      <c r="AS925">
        <v>0</v>
      </c>
      <c r="AT925" t="s">
        <v>90</v>
      </c>
      <c r="AU925" s="1">
        <v>44208.672430555554</v>
      </c>
      <c r="AV925">
        <v>47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13</v>
      </c>
      <c r="BC925">
        <v>0</v>
      </c>
      <c r="BD925">
        <v>0</v>
      </c>
      <c r="BE925">
        <v>0</v>
      </c>
    </row>
    <row r="926" spans="1:57" x14ac:dyDescent="0.45">
      <c r="A926" t="s">
        <v>2411</v>
      </c>
      <c r="B926" t="s">
        <v>79</v>
      </c>
      <c r="C926" t="s">
        <v>967</v>
      </c>
      <c r="D926" t="s">
        <v>81</v>
      </c>
      <c r="E926" s="2" t="str">
        <f>HYPERLINK("capsilon://?command=openfolder&amp;siteaddress=FAM.docvelocity-na8.net&amp;folderid=FX77916BE9-19BC-80D2-4FA2-1AA7EF6AC0E5","FX201228437")</f>
        <v>FX201228437</v>
      </c>
      <c r="F926" t="s">
        <v>19</v>
      </c>
      <c r="G926" t="s">
        <v>19</v>
      </c>
      <c r="H926" t="s">
        <v>82</v>
      </c>
      <c r="I926" t="s">
        <v>2412</v>
      </c>
      <c r="J926">
        <v>52</v>
      </c>
      <c r="K926" t="s">
        <v>84</v>
      </c>
      <c r="L926" t="s">
        <v>85</v>
      </c>
      <c r="M926" t="s">
        <v>86</v>
      </c>
      <c r="N926">
        <v>3</v>
      </c>
      <c r="O926" s="1">
        <v>44208.637800925928</v>
      </c>
      <c r="P926" s="1">
        <v>44208.672997685186</v>
      </c>
      <c r="Q926">
        <v>1898</v>
      </c>
      <c r="R926">
        <v>1143</v>
      </c>
      <c r="S926" t="b">
        <v>0</v>
      </c>
      <c r="T926" t="s">
        <v>87</v>
      </c>
      <c r="U926" t="b">
        <v>0</v>
      </c>
      <c r="V926" t="s">
        <v>343</v>
      </c>
      <c r="W926" s="1">
        <v>44208.650543981479</v>
      </c>
      <c r="X926">
        <v>1061</v>
      </c>
      <c r="Y926">
        <v>39</v>
      </c>
      <c r="Z926">
        <v>0</v>
      </c>
      <c r="AA926">
        <v>39</v>
      </c>
      <c r="AB926">
        <v>0</v>
      </c>
      <c r="AC926">
        <v>15</v>
      </c>
      <c r="AD926">
        <v>13</v>
      </c>
      <c r="AE926">
        <v>0</v>
      </c>
      <c r="AF926">
        <v>0</v>
      </c>
      <c r="AG926">
        <v>0</v>
      </c>
      <c r="AH926" t="s">
        <v>132</v>
      </c>
      <c r="AI926" s="1">
        <v>44208.664687500001</v>
      </c>
      <c r="AJ926">
        <v>63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13</v>
      </c>
      <c r="AQ926">
        <v>0</v>
      </c>
      <c r="AR926">
        <v>0</v>
      </c>
      <c r="AS926">
        <v>0</v>
      </c>
      <c r="AT926" t="s">
        <v>90</v>
      </c>
      <c r="AU926" s="1">
        <v>44208.672997685186</v>
      </c>
      <c r="AV926">
        <v>19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13</v>
      </c>
      <c r="BC926">
        <v>0</v>
      </c>
      <c r="BD926">
        <v>0</v>
      </c>
      <c r="BE926">
        <v>0</v>
      </c>
    </row>
    <row r="927" spans="1:57" hidden="1" x14ac:dyDescent="0.45">
      <c r="A927" t="s">
        <v>2413</v>
      </c>
      <c r="B927" t="s">
        <v>79</v>
      </c>
      <c r="C927" t="s">
        <v>2414</v>
      </c>
      <c r="D927" t="s">
        <v>81</v>
      </c>
      <c r="E927" s="2" t="str">
        <f>HYPERLINK("capsilon://?command=openfolder&amp;siteaddress=FAM.docvelocity-na8.net&amp;folderid=FX8DCF9F67-41E0-19E4-8BA8-3E31D46A4B1B","FX201229005")</f>
        <v>FX201229005</v>
      </c>
      <c r="F927" t="s">
        <v>19</v>
      </c>
      <c r="G927" t="s">
        <v>19</v>
      </c>
      <c r="H927" t="s">
        <v>82</v>
      </c>
      <c r="I927" t="s">
        <v>2415</v>
      </c>
      <c r="J927">
        <v>137</v>
      </c>
      <c r="K927" t="s">
        <v>84</v>
      </c>
      <c r="L927" t="s">
        <v>85</v>
      </c>
      <c r="M927" t="s">
        <v>86</v>
      </c>
      <c r="N927">
        <v>1</v>
      </c>
      <c r="O927" s="1">
        <v>44200.627256944441</v>
      </c>
      <c r="P927" s="1">
        <v>44200.740856481483</v>
      </c>
      <c r="Q927">
        <v>9497</v>
      </c>
      <c r="R927">
        <v>318</v>
      </c>
      <c r="S927" t="b">
        <v>0</v>
      </c>
      <c r="T927" t="s">
        <v>87</v>
      </c>
      <c r="U927" t="b">
        <v>0</v>
      </c>
      <c r="V927" t="s">
        <v>266</v>
      </c>
      <c r="W927" s="1">
        <v>44200.740856481483</v>
      </c>
      <c r="X927">
        <v>318</v>
      </c>
      <c r="Y927">
        <v>42</v>
      </c>
      <c r="Z927">
        <v>0</v>
      </c>
      <c r="AA927">
        <v>42</v>
      </c>
      <c r="AB927">
        <v>0</v>
      </c>
      <c r="AC927">
        <v>0</v>
      </c>
      <c r="AD927">
        <v>95</v>
      </c>
      <c r="AE927">
        <v>77</v>
      </c>
      <c r="AF927">
        <v>0</v>
      </c>
      <c r="AG927">
        <v>4</v>
      </c>
      <c r="AH927" t="s">
        <v>87</v>
      </c>
      <c r="AI927" t="s">
        <v>87</v>
      </c>
      <c r="AJ927" t="s">
        <v>87</v>
      </c>
      <c r="AK927" t="s">
        <v>87</v>
      </c>
      <c r="AL927" t="s">
        <v>87</v>
      </c>
      <c r="AM927" t="s">
        <v>87</v>
      </c>
      <c r="AN927" t="s">
        <v>87</v>
      </c>
      <c r="AO927" t="s">
        <v>87</v>
      </c>
      <c r="AP927" t="s">
        <v>87</v>
      </c>
      <c r="AQ927" t="s">
        <v>87</v>
      </c>
      <c r="AR927" t="s">
        <v>87</v>
      </c>
      <c r="AS927" t="s">
        <v>87</v>
      </c>
      <c r="AT927" t="s">
        <v>87</v>
      </c>
      <c r="AU927" t="s">
        <v>87</v>
      </c>
      <c r="AV927" t="s">
        <v>87</v>
      </c>
      <c r="AW927" t="s">
        <v>87</v>
      </c>
      <c r="AX927" t="s">
        <v>87</v>
      </c>
      <c r="AY927" t="s">
        <v>87</v>
      </c>
      <c r="AZ927" t="s">
        <v>87</v>
      </c>
      <c r="BA927" t="s">
        <v>87</v>
      </c>
      <c r="BB927" t="s">
        <v>87</v>
      </c>
      <c r="BC927" t="s">
        <v>87</v>
      </c>
      <c r="BD927" t="s">
        <v>87</v>
      </c>
      <c r="BE927" t="s">
        <v>87</v>
      </c>
    </row>
    <row r="928" spans="1:57" hidden="1" x14ac:dyDescent="0.45">
      <c r="A928" t="s">
        <v>2416</v>
      </c>
      <c r="B928" t="s">
        <v>79</v>
      </c>
      <c r="C928" t="s">
        <v>2222</v>
      </c>
      <c r="D928" t="s">
        <v>81</v>
      </c>
      <c r="E928" s="2" t="str">
        <f>HYPERLINK("capsilon://?command=openfolder&amp;siteaddress=FAM.docvelocity-na8.net&amp;folderid=FXD4FC1323-689C-BAE7-F014-22CCFFA21E75","FX21011991")</f>
        <v>FX21011991</v>
      </c>
      <c r="F928" t="s">
        <v>19</v>
      </c>
      <c r="G928" t="s">
        <v>19</v>
      </c>
      <c r="H928" t="s">
        <v>82</v>
      </c>
      <c r="I928" t="s">
        <v>2417</v>
      </c>
      <c r="J928">
        <v>66</v>
      </c>
      <c r="K928" t="s">
        <v>84</v>
      </c>
      <c r="L928" t="s">
        <v>85</v>
      </c>
      <c r="M928" t="s">
        <v>86</v>
      </c>
      <c r="N928">
        <v>3</v>
      </c>
      <c r="O928" s="1">
        <v>44208.650833333333</v>
      </c>
      <c r="P928" s="1">
        <v>44208.673055555555</v>
      </c>
      <c r="Q928">
        <v>1684</v>
      </c>
      <c r="R928">
        <v>236</v>
      </c>
      <c r="S928" t="b">
        <v>0</v>
      </c>
      <c r="T928" t="s">
        <v>87</v>
      </c>
      <c r="U928" t="b">
        <v>0</v>
      </c>
      <c r="V928" t="s">
        <v>242</v>
      </c>
      <c r="W928" s="1">
        <v>44208.653275462966</v>
      </c>
      <c r="X928">
        <v>207</v>
      </c>
      <c r="Y928">
        <v>0</v>
      </c>
      <c r="Z928">
        <v>0</v>
      </c>
      <c r="AA928">
        <v>0</v>
      </c>
      <c r="AB928">
        <v>52</v>
      </c>
      <c r="AC928">
        <v>14</v>
      </c>
      <c r="AD928">
        <v>66</v>
      </c>
      <c r="AE928">
        <v>0</v>
      </c>
      <c r="AF928">
        <v>0</v>
      </c>
      <c r="AG928">
        <v>0</v>
      </c>
      <c r="AH928" t="s">
        <v>132</v>
      </c>
      <c r="AI928" s="1">
        <v>44208.664988425924</v>
      </c>
      <c r="AJ928">
        <v>25</v>
      </c>
      <c r="AK928">
        <v>0</v>
      </c>
      <c r="AL928">
        <v>0</v>
      </c>
      <c r="AM928">
        <v>0</v>
      </c>
      <c r="AN928">
        <v>52</v>
      </c>
      <c r="AO928">
        <v>0</v>
      </c>
      <c r="AP928">
        <v>66</v>
      </c>
      <c r="AQ928">
        <v>0</v>
      </c>
      <c r="AR928">
        <v>0</v>
      </c>
      <c r="AS928">
        <v>0</v>
      </c>
      <c r="AT928" t="s">
        <v>90</v>
      </c>
      <c r="AU928" s="1">
        <v>44208.673055555555</v>
      </c>
      <c r="AV928">
        <v>4</v>
      </c>
      <c r="AW928">
        <v>0</v>
      </c>
      <c r="AX928">
        <v>0</v>
      </c>
      <c r="AY928">
        <v>0</v>
      </c>
      <c r="AZ928">
        <v>52</v>
      </c>
      <c r="BA928">
        <v>0</v>
      </c>
      <c r="BB928">
        <v>66</v>
      </c>
      <c r="BC928">
        <v>0</v>
      </c>
      <c r="BD928">
        <v>0</v>
      </c>
      <c r="BE928">
        <v>0</v>
      </c>
    </row>
    <row r="929" spans="1:57" x14ac:dyDescent="0.45">
      <c r="A929" t="s">
        <v>2418</v>
      </c>
      <c r="B929" t="s">
        <v>79</v>
      </c>
      <c r="C929" t="s">
        <v>2419</v>
      </c>
      <c r="D929" t="s">
        <v>81</v>
      </c>
      <c r="E929" s="2" t="str">
        <f>HYPERLINK("capsilon://?command=openfolder&amp;siteaddress=FAM.docvelocity-na8.net&amp;folderid=FX9C93014F-582D-E319-6E45-581B411CE2B2","FX21016387")</f>
        <v>FX21016387</v>
      </c>
      <c r="F929" t="s">
        <v>19</v>
      </c>
      <c r="G929" t="s">
        <v>19</v>
      </c>
      <c r="H929" t="s">
        <v>82</v>
      </c>
      <c r="I929" t="s">
        <v>2420</v>
      </c>
      <c r="J929">
        <v>76</v>
      </c>
      <c r="K929" t="s">
        <v>84</v>
      </c>
      <c r="L929" t="s">
        <v>85</v>
      </c>
      <c r="M929" t="s">
        <v>86</v>
      </c>
      <c r="N929">
        <v>3</v>
      </c>
      <c r="O929" s="1">
        <v>44208.656782407408</v>
      </c>
      <c r="P929" s="1">
        <v>44208.674525462964</v>
      </c>
      <c r="Q929">
        <v>88</v>
      </c>
      <c r="R929">
        <v>1445</v>
      </c>
      <c r="S929" t="b">
        <v>0</v>
      </c>
      <c r="T929" t="s">
        <v>87</v>
      </c>
      <c r="U929" t="b">
        <v>0</v>
      </c>
      <c r="V929" t="s">
        <v>168</v>
      </c>
      <c r="W929" s="1">
        <v>44208.672118055554</v>
      </c>
      <c r="X929">
        <v>1324</v>
      </c>
      <c r="Y929">
        <v>74</v>
      </c>
      <c r="Z929">
        <v>0</v>
      </c>
      <c r="AA929">
        <v>74</v>
      </c>
      <c r="AB929">
        <v>0</v>
      </c>
      <c r="AC929">
        <v>39</v>
      </c>
      <c r="AD929">
        <v>2</v>
      </c>
      <c r="AE929">
        <v>0</v>
      </c>
      <c r="AF929">
        <v>0</v>
      </c>
      <c r="AG929">
        <v>0</v>
      </c>
      <c r="AH929" t="s">
        <v>132</v>
      </c>
      <c r="AI929" s="1">
        <v>44208.673379629632</v>
      </c>
      <c r="AJ929">
        <v>95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2</v>
      </c>
      <c r="AQ929">
        <v>0</v>
      </c>
      <c r="AR929">
        <v>0</v>
      </c>
      <c r="AS929">
        <v>0</v>
      </c>
      <c r="AT929" t="s">
        <v>90</v>
      </c>
      <c r="AU929" s="1">
        <v>44208.674525462964</v>
      </c>
      <c r="AV929">
        <v>26</v>
      </c>
      <c r="AW929">
        <v>1</v>
      </c>
      <c r="AX929">
        <v>0</v>
      </c>
      <c r="AY929">
        <v>1</v>
      </c>
      <c r="AZ929">
        <v>0</v>
      </c>
      <c r="BA929">
        <v>1</v>
      </c>
      <c r="BB929">
        <v>1</v>
      </c>
      <c r="BC929">
        <v>0</v>
      </c>
      <c r="BD929">
        <v>0</v>
      </c>
      <c r="BE929">
        <v>0</v>
      </c>
    </row>
    <row r="930" spans="1:57" x14ac:dyDescent="0.45">
      <c r="A930" t="s">
        <v>2421</v>
      </c>
      <c r="B930" t="s">
        <v>79</v>
      </c>
      <c r="C930" t="s">
        <v>2422</v>
      </c>
      <c r="D930" t="s">
        <v>81</v>
      </c>
      <c r="E930" s="2" t="str">
        <f>HYPERLINK("capsilon://?command=openfolder&amp;siteaddress=FAM.docvelocity-na8.net&amp;folderid=FXB96D62E4-3896-65BC-62C6-48BB8E66D263","FX2101571")</f>
        <v>FX2101571</v>
      </c>
      <c r="F930" t="s">
        <v>19</v>
      </c>
      <c r="G930" t="s">
        <v>19</v>
      </c>
      <c r="H930" t="s">
        <v>82</v>
      </c>
      <c r="I930" t="s">
        <v>2423</v>
      </c>
      <c r="J930">
        <v>100</v>
      </c>
      <c r="K930" t="s">
        <v>84</v>
      </c>
      <c r="L930" t="s">
        <v>85</v>
      </c>
      <c r="M930" t="s">
        <v>86</v>
      </c>
      <c r="N930">
        <v>3</v>
      </c>
      <c r="O930" s="1">
        <v>44208.660196759258</v>
      </c>
      <c r="P930" s="1">
        <v>44209.371805555558</v>
      </c>
      <c r="Q930">
        <v>56114</v>
      </c>
      <c r="R930">
        <v>5369</v>
      </c>
      <c r="S930" t="b">
        <v>0</v>
      </c>
      <c r="T930" t="s">
        <v>87</v>
      </c>
      <c r="U930" t="b">
        <v>0</v>
      </c>
      <c r="V930" t="s">
        <v>146</v>
      </c>
      <c r="W930" s="1">
        <v>44208.716319444444</v>
      </c>
      <c r="X930">
        <v>4848</v>
      </c>
      <c r="Y930">
        <v>145</v>
      </c>
      <c r="Z930">
        <v>0</v>
      </c>
      <c r="AA930">
        <v>145</v>
      </c>
      <c r="AB930">
        <v>0</v>
      </c>
      <c r="AC930">
        <v>124</v>
      </c>
      <c r="AD930">
        <v>-45</v>
      </c>
      <c r="AE930">
        <v>0</v>
      </c>
      <c r="AF930">
        <v>0</v>
      </c>
      <c r="AG930">
        <v>0</v>
      </c>
      <c r="AH930" t="s">
        <v>132</v>
      </c>
      <c r="AI930" s="1">
        <v>44208.725300925929</v>
      </c>
      <c r="AJ930">
        <v>410</v>
      </c>
      <c r="AK930">
        <v>0</v>
      </c>
      <c r="AL930">
        <v>0</v>
      </c>
      <c r="AM930">
        <v>0</v>
      </c>
      <c r="AN930">
        <v>49</v>
      </c>
      <c r="AO930">
        <v>0</v>
      </c>
      <c r="AP930">
        <v>-45</v>
      </c>
      <c r="AQ930">
        <v>0</v>
      </c>
      <c r="AR930">
        <v>0</v>
      </c>
      <c r="AS930">
        <v>0</v>
      </c>
      <c r="AT930" t="s">
        <v>90</v>
      </c>
      <c r="AU930" s="1">
        <v>44209.371805555558</v>
      </c>
      <c r="AV930">
        <v>111</v>
      </c>
      <c r="AW930">
        <v>0</v>
      </c>
      <c r="AX930">
        <v>0</v>
      </c>
      <c r="AY930">
        <v>0</v>
      </c>
      <c r="AZ930">
        <v>49</v>
      </c>
      <c r="BA930">
        <v>0</v>
      </c>
      <c r="BB930">
        <v>-45</v>
      </c>
      <c r="BC930">
        <v>0</v>
      </c>
      <c r="BD930">
        <v>0</v>
      </c>
      <c r="BE930">
        <v>0</v>
      </c>
    </row>
    <row r="931" spans="1:57" hidden="1" x14ac:dyDescent="0.45">
      <c r="A931" t="s">
        <v>2424</v>
      </c>
      <c r="B931" t="s">
        <v>79</v>
      </c>
      <c r="C931" t="s">
        <v>2425</v>
      </c>
      <c r="D931" t="s">
        <v>81</v>
      </c>
      <c r="E931" s="2" t="str">
        <f>HYPERLINK("capsilon://?command=openfolder&amp;siteaddress=FAM.docvelocity-na8.net&amp;folderid=FXC0CBF79A-9221-6B95-0B21-EBD09D0F0D37","FX201113957")</f>
        <v>FX201113957</v>
      </c>
      <c r="F931" t="s">
        <v>19</v>
      </c>
      <c r="G931" t="s">
        <v>19</v>
      </c>
      <c r="H931" t="s">
        <v>82</v>
      </c>
      <c r="I931" t="s">
        <v>2426</v>
      </c>
      <c r="J931">
        <v>66</v>
      </c>
      <c r="K931" t="s">
        <v>84</v>
      </c>
      <c r="L931" t="s">
        <v>85</v>
      </c>
      <c r="M931" t="s">
        <v>86</v>
      </c>
      <c r="N931">
        <v>3</v>
      </c>
      <c r="O931" s="1">
        <v>44208.663877314815</v>
      </c>
      <c r="P931" s="1">
        <v>44208.673090277778</v>
      </c>
      <c r="Q931">
        <v>707</v>
      </c>
      <c r="R931">
        <v>89</v>
      </c>
      <c r="S931" t="b">
        <v>0</v>
      </c>
      <c r="T931" t="s">
        <v>87</v>
      </c>
      <c r="U931" t="b">
        <v>0</v>
      </c>
      <c r="V931" t="s">
        <v>242</v>
      </c>
      <c r="W931" s="1">
        <v>44208.664803240739</v>
      </c>
      <c r="X931">
        <v>63</v>
      </c>
      <c r="Y931">
        <v>0</v>
      </c>
      <c r="Z931">
        <v>0</v>
      </c>
      <c r="AA931">
        <v>0</v>
      </c>
      <c r="AB931">
        <v>52</v>
      </c>
      <c r="AC931">
        <v>0</v>
      </c>
      <c r="AD931">
        <v>66</v>
      </c>
      <c r="AE931">
        <v>0</v>
      </c>
      <c r="AF931">
        <v>0</v>
      </c>
      <c r="AG931">
        <v>0</v>
      </c>
      <c r="AH931" t="s">
        <v>132</v>
      </c>
      <c r="AI931" s="1">
        <v>44208.665277777778</v>
      </c>
      <c r="AJ931">
        <v>24</v>
      </c>
      <c r="AK931">
        <v>0</v>
      </c>
      <c r="AL931">
        <v>0</v>
      </c>
      <c r="AM931">
        <v>0</v>
      </c>
      <c r="AN931">
        <v>52</v>
      </c>
      <c r="AO931">
        <v>0</v>
      </c>
      <c r="AP931">
        <v>66</v>
      </c>
      <c r="AQ931">
        <v>0</v>
      </c>
      <c r="AR931">
        <v>0</v>
      </c>
      <c r="AS931">
        <v>0</v>
      </c>
      <c r="AT931" t="s">
        <v>90</v>
      </c>
      <c r="AU931" s="1">
        <v>44208.673090277778</v>
      </c>
      <c r="AV931">
        <v>2</v>
      </c>
      <c r="AW931">
        <v>0</v>
      </c>
      <c r="AX931">
        <v>0</v>
      </c>
      <c r="AY931">
        <v>0</v>
      </c>
      <c r="AZ931">
        <v>52</v>
      </c>
      <c r="BA931">
        <v>0</v>
      </c>
      <c r="BB931">
        <v>66</v>
      </c>
      <c r="BC931">
        <v>0</v>
      </c>
      <c r="BD931">
        <v>0</v>
      </c>
      <c r="BE931">
        <v>0</v>
      </c>
    </row>
    <row r="932" spans="1:57" hidden="1" x14ac:dyDescent="0.45">
      <c r="A932" t="s">
        <v>2427</v>
      </c>
      <c r="B932" t="s">
        <v>79</v>
      </c>
      <c r="C932" t="s">
        <v>2425</v>
      </c>
      <c r="D932" t="s">
        <v>81</v>
      </c>
      <c r="E932" s="2" t="str">
        <f>HYPERLINK("capsilon://?command=openfolder&amp;siteaddress=FAM.docvelocity-na8.net&amp;folderid=FXC0CBF79A-9221-6B95-0B21-EBD09D0F0D37","FX201113957")</f>
        <v>FX201113957</v>
      </c>
      <c r="F932" t="s">
        <v>19</v>
      </c>
      <c r="G932" t="s">
        <v>19</v>
      </c>
      <c r="H932" t="s">
        <v>82</v>
      </c>
      <c r="I932" t="s">
        <v>2428</v>
      </c>
      <c r="J932">
        <v>66</v>
      </c>
      <c r="K932" t="s">
        <v>84</v>
      </c>
      <c r="L932" t="s">
        <v>85</v>
      </c>
      <c r="M932" t="s">
        <v>86</v>
      </c>
      <c r="N932">
        <v>3</v>
      </c>
      <c r="O932" s="1">
        <v>44208.665324074071</v>
      </c>
      <c r="P932" s="1">
        <v>44208.673136574071</v>
      </c>
      <c r="Q932">
        <v>557</v>
      </c>
      <c r="R932">
        <v>118</v>
      </c>
      <c r="S932" t="b">
        <v>0</v>
      </c>
      <c r="T932" t="s">
        <v>87</v>
      </c>
      <c r="U932" t="b">
        <v>0</v>
      </c>
      <c r="V932" t="s">
        <v>242</v>
      </c>
      <c r="W932" s="1">
        <v>44208.666446759256</v>
      </c>
      <c r="X932">
        <v>91</v>
      </c>
      <c r="Y932">
        <v>0</v>
      </c>
      <c r="Z932">
        <v>0</v>
      </c>
      <c r="AA932">
        <v>0</v>
      </c>
      <c r="AB932">
        <v>52</v>
      </c>
      <c r="AC932">
        <v>0</v>
      </c>
      <c r="AD932">
        <v>66</v>
      </c>
      <c r="AE932">
        <v>0</v>
      </c>
      <c r="AF932">
        <v>0</v>
      </c>
      <c r="AG932">
        <v>0</v>
      </c>
      <c r="AH932" t="s">
        <v>132</v>
      </c>
      <c r="AI932" s="1">
        <v>44208.668541666666</v>
      </c>
      <c r="AJ932">
        <v>24</v>
      </c>
      <c r="AK932">
        <v>0</v>
      </c>
      <c r="AL932">
        <v>0</v>
      </c>
      <c r="AM932">
        <v>0</v>
      </c>
      <c r="AN932">
        <v>52</v>
      </c>
      <c r="AO932">
        <v>0</v>
      </c>
      <c r="AP932">
        <v>66</v>
      </c>
      <c r="AQ932">
        <v>0</v>
      </c>
      <c r="AR932">
        <v>0</v>
      </c>
      <c r="AS932">
        <v>0</v>
      </c>
      <c r="AT932" t="s">
        <v>90</v>
      </c>
      <c r="AU932" s="1">
        <v>44208.673136574071</v>
      </c>
      <c r="AV932">
        <v>3</v>
      </c>
      <c r="AW932">
        <v>0</v>
      </c>
      <c r="AX932">
        <v>0</v>
      </c>
      <c r="AY932">
        <v>0</v>
      </c>
      <c r="AZ932">
        <v>52</v>
      </c>
      <c r="BA932">
        <v>0</v>
      </c>
      <c r="BB932">
        <v>66</v>
      </c>
      <c r="BC932">
        <v>0</v>
      </c>
      <c r="BD932">
        <v>0</v>
      </c>
      <c r="BE932">
        <v>0</v>
      </c>
    </row>
    <row r="933" spans="1:57" hidden="1" x14ac:dyDescent="0.45">
      <c r="A933" t="s">
        <v>2429</v>
      </c>
      <c r="B933" t="s">
        <v>79</v>
      </c>
      <c r="C933" t="s">
        <v>2430</v>
      </c>
      <c r="D933" t="s">
        <v>81</v>
      </c>
      <c r="E933" s="2" t="str">
        <f>HYPERLINK("capsilon://?command=openfolder&amp;siteaddress=FAM.docvelocity-na8.net&amp;folderid=FXCD6FD811-83D3-8E74-A9D0-5CC068DBE8E9","FX201229388")</f>
        <v>FX201229388</v>
      </c>
      <c r="F933" t="s">
        <v>19</v>
      </c>
      <c r="G933" t="s">
        <v>19</v>
      </c>
      <c r="H933" t="s">
        <v>82</v>
      </c>
      <c r="I933" t="s">
        <v>2431</v>
      </c>
      <c r="J933">
        <v>373</v>
      </c>
      <c r="K933" t="s">
        <v>84</v>
      </c>
      <c r="L933" t="s">
        <v>85</v>
      </c>
      <c r="M933" t="s">
        <v>86</v>
      </c>
      <c r="N933">
        <v>1</v>
      </c>
      <c r="O933" s="1">
        <v>44208.678923611114</v>
      </c>
      <c r="P933" s="1">
        <v>44208.69971064815</v>
      </c>
      <c r="Q933">
        <v>42</v>
      </c>
      <c r="R933">
        <v>1754</v>
      </c>
      <c r="S933" t="b">
        <v>0</v>
      </c>
      <c r="T933" t="s">
        <v>87</v>
      </c>
      <c r="U933" t="b">
        <v>0</v>
      </c>
      <c r="V933" t="s">
        <v>171</v>
      </c>
      <c r="W933" s="1">
        <v>44208.69971064815</v>
      </c>
      <c r="X933">
        <v>1600</v>
      </c>
      <c r="Y933">
        <v>286</v>
      </c>
      <c r="Z933">
        <v>0</v>
      </c>
      <c r="AA933">
        <v>286</v>
      </c>
      <c r="AB933">
        <v>0</v>
      </c>
      <c r="AC933">
        <v>23</v>
      </c>
      <c r="AD933">
        <v>87</v>
      </c>
      <c r="AE933">
        <v>27</v>
      </c>
      <c r="AF933">
        <v>0</v>
      </c>
      <c r="AG933">
        <v>3</v>
      </c>
      <c r="AH933" t="s">
        <v>87</v>
      </c>
      <c r="AI933" t="s">
        <v>87</v>
      </c>
      <c r="AJ933" t="s">
        <v>87</v>
      </c>
      <c r="AK933" t="s">
        <v>87</v>
      </c>
      <c r="AL933" t="s">
        <v>87</v>
      </c>
      <c r="AM933" t="s">
        <v>87</v>
      </c>
      <c r="AN933" t="s">
        <v>87</v>
      </c>
      <c r="AO933" t="s">
        <v>87</v>
      </c>
      <c r="AP933" t="s">
        <v>87</v>
      </c>
      <c r="AQ933" t="s">
        <v>87</v>
      </c>
      <c r="AR933" t="s">
        <v>87</v>
      </c>
      <c r="AS933" t="s">
        <v>87</v>
      </c>
      <c r="AT933" t="s">
        <v>87</v>
      </c>
      <c r="AU933" t="s">
        <v>87</v>
      </c>
      <c r="AV933" t="s">
        <v>87</v>
      </c>
      <c r="AW933" t="s">
        <v>87</v>
      </c>
      <c r="AX933" t="s">
        <v>87</v>
      </c>
      <c r="AY933" t="s">
        <v>87</v>
      </c>
      <c r="AZ933" t="s">
        <v>87</v>
      </c>
      <c r="BA933" t="s">
        <v>87</v>
      </c>
      <c r="BB933" t="s">
        <v>87</v>
      </c>
      <c r="BC933" t="s">
        <v>87</v>
      </c>
      <c r="BD933" t="s">
        <v>87</v>
      </c>
      <c r="BE933" t="s">
        <v>87</v>
      </c>
    </row>
    <row r="934" spans="1:57" x14ac:dyDescent="0.45">
      <c r="A934" t="s">
        <v>2432</v>
      </c>
      <c r="B934" t="s">
        <v>79</v>
      </c>
      <c r="C934" t="s">
        <v>2433</v>
      </c>
      <c r="D934" t="s">
        <v>81</v>
      </c>
      <c r="E934" s="2" t="str">
        <f>HYPERLINK("capsilon://?command=openfolder&amp;siteaddress=FAM.docvelocity-na8.net&amp;folderid=FX274738A2-6DBA-1468-B4C5-1AD565C45D06","FX21016489")</f>
        <v>FX21016489</v>
      </c>
      <c r="F934" t="s">
        <v>19</v>
      </c>
      <c r="G934" t="s">
        <v>19</v>
      </c>
      <c r="H934" t="s">
        <v>82</v>
      </c>
      <c r="I934" t="s">
        <v>2434</v>
      </c>
      <c r="J934">
        <v>246</v>
      </c>
      <c r="K934" t="s">
        <v>84</v>
      </c>
      <c r="L934" t="s">
        <v>85</v>
      </c>
      <c r="M934" t="s">
        <v>86</v>
      </c>
      <c r="N934">
        <v>3</v>
      </c>
      <c r="O934" s="1">
        <v>44208.679375</v>
      </c>
      <c r="P934" s="1">
        <v>44209.372407407405</v>
      </c>
      <c r="Q934">
        <v>56283</v>
      </c>
      <c r="R934">
        <v>3595</v>
      </c>
      <c r="S934" t="b">
        <v>0</v>
      </c>
      <c r="T934" t="s">
        <v>87</v>
      </c>
      <c r="U934" t="b">
        <v>0</v>
      </c>
      <c r="V934" t="s">
        <v>179</v>
      </c>
      <c r="W934" s="1">
        <v>44208.713773148149</v>
      </c>
      <c r="X934">
        <v>2910</v>
      </c>
      <c r="Y934">
        <v>209</v>
      </c>
      <c r="Z934">
        <v>0</v>
      </c>
      <c r="AA934">
        <v>209</v>
      </c>
      <c r="AB934">
        <v>0</v>
      </c>
      <c r="AC934">
        <v>94</v>
      </c>
      <c r="AD934">
        <v>37</v>
      </c>
      <c r="AE934">
        <v>0</v>
      </c>
      <c r="AF934">
        <v>0</v>
      </c>
      <c r="AG934">
        <v>0</v>
      </c>
      <c r="AH934" t="s">
        <v>128</v>
      </c>
      <c r="AI934" s="1">
        <v>44208.721319444441</v>
      </c>
      <c r="AJ934">
        <v>634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37</v>
      </c>
      <c r="AQ934">
        <v>0</v>
      </c>
      <c r="AR934">
        <v>0</v>
      </c>
      <c r="AS934">
        <v>0</v>
      </c>
      <c r="AT934" t="s">
        <v>90</v>
      </c>
      <c r="AU934" s="1">
        <v>44209.372407407405</v>
      </c>
      <c r="AV934">
        <v>51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37</v>
      </c>
      <c r="BC934">
        <v>0</v>
      </c>
      <c r="BD934">
        <v>0</v>
      </c>
      <c r="BE934">
        <v>0</v>
      </c>
    </row>
    <row r="935" spans="1:57" x14ac:dyDescent="0.45">
      <c r="A935" t="s">
        <v>2435</v>
      </c>
      <c r="B935" t="s">
        <v>79</v>
      </c>
      <c r="C935" t="s">
        <v>2436</v>
      </c>
      <c r="D935" t="s">
        <v>81</v>
      </c>
      <c r="E935" s="2" t="str">
        <f>HYPERLINK("capsilon://?command=openfolder&amp;siteaddress=FAM.docvelocity-na8.net&amp;folderid=FX71593F4B-A87C-060F-57F2-226008F2870F","FX21015062")</f>
        <v>FX21015062</v>
      </c>
      <c r="F935" t="s">
        <v>19</v>
      </c>
      <c r="G935" t="s">
        <v>19</v>
      </c>
      <c r="H935" t="s">
        <v>82</v>
      </c>
      <c r="I935" t="s">
        <v>2437</v>
      </c>
      <c r="J935">
        <v>182</v>
      </c>
      <c r="K935" t="s">
        <v>84</v>
      </c>
      <c r="L935" t="s">
        <v>85</v>
      </c>
      <c r="M935" t="s">
        <v>86</v>
      </c>
      <c r="N935">
        <v>3</v>
      </c>
      <c r="O935" s="1">
        <v>44208.68</v>
      </c>
      <c r="P935" s="1">
        <v>44209.37300925926</v>
      </c>
      <c r="Q935">
        <v>58601</v>
      </c>
      <c r="R935">
        <v>1275</v>
      </c>
      <c r="S935" t="b">
        <v>0</v>
      </c>
      <c r="T935" t="s">
        <v>87</v>
      </c>
      <c r="U935" t="b">
        <v>0</v>
      </c>
      <c r="V935" t="s">
        <v>242</v>
      </c>
      <c r="W935" s="1">
        <v>44208.704189814816</v>
      </c>
      <c r="X935">
        <v>888</v>
      </c>
      <c r="Y935">
        <v>148</v>
      </c>
      <c r="Z935">
        <v>0</v>
      </c>
      <c r="AA935">
        <v>148</v>
      </c>
      <c r="AB935">
        <v>37</v>
      </c>
      <c r="AC935">
        <v>80</v>
      </c>
      <c r="AD935">
        <v>34</v>
      </c>
      <c r="AE935">
        <v>0</v>
      </c>
      <c r="AF935">
        <v>0</v>
      </c>
      <c r="AG935">
        <v>0</v>
      </c>
      <c r="AH935" t="s">
        <v>128</v>
      </c>
      <c r="AI935" s="1">
        <v>44208.709351851852</v>
      </c>
      <c r="AJ935">
        <v>336</v>
      </c>
      <c r="AK935">
        <v>0</v>
      </c>
      <c r="AL935">
        <v>0</v>
      </c>
      <c r="AM935">
        <v>0</v>
      </c>
      <c r="AN935">
        <v>37</v>
      </c>
      <c r="AO935">
        <v>0</v>
      </c>
      <c r="AP935">
        <v>34</v>
      </c>
      <c r="AQ935">
        <v>0</v>
      </c>
      <c r="AR935">
        <v>0</v>
      </c>
      <c r="AS935">
        <v>0</v>
      </c>
      <c r="AT935" t="s">
        <v>90</v>
      </c>
      <c r="AU935" s="1">
        <v>44209.37300925926</v>
      </c>
      <c r="AV935">
        <v>51</v>
      </c>
      <c r="AW935">
        <v>0</v>
      </c>
      <c r="AX935">
        <v>0</v>
      </c>
      <c r="AY935">
        <v>0</v>
      </c>
      <c r="AZ935">
        <v>37</v>
      </c>
      <c r="BA935">
        <v>0</v>
      </c>
      <c r="BB935">
        <v>34</v>
      </c>
      <c r="BC935">
        <v>0</v>
      </c>
      <c r="BD935">
        <v>0</v>
      </c>
      <c r="BE935">
        <v>0</v>
      </c>
    </row>
    <row r="936" spans="1:57" x14ac:dyDescent="0.45">
      <c r="A936" t="s">
        <v>2438</v>
      </c>
      <c r="B936" t="s">
        <v>79</v>
      </c>
      <c r="C936" t="s">
        <v>2439</v>
      </c>
      <c r="D936" t="s">
        <v>81</v>
      </c>
      <c r="E936" s="2" t="str">
        <f>HYPERLINK("capsilon://?command=openfolder&amp;siteaddress=FAM.docvelocity-na8.net&amp;folderid=FX1947D3A2-13D9-B191-9F11-AEF0D3949848","FX201229038")</f>
        <v>FX201229038</v>
      </c>
      <c r="F936" t="s">
        <v>19</v>
      </c>
      <c r="G936" t="s">
        <v>19</v>
      </c>
      <c r="H936" t="s">
        <v>82</v>
      </c>
      <c r="I936" t="s">
        <v>2440</v>
      </c>
      <c r="J936">
        <v>275</v>
      </c>
      <c r="K936" t="s">
        <v>84</v>
      </c>
      <c r="L936" t="s">
        <v>85</v>
      </c>
      <c r="M936" t="s">
        <v>86</v>
      </c>
      <c r="N936">
        <v>3</v>
      </c>
      <c r="O936" s="1">
        <v>44208.680671296293</v>
      </c>
      <c r="P936" s="1">
        <v>44209.37363425926</v>
      </c>
      <c r="Q936">
        <v>59033</v>
      </c>
      <c r="R936">
        <v>839</v>
      </c>
      <c r="S936" t="b">
        <v>0</v>
      </c>
      <c r="T936" t="s">
        <v>87</v>
      </c>
      <c r="U936" t="b">
        <v>0</v>
      </c>
      <c r="V936" t="s">
        <v>242</v>
      </c>
      <c r="W936" s="1">
        <v>44208.686921296299</v>
      </c>
      <c r="X936">
        <v>487</v>
      </c>
      <c r="Y936">
        <v>188</v>
      </c>
      <c r="Z936">
        <v>0</v>
      </c>
      <c r="AA936">
        <v>188</v>
      </c>
      <c r="AB936">
        <v>0</v>
      </c>
      <c r="AC936">
        <v>37</v>
      </c>
      <c r="AD936">
        <v>87</v>
      </c>
      <c r="AE936">
        <v>0</v>
      </c>
      <c r="AF936">
        <v>0</v>
      </c>
      <c r="AG936">
        <v>0</v>
      </c>
      <c r="AH936" t="s">
        <v>132</v>
      </c>
      <c r="AI936" s="1">
        <v>44208.693287037036</v>
      </c>
      <c r="AJ936">
        <v>299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87</v>
      </c>
      <c r="AQ936">
        <v>0</v>
      </c>
      <c r="AR936">
        <v>0</v>
      </c>
      <c r="AS936">
        <v>0</v>
      </c>
      <c r="AT936" t="s">
        <v>90</v>
      </c>
      <c r="AU936" s="1">
        <v>44209.37363425926</v>
      </c>
      <c r="AV936">
        <v>53</v>
      </c>
      <c r="AW936">
        <v>0</v>
      </c>
      <c r="AX936">
        <v>0</v>
      </c>
      <c r="AY936">
        <v>0</v>
      </c>
      <c r="AZ936">
        <v>52</v>
      </c>
      <c r="BA936">
        <v>0</v>
      </c>
      <c r="BB936">
        <v>87</v>
      </c>
      <c r="BC936">
        <v>0</v>
      </c>
      <c r="BD936">
        <v>0</v>
      </c>
      <c r="BE936">
        <v>0</v>
      </c>
    </row>
    <row r="937" spans="1:57" hidden="1" x14ac:dyDescent="0.45">
      <c r="A937" t="s">
        <v>2441</v>
      </c>
      <c r="B937" t="s">
        <v>79</v>
      </c>
      <c r="C937" t="s">
        <v>2442</v>
      </c>
      <c r="D937" t="s">
        <v>81</v>
      </c>
      <c r="E937" s="2" t="str">
        <f>HYPERLINK("capsilon://?command=openfolder&amp;siteaddress=FAM.docvelocity-na8.net&amp;folderid=FX5C80F088-4075-7E83-16D4-3574838A0413","FX201115916")</f>
        <v>FX201115916</v>
      </c>
      <c r="F937" t="s">
        <v>19</v>
      </c>
      <c r="G937" t="s">
        <v>19</v>
      </c>
      <c r="H937" t="s">
        <v>82</v>
      </c>
      <c r="I937" t="s">
        <v>2443</v>
      </c>
      <c r="J937">
        <v>66</v>
      </c>
      <c r="K937" t="s">
        <v>84</v>
      </c>
      <c r="L937" t="s">
        <v>85</v>
      </c>
      <c r="M937" t="s">
        <v>86</v>
      </c>
      <c r="N937">
        <v>3</v>
      </c>
      <c r="O937" s="1">
        <v>44208.682129629633</v>
      </c>
      <c r="P937" s="1">
        <v>44209.373668981483</v>
      </c>
      <c r="Q937">
        <v>59581</v>
      </c>
      <c r="R937">
        <v>168</v>
      </c>
      <c r="S937" t="b">
        <v>0</v>
      </c>
      <c r="T937" t="s">
        <v>87</v>
      </c>
      <c r="U937" t="b">
        <v>0</v>
      </c>
      <c r="V937" t="s">
        <v>160</v>
      </c>
      <c r="W937" s="1">
        <v>44208.683958333335</v>
      </c>
      <c r="X937">
        <v>144</v>
      </c>
      <c r="Y937">
        <v>0</v>
      </c>
      <c r="Z937">
        <v>0</v>
      </c>
      <c r="AA937">
        <v>0</v>
      </c>
      <c r="AB937">
        <v>52</v>
      </c>
      <c r="AC937">
        <v>0</v>
      </c>
      <c r="AD937">
        <v>66</v>
      </c>
      <c r="AE937">
        <v>0</v>
      </c>
      <c r="AF937">
        <v>0</v>
      </c>
      <c r="AG937">
        <v>0</v>
      </c>
      <c r="AH937" t="s">
        <v>132</v>
      </c>
      <c r="AI937" s="1">
        <v>44208.693553240744</v>
      </c>
      <c r="AJ937">
        <v>22</v>
      </c>
      <c r="AK937">
        <v>0</v>
      </c>
      <c r="AL937">
        <v>0</v>
      </c>
      <c r="AM937">
        <v>0</v>
      </c>
      <c r="AN937">
        <v>52</v>
      </c>
      <c r="AO937">
        <v>0</v>
      </c>
      <c r="AP937">
        <v>66</v>
      </c>
      <c r="AQ937">
        <v>0</v>
      </c>
      <c r="AR937">
        <v>0</v>
      </c>
      <c r="AS937">
        <v>0</v>
      </c>
      <c r="AT937" t="s">
        <v>90</v>
      </c>
      <c r="AU937" s="1">
        <v>44209.373668981483</v>
      </c>
      <c r="AV937">
        <v>2</v>
      </c>
      <c r="AW937">
        <v>0</v>
      </c>
      <c r="AX937">
        <v>0</v>
      </c>
      <c r="AY937">
        <v>0</v>
      </c>
      <c r="AZ937">
        <v>52</v>
      </c>
      <c r="BA937">
        <v>0</v>
      </c>
      <c r="BB937">
        <v>66</v>
      </c>
      <c r="BC937">
        <v>0</v>
      </c>
      <c r="BD937">
        <v>0</v>
      </c>
      <c r="BE937">
        <v>0</v>
      </c>
    </row>
    <row r="938" spans="1:57" x14ac:dyDescent="0.45">
      <c r="A938" t="s">
        <v>2444</v>
      </c>
      <c r="B938" t="s">
        <v>79</v>
      </c>
      <c r="C938" t="s">
        <v>2436</v>
      </c>
      <c r="D938" t="s">
        <v>81</v>
      </c>
      <c r="E938" s="2" t="str">
        <f>HYPERLINK("capsilon://?command=openfolder&amp;siteaddress=FAM.docvelocity-na8.net&amp;folderid=FX71593F4B-A87C-060F-57F2-226008F2870F","FX21015062")</f>
        <v>FX21015062</v>
      </c>
      <c r="F938" t="s">
        <v>19</v>
      </c>
      <c r="G938" t="s">
        <v>19</v>
      </c>
      <c r="H938" t="s">
        <v>82</v>
      </c>
      <c r="I938" t="s">
        <v>2445</v>
      </c>
      <c r="J938">
        <v>26</v>
      </c>
      <c r="K938" t="s">
        <v>84</v>
      </c>
      <c r="L938" t="s">
        <v>85</v>
      </c>
      <c r="M938" t="s">
        <v>86</v>
      </c>
      <c r="N938">
        <v>3</v>
      </c>
      <c r="O938" s="1">
        <v>44208.683912037035</v>
      </c>
      <c r="P938" s="1">
        <v>44209.373715277776</v>
      </c>
      <c r="Q938">
        <v>58445</v>
      </c>
      <c r="R938">
        <v>1154</v>
      </c>
      <c r="S938" t="b">
        <v>0</v>
      </c>
      <c r="T938" t="s">
        <v>87</v>
      </c>
      <c r="U938" t="b">
        <v>0</v>
      </c>
      <c r="V938" t="s">
        <v>160</v>
      </c>
      <c r="W938" s="1">
        <v>44208.69667824074</v>
      </c>
      <c r="X938">
        <v>1098</v>
      </c>
      <c r="Y938">
        <v>21</v>
      </c>
      <c r="Z938">
        <v>0</v>
      </c>
      <c r="AA938">
        <v>21</v>
      </c>
      <c r="AB938">
        <v>0</v>
      </c>
      <c r="AC938">
        <v>11</v>
      </c>
      <c r="AD938">
        <v>5</v>
      </c>
      <c r="AE938">
        <v>0</v>
      </c>
      <c r="AF938">
        <v>0</v>
      </c>
      <c r="AG938">
        <v>0</v>
      </c>
      <c r="AH938" t="s">
        <v>132</v>
      </c>
      <c r="AI938" s="1">
        <v>44208.699548611112</v>
      </c>
      <c r="AJ938">
        <v>53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5</v>
      </c>
      <c r="AQ938">
        <v>0</v>
      </c>
      <c r="AR938">
        <v>0</v>
      </c>
      <c r="AS938">
        <v>0</v>
      </c>
      <c r="AT938" t="s">
        <v>90</v>
      </c>
      <c r="AU938" s="1">
        <v>44209.373715277776</v>
      </c>
      <c r="AV938">
        <v>3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5</v>
      </c>
      <c r="BC938">
        <v>0</v>
      </c>
      <c r="BD938">
        <v>0</v>
      </c>
      <c r="BE938">
        <v>0</v>
      </c>
    </row>
    <row r="939" spans="1:57" x14ac:dyDescent="0.45">
      <c r="A939" t="s">
        <v>2446</v>
      </c>
      <c r="B939" t="s">
        <v>79</v>
      </c>
      <c r="C939" t="s">
        <v>2447</v>
      </c>
      <c r="D939" t="s">
        <v>81</v>
      </c>
      <c r="E939" s="2" t="str">
        <f>HYPERLINK("capsilon://?command=openfolder&amp;siteaddress=FAM.docvelocity-na8.net&amp;folderid=FX3F8FD789-1804-4CAB-F318-6DE32798B6DB","FX20123698")</f>
        <v>FX20123698</v>
      </c>
      <c r="F939" t="s">
        <v>19</v>
      </c>
      <c r="G939" t="s">
        <v>19</v>
      </c>
      <c r="H939" t="s">
        <v>82</v>
      </c>
      <c r="I939" t="s">
        <v>2448</v>
      </c>
      <c r="J939">
        <v>67</v>
      </c>
      <c r="K939" t="s">
        <v>84</v>
      </c>
      <c r="L939" t="s">
        <v>85</v>
      </c>
      <c r="M939" t="s">
        <v>86</v>
      </c>
      <c r="N939">
        <v>3</v>
      </c>
      <c r="O939" s="1">
        <v>44200.632407407407</v>
      </c>
      <c r="P939" s="1">
        <v>44201.388159722221</v>
      </c>
      <c r="Q939">
        <v>64703</v>
      </c>
      <c r="R939">
        <v>594</v>
      </c>
      <c r="S939" t="b">
        <v>0</v>
      </c>
      <c r="T939" t="s">
        <v>87</v>
      </c>
      <c r="U939" t="b">
        <v>0</v>
      </c>
      <c r="V939" t="s">
        <v>242</v>
      </c>
      <c r="W939" s="1">
        <v>44200.740173611113</v>
      </c>
      <c r="X939">
        <v>212</v>
      </c>
      <c r="Y939">
        <v>63</v>
      </c>
      <c r="Z939">
        <v>0</v>
      </c>
      <c r="AA939">
        <v>63</v>
      </c>
      <c r="AB939">
        <v>0</v>
      </c>
      <c r="AC939">
        <v>16</v>
      </c>
      <c r="AD939">
        <v>4</v>
      </c>
      <c r="AE939">
        <v>0</v>
      </c>
      <c r="AF939">
        <v>0</v>
      </c>
      <c r="AG939">
        <v>0</v>
      </c>
      <c r="AH939" t="s">
        <v>267</v>
      </c>
      <c r="AI939" s="1">
        <v>44200.800763888888</v>
      </c>
      <c r="AJ939">
        <v>123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4</v>
      </c>
      <c r="AQ939">
        <v>0</v>
      </c>
      <c r="AR939">
        <v>0</v>
      </c>
      <c r="AS939">
        <v>0</v>
      </c>
      <c r="AT939" t="s">
        <v>549</v>
      </c>
      <c r="AU939" s="1">
        <v>44201.388159722221</v>
      </c>
      <c r="AV939">
        <v>259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4</v>
      </c>
      <c r="BC939">
        <v>0</v>
      </c>
      <c r="BD939">
        <v>0</v>
      </c>
      <c r="BE939">
        <v>0</v>
      </c>
    </row>
    <row r="940" spans="1:57" x14ac:dyDescent="0.45">
      <c r="A940" t="s">
        <v>2449</v>
      </c>
      <c r="B940" t="s">
        <v>79</v>
      </c>
      <c r="C940" t="s">
        <v>2436</v>
      </c>
      <c r="D940" t="s">
        <v>81</v>
      </c>
      <c r="E940" s="2" t="str">
        <f>HYPERLINK("capsilon://?command=openfolder&amp;siteaddress=FAM.docvelocity-na8.net&amp;folderid=FX71593F4B-A87C-060F-57F2-226008F2870F","FX21015062")</f>
        <v>FX21015062</v>
      </c>
      <c r="F940" t="s">
        <v>19</v>
      </c>
      <c r="G940" t="s">
        <v>19</v>
      </c>
      <c r="H940" t="s">
        <v>82</v>
      </c>
      <c r="I940" t="s">
        <v>2450</v>
      </c>
      <c r="J940">
        <v>26</v>
      </c>
      <c r="K940" t="s">
        <v>84</v>
      </c>
      <c r="L940" t="s">
        <v>85</v>
      </c>
      <c r="M940" t="s">
        <v>86</v>
      </c>
      <c r="N940">
        <v>3</v>
      </c>
      <c r="O940" s="1">
        <v>44208.685439814813</v>
      </c>
      <c r="P940" s="1">
        <v>44209.373761574076</v>
      </c>
      <c r="Q940">
        <v>58212</v>
      </c>
      <c r="R940">
        <v>1259</v>
      </c>
      <c r="S940" t="b">
        <v>0</v>
      </c>
      <c r="T940" t="s">
        <v>87</v>
      </c>
      <c r="U940" t="b">
        <v>0</v>
      </c>
      <c r="V940" t="s">
        <v>343</v>
      </c>
      <c r="W940" s="1">
        <v>44208.699502314812</v>
      </c>
      <c r="X940">
        <v>1204</v>
      </c>
      <c r="Y940">
        <v>21</v>
      </c>
      <c r="Z940">
        <v>0</v>
      </c>
      <c r="AA940">
        <v>21</v>
      </c>
      <c r="AB940">
        <v>0</v>
      </c>
      <c r="AC940">
        <v>19</v>
      </c>
      <c r="AD940">
        <v>5</v>
      </c>
      <c r="AE940">
        <v>0</v>
      </c>
      <c r="AF940">
        <v>0</v>
      </c>
      <c r="AG940">
        <v>0</v>
      </c>
      <c r="AH940" t="s">
        <v>132</v>
      </c>
      <c r="AI940" s="1">
        <v>44208.700162037036</v>
      </c>
      <c r="AJ940">
        <v>52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5</v>
      </c>
      <c r="AQ940">
        <v>0</v>
      </c>
      <c r="AR940">
        <v>0</v>
      </c>
      <c r="AS940">
        <v>0</v>
      </c>
      <c r="AT940" t="s">
        <v>90</v>
      </c>
      <c r="AU940" s="1">
        <v>44209.373761574076</v>
      </c>
      <c r="AV940">
        <v>3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5</v>
      </c>
      <c r="BC940">
        <v>0</v>
      </c>
      <c r="BD940">
        <v>0</v>
      </c>
      <c r="BE940">
        <v>0</v>
      </c>
    </row>
    <row r="941" spans="1:57" x14ac:dyDescent="0.45">
      <c r="A941" t="s">
        <v>2451</v>
      </c>
      <c r="B941" t="s">
        <v>79</v>
      </c>
      <c r="C941" t="s">
        <v>2436</v>
      </c>
      <c r="D941" t="s">
        <v>81</v>
      </c>
      <c r="E941" s="2" t="str">
        <f>HYPERLINK("capsilon://?command=openfolder&amp;siteaddress=FAM.docvelocity-na8.net&amp;folderid=FX71593F4B-A87C-060F-57F2-226008F2870F","FX21015062")</f>
        <v>FX21015062</v>
      </c>
      <c r="F941" t="s">
        <v>19</v>
      </c>
      <c r="G941" t="s">
        <v>19</v>
      </c>
      <c r="H941" t="s">
        <v>82</v>
      </c>
      <c r="I941" t="s">
        <v>2452</v>
      </c>
      <c r="J941">
        <v>55</v>
      </c>
      <c r="K941" t="s">
        <v>84</v>
      </c>
      <c r="L941" t="s">
        <v>85</v>
      </c>
      <c r="M941" t="s">
        <v>86</v>
      </c>
      <c r="N941">
        <v>3</v>
      </c>
      <c r="O941" s="1">
        <v>44208.686273148145</v>
      </c>
      <c r="P941" s="1">
        <v>44209.374409722222</v>
      </c>
      <c r="Q941">
        <v>59007</v>
      </c>
      <c r="R941">
        <v>448</v>
      </c>
      <c r="S941" t="b">
        <v>0</v>
      </c>
      <c r="T941" t="s">
        <v>87</v>
      </c>
      <c r="U941" t="b">
        <v>0</v>
      </c>
      <c r="V941" t="s">
        <v>242</v>
      </c>
      <c r="W941" s="1">
        <v>44208.690578703703</v>
      </c>
      <c r="X941">
        <v>315</v>
      </c>
      <c r="Y941">
        <v>41</v>
      </c>
      <c r="Z941">
        <v>0</v>
      </c>
      <c r="AA941">
        <v>41</v>
      </c>
      <c r="AB941">
        <v>0</v>
      </c>
      <c r="AC941">
        <v>22</v>
      </c>
      <c r="AD941">
        <v>14</v>
      </c>
      <c r="AE941">
        <v>0</v>
      </c>
      <c r="AF941">
        <v>0</v>
      </c>
      <c r="AG941">
        <v>0</v>
      </c>
      <c r="AH941" t="s">
        <v>132</v>
      </c>
      <c r="AI941" s="1">
        <v>44208.694467592592</v>
      </c>
      <c r="AJ941">
        <v>78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14</v>
      </c>
      <c r="AQ941">
        <v>0</v>
      </c>
      <c r="AR941">
        <v>0</v>
      </c>
      <c r="AS941">
        <v>0</v>
      </c>
      <c r="AT941" t="s">
        <v>90</v>
      </c>
      <c r="AU941" s="1">
        <v>44209.374409722222</v>
      </c>
      <c r="AV941">
        <v>55</v>
      </c>
      <c r="AW941">
        <v>1</v>
      </c>
      <c r="AX941">
        <v>0</v>
      </c>
      <c r="AY941">
        <v>1</v>
      </c>
      <c r="AZ941">
        <v>0</v>
      </c>
      <c r="BA941">
        <v>1</v>
      </c>
      <c r="BB941">
        <v>13</v>
      </c>
      <c r="BC941">
        <v>0</v>
      </c>
      <c r="BD941">
        <v>0</v>
      </c>
      <c r="BE941">
        <v>0</v>
      </c>
    </row>
    <row r="942" spans="1:57" x14ac:dyDescent="0.45">
      <c r="A942" t="s">
        <v>2453</v>
      </c>
      <c r="B942" t="s">
        <v>79</v>
      </c>
      <c r="C942" t="s">
        <v>2436</v>
      </c>
      <c r="D942" t="s">
        <v>81</v>
      </c>
      <c r="E942" s="2" t="str">
        <f>HYPERLINK("capsilon://?command=openfolder&amp;siteaddress=FAM.docvelocity-na8.net&amp;folderid=FX71593F4B-A87C-060F-57F2-226008F2870F","FX21015062")</f>
        <v>FX21015062</v>
      </c>
      <c r="F942" t="s">
        <v>19</v>
      </c>
      <c r="G942" t="s">
        <v>19</v>
      </c>
      <c r="H942" t="s">
        <v>82</v>
      </c>
      <c r="I942" t="s">
        <v>2454</v>
      </c>
      <c r="J942">
        <v>26</v>
      </c>
      <c r="K942" t="s">
        <v>84</v>
      </c>
      <c r="L942" t="s">
        <v>85</v>
      </c>
      <c r="M942" t="s">
        <v>86</v>
      </c>
      <c r="N942">
        <v>3</v>
      </c>
      <c r="O942" s="1">
        <v>44208.686620370368</v>
      </c>
      <c r="P942" s="1">
        <v>44209.374467592592</v>
      </c>
      <c r="Q942">
        <v>59036</v>
      </c>
      <c r="R942">
        <v>394</v>
      </c>
      <c r="S942" t="b">
        <v>0</v>
      </c>
      <c r="T942" t="s">
        <v>87</v>
      </c>
      <c r="U942" t="b">
        <v>0</v>
      </c>
      <c r="V942" t="s">
        <v>259</v>
      </c>
      <c r="W942" s="1">
        <v>44208.690868055557</v>
      </c>
      <c r="X942">
        <v>332</v>
      </c>
      <c r="Y942">
        <v>21</v>
      </c>
      <c r="Z942">
        <v>0</v>
      </c>
      <c r="AA942">
        <v>21</v>
      </c>
      <c r="AB942">
        <v>0</v>
      </c>
      <c r="AC942">
        <v>14</v>
      </c>
      <c r="AD942">
        <v>5</v>
      </c>
      <c r="AE942">
        <v>0</v>
      </c>
      <c r="AF942">
        <v>0</v>
      </c>
      <c r="AG942">
        <v>0</v>
      </c>
      <c r="AH942" t="s">
        <v>132</v>
      </c>
      <c r="AI942" s="1">
        <v>44208.695150462961</v>
      </c>
      <c r="AJ942">
        <v>58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5</v>
      </c>
      <c r="AQ942">
        <v>0</v>
      </c>
      <c r="AR942">
        <v>0</v>
      </c>
      <c r="AS942">
        <v>0</v>
      </c>
      <c r="AT942" t="s">
        <v>90</v>
      </c>
      <c r="AU942" s="1">
        <v>44209.374467592592</v>
      </c>
      <c r="AV942">
        <v>4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5</v>
      </c>
      <c r="BC942">
        <v>0</v>
      </c>
      <c r="BD942">
        <v>0</v>
      </c>
      <c r="BE942">
        <v>0</v>
      </c>
    </row>
    <row r="943" spans="1:57" hidden="1" x14ac:dyDescent="0.45">
      <c r="A943" t="s">
        <v>2455</v>
      </c>
      <c r="B943" t="s">
        <v>79</v>
      </c>
      <c r="C943" t="s">
        <v>2456</v>
      </c>
      <c r="D943" t="s">
        <v>81</v>
      </c>
      <c r="E943" s="2" t="str">
        <f>HYPERLINK("capsilon://?command=openfolder&amp;siteaddress=FAM.docvelocity-na8.net&amp;folderid=FXCA4E2C03-690C-3EB4-9714-5811C50B955E","FX201114557")</f>
        <v>FX201114557</v>
      </c>
      <c r="F943" t="s">
        <v>19</v>
      </c>
      <c r="G943" t="s">
        <v>19</v>
      </c>
      <c r="H943" t="s">
        <v>82</v>
      </c>
      <c r="I943" t="s">
        <v>2457</v>
      </c>
      <c r="J943">
        <v>596</v>
      </c>
      <c r="K943" t="s">
        <v>84</v>
      </c>
      <c r="L943" t="s">
        <v>85</v>
      </c>
      <c r="M943" t="s">
        <v>81</v>
      </c>
      <c r="N943">
        <v>2</v>
      </c>
      <c r="O943" s="1">
        <v>44208.688240740739</v>
      </c>
      <c r="P943" s="1">
        <v>44208.694247685184</v>
      </c>
      <c r="Q943">
        <v>430</v>
      </c>
      <c r="R943">
        <v>89</v>
      </c>
      <c r="S943" t="b">
        <v>0</v>
      </c>
      <c r="T943" t="s">
        <v>481</v>
      </c>
      <c r="U943" t="b">
        <v>0</v>
      </c>
      <c r="V943" t="s">
        <v>242</v>
      </c>
      <c r="W943" s="1">
        <v>44208.691527777781</v>
      </c>
      <c r="X943">
        <v>81</v>
      </c>
      <c r="Y943">
        <v>0</v>
      </c>
      <c r="Z943">
        <v>0</v>
      </c>
      <c r="AA943">
        <v>0</v>
      </c>
      <c r="AB943">
        <v>110</v>
      </c>
      <c r="AC943">
        <v>0</v>
      </c>
      <c r="AD943">
        <v>596</v>
      </c>
      <c r="AE943">
        <v>0</v>
      </c>
      <c r="AF943">
        <v>0</v>
      </c>
      <c r="AG943">
        <v>0</v>
      </c>
      <c r="AH943" t="s">
        <v>481</v>
      </c>
      <c r="AI943" s="1">
        <v>44208.694247685184</v>
      </c>
      <c r="AJ943">
        <v>8</v>
      </c>
      <c r="AK943">
        <v>0</v>
      </c>
      <c r="AL943">
        <v>0</v>
      </c>
      <c r="AM943">
        <v>0</v>
      </c>
      <c r="AN943">
        <v>110</v>
      </c>
      <c r="AO943">
        <v>0</v>
      </c>
      <c r="AP943">
        <v>596</v>
      </c>
      <c r="AQ943">
        <v>0</v>
      </c>
      <c r="AR943">
        <v>0</v>
      </c>
      <c r="AS943">
        <v>0</v>
      </c>
      <c r="AT943" t="s">
        <v>87</v>
      </c>
      <c r="AU943" t="s">
        <v>87</v>
      </c>
      <c r="AV943" t="s">
        <v>87</v>
      </c>
      <c r="AW943" t="s">
        <v>87</v>
      </c>
      <c r="AX943" t="s">
        <v>87</v>
      </c>
      <c r="AY943" t="s">
        <v>87</v>
      </c>
      <c r="AZ943" t="s">
        <v>87</v>
      </c>
      <c r="BA943" t="s">
        <v>87</v>
      </c>
      <c r="BB943" t="s">
        <v>87</v>
      </c>
      <c r="BC943" t="s">
        <v>87</v>
      </c>
      <c r="BD943" t="s">
        <v>87</v>
      </c>
      <c r="BE943" t="s">
        <v>87</v>
      </c>
    </row>
    <row r="944" spans="1:57" x14ac:dyDescent="0.45">
      <c r="A944" t="s">
        <v>2458</v>
      </c>
      <c r="B944" t="s">
        <v>79</v>
      </c>
      <c r="C944" t="s">
        <v>2459</v>
      </c>
      <c r="D944" t="s">
        <v>81</v>
      </c>
      <c r="E944" s="2" t="str">
        <f>HYPERLINK("capsilon://?command=openfolder&amp;siteaddress=FAM.docvelocity-na8.net&amp;folderid=FX35035F68-B4B7-8214-73A9-9C1B03D7EAF9","FX21011565")</f>
        <v>FX21011565</v>
      </c>
      <c r="F944" t="s">
        <v>19</v>
      </c>
      <c r="G944" t="s">
        <v>19</v>
      </c>
      <c r="H944" t="s">
        <v>82</v>
      </c>
      <c r="I944" t="s">
        <v>2460</v>
      </c>
      <c r="J944">
        <v>292</v>
      </c>
      <c r="K944" t="s">
        <v>84</v>
      </c>
      <c r="L944" t="s">
        <v>85</v>
      </c>
      <c r="M944" t="s">
        <v>86</v>
      </c>
      <c r="N944">
        <v>3</v>
      </c>
      <c r="O944" s="1">
        <v>44208.688726851855</v>
      </c>
      <c r="P944" s="1">
        <v>44209.375497685185</v>
      </c>
      <c r="Q944">
        <v>57971</v>
      </c>
      <c r="R944">
        <v>1366</v>
      </c>
      <c r="S944" t="b">
        <v>0</v>
      </c>
      <c r="T944" t="s">
        <v>87</v>
      </c>
      <c r="U944" t="b">
        <v>0</v>
      </c>
      <c r="V944" t="s">
        <v>259</v>
      </c>
      <c r="W944" s="1">
        <v>44208.703182870369</v>
      </c>
      <c r="X944">
        <v>1063</v>
      </c>
      <c r="Y944">
        <v>189</v>
      </c>
      <c r="Z944">
        <v>0</v>
      </c>
      <c r="AA944">
        <v>189</v>
      </c>
      <c r="AB944">
        <v>37</v>
      </c>
      <c r="AC944">
        <v>48</v>
      </c>
      <c r="AD944">
        <v>103</v>
      </c>
      <c r="AE944">
        <v>0</v>
      </c>
      <c r="AF944">
        <v>0</v>
      </c>
      <c r="AG944">
        <v>0</v>
      </c>
      <c r="AH944" t="s">
        <v>132</v>
      </c>
      <c r="AI944" s="1">
        <v>44208.708738425928</v>
      </c>
      <c r="AJ944">
        <v>215</v>
      </c>
      <c r="AK944">
        <v>0</v>
      </c>
      <c r="AL944">
        <v>0</v>
      </c>
      <c r="AM944">
        <v>0</v>
      </c>
      <c r="AN944">
        <v>37</v>
      </c>
      <c r="AO944">
        <v>0</v>
      </c>
      <c r="AP944">
        <v>103</v>
      </c>
      <c r="AQ944">
        <v>0</v>
      </c>
      <c r="AR944">
        <v>0</v>
      </c>
      <c r="AS944">
        <v>0</v>
      </c>
      <c r="AT944" t="s">
        <v>90</v>
      </c>
      <c r="AU944" s="1">
        <v>44209.375497685185</v>
      </c>
      <c r="AV944">
        <v>88</v>
      </c>
      <c r="AW944">
        <v>0</v>
      </c>
      <c r="AX944">
        <v>0</v>
      </c>
      <c r="AY944">
        <v>0</v>
      </c>
      <c r="AZ944">
        <v>37</v>
      </c>
      <c r="BA944">
        <v>0</v>
      </c>
      <c r="BB944">
        <v>103</v>
      </c>
      <c r="BC944">
        <v>0</v>
      </c>
      <c r="BD944">
        <v>0</v>
      </c>
      <c r="BE944">
        <v>0</v>
      </c>
    </row>
    <row r="945" spans="1:57" x14ac:dyDescent="0.45">
      <c r="A945" t="s">
        <v>2461</v>
      </c>
      <c r="B945" t="s">
        <v>79</v>
      </c>
      <c r="C945" t="s">
        <v>2323</v>
      </c>
      <c r="D945" t="s">
        <v>81</v>
      </c>
      <c r="E945" s="2" t="str">
        <f>HYPERLINK("capsilon://?command=openfolder&amp;siteaddress=FAM.docvelocity-na8.net&amp;folderid=FXF0612C63-D805-ED0A-623D-280E379313FF","FX21014999")</f>
        <v>FX21014999</v>
      </c>
      <c r="F945" t="s">
        <v>19</v>
      </c>
      <c r="G945" t="s">
        <v>19</v>
      </c>
      <c r="H945" t="s">
        <v>82</v>
      </c>
      <c r="I945" t="s">
        <v>2462</v>
      </c>
      <c r="J945">
        <v>66</v>
      </c>
      <c r="K945" t="s">
        <v>84</v>
      </c>
      <c r="L945" t="s">
        <v>85</v>
      </c>
      <c r="M945" t="s">
        <v>86</v>
      </c>
      <c r="N945">
        <v>3</v>
      </c>
      <c r="O945" s="1">
        <v>44208.689467592594</v>
      </c>
      <c r="P945" s="1">
        <v>44209.377685185187</v>
      </c>
      <c r="Q945">
        <v>58946</v>
      </c>
      <c r="R945">
        <v>516</v>
      </c>
      <c r="S945" t="b">
        <v>0</v>
      </c>
      <c r="T945" t="s">
        <v>87</v>
      </c>
      <c r="U945" t="b">
        <v>0</v>
      </c>
      <c r="V945" t="s">
        <v>242</v>
      </c>
      <c r="W945" s="1">
        <v>44208.69390046296</v>
      </c>
      <c r="X945">
        <v>204</v>
      </c>
      <c r="Y945">
        <v>52</v>
      </c>
      <c r="Z945">
        <v>0</v>
      </c>
      <c r="AA945">
        <v>52</v>
      </c>
      <c r="AB945">
        <v>0</v>
      </c>
      <c r="AC945">
        <v>21</v>
      </c>
      <c r="AD945">
        <v>14</v>
      </c>
      <c r="AE945">
        <v>0</v>
      </c>
      <c r="AF945">
        <v>0</v>
      </c>
      <c r="AG945">
        <v>0</v>
      </c>
      <c r="AH945" t="s">
        <v>128</v>
      </c>
      <c r="AI945" s="1">
        <v>44208.695960648147</v>
      </c>
      <c r="AJ945">
        <v>124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14</v>
      </c>
      <c r="AQ945">
        <v>0</v>
      </c>
      <c r="AR945">
        <v>0</v>
      </c>
      <c r="AS945">
        <v>0</v>
      </c>
      <c r="AT945" t="s">
        <v>90</v>
      </c>
      <c r="AU945" s="1">
        <v>44209.377685185187</v>
      </c>
      <c r="AV945">
        <v>188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14</v>
      </c>
      <c r="BC945">
        <v>0</v>
      </c>
      <c r="BD945">
        <v>0</v>
      </c>
      <c r="BE945">
        <v>0</v>
      </c>
    </row>
    <row r="946" spans="1:57" x14ac:dyDescent="0.45">
      <c r="A946" t="s">
        <v>2463</v>
      </c>
      <c r="B946" t="s">
        <v>79</v>
      </c>
      <c r="C946" t="s">
        <v>2334</v>
      </c>
      <c r="D946" t="s">
        <v>81</v>
      </c>
      <c r="E946" s="2" t="str">
        <f>HYPERLINK("capsilon://?command=openfolder&amp;siteaddress=FAM.docvelocity-na8.net&amp;folderid=FX3BD19923-9AEB-C908-59AC-F06DD87F5E46","FX21015575")</f>
        <v>FX21015575</v>
      </c>
      <c r="F946" t="s">
        <v>19</v>
      </c>
      <c r="G946" t="s">
        <v>19</v>
      </c>
      <c r="H946" t="s">
        <v>82</v>
      </c>
      <c r="I946" t="s">
        <v>2464</v>
      </c>
      <c r="J946">
        <v>66</v>
      </c>
      <c r="K946" t="s">
        <v>84</v>
      </c>
      <c r="L946" t="s">
        <v>85</v>
      </c>
      <c r="M946" t="s">
        <v>86</v>
      </c>
      <c r="N946">
        <v>3</v>
      </c>
      <c r="O946" s="1">
        <v>44208.692743055559</v>
      </c>
      <c r="P946" s="1">
        <v>44209.378113425926</v>
      </c>
      <c r="Q946">
        <v>58804</v>
      </c>
      <c r="R946">
        <v>412</v>
      </c>
      <c r="S946" t="b">
        <v>0</v>
      </c>
      <c r="T946" t="s">
        <v>87</v>
      </c>
      <c r="U946" t="b">
        <v>0</v>
      </c>
      <c r="V946" t="s">
        <v>255</v>
      </c>
      <c r="W946" s="1">
        <v>44208.698530092595</v>
      </c>
      <c r="X946">
        <v>302</v>
      </c>
      <c r="Y946">
        <v>52</v>
      </c>
      <c r="Z946">
        <v>0</v>
      </c>
      <c r="AA946">
        <v>52</v>
      </c>
      <c r="AB946">
        <v>0</v>
      </c>
      <c r="AC946">
        <v>31</v>
      </c>
      <c r="AD946">
        <v>14</v>
      </c>
      <c r="AE946">
        <v>0</v>
      </c>
      <c r="AF946">
        <v>0</v>
      </c>
      <c r="AG946">
        <v>0</v>
      </c>
      <c r="AH946" t="s">
        <v>132</v>
      </c>
      <c r="AI946" s="1">
        <v>44208.70103009259</v>
      </c>
      <c r="AJ946">
        <v>74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14</v>
      </c>
      <c r="AQ946">
        <v>0</v>
      </c>
      <c r="AR946">
        <v>0</v>
      </c>
      <c r="AS946">
        <v>0</v>
      </c>
      <c r="AT946" t="s">
        <v>90</v>
      </c>
      <c r="AU946" s="1">
        <v>44209.378113425926</v>
      </c>
      <c r="AV946">
        <v>36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14</v>
      </c>
      <c r="BC946">
        <v>0</v>
      </c>
      <c r="BD946">
        <v>0</v>
      </c>
      <c r="BE946">
        <v>0</v>
      </c>
    </row>
    <row r="947" spans="1:57" x14ac:dyDescent="0.45">
      <c r="A947" t="s">
        <v>2465</v>
      </c>
      <c r="B947" t="s">
        <v>79</v>
      </c>
      <c r="C947" t="s">
        <v>1948</v>
      </c>
      <c r="D947" t="s">
        <v>81</v>
      </c>
      <c r="E947" s="2" t="str">
        <f>HYPERLINK("capsilon://?command=openfolder&amp;siteaddress=FAM.docvelocity-na8.net&amp;folderid=FXF02C7A7F-4FA2-98B4-EF3A-809CE385FD68","FX21012980")</f>
        <v>FX21012980</v>
      </c>
      <c r="F947" t="s">
        <v>19</v>
      </c>
      <c r="G947" t="s">
        <v>19</v>
      </c>
      <c r="H947" t="s">
        <v>82</v>
      </c>
      <c r="I947" t="s">
        <v>2466</v>
      </c>
      <c r="J947">
        <v>66</v>
      </c>
      <c r="K947" t="s">
        <v>84</v>
      </c>
      <c r="L947" t="s">
        <v>85</v>
      </c>
      <c r="M947" t="s">
        <v>86</v>
      </c>
      <c r="N947">
        <v>3</v>
      </c>
      <c r="O947" s="1">
        <v>44208.693483796298</v>
      </c>
      <c r="P947" s="1">
        <v>44209.378437500003</v>
      </c>
      <c r="Q947">
        <v>58260</v>
      </c>
      <c r="R947">
        <v>920</v>
      </c>
      <c r="S947" t="b">
        <v>0</v>
      </c>
      <c r="T947" t="s">
        <v>87</v>
      </c>
      <c r="U947" t="b">
        <v>0</v>
      </c>
      <c r="V947" t="s">
        <v>160</v>
      </c>
      <c r="W947" s="1">
        <v>44208.705000000002</v>
      </c>
      <c r="X947">
        <v>718</v>
      </c>
      <c r="Y947">
        <v>52</v>
      </c>
      <c r="Z947">
        <v>0</v>
      </c>
      <c r="AA947">
        <v>52</v>
      </c>
      <c r="AB947">
        <v>0</v>
      </c>
      <c r="AC947">
        <v>25</v>
      </c>
      <c r="AD947">
        <v>14</v>
      </c>
      <c r="AE947">
        <v>0</v>
      </c>
      <c r="AF947">
        <v>0</v>
      </c>
      <c r="AG947">
        <v>0</v>
      </c>
      <c r="AH947" t="s">
        <v>128</v>
      </c>
      <c r="AI947" s="1">
        <v>44208.711388888885</v>
      </c>
      <c r="AJ947">
        <v>175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14</v>
      </c>
      <c r="AQ947">
        <v>0</v>
      </c>
      <c r="AR947">
        <v>0</v>
      </c>
      <c r="AS947">
        <v>0</v>
      </c>
      <c r="AT947" t="s">
        <v>90</v>
      </c>
      <c r="AU947" s="1">
        <v>44209.378437500003</v>
      </c>
      <c r="AV947">
        <v>27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14</v>
      </c>
      <c r="BC947">
        <v>0</v>
      </c>
      <c r="BD947">
        <v>0</v>
      </c>
      <c r="BE947">
        <v>0</v>
      </c>
    </row>
    <row r="948" spans="1:57" x14ac:dyDescent="0.45">
      <c r="A948" t="s">
        <v>2467</v>
      </c>
      <c r="B948" t="s">
        <v>79</v>
      </c>
      <c r="C948" t="s">
        <v>2240</v>
      </c>
      <c r="D948" t="s">
        <v>81</v>
      </c>
      <c r="E948" s="2" t="str">
        <f>HYPERLINK("capsilon://?command=openfolder&amp;siteaddress=FAM.docvelocity-na8.net&amp;folderid=FX7AAD4FCD-18B9-8DFE-65C9-4290AFDC0DCF","FX21015545")</f>
        <v>FX21015545</v>
      </c>
      <c r="F948" t="s">
        <v>19</v>
      </c>
      <c r="G948" t="s">
        <v>19</v>
      </c>
      <c r="H948" t="s">
        <v>82</v>
      </c>
      <c r="I948" t="s">
        <v>2468</v>
      </c>
      <c r="J948">
        <v>66</v>
      </c>
      <c r="K948" t="s">
        <v>84</v>
      </c>
      <c r="L948" t="s">
        <v>85</v>
      </c>
      <c r="M948" t="s">
        <v>86</v>
      </c>
      <c r="N948">
        <v>3</v>
      </c>
      <c r="O948" s="1">
        <v>44208.694861111115</v>
      </c>
      <c r="P948" s="1">
        <v>44209.378483796296</v>
      </c>
      <c r="Q948">
        <v>58911</v>
      </c>
      <c r="R948">
        <v>154</v>
      </c>
      <c r="S948" t="b">
        <v>0</v>
      </c>
      <c r="T948" t="s">
        <v>87</v>
      </c>
      <c r="U948" t="b">
        <v>0</v>
      </c>
      <c r="V948" t="s">
        <v>255</v>
      </c>
      <c r="W948" s="1">
        <v>44208.700023148151</v>
      </c>
      <c r="X948">
        <v>128</v>
      </c>
      <c r="Y948">
        <v>13</v>
      </c>
      <c r="Z948">
        <v>0</v>
      </c>
      <c r="AA948">
        <v>13</v>
      </c>
      <c r="AB948">
        <v>52</v>
      </c>
      <c r="AC948">
        <v>13</v>
      </c>
      <c r="AD948">
        <v>53</v>
      </c>
      <c r="AE948">
        <v>0</v>
      </c>
      <c r="AF948">
        <v>0</v>
      </c>
      <c r="AG948">
        <v>0</v>
      </c>
      <c r="AH948" t="s">
        <v>132</v>
      </c>
      <c r="AI948" s="1">
        <v>44208.701307870368</v>
      </c>
      <c r="AJ948">
        <v>23</v>
      </c>
      <c r="AK948">
        <v>0</v>
      </c>
      <c r="AL948">
        <v>0</v>
      </c>
      <c r="AM948">
        <v>0</v>
      </c>
      <c r="AN948">
        <v>52</v>
      </c>
      <c r="AO948">
        <v>0</v>
      </c>
      <c r="AP948">
        <v>53</v>
      </c>
      <c r="AQ948">
        <v>0</v>
      </c>
      <c r="AR948">
        <v>0</v>
      </c>
      <c r="AS948">
        <v>0</v>
      </c>
      <c r="AT948" t="s">
        <v>90</v>
      </c>
      <c r="AU948" s="1">
        <v>44209.378483796296</v>
      </c>
      <c r="AV948">
        <v>3</v>
      </c>
      <c r="AW948">
        <v>0</v>
      </c>
      <c r="AX948">
        <v>0</v>
      </c>
      <c r="AY948">
        <v>0</v>
      </c>
      <c r="AZ948">
        <v>52</v>
      </c>
      <c r="BA948">
        <v>0</v>
      </c>
      <c r="BB948">
        <v>53</v>
      </c>
      <c r="BC948">
        <v>0</v>
      </c>
      <c r="BD948">
        <v>0</v>
      </c>
      <c r="BE948">
        <v>0</v>
      </c>
    </row>
    <row r="949" spans="1:57" x14ac:dyDescent="0.45">
      <c r="A949" t="s">
        <v>2469</v>
      </c>
      <c r="B949" t="s">
        <v>79</v>
      </c>
      <c r="C949" t="s">
        <v>1887</v>
      </c>
      <c r="D949" t="s">
        <v>81</v>
      </c>
      <c r="E949" s="2" t="str">
        <f>HYPERLINK("capsilon://?command=openfolder&amp;siteaddress=FAM.docvelocity-na8.net&amp;folderid=FX021EDB7D-623E-04B6-33FB-4D006857F15B","FX21013182")</f>
        <v>FX21013182</v>
      </c>
      <c r="F949" t="s">
        <v>19</v>
      </c>
      <c r="G949" t="s">
        <v>19</v>
      </c>
      <c r="H949" t="s">
        <v>82</v>
      </c>
      <c r="I949" t="s">
        <v>2470</v>
      </c>
      <c r="J949">
        <v>66</v>
      </c>
      <c r="K949" t="s">
        <v>84</v>
      </c>
      <c r="L949" t="s">
        <v>85</v>
      </c>
      <c r="M949" t="s">
        <v>86</v>
      </c>
      <c r="N949">
        <v>3</v>
      </c>
      <c r="O949" s="1">
        <v>44208.695601851854</v>
      </c>
      <c r="P949" s="1">
        <v>44209.378807870373</v>
      </c>
      <c r="Q949">
        <v>58176</v>
      </c>
      <c r="R949">
        <v>853</v>
      </c>
      <c r="S949" t="b">
        <v>0</v>
      </c>
      <c r="T949" t="s">
        <v>87</v>
      </c>
      <c r="U949" t="b">
        <v>0</v>
      </c>
      <c r="V949" t="s">
        <v>343</v>
      </c>
      <c r="W949" s="1">
        <v>44208.70752314815</v>
      </c>
      <c r="X949">
        <v>692</v>
      </c>
      <c r="Y949">
        <v>52</v>
      </c>
      <c r="Z949">
        <v>0</v>
      </c>
      <c r="AA949">
        <v>52</v>
      </c>
      <c r="AB949">
        <v>0</v>
      </c>
      <c r="AC949">
        <v>37</v>
      </c>
      <c r="AD949">
        <v>14</v>
      </c>
      <c r="AE949">
        <v>0</v>
      </c>
      <c r="AF949">
        <v>0</v>
      </c>
      <c r="AG949">
        <v>0</v>
      </c>
      <c r="AH949" t="s">
        <v>132</v>
      </c>
      <c r="AI949" s="1">
        <v>44208.711006944446</v>
      </c>
      <c r="AJ949">
        <v>134</v>
      </c>
      <c r="AK949">
        <v>2</v>
      </c>
      <c r="AL949">
        <v>0</v>
      </c>
      <c r="AM949">
        <v>2</v>
      </c>
      <c r="AN949">
        <v>0</v>
      </c>
      <c r="AO949">
        <v>1</v>
      </c>
      <c r="AP949">
        <v>12</v>
      </c>
      <c r="AQ949">
        <v>0</v>
      </c>
      <c r="AR949">
        <v>0</v>
      </c>
      <c r="AS949">
        <v>0</v>
      </c>
      <c r="AT949" t="s">
        <v>90</v>
      </c>
      <c r="AU949" s="1">
        <v>44209.378807870373</v>
      </c>
      <c r="AV949">
        <v>27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12</v>
      </c>
      <c r="BC949">
        <v>0</v>
      </c>
      <c r="BD949">
        <v>0</v>
      </c>
      <c r="BE949">
        <v>0</v>
      </c>
    </row>
    <row r="950" spans="1:57" hidden="1" x14ac:dyDescent="0.45">
      <c r="A950" t="s">
        <v>2471</v>
      </c>
      <c r="B950" t="s">
        <v>79</v>
      </c>
      <c r="C950" t="s">
        <v>2472</v>
      </c>
      <c r="D950" t="s">
        <v>81</v>
      </c>
      <c r="E950" s="2" t="str">
        <f>HYPERLINK("capsilon://?command=openfolder&amp;siteaddress=FAM.docvelocity-na8.net&amp;folderid=FXCC5CEFAA-7297-6936-DCF4-A77F4E3DFB31","FX201110096")</f>
        <v>FX201110096</v>
      </c>
      <c r="F950" t="s">
        <v>19</v>
      </c>
      <c r="G950" t="s">
        <v>19</v>
      </c>
      <c r="H950" t="s">
        <v>82</v>
      </c>
      <c r="I950" t="s">
        <v>2473</v>
      </c>
      <c r="J950">
        <v>66</v>
      </c>
      <c r="K950" t="s">
        <v>84</v>
      </c>
      <c r="L950" t="s">
        <v>85</v>
      </c>
      <c r="M950" t="s">
        <v>86</v>
      </c>
      <c r="N950">
        <v>1</v>
      </c>
      <c r="O950" s="1">
        <v>44208.699340277781</v>
      </c>
      <c r="P950" s="1">
        <v>44208.702743055554</v>
      </c>
      <c r="Q950">
        <v>32</v>
      </c>
      <c r="R950">
        <v>262</v>
      </c>
      <c r="S950" t="b">
        <v>0</v>
      </c>
      <c r="T950" t="s">
        <v>87</v>
      </c>
      <c r="U950" t="b">
        <v>0</v>
      </c>
      <c r="V950" t="s">
        <v>171</v>
      </c>
      <c r="W950" s="1">
        <v>44208.702743055554</v>
      </c>
      <c r="X950">
        <v>262</v>
      </c>
      <c r="Y950">
        <v>12</v>
      </c>
      <c r="Z950">
        <v>0</v>
      </c>
      <c r="AA950">
        <v>12</v>
      </c>
      <c r="AB950">
        <v>0</v>
      </c>
      <c r="AC950">
        <v>8</v>
      </c>
      <c r="AD950">
        <v>54</v>
      </c>
      <c r="AE950">
        <v>52</v>
      </c>
      <c r="AF950">
        <v>0</v>
      </c>
      <c r="AG950">
        <v>1</v>
      </c>
      <c r="AH950" t="s">
        <v>87</v>
      </c>
      <c r="AI950" t="s">
        <v>87</v>
      </c>
      <c r="AJ950" t="s">
        <v>87</v>
      </c>
      <c r="AK950" t="s">
        <v>87</v>
      </c>
      <c r="AL950" t="s">
        <v>87</v>
      </c>
      <c r="AM950" t="s">
        <v>87</v>
      </c>
      <c r="AN950" t="s">
        <v>87</v>
      </c>
      <c r="AO950" t="s">
        <v>87</v>
      </c>
      <c r="AP950" t="s">
        <v>87</v>
      </c>
      <c r="AQ950" t="s">
        <v>87</v>
      </c>
      <c r="AR950" t="s">
        <v>87</v>
      </c>
      <c r="AS950" t="s">
        <v>87</v>
      </c>
      <c r="AT950" t="s">
        <v>87</v>
      </c>
      <c r="AU950" t="s">
        <v>87</v>
      </c>
      <c r="AV950" t="s">
        <v>87</v>
      </c>
      <c r="AW950" t="s">
        <v>87</v>
      </c>
      <c r="AX950" t="s">
        <v>87</v>
      </c>
      <c r="AY950" t="s">
        <v>87</v>
      </c>
      <c r="AZ950" t="s">
        <v>87</v>
      </c>
      <c r="BA950" t="s">
        <v>87</v>
      </c>
      <c r="BB950" t="s">
        <v>87</v>
      </c>
      <c r="BC950" t="s">
        <v>87</v>
      </c>
      <c r="BD950" t="s">
        <v>87</v>
      </c>
      <c r="BE950" t="s">
        <v>87</v>
      </c>
    </row>
    <row r="951" spans="1:57" hidden="1" x14ac:dyDescent="0.45">
      <c r="A951" t="s">
        <v>2474</v>
      </c>
      <c r="B951" t="s">
        <v>79</v>
      </c>
      <c r="C951" t="s">
        <v>2475</v>
      </c>
      <c r="D951" t="s">
        <v>81</v>
      </c>
      <c r="E951" s="2" t="str">
        <f>HYPERLINK("capsilon://?command=openfolder&amp;siteaddress=FAM.docvelocity-na8.net&amp;folderid=FXAB42030D-F570-79BF-610B-5579BFEF2C52","FX21016700")</f>
        <v>FX21016700</v>
      </c>
      <c r="F951" t="s">
        <v>19</v>
      </c>
      <c r="G951" t="s">
        <v>19</v>
      </c>
      <c r="H951" t="s">
        <v>82</v>
      </c>
      <c r="I951" t="s">
        <v>2476</v>
      </c>
      <c r="J951">
        <v>229</v>
      </c>
      <c r="K951" t="s">
        <v>84</v>
      </c>
      <c r="L951" t="s">
        <v>85</v>
      </c>
      <c r="M951" t="s">
        <v>86</v>
      </c>
      <c r="N951">
        <v>1</v>
      </c>
      <c r="O951" s="1">
        <v>44208.699884259258</v>
      </c>
      <c r="P951" s="1">
        <v>44208.702928240738</v>
      </c>
      <c r="Q951">
        <v>13</v>
      </c>
      <c r="R951">
        <v>250</v>
      </c>
      <c r="S951" t="b">
        <v>0</v>
      </c>
      <c r="T951" t="s">
        <v>87</v>
      </c>
      <c r="U951" t="b">
        <v>0</v>
      </c>
      <c r="V951" t="s">
        <v>255</v>
      </c>
      <c r="W951" s="1">
        <v>44208.702928240738</v>
      </c>
      <c r="X951">
        <v>250</v>
      </c>
      <c r="Y951">
        <v>200</v>
      </c>
      <c r="Z951">
        <v>0</v>
      </c>
      <c r="AA951">
        <v>200</v>
      </c>
      <c r="AB951">
        <v>0</v>
      </c>
      <c r="AC951">
        <v>1</v>
      </c>
      <c r="AD951">
        <v>29</v>
      </c>
      <c r="AE951">
        <v>21</v>
      </c>
      <c r="AF951">
        <v>0</v>
      </c>
      <c r="AG951">
        <v>2</v>
      </c>
      <c r="AH951" t="s">
        <v>87</v>
      </c>
      <c r="AI951" t="s">
        <v>87</v>
      </c>
      <c r="AJ951" t="s">
        <v>87</v>
      </c>
      <c r="AK951" t="s">
        <v>87</v>
      </c>
      <c r="AL951" t="s">
        <v>87</v>
      </c>
      <c r="AM951" t="s">
        <v>87</v>
      </c>
      <c r="AN951" t="s">
        <v>87</v>
      </c>
      <c r="AO951" t="s">
        <v>87</v>
      </c>
      <c r="AP951" t="s">
        <v>87</v>
      </c>
      <c r="AQ951" t="s">
        <v>87</v>
      </c>
      <c r="AR951" t="s">
        <v>87</v>
      </c>
      <c r="AS951" t="s">
        <v>87</v>
      </c>
      <c r="AT951" t="s">
        <v>87</v>
      </c>
      <c r="AU951" t="s">
        <v>87</v>
      </c>
      <c r="AV951" t="s">
        <v>87</v>
      </c>
      <c r="AW951" t="s">
        <v>87</v>
      </c>
      <c r="AX951" t="s">
        <v>87</v>
      </c>
      <c r="AY951" t="s">
        <v>87</v>
      </c>
      <c r="AZ951" t="s">
        <v>87</v>
      </c>
      <c r="BA951" t="s">
        <v>87</v>
      </c>
      <c r="BB951" t="s">
        <v>87</v>
      </c>
      <c r="BC951" t="s">
        <v>87</v>
      </c>
      <c r="BD951" t="s">
        <v>87</v>
      </c>
      <c r="BE951" t="s">
        <v>87</v>
      </c>
    </row>
    <row r="952" spans="1:57" hidden="1" x14ac:dyDescent="0.45">
      <c r="A952" t="s">
        <v>2477</v>
      </c>
      <c r="B952" t="s">
        <v>79</v>
      </c>
      <c r="C952" t="s">
        <v>2472</v>
      </c>
      <c r="D952" t="s">
        <v>81</v>
      </c>
      <c r="E952" s="2" t="str">
        <f>HYPERLINK("capsilon://?command=openfolder&amp;siteaddress=FAM.docvelocity-na8.net&amp;folderid=FXCC5CEFAA-7297-6936-DCF4-A77F4E3DFB31","FX201110096")</f>
        <v>FX201110096</v>
      </c>
      <c r="F952" t="s">
        <v>19</v>
      </c>
      <c r="G952" t="s">
        <v>19</v>
      </c>
      <c r="H952" t="s">
        <v>82</v>
      </c>
      <c r="I952" t="s">
        <v>2478</v>
      </c>
      <c r="J952">
        <v>66</v>
      </c>
      <c r="K952" t="s">
        <v>84</v>
      </c>
      <c r="L952" t="s">
        <v>85</v>
      </c>
      <c r="M952" t="s">
        <v>86</v>
      </c>
      <c r="N952">
        <v>1</v>
      </c>
      <c r="O952" s="1">
        <v>44208.700173611112</v>
      </c>
      <c r="P952" s="1">
        <v>44208.704340277778</v>
      </c>
      <c r="Q952">
        <v>244</v>
      </c>
      <c r="R952">
        <v>116</v>
      </c>
      <c r="S952" t="b">
        <v>0</v>
      </c>
      <c r="T952" t="s">
        <v>87</v>
      </c>
      <c r="U952" t="b">
        <v>0</v>
      </c>
      <c r="V952" t="s">
        <v>255</v>
      </c>
      <c r="W952" s="1">
        <v>44208.704340277778</v>
      </c>
      <c r="X952">
        <v>92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66</v>
      </c>
      <c r="AE952">
        <v>52</v>
      </c>
      <c r="AF952">
        <v>0</v>
      </c>
      <c r="AG952">
        <v>1</v>
      </c>
      <c r="AH952" t="s">
        <v>87</v>
      </c>
      <c r="AI952" t="s">
        <v>87</v>
      </c>
      <c r="AJ952" t="s">
        <v>87</v>
      </c>
      <c r="AK952" t="s">
        <v>87</v>
      </c>
      <c r="AL952" t="s">
        <v>87</v>
      </c>
      <c r="AM952" t="s">
        <v>87</v>
      </c>
      <c r="AN952" t="s">
        <v>87</v>
      </c>
      <c r="AO952" t="s">
        <v>87</v>
      </c>
      <c r="AP952" t="s">
        <v>87</v>
      </c>
      <c r="AQ952" t="s">
        <v>87</v>
      </c>
      <c r="AR952" t="s">
        <v>87</v>
      </c>
      <c r="AS952" t="s">
        <v>87</v>
      </c>
      <c r="AT952" t="s">
        <v>87</v>
      </c>
      <c r="AU952" t="s">
        <v>87</v>
      </c>
      <c r="AV952" t="s">
        <v>87</v>
      </c>
      <c r="AW952" t="s">
        <v>87</v>
      </c>
      <c r="AX952" t="s">
        <v>87</v>
      </c>
      <c r="AY952" t="s">
        <v>87</v>
      </c>
      <c r="AZ952" t="s">
        <v>87</v>
      </c>
      <c r="BA952" t="s">
        <v>87</v>
      </c>
      <c r="BB952" t="s">
        <v>87</v>
      </c>
      <c r="BC952" t="s">
        <v>87</v>
      </c>
      <c r="BD952" t="s">
        <v>87</v>
      </c>
      <c r="BE952" t="s">
        <v>87</v>
      </c>
    </row>
    <row r="953" spans="1:57" x14ac:dyDescent="0.45">
      <c r="A953" t="s">
        <v>2479</v>
      </c>
      <c r="B953" t="s">
        <v>79</v>
      </c>
      <c r="C953" t="s">
        <v>2225</v>
      </c>
      <c r="D953" t="s">
        <v>81</v>
      </c>
      <c r="E953" s="2" t="str">
        <f>HYPERLINK("capsilon://?command=openfolder&amp;siteaddress=FAM.docvelocity-na8.net&amp;folderid=FX5584591D-10BD-4DE7-F973-0B2624BC2CC1","FX20125867")</f>
        <v>FX20125867</v>
      </c>
      <c r="F953" t="s">
        <v>19</v>
      </c>
      <c r="G953" t="s">
        <v>19</v>
      </c>
      <c r="H953" t="s">
        <v>82</v>
      </c>
      <c r="I953" t="s">
        <v>2480</v>
      </c>
      <c r="J953">
        <v>46</v>
      </c>
      <c r="K953" t="s">
        <v>84</v>
      </c>
      <c r="L953" t="s">
        <v>85</v>
      </c>
      <c r="M953" t="s">
        <v>86</v>
      </c>
      <c r="N953">
        <v>3</v>
      </c>
      <c r="O953" s="1">
        <v>44208.700925925928</v>
      </c>
      <c r="P953" s="1">
        <v>44209.379270833335</v>
      </c>
      <c r="Q953">
        <v>58084</v>
      </c>
      <c r="R953">
        <v>525</v>
      </c>
      <c r="S953" t="b">
        <v>0</v>
      </c>
      <c r="T953" t="s">
        <v>87</v>
      </c>
      <c r="U953" t="b">
        <v>0</v>
      </c>
      <c r="V953" t="s">
        <v>259</v>
      </c>
      <c r="W953" s="1">
        <v>44208.706250000003</v>
      </c>
      <c r="X953">
        <v>264</v>
      </c>
      <c r="Y953">
        <v>39</v>
      </c>
      <c r="Z953">
        <v>0</v>
      </c>
      <c r="AA953">
        <v>39</v>
      </c>
      <c r="AB953">
        <v>0</v>
      </c>
      <c r="AC953">
        <v>10</v>
      </c>
      <c r="AD953">
        <v>7</v>
      </c>
      <c r="AE953">
        <v>0</v>
      </c>
      <c r="AF953">
        <v>0</v>
      </c>
      <c r="AG953">
        <v>0</v>
      </c>
      <c r="AH953" t="s">
        <v>128</v>
      </c>
      <c r="AI953" s="1">
        <v>44208.713969907411</v>
      </c>
      <c r="AJ953">
        <v>222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7</v>
      </c>
      <c r="AQ953">
        <v>0</v>
      </c>
      <c r="AR953">
        <v>0</v>
      </c>
      <c r="AS953">
        <v>0</v>
      </c>
      <c r="AT953" t="s">
        <v>90</v>
      </c>
      <c r="AU953" s="1">
        <v>44209.379270833335</v>
      </c>
      <c r="AV953">
        <v>39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7</v>
      </c>
      <c r="BC953">
        <v>0</v>
      </c>
      <c r="BD953">
        <v>0</v>
      </c>
      <c r="BE953">
        <v>0</v>
      </c>
    </row>
    <row r="954" spans="1:57" x14ac:dyDescent="0.45">
      <c r="A954" t="s">
        <v>2481</v>
      </c>
      <c r="B954" t="s">
        <v>79</v>
      </c>
      <c r="C954" t="s">
        <v>2482</v>
      </c>
      <c r="D954" t="s">
        <v>81</v>
      </c>
      <c r="E954" s="2" t="str">
        <f>HYPERLINK("capsilon://?command=openfolder&amp;siteaddress=FAM.docvelocity-na8.net&amp;folderid=FX40AD6B0A-B656-750C-AAC1-A20D1F182B8C","FX21016431")</f>
        <v>FX21016431</v>
      </c>
      <c r="F954" t="s">
        <v>19</v>
      </c>
      <c r="G954" t="s">
        <v>19</v>
      </c>
      <c r="H954" t="s">
        <v>82</v>
      </c>
      <c r="I954" t="s">
        <v>2483</v>
      </c>
      <c r="J954">
        <v>403</v>
      </c>
      <c r="K954" t="s">
        <v>84</v>
      </c>
      <c r="L954" t="s">
        <v>85</v>
      </c>
      <c r="M954" t="s">
        <v>86</v>
      </c>
      <c r="N954">
        <v>3</v>
      </c>
      <c r="O954" s="1">
        <v>44208.701493055552</v>
      </c>
      <c r="P954" s="1">
        <v>44209.379687499997</v>
      </c>
      <c r="Q954">
        <v>54396</v>
      </c>
      <c r="R954">
        <v>4200</v>
      </c>
      <c r="S954" t="b">
        <v>0</v>
      </c>
      <c r="T954" t="s">
        <v>87</v>
      </c>
      <c r="U954" t="b">
        <v>0</v>
      </c>
      <c r="V954" t="s">
        <v>262</v>
      </c>
      <c r="W954" s="1">
        <v>44208.757094907407</v>
      </c>
      <c r="X954">
        <v>3708</v>
      </c>
      <c r="Y954">
        <v>516</v>
      </c>
      <c r="Z954">
        <v>0</v>
      </c>
      <c r="AA954">
        <v>516</v>
      </c>
      <c r="AB954">
        <v>0</v>
      </c>
      <c r="AC954">
        <v>242</v>
      </c>
      <c r="AD954">
        <v>-113</v>
      </c>
      <c r="AE954">
        <v>0</v>
      </c>
      <c r="AF954">
        <v>0</v>
      </c>
      <c r="AG954">
        <v>0</v>
      </c>
      <c r="AH954" t="s">
        <v>132</v>
      </c>
      <c r="AI954" s="1">
        <v>44208.767048611109</v>
      </c>
      <c r="AJ954">
        <v>302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-113</v>
      </c>
      <c r="AQ954">
        <v>0</v>
      </c>
      <c r="AR954">
        <v>0</v>
      </c>
      <c r="AS954">
        <v>0</v>
      </c>
      <c r="AT954" t="s">
        <v>90</v>
      </c>
      <c r="AU954" s="1">
        <v>44209.379687499997</v>
      </c>
      <c r="AV954">
        <v>35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-113</v>
      </c>
      <c r="BC954">
        <v>0</v>
      </c>
      <c r="BD954">
        <v>0</v>
      </c>
      <c r="BE954">
        <v>0</v>
      </c>
    </row>
    <row r="955" spans="1:57" x14ac:dyDescent="0.45">
      <c r="A955" t="s">
        <v>2484</v>
      </c>
      <c r="B955" t="s">
        <v>79</v>
      </c>
      <c r="C955" t="s">
        <v>2430</v>
      </c>
      <c r="D955" t="s">
        <v>81</v>
      </c>
      <c r="E955" s="2" t="str">
        <f>HYPERLINK("capsilon://?command=openfolder&amp;siteaddress=FAM.docvelocity-na8.net&amp;folderid=FXCD6FD811-83D3-8E74-A9D0-5CC068DBE8E9","FX201229388")</f>
        <v>FX201229388</v>
      </c>
      <c r="F955" t="s">
        <v>19</v>
      </c>
      <c r="G955" t="s">
        <v>19</v>
      </c>
      <c r="H955" t="s">
        <v>82</v>
      </c>
      <c r="I955" t="s">
        <v>2431</v>
      </c>
      <c r="J955">
        <v>93</v>
      </c>
      <c r="K955" t="s">
        <v>84</v>
      </c>
      <c r="L955" t="s">
        <v>85</v>
      </c>
      <c r="M955" t="s">
        <v>86</v>
      </c>
      <c r="N955">
        <v>3</v>
      </c>
      <c r="O955" s="1">
        <v>44208.701608796298</v>
      </c>
      <c r="P955" s="1">
        <v>44209.368217592593</v>
      </c>
      <c r="Q955">
        <v>50972</v>
      </c>
      <c r="R955">
        <v>6623</v>
      </c>
      <c r="S955" t="b">
        <v>0</v>
      </c>
      <c r="T955" t="s">
        <v>87</v>
      </c>
      <c r="U955" t="b">
        <v>1</v>
      </c>
      <c r="V955" t="s">
        <v>171</v>
      </c>
      <c r="W955" s="1">
        <v>44208.793749999997</v>
      </c>
      <c r="X955">
        <v>5090</v>
      </c>
      <c r="Y955">
        <v>204</v>
      </c>
      <c r="Z955">
        <v>0</v>
      </c>
      <c r="AA955">
        <v>204</v>
      </c>
      <c r="AB955">
        <v>0</v>
      </c>
      <c r="AC955">
        <v>161</v>
      </c>
      <c r="AD955">
        <v>-111</v>
      </c>
      <c r="AE955">
        <v>0</v>
      </c>
      <c r="AF955">
        <v>0</v>
      </c>
      <c r="AG955">
        <v>0</v>
      </c>
      <c r="AH955" t="s">
        <v>132</v>
      </c>
      <c r="AI955" s="1">
        <v>44208.803263888891</v>
      </c>
      <c r="AJ955">
        <v>641</v>
      </c>
      <c r="AK955">
        <v>8</v>
      </c>
      <c r="AL955">
        <v>0</v>
      </c>
      <c r="AM955">
        <v>8</v>
      </c>
      <c r="AN955">
        <v>0</v>
      </c>
      <c r="AO955">
        <v>7</v>
      </c>
      <c r="AP955">
        <v>-119</v>
      </c>
      <c r="AQ955">
        <v>0</v>
      </c>
      <c r="AR955">
        <v>0</v>
      </c>
      <c r="AS955">
        <v>0</v>
      </c>
      <c r="AT955" t="s">
        <v>90</v>
      </c>
      <c r="AU955" s="1">
        <v>44209.368217592593</v>
      </c>
      <c r="AV955">
        <v>266</v>
      </c>
      <c r="AW955">
        <v>0</v>
      </c>
      <c r="AX955">
        <v>0</v>
      </c>
      <c r="AY955">
        <v>0</v>
      </c>
      <c r="AZ955">
        <v>117</v>
      </c>
      <c r="BA955">
        <v>0</v>
      </c>
      <c r="BB955">
        <v>-119</v>
      </c>
      <c r="BC955">
        <v>0</v>
      </c>
      <c r="BD955">
        <v>0</v>
      </c>
      <c r="BE955">
        <v>0</v>
      </c>
    </row>
    <row r="956" spans="1:57" x14ac:dyDescent="0.45">
      <c r="A956" t="s">
        <v>2485</v>
      </c>
      <c r="B956" t="s">
        <v>79</v>
      </c>
      <c r="C956" t="s">
        <v>2472</v>
      </c>
      <c r="D956" t="s">
        <v>81</v>
      </c>
      <c r="E956" s="2" t="str">
        <f>HYPERLINK("capsilon://?command=openfolder&amp;siteaddress=FAM.docvelocity-na8.net&amp;folderid=FXCC5CEFAA-7297-6936-DCF4-A77F4E3DFB31","FX201110096")</f>
        <v>FX201110096</v>
      </c>
      <c r="F956" t="s">
        <v>19</v>
      </c>
      <c r="G956" t="s">
        <v>19</v>
      </c>
      <c r="H956" t="s">
        <v>82</v>
      </c>
      <c r="I956" t="s">
        <v>2473</v>
      </c>
      <c r="J956">
        <v>38</v>
      </c>
      <c r="K956" t="s">
        <v>84</v>
      </c>
      <c r="L956" t="s">
        <v>85</v>
      </c>
      <c r="M956" t="s">
        <v>86</v>
      </c>
      <c r="N956">
        <v>3</v>
      </c>
      <c r="O956" s="1">
        <v>44208.703287037039</v>
      </c>
      <c r="P956" s="1">
        <v>44209.368298611109</v>
      </c>
      <c r="Q956">
        <v>57124</v>
      </c>
      <c r="R956">
        <v>333</v>
      </c>
      <c r="S956" t="b">
        <v>0</v>
      </c>
      <c r="T956" t="s">
        <v>87</v>
      </c>
      <c r="U956" t="b">
        <v>1</v>
      </c>
      <c r="V956" t="s">
        <v>242</v>
      </c>
      <c r="W956" s="1">
        <v>44208.707280092596</v>
      </c>
      <c r="X956">
        <v>266</v>
      </c>
      <c r="Y956">
        <v>37</v>
      </c>
      <c r="Z956">
        <v>0</v>
      </c>
      <c r="AA956">
        <v>37</v>
      </c>
      <c r="AB956">
        <v>0</v>
      </c>
      <c r="AC956">
        <v>28</v>
      </c>
      <c r="AD956">
        <v>1</v>
      </c>
      <c r="AE956">
        <v>0</v>
      </c>
      <c r="AF956">
        <v>0</v>
      </c>
      <c r="AG956">
        <v>0</v>
      </c>
      <c r="AH956" t="s">
        <v>132</v>
      </c>
      <c r="AI956" s="1">
        <v>44208.709444444445</v>
      </c>
      <c r="AJ956">
        <v>60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 t="s">
        <v>90</v>
      </c>
      <c r="AU956" s="1">
        <v>44209.368298611109</v>
      </c>
      <c r="AV956">
        <v>7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0</v>
      </c>
    </row>
    <row r="957" spans="1:57" x14ac:dyDescent="0.45">
      <c r="A957" t="s">
        <v>2486</v>
      </c>
      <c r="B957" t="s">
        <v>79</v>
      </c>
      <c r="C957" t="s">
        <v>2475</v>
      </c>
      <c r="D957" t="s">
        <v>81</v>
      </c>
      <c r="E957" s="2" t="str">
        <f>HYPERLINK("capsilon://?command=openfolder&amp;siteaddress=FAM.docvelocity-na8.net&amp;folderid=FXAB42030D-F570-79BF-610B-5579BFEF2C52","FX21016700")</f>
        <v>FX21016700</v>
      </c>
      <c r="F957" t="s">
        <v>19</v>
      </c>
      <c r="G957" t="s">
        <v>19</v>
      </c>
      <c r="H957" t="s">
        <v>82</v>
      </c>
      <c r="I957" t="s">
        <v>2476</v>
      </c>
      <c r="J957">
        <v>52</v>
      </c>
      <c r="K957" t="s">
        <v>84</v>
      </c>
      <c r="L957" t="s">
        <v>85</v>
      </c>
      <c r="M957" t="s">
        <v>86</v>
      </c>
      <c r="N957">
        <v>3</v>
      </c>
      <c r="O957" s="1">
        <v>44208.703414351854</v>
      </c>
      <c r="P957" s="1">
        <v>44209.369618055556</v>
      </c>
      <c r="Q957">
        <v>54947</v>
      </c>
      <c r="R957">
        <v>2613</v>
      </c>
      <c r="S957" t="b">
        <v>0</v>
      </c>
      <c r="T957" t="s">
        <v>87</v>
      </c>
      <c r="U957" t="b">
        <v>1</v>
      </c>
      <c r="V957" t="s">
        <v>255</v>
      </c>
      <c r="W957" s="1">
        <v>44208.734351851854</v>
      </c>
      <c r="X957">
        <v>1961</v>
      </c>
      <c r="Y957">
        <v>126</v>
      </c>
      <c r="Z957">
        <v>0</v>
      </c>
      <c r="AA957">
        <v>126</v>
      </c>
      <c r="AB957">
        <v>37</v>
      </c>
      <c r="AC957">
        <v>93</v>
      </c>
      <c r="AD957">
        <v>-74</v>
      </c>
      <c r="AE957">
        <v>0</v>
      </c>
      <c r="AF957">
        <v>0</v>
      </c>
      <c r="AG957">
        <v>0</v>
      </c>
      <c r="AH957" t="s">
        <v>128</v>
      </c>
      <c r="AI957" s="1">
        <v>44208.743009259262</v>
      </c>
      <c r="AJ957">
        <v>538</v>
      </c>
      <c r="AK957">
        <v>0</v>
      </c>
      <c r="AL957">
        <v>0</v>
      </c>
      <c r="AM957">
        <v>0</v>
      </c>
      <c r="AN957">
        <v>37</v>
      </c>
      <c r="AO957">
        <v>4</v>
      </c>
      <c r="AP957">
        <v>-74</v>
      </c>
      <c r="AQ957">
        <v>0</v>
      </c>
      <c r="AR957">
        <v>0</v>
      </c>
      <c r="AS957">
        <v>0</v>
      </c>
      <c r="AT957" t="s">
        <v>90</v>
      </c>
      <c r="AU957" s="1">
        <v>44209.369618055556</v>
      </c>
      <c r="AV957">
        <v>114</v>
      </c>
      <c r="AW957">
        <v>0</v>
      </c>
      <c r="AX957">
        <v>0</v>
      </c>
      <c r="AY957">
        <v>0</v>
      </c>
      <c r="AZ957">
        <v>37</v>
      </c>
      <c r="BA957">
        <v>0</v>
      </c>
      <c r="BB957">
        <v>-74</v>
      </c>
      <c r="BC957">
        <v>0</v>
      </c>
      <c r="BD957">
        <v>0</v>
      </c>
      <c r="BE957">
        <v>0</v>
      </c>
    </row>
    <row r="958" spans="1:57" x14ac:dyDescent="0.45">
      <c r="A958" t="s">
        <v>2487</v>
      </c>
      <c r="B958" t="s">
        <v>79</v>
      </c>
      <c r="C958" t="s">
        <v>2488</v>
      </c>
      <c r="D958" t="s">
        <v>81</v>
      </c>
      <c r="E958" s="2" t="str">
        <f>HYPERLINK("capsilon://?command=openfolder&amp;siteaddress=FAM.docvelocity-na8.net&amp;folderid=FXC5E7FCCC-70AF-AD18-3567-5C1BFA76537D","FX21015548")</f>
        <v>FX21015548</v>
      </c>
      <c r="F958" t="s">
        <v>19</v>
      </c>
      <c r="G958" t="s">
        <v>19</v>
      </c>
      <c r="H958" t="s">
        <v>82</v>
      </c>
      <c r="I958" t="s">
        <v>2489</v>
      </c>
      <c r="J958">
        <v>66</v>
      </c>
      <c r="K958" t="s">
        <v>84</v>
      </c>
      <c r="L958" t="s">
        <v>85</v>
      </c>
      <c r="M958" t="s">
        <v>86</v>
      </c>
      <c r="N958">
        <v>3</v>
      </c>
      <c r="O958" s="1">
        <v>44208.704143518517</v>
      </c>
      <c r="P958" s="1">
        <v>44209.379953703705</v>
      </c>
      <c r="Q958">
        <v>57713</v>
      </c>
      <c r="R958">
        <v>677</v>
      </c>
      <c r="S958" t="b">
        <v>0</v>
      </c>
      <c r="T958" t="s">
        <v>87</v>
      </c>
      <c r="U958" t="b">
        <v>0</v>
      </c>
      <c r="V958" t="s">
        <v>343</v>
      </c>
      <c r="W958" s="1">
        <v>44208.719085648147</v>
      </c>
      <c r="X958">
        <v>451</v>
      </c>
      <c r="Y958">
        <v>52</v>
      </c>
      <c r="Z958">
        <v>0</v>
      </c>
      <c r="AA958">
        <v>52</v>
      </c>
      <c r="AB958">
        <v>0</v>
      </c>
      <c r="AC958">
        <v>30</v>
      </c>
      <c r="AD958">
        <v>14</v>
      </c>
      <c r="AE958">
        <v>0</v>
      </c>
      <c r="AF958">
        <v>0</v>
      </c>
      <c r="AG958">
        <v>0</v>
      </c>
      <c r="AH958" t="s">
        <v>128</v>
      </c>
      <c r="AI958" s="1">
        <v>44208.723692129628</v>
      </c>
      <c r="AJ958">
        <v>204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14</v>
      </c>
      <c r="AQ958">
        <v>0</v>
      </c>
      <c r="AR958">
        <v>0</v>
      </c>
      <c r="AS958">
        <v>0</v>
      </c>
      <c r="AT958" t="s">
        <v>90</v>
      </c>
      <c r="AU958" s="1">
        <v>44209.379953703705</v>
      </c>
      <c r="AV958">
        <v>22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14</v>
      </c>
      <c r="BC958">
        <v>0</v>
      </c>
      <c r="BD958">
        <v>0</v>
      </c>
      <c r="BE958">
        <v>0</v>
      </c>
    </row>
    <row r="959" spans="1:57" x14ac:dyDescent="0.45">
      <c r="A959" t="s">
        <v>2490</v>
      </c>
      <c r="B959" t="s">
        <v>79</v>
      </c>
      <c r="C959" t="s">
        <v>2472</v>
      </c>
      <c r="D959" t="s">
        <v>81</v>
      </c>
      <c r="E959" s="2" t="str">
        <f>HYPERLINK("capsilon://?command=openfolder&amp;siteaddress=FAM.docvelocity-na8.net&amp;folderid=FXCC5CEFAA-7297-6936-DCF4-A77F4E3DFB31","FX201110096")</f>
        <v>FX201110096</v>
      </c>
      <c r="F959" t="s">
        <v>19</v>
      </c>
      <c r="G959" t="s">
        <v>19</v>
      </c>
      <c r="H959" t="s">
        <v>82</v>
      </c>
      <c r="I959" t="s">
        <v>2478</v>
      </c>
      <c r="J959">
        <v>38</v>
      </c>
      <c r="K959" t="s">
        <v>84</v>
      </c>
      <c r="L959" t="s">
        <v>85</v>
      </c>
      <c r="M959" t="s">
        <v>86</v>
      </c>
      <c r="N959">
        <v>3</v>
      </c>
      <c r="O959" s="1">
        <v>44208.705185185187</v>
      </c>
      <c r="P959" s="1">
        <v>44209.369745370372</v>
      </c>
      <c r="Q959">
        <v>57027</v>
      </c>
      <c r="R959">
        <v>391</v>
      </c>
      <c r="S959" t="b">
        <v>0</v>
      </c>
      <c r="T959" t="s">
        <v>87</v>
      </c>
      <c r="U959" t="b">
        <v>1</v>
      </c>
      <c r="V959" t="s">
        <v>255</v>
      </c>
      <c r="W959" s="1">
        <v>44208.710057870368</v>
      </c>
      <c r="X959">
        <v>320</v>
      </c>
      <c r="Y959">
        <v>37</v>
      </c>
      <c r="Z959">
        <v>0</v>
      </c>
      <c r="AA959">
        <v>37</v>
      </c>
      <c r="AB959">
        <v>0</v>
      </c>
      <c r="AC959">
        <v>8</v>
      </c>
      <c r="AD959">
        <v>1</v>
      </c>
      <c r="AE959">
        <v>0</v>
      </c>
      <c r="AF959">
        <v>0</v>
      </c>
      <c r="AG959">
        <v>0</v>
      </c>
      <c r="AH959" t="s">
        <v>132</v>
      </c>
      <c r="AI959" s="1">
        <v>44208.711712962962</v>
      </c>
      <c r="AJ959">
        <v>60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 t="s">
        <v>90</v>
      </c>
      <c r="AU959" s="1">
        <v>44209.369745370372</v>
      </c>
      <c r="AV959">
        <v>11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</row>
    <row r="960" spans="1:57" x14ac:dyDescent="0.45">
      <c r="A960" t="s">
        <v>2491</v>
      </c>
      <c r="B960" t="s">
        <v>79</v>
      </c>
      <c r="C960" t="s">
        <v>2280</v>
      </c>
      <c r="D960" t="s">
        <v>81</v>
      </c>
      <c r="E960" s="2" t="str">
        <f>HYPERLINK("capsilon://?command=openfolder&amp;siteaddress=FAM.docvelocity-na8.net&amp;folderid=FXFC44110F-F85A-1BA9-35AD-27A6F4AE8FFE","FX21014714")</f>
        <v>FX21014714</v>
      </c>
      <c r="F960" t="s">
        <v>19</v>
      </c>
      <c r="G960" t="s">
        <v>19</v>
      </c>
      <c r="H960" t="s">
        <v>82</v>
      </c>
      <c r="I960" t="s">
        <v>2492</v>
      </c>
      <c r="J960">
        <v>66</v>
      </c>
      <c r="K960" t="s">
        <v>84</v>
      </c>
      <c r="L960" t="s">
        <v>85</v>
      </c>
      <c r="M960" t="s">
        <v>86</v>
      </c>
      <c r="N960">
        <v>3</v>
      </c>
      <c r="O960" s="1">
        <v>44208.711435185185</v>
      </c>
      <c r="P960" s="1">
        <v>44209.38003472222</v>
      </c>
      <c r="Q960">
        <v>57239</v>
      </c>
      <c r="R960">
        <v>528</v>
      </c>
      <c r="S960" t="b">
        <v>0</v>
      </c>
      <c r="T960" t="s">
        <v>87</v>
      </c>
      <c r="U960" t="b">
        <v>0</v>
      </c>
      <c r="V960" t="s">
        <v>343</v>
      </c>
      <c r="W960" s="1">
        <v>44208.724374999998</v>
      </c>
      <c r="X960">
        <v>451</v>
      </c>
      <c r="Y960">
        <v>52</v>
      </c>
      <c r="Z960">
        <v>0</v>
      </c>
      <c r="AA960">
        <v>52</v>
      </c>
      <c r="AB960">
        <v>0</v>
      </c>
      <c r="AC960">
        <v>32</v>
      </c>
      <c r="AD960">
        <v>14</v>
      </c>
      <c r="AE960">
        <v>0</v>
      </c>
      <c r="AF960">
        <v>0</v>
      </c>
      <c r="AG960">
        <v>0</v>
      </c>
      <c r="AH960" t="s">
        <v>132</v>
      </c>
      <c r="AI960" s="1">
        <v>44208.726134259261</v>
      </c>
      <c r="AJ960">
        <v>71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14</v>
      </c>
      <c r="AQ960">
        <v>0</v>
      </c>
      <c r="AR960">
        <v>0</v>
      </c>
      <c r="AS960">
        <v>0</v>
      </c>
      <c r="AT960" t="s">
        <v>90</v>
      </c>
      <c r="AU960" s="1">
        <v>44209.38003472222</v>
      </c>
      <c r="AV960">
        <v>6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14</v>
      </c>
      <c r="BC960">
        <v>0</v>
      </c>
      <c r="BD960">
        <v>0</v>
      </c>
      <c r="BE960">
        <v>0</v>
      </c>
    </row>
    <row r="961" spans="1:57" x14ac:dyDescent="0.45">
      <c r="A961" t="s">
        <v>2493</v>
      </c>
      <c r="B961" t="s">
        <v>79</v>
      </c>
      <c r="C961" t="s">
        <v>2494</v>
      </c>
      <c r="D961" t="s">
        <v>81</v>
      </c>
      <c r="E961" s="2" t="str">
        <f>HYPERLINK("capsilon://?command=openfolder&amp;siteaddress=FAM.docvelocity-na8.net&amp;folderid=FX53B9094E-B2C7-A670-7382-762D9F06C029","FX21016207")</f>
        <v>FX21016207</v>
      </c>
      <c r="F961" t="s">
        <v>19</v>
      </c>
      <c r="G961" t="s">
        <v>19</v>
      </c>
      <c r="H961" t="s">
        <v>82</v>
      </c>
      <c r="I961" t="s">
        <v>2495</v>
      </c>
      <c r="J961">
        <v>1028</v>
      </c>
      <c r="K961" t="s">
        <v>84</v>
      </c>
      <c r="L961" t="s">
        <v>85</v>
      </c>
      <c r="M961" t="s">
        <v>86</v>
      </c>
      <c r="N961">
        <v>3</v>
      </c>
      <c r="O961" s="1">
        <v>44208.711886574078</v>
      </c>
      <c r="P961" s="1">
        <v>44209.382615740738</v>
      </c>
      <c r="Q961">
        <v>55814</v>
      </c>
      <c r="R961">
        <v>2137</v>
      </c>
      <c r="S961" t="b">
        <v>0</v>
      </c>
      <c r="T961" t="s">
        <v>87</v>
      </c>
      <c r="U961" t="b">
        <v>0</v>
      </c>
      <c r="V961" t="s">
        <v>255</v>
      </c>
      <c r="W961" s="1">
        <v>44208.766134259262</v>
      </c>
      <c r="X961">
        <v>1525</v>
      </c>
      <c r="Y961">
        <v>504</v>
      </c>
      <c r="Z961">
        <v>0</v>
      </c>
      <c r="AA961">
        <v>504</v>
      </c>
      <c r="AB961">
        <v>0</v>
      </c>
      <c r="AC961">
        <v>238</v>
      </c>
      <c r="AD961">
        <v>524</v>
      </c>
      <c r="AE961">
        <v>0</v>
      </c>
      <c r="AF961">
        <v>0</v>
      </c>
      <c r="AG961">
        <v>0</v>
      </c>
      <c r="AH961" t="s">
        <v>132</v>
      </c>
      <c r="AI961" s="1">
        <v>44208.771574074075</v>
      </c>
      <c r="AJ961">
        <v>390</v>
      </c>
      <c r="AK961">
        <v>2</v>
      </c>
      <c r="AL961">
        <v>0</v>
      </c>
      <c r="AM961">
        <v>2</v>
      </c>
      <c r="AN961">
        <v>0</v>
      </c>
      <c r="AO961">
        <v>1</v>
      </c>
      <c r="AP961">
        <v>522</v>
      </c>
      <c r="AQ961">
        <v>0</v>
      </c>
      <c r="AR961">
        <v>0</v>
      </c>
      <c r="AS961">
        <v>0</v>
      </c>
      <c r="AT961" t="s">
        <v>90</v>
      </c>
      <c r="AU961" s="1">
        <v>44209.382615740738</v>
      </c>
      <c r="AV961">
        <v>222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522</v>
      </c>
      <c r="BC961">
        <v>0</v>
      </c>
      <c r="BD961">
        <v>0</v>
      </c>
      <c r="BE961">
        <v>0</v>
      </c>
    </row>
    <row r="962" spans="1:57" x14ac:dyDescent="0.45">
      <c r="A962" t="s">
        <v>2496</v>
      </c>
      <c r="B962" t="s">
        <v>79</v>
      </c>
      <c r="C962" t="s">
        <v>2497</v>
      </c>
      <c r="D962" t="s">
        <v>81</v>
      </c>
      <c r="E962" s="2" t="str">
        <f>HYPERLINK("capsilon://?command=openfolder&amp;siteaddress=FAM.docvelocity-na8.net&amp;folderid=FX56E93365-25A3-4F38-964F-D9E051322723","FX201227901")</f>
        <v>FX201227901</v>
      </c>
      <c r="F962" t="s">
        <v>19</v>
      </c>
      <c r="G962" t="s">
        <v>19</v>
      </c>
      <c r="H962" t="s">
        <v>82</v>
      </c>
      <c r="I962" t="s">
        <v>2498</v>
      </c>
      <c r="J962">
        <v>310</v>
      </c>
      <c r="K962" t="s">
        <v>84</v>
      </c>
      <c r="L962" t="s">
        <v>85</v>
      </c>
      <c r="M962" t="s">
        <v>86</v>
      </c>
      <c r="N962">
        <v>3</v>
      </c>
      <c r="O962" s="1">
        <v>44208.716423611113</v>
      </c>
      <c r="P962" s="1">
        <v>44209.383738425924</v>
      </c>
      <c r="Q962">
        <v>53661</v>
      </c>
      <c r="R962">
        <v>3995</v>
      </c>
      <c r="S962" t="b">
        <v>0</v>
      </c>
      <c r="T962" t="s">
        <v>87</v>
      </c>
      <c r="U962" t="b">
        <v>0</v>
      </c>
      <c r="V962" t="s">
        <v>168</v>
      </c>
      <c r="W962" s="1">
        <v>44208.778055555558</v>
      </c>
      <c r="X962">
        <v>3488</v>
      </c>
      <c r="Y962">
        <v>299</v>
      </c>
      <c r="Z962">
        <v>0</v>
      </c>
      <c r="AA962">
        <v>299</v>
      </c>
      <c r="AB962">
        <v>21</v>
      </c>
      <c r="AC962">
        <v>164</v>
      </c>
      <c r="AD962">
        <v>11</v>
      </c>
      <c r="AE962">
        <v>0</v>
      </c>
      <c r="AF962">
        <v>0</v>
      </c>
      <c r="AG962">
        <v>0</v>
      </c>
      <c r="AH962" t="s">
        <v>132</v>
      </c>
      <c r="AI962" s="1">
        <v>44208.78392361111</v>
      </c>
      <c r="AJ962">
        <v>371</v>
      </c>
      <c r="AK962">
        <v>2</v>
      </c>
      <c r="AL962">
        <v>0</v>
      </c>
      <c r="AM962">
        <v>2</v>
      </c>
      <c r="AN962">
        <v>21</v>
      </c>
      <c r="AO962">
        <v>1</v>
      </c>
      <c r="AP962">
        <v>9</v>
      </c>
      <c r="AQ962">
        <v>0</v>
      </c>
      <c r="AR962">
        <v>0</v>
      </c>
      <c r="AS962">
        <v>0</v>
      </c>
      <c r="AT962" t="s">
        <v>90</v>
      </c>
      <c r="AU962" s="1">
        <v>44209.383738425924</v>
      </c>
      <c r="AV962">
        <v>96</v>
      </c>
      <c r="AW962">
        <v>0</v>
      </c>
      <c r="AX962">
        <v>0</v>
      </c>
      <c r="AY962">
        <v>0</v>
      </c>
      <c r="AZ962">
        <v>21</v>
      </c>
      <c r="BA962">
        <v>0</v>
      </c>
      <c r="BB962">
        <v>9</v>
      </c>
      <c r="BC962">
        <v>0</v>
      </c>
      <c r="BD962">
        <v>0</v>
      </c>
      <c r="BE962">
        <v>0</v>
      </c>
    </row>
    <row r="963" spans="1:57" x14ac:dyDescent="0.45">
      <c r="A963" t="s">
        <v>2499</v>
      </c>
      <c r="B963" t="s">
        <v>79</v>
      </c>
      <c r="C963" t="s">
        <v>301</v>
      </c>
      <c r="D963" t="s">
        <v>81</v>
      </c>
      <c r="E963" s="2" t="str">
        <f>HYPERLINK("capsilon://?command=openfolder&amp;siteaddress=FAM.docvelocity-na8.net&amp;folderid=FX92FF92E6-9D83-A7FF-9C46-83D03BCF16B5","FX20123914")</f>
        <v>FX20123914</v>
      </c>
      <c r="F963" t="s">
        <v>19</v>
      </c>
      <c r="G963" t="s">
        <v>19</v>
      </c>
      <c r="H963" t="s">
        <v>82</v>
      </c>
      <c r="I963" t="s">
        <v>2500</v>
      </c>
      <c r="J963">
        <v>74</v>
      </c>
      <c r="K963" t="s">
        <v>84</v>
      </c>
      <c r="L963" t="s">
        <v>85</v>
      </c>
      <c r="M963" t="s">
        <v>86</v>
      </c>
      <c r="N963">
        <v>3</v>
      </c>
      <c r="O963" s="1">
        <v>44208.733784722222</v>
      </c>
      <c r="P963" s="1">
        <v>44209.384016203701</v>
      </c>
      <c r="Q963">
        <v>55071</v>
      </c>
      <c r="R963">
        <v>1109</v>
      </c>
      <c r="S963" t="b">
        <v>0</v>
      </c>
      <c r="T963" t="s">
        <v>87</v>
      </c>
      <c r="U963" t="b">
        <v>0</v>
      </c>
      <c r="V963" t="s">
        <v>255</v>
      </c>
      <c r="W963" s="1">
        <v>44208.745266203703</v>
      </c>
      <c r="X963">
        <v>932</v>
      </c>
      <c r="Y963">
        <v>88</v>
      </c>
      <c r="Z963">
        <v>0</v>
      </c>
      <c r="AA963">
        <v>88</v>
      </c>
      <c r="AB963">
        <v>0</v>
      </c>
      <c r="AC963">
        <v>53</v>
      </c>
      <c r="AD963">
        <v>-14</v>
      </c>
      <c r="AE963">
        <v>0</v>
      </c>
      <c r="AF963">
        <v>0</v>
      </c>
      <c r="AG963">
        <v>0</v>
      </c>
      <c r="AH963" t="s">
        <v>132</v>
      </c>
      <c r="AI963" s="1">
        <v>44208.773344907408</v>
      </c>
      <c r="AJ963">
        <v>153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-14</v>
      </c>
      <c r="AQ963">
        <v>0</v>
      </c>
      <c r="AR963">
        <v>0</v>
      </c>
      <c r="AS963">
        <v>0</v>
      </c>
      <c r="AT963" t="s">
        <v>90</v>
      </c>
      <c r="AU963" s="1">
        <v>44209.384016203701</v>
      </c>
      <c r="AV963">
        <v>24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-14</v>
      </c>
      <c r="BC963">
        <v>0</v>
      </c>
      <c r="BD963">
        <v>0</v>
      </c>
      <c r="BE963">
        <v>0</v>
      </c>
    </row>
    <row r="964" spans="1:57" x14ac:dyDescent="0.45">
      <c r="A964" t="s">
        <v>2501</v>
      </c>
      <c r="B964" t="s">
        <v>79</v>
      </c>
      <c r="C964" t="s">
        <v>2502</v>
      </c>
      <c r="D964" t="s">
        <v>81</v>
      </c>
      <c r="E964" s="2" t="str">
        <f>HYPERLINK("capsilon://?command=openfolder&amp;siteaddress=FAM.docvelocity-na8.net&amp;folderid=FX49CA528A-D056-BD58-FEB4-65F58F8FD7FF","FX201114010")</f>
        <v>FX201114010</v>
      </c>
      <c r="F964" t="s">
        <v>19</v>
      </c>
      <c r="G964" t="s">
        <v>19</v>
      </c>
      <c r="H964" t="s">
        <v>82</v>
      </c>
      <c r="I964" t="s">
        <v>2503</v>
      </c>
      <c r="J964">
        <v>207</v>
      </c>
      <c r="K964" t="s">
        <v>84</v>
      </c>
      <c r="L964" t="s">
        <v>85</v>
      </c>
      <c r="M964" t="s">
        <v>86</v>
      </c>
      <c r="N964">
        <v>3</v>
      </c>
      <c r="O964" s="1">
        <v>44208.737743055557</v>
      </c>
      <c r="P964" s="1">
        <v>44209.399918981479</v>
      </c>
      <c r="Q964">
        <v>55609</v>
      </c>
      <c r="R964">
        <v>1603</v>
      </c>
      <c r="S964" t="b">
        <v>0</v>
      </c>
      <c r="T964" t="s">
        <v>87</v>
      </c>
      <c r="U964" t="b">
        <v>0</v>
      </c>
      <c r="V964" t="s">
        <v>179</v>
      </c>
      <c r="W964" s="1">
        <v>44208.753182870372</v>
      </c>
      <c r="X964">
        <v>1310</v>
      </c>
      <c r="Y964">
        <v>129</v>
      </c>
      <c r="Z964">
        <v>0</v>
      </c>
      <c r="AA964">
        <v>129</v>
      </c>
      <c r="AB964">
        <v>0</v>
      </c>
      <c r="AC964">
        <v>51</v>
      </c>
      <c r="AD964">
        <v>78</v>
      </c>
      <c r="AE964">
        <v>0</v>
      </c>
      <c r="AF964">
        <v>0</v>
      </c>
      <c r="AG964">
        <v>0</v>
      </c>
      <c r="AH964" t="s">
        <v>132</v>
      </c>
      <c r="AI964" s="1">
        <v>44208.775717592594</v>
      </c>
      <c r="AJ964">
        <v>204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78</v>
      </c>
      <c r="AQ964">
        <v>0</v>
      </c>
      <c r="AR964">
        <v>0</v>
      </c>
      <c r="AS964">
        <v>0</v>
      </c>
      <c r="AT964" t="s">
        <v>90</v>
      </c>
      <c r="AU964" s="1">
        <v>44209.399918981479</v>
      </c>
      <c r="AV964">
        <v>59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78</v>
      </c>
      <c r="BC964">
        <v>0</v>
      </c>
      <c r="BD964">
        <v>0</v>
      </c>
      <c r="BE964">
        <v>0</v>
      </c>
    </row>
    <row r="965" spans="1:57" x14ac:dyDescent="0.45">
      <c r="A965" t="s">
        <v>2504</v>
      </c>
      <c r="B965" t="s">
        <v>79</v>
      </c>
      <c r="C965" t="s">
        <v>2028</v>
      </c>
      <c r="D965" t="s">
        <v>81</v>
      </c>
      <c r="E965" s="2" t="str">
        <f>HYPERLINK("capsilon://?command=openfolder&amp;siteaddress=FAM.docvelocity-na8.net&amp;folderid=FX0F4ED7D3-B173-858E-88E6-8415DCFC0077","FX21015505")</f>
        <v>FX21015505</v>
      </c>
      <c r="F965" t="s">
        <v>19</v>
      </c>
      <c r="G965" t="s">
        <v>19</v>
      </c>
      <c r="H965" t="s">
        <v>82</v>
      </c>
      <c r="I965" t="s">
        <v>2505</v>
      </c>
      <c r="J965">
        <v>66</v>
      </c>
      <c r="K965" t="s">
        <v>84</v>
      </c>
      <c r="L965" t="s">
        <v>85</v>
      </c>
      <c r="M965" t="s">
        <v>86</v>
      </c>
      <c r="N965">
        <v>3</v>
      </c>
      <c r="O965" s="1">
        <v>44208.737905092596</v>
      </c>
      <c r="P965" s="1">
        <v>44209.402673611112</v>
      </c>
      <c r="Q965">
        <v>55151</v>
      </c>
      <c r="R965">
        <v>2285</v>
      </c>
      <c r="S965" t="b">
        <v>0</v>
      </c>
      <c r="T965" t="s">
        <v>87</v>
      </c>
      <c r="U965" t="b">
        <v>0</v>
      </c>
      <c r="V965" t="s">
        <v>160</v>
      </c>
      <c r="W965" s="1">
        <v>44208.76353009259</v>
      </c>
      <c r="X965">
        <v>1852</v>
      </c>
      <c r="Y965">
        <v>52</v>
      </c>
      <c r="Z965">
        <v>0</v>
      </c>
      <c r="AA965">
        <v>52</v>
      </c>
      <c r="AB965">
        <v>0</v>
      </c>
      <c r="AC965">
        <v>34</v>
      </c>
      <c r="AD965">
        <v>14</v>
      </c>
      <c r="AE965">
        <v>0</v>
      </c>
      <c r="AF965">
        <v>0</v>
      </c>
      <c r="AG965">
        <v>0</v>
      </c>
      <c r="AH965" t="s">
        <v>132</v>
      </c>
      <c r="AI965" s="1">
        <v>44208.777986111112</v>
      </c>
      <c r="AJ965">
        <v>195</v>
      </c>
      <c r="AK965">
        <v>7</v>
      </c>
      <c r="AL965">
        <v>0</v>
      </c>
      <c r="AM965">
        <v>7</v>
      </c>
      <c r="AN965">
        <v>0</v>
      </c>
      <c r="AO965">
        <v>7</v>
      </c>
      <c r="AP965">
        <v>7</v>
      </c>
      <c r="AQ965">
        <v>0</v>
      </c>
      <c r="AR965">
        <v>0</v>
      </c>
      <c r="AS965">
        <v>0</v>
      </c>
      <c r="AT965" t="s">
        <v>90</v>
      </c>
      <c r="AU965" s="1">
        <v>44209.402673611112</v>
      </c>
      <c r="AV965">
        <v>238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7</v>
      </c>
      <c r="BC965">
        <v>0</v>
      </c>
      <c r="BD965">
        <v>0</v>
      </c>
      <c r="BE965">
        <v>0</v>
      </c>
    </row>
    <row r="966" spans="1:57" x14ac:dyDescent="0.45">
      <c r="A966" t="s">
        <v>2506</v>
      </c>
      <c r="B966" t="s">
        <v>79</v>
      </c>
      <c r="C966" t="s">
        <v>2507</v>
      </c>
      <c r="D966" t="s">
        <v>81</v>
      </c>
      <c r="E966" s="2" t="str">
        <f>HYPERLINK("capsilon://?command=openfolder&amp;siteaddress=FAM.docvelocity-na8.net&amp;folderid=FXC96E4D4C-315F-5E79-9E32-B07763E00DE6","FX20127105")</f>
        <v>FX20127105</v>
      </c>
      <c r="F966" t="s">
        <v>19</v>
      </c>
      <c r="G966" t="s">
        <v>19</v>
      </c>
      <c r="H966" t="s">
        <v>82</v>
      </c>
      <c r="I966" t="s">
        <v>2508</v>
      </c>
      <c r="J966">
        <v>106</v>
      </c>
      <c r="K966" t="s">
        <v>84</v>
      </c>
      <c r="L966" t="s">
        <v>85</v>
      </c>
      <c r="M966" t="s">
        <v>86</v>
      </c>
      <c r="N966">
        <v>3</v>
      </c>
      <c r="O966" s="1">
        <v>44208.738865740743</v>
      </c>
      <c r="P966" s="1">
        <v>44209.402939814812</v>
      </c>
      <c r="Q966">
        <v>55817</v>
      </c>
      <c r="R966">
        <v>1559</v>
      </c>
      <c r="S966" t="b">
        <v>0</v>
      </c>
      <c r="T966" t="s">
        <v>87</v>
      </c>
      <c r="U966" t="b">
        <v>0</v>
      </c>
      <c r="V966" t="s">
        <v>146</v>
      </c>
      <c r="W966" s="1">
        <v>44208.758784722224</v>
      </c>
      <c r="X966">
        <v>1397</v>
      </c>
      <c r="Y966">
        <v>104</v>
      </c>
      <c r="Z966">
        <v>0</v>
      </c>
      <c r="AA966">
        <v>104</v>
      </c>
      <c r="AB966">
        <v>0</v>
      </c>
      <c r="AC966">
        <v>30</v>
      </c>
      <c r="AD966">
        <v>2</v>
      </c>
      <c r="AE966">
        <v>0</v>
      </c>
      <c r="AF966">
        <v>0</v>
      </c>
      <c r="AG966">
        <v>0</v>
      </c>
      <c r="AH966" t="s">
        <v>132</v>
      </c>
      <c r="AI966" s="1">
        <v>44208.779618055552</v>
      </c>
      <c r="AJ966">
        <v>140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2</v>
      </c>
      <c r="AQ966">
        <v>0</v>
      </c>
      <c r="AR966">
        <v>0</v>
      </c>
      <c r="AS966">
        <v>0</v>
      </c>
      <c r="AT966" t="s">
        <v>90</v>
      </c>
      <c r="AU966" s="1">
        <v>44209.402939814812</v>
      </c>
      <c r="AV966">
        <v>22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2</v>
      </c>
      <c r="BC966">
        <v>0</v>
      </c>
      <c r="BD966">
        <v>0</v>
      </c>
      <c r="BE966">
        <v>0</v>
      </c>
    </row>
    <row r="967" spans="1:57" x14ac:dyDescent="0.45">
      <c r="A967" t="s">
        <v>2509</v>
      </c>
      <c r="B967" t="s">
        <v>79</v>
      </c>
      <c r="C967" t="s">
        <v>2064</v>
      </c>
      <c r="D967" t="s">
        <v>81</v>
      </c>
      <c r="E967" s="2" t="str">
        <f>HYPERLINK("capsilon://?command=openfolder&amp;siteaddress=FAM.docvelocity-na8.net&amp;folderid=FXEE3C48B6-37BD-27AB-F000-541091369C00","FX21015103")</f>
        <v>FX21015103</v>
      </c>
      <c r="F967" t="s">
        <v>19</v>
      </c>
      <c r="G967" t="s">
        <v>19</v>
      </c>
      <c r="H967" t="s">
        <v>82</v>
      </c>
      <c r="I967" t="s">
        <v>2510</v>
      </c>
      <c r="J967">
        <v>66</v>
      </c>
      <c r="K967" t="s">
        <v>84</v>
      </c>
      <c r="L967" t="s">
        <v>85</v>
      </c>
      <c r="M967" t="s">
        <v>86</v>
      </c>
      <c r="N967">
        <v>3</v>
      </c>
      <c r="O967" s="1">
        <v>44208.740474537037</v>
      </c>
      <c r="P967" s="1">
        <v>44209.40457175926</v>
      </c>
      <c r="Q967">
        <v>56892</v>
      </c>
      <c r="R967">
        <v>486</v>
      </c>
      <c r="S967" t="b">
        <v>0</v>
      </c>
      <c r="T967" t="s">
        <v>87</v>
      </c>
      <c r="U967" t="b">
        <v>0</v>
      </c>
      <c r="V967" t="s">
        <v>255</v>
      </c>
      <c r="W967" s="1">
        <v>44208.748472222222</v>
      </c>
      <c r="X967">
        <v>276</v>
      </c>
      <c r="Y967">
        <v>52</v>
      </c>
      <c r="Z967">
        <v>0</v>
      </c>
      <c r="AA967">
        <v>52</v>
      </c>
      <c r="AB967">
        <v>0</v>
      </c>
      <c r="AC967">
        <v>27</v>
      </c>
      <c r="AD967">
        <v>14</v>
      </c>
      <c r="AE967">
        <v>0</v>
      </c>
      <c r="AF967">
        <v>0</v>
      </c>
      <c r="AG967">
        <v>0</v>
      </c>
      <c r="AH967" t="s">
        <v>132</v>
      </c>
      <c r="AI967" s="1">
        <v>44208.784745370373</v>
      </c>
      <c r="AJ967">
        <v>70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14</v>
      </c>
      <c r="AQ967">
        <v>0</v>
      </c>
      <c r="AR967">
        <v>0</v>
      </c>
      <c r="AS967">
        <v>0</v>
      </c>
      <c r="AT967" t="s">
        <v>90</v>
      </c>
      <c r="AU967" s="1">
        <v>44209.40457175926</v>
      </c>
      <c r="AV967">
        <v>140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14</v>
      </c>
      <c r="BC967">
        <v>0</v>
      </c>
      <c r="BD967">
        <v>0</v>
      </c>
      <c r="BE967">
        <v>0</v>
      </c>
    </row>
    <row r="968" spans="1:57" x14ac:dyDescent="0.45">
      <c r="A968" t="s">
        <v>2511</v>
      </c>
      <c r="B968" t="s">
        <v>79</v>
      </c>
      <c r="C968" t="s">
        <v>1353</v>
      </c>
      <c r="D968" t="s">
        <v>81</v>
      </c>
      <c r="E968" s="2" t="str">
        <f>HYPERLINK("capsilon://?command=openfolder&amp;siteaddress=FAM.docvelocity-na8.net&amp;folderid=FX54240897-8DF8-18E6-2F7C-FFA4419B50A0","FX201221431")</f>
        <v>FX201221431</v>
      </c>
      <c r="F968" t="s">
        <v>19</v>
      </c>
      <c r="G968" t="s">
        <v>19</v>
      </c>
      <c r="H968" t="s">
        <v>82</v>
      </c>
      <c r="I968" t="s">
        <v>2512</v>
      </c>
      <c r="J968">
        <v>31</v>
      </c>
      <c r="K968" t="s">
        <v>84</v>
      </c>
      <c r="L968" t="s">
        <v>85</v>
      </c>
      <c r="M968" t="s">
        <v>86</v>
      </c>
      <c r="N968">
        <v>3</v>
      </c>
      <c r="O968" s="1">
        <v>44208.749699074076</v>
      </c>
      <c r="P968" s="1">
        <v>44209.405277777776</v>
      </c>
      <c r="Q968">
        <v>55590</v>
      </c>
      <c r="R968">
        <v>1052</v>
      </c>
      <c r="S968" t="b">
        <v>0</v>
      </c>
      <c r="T968" t="s">
        <v>87</v>
      </c>
      <c r="U968" t="b">
        <v>0</v>
      </c>
      <c r="V968" t="s">
        <v>262</v>
      </c>
      <c r="W968" s="1">
        <v>44208.761516203704</v>
      </c>
      <c r="X968">
        <v>895</v>
      </c>
      <c r="Y968">
        <v>50</v>
      </c>
      <c r="Z968">
        <v>0</v>
      </c>
      <c r="AA968">
        <v>50</v>
      </c>
      <c r="AB968">
        <v>0</v>
      </c>
      <c r="AC968">
        <v>45</v>
      </c>
      <c r="AD968">
        <v>-19</v>
      </c>
      <c r="AE968">
        <v>0</v>
      </c>
      <c r="AF968">
        <v>0</v>
      </c>
      <c r="AG968">
        <v>0</v>
      </c>
      <c r="AH968" t="s">
        <v>132</v>
      </c>
      <c r="AI968" s="1">
        <v>44208.785879629628</v>
      </c>
      <c r="AJ968">
        <v>97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-19</v>
      </c>
      <c r="AQ968">
        <v>0</v>
      </c>
      <c r="AR968">
        <v>0</v>
      </c>
      <c r="AS968">
        <v>0</v>
      </c>
      <c r="AT968" t="s">
        <v>90</v>
      </c>
      <c r="AU968" s="1">
        <v>44209.405277777776</v>
      </c>
      <c r="AV968">
        <v>60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-19</v>
      </c>
      <c r="BC968">
        <v>0</v>
      </c>
      <c r="BD968">
        <v>0</v>
      </c>
      <c r="BE968">
        <v>0</v>
      </c>
    </row>
    <row r="969" spans="1:57" x14ac:dyDescent="0.45">
      <c r="A969" t="s">
        <v>2513</v>
      </c>
      <c r="B969" t="s">
        <v>79</v>
      </c>
      <c r="C969" t="s">
        <v>1353</v>
      </c>
      <c r="D969" t="s">
        <v>81</v>
      </c>
      <c r="E969" s="2" t="str">
        <f>HYPERLINK("capsilon://?command=openfolder&amp;siteaddress=FAM.docvelocity-na8.net&amp;folderid=FX54240897-8DF8-18E6-2F7C-FFA4419B50A0","FX201221431")</f>
        <v>FX201221431</v>
      </c>
      <c r="F969" t="s">
        <v>19</v>
      </c>
      <c r="G969" t="s">
        <v>19</v>
      </c>
      <c r="H969" t="s">
        <v>82</v>
      </c>
      <c r="I969" t="s">
        <v>2514</v>
      </c>
      <c r="J969">
        <v>31</v>
      </c>
      <c r="K969" t="s">
        <v>84</v>
      </c>
      <c r="L969" t="s">
        <v>85</v>
      </c>
      <c r="M969" t="s">
        <v>86</v>
      </c>
      <c r="N969">
        <v>3</v>
      </c>
      <c r="O969" s="1">
        <v>44208.751134259262</v>
      </c>
      <c r="P969" s="1">
        <v>44209.405347222222</v>
      </c>
      <c r="Q969">
        <v>54894</v>
      </c>
      <c r="R969">
        <v>1630</v>
      </c>
      <c r="S969" t="b">
        <v>0</v>
      </c>
      <c r="T969" t="s">
        <v>87</v>
      </c>
      <c r="U969" t="b">
        <v>0</v>
      </c>
      <c r="V969" t="s">
        <v>179</v>
      </c>
      <c r="W969" s="1">
        <v>44208.771099537036</v>
      </c>
      <c r="X969">
        <v>1547</v>
      </c>
      <c r="Y969">
        <v>61</v>
      </c>
      <c r="Z969">
        <v>0</v>
      </c>
      <c r="AA969">
        <v>61</v>
      </c>
      <c r="AB969">
        <v>0</v>
      </c>
      <c r="AC969">
        <v>49</v>
      </c>
      <c r="AD969">
        <v>-30</v>
      </c>
      <c r="AE969">
        <v>0</v>
      </c>
      <c r="AF969">
        <v>0</v>
      </c>
      <c r="AG969">
        <v>0</v>
      </c>
      <c r="AH969" t="s">
        <v>132</v>
      </c>
      <c r="AI969" s="1">
        <v>44208.786793981482</v>
      </c>
      <c r="AJ969">
        <v>78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-30</v>
      </c>
      <c r="AQ969">
        <v>0</v>
      </c>
      <c r="AR969">
        <v>0</v>
      </c>
      <c r="AS969">
        <v>0</v>
      </c>
      <c r="AT969" t="s">
        <v>90</v>
      </c>
      <c r="AU969" s="1">
        <v>44209.405347222222</v>
      </c>
      <c r="AV969">
        <v>5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-30</v>
      </c>
      <c r="BC969">
        <v>0</v>
      </c>
      <c r="BD969">
        <v>0</v>
      </c>
      <c r="BE969">
        <v>0</v>
      </c>
    </row>
    <row r="970" spans="1:57" x14ac:dyDescent="0.45">
      <c r="A970" t="s">
        <v>2515</v>
      </c>
      <c r="B970" t="s">
        <v>79</v>
      </c>
      <c r="C970" t="s">
        <v>1353</v>
      </c>
      <c r="D970" t="s">
        <v>81</v>
      </c>
      <c r="E970" s="2" t="str">
        <f>HYPERLINK("capsilon://?command=openfolder&amp;siteaddress=FAM.docvelocity-na8.net&amp;folderid=FX54240897-8DF8-18E6-2F7C-FFA4419B50A0","FX201221431")</f>
        <v>FX201221431</v>
      </c>
      <c r="F970" t="s">
        <v>19</v>
      </c>
      <c r="G970" t="s">
        <v>19</v>
      </c>
      <c r="H970" t="s">
        <v>82</v>
      </c>
      <c r="I970" t="s">
        <v>2516</v>
      </c>
      <c r="J970">
        <v>31</v>
      </c>
      <c r="K970" t="s">
        <v>84</v>
      </c>
      <c r="L970" t="s">
        <v>85</v>
      </c>
      <c r="M970" t="s">
        <v>86</v>
      </c>
      <c r="N970">
        <v>3</v>
      </c>
      <c r="O970" s="1">
        <v>44208.772002314814</v>
      </c>
      <c r="P970" s="1">
        <v>44209.405439814815</v>
      </c>
      <c r="Q970">
        <v>52920</v>
      </c>
      <c r="R970">
        <v>1809</v>
      </c>
      <c r="S970" t="b">
        <v>0</v>
      </c>
      <c r="T970" t="s">
        <v>87</v>
      </c>
      <c r="U970" t="b">
        <v>0</v>
      </c>
      <c r="V970" t="s">
        <v>146</v>
      </c>
      <c r="W970" s="1">
        <v>44208.79184027778</v>
      </c>
      <c r="X970">
        <v>1713</v>
      </c>
      <c r="Y970">
        <v>41</v>
      </c>
      <c r="Z970">
        <v>0</v>
      </c>
      <c r="AA970">
        <v>41</v>
      </c>
      <c r="AB970">
        <v>0</v>
      </c>
      <c r="AC970">
        <v>31</v>
      </c>
      <c r="AD970">
        <v>-10</v>
      </c>
      <c r="AE970">
        <v>0</v>
      </c>
      <c r="AF970">
        <v>0</v>
      </c>
      <c r="AG970">
        <v>0</v>
      </c>
      <c r="AH970" t="s">
        <v>132</v>
      </c>
      <c r="AI970" s="1">
        <v>44208.793483796297</v>
      </c>
      <c r="AJ970">
        <v>89</v>
      </c>
      <c r="AK970">
        <v>4</v>
      </c>
      <c r="AL970">
        <v>0</v>
      </c>
      <c r="AM970">
        <v>4</v>
      </c>
      <c r="AN970">
        <v>0</v>
      </c>
      <c r="AO970">
        <v>3</v>
      </c>
      <c r="AP970">
        <v>-14</v>
      </c>
      <c r="AQ970">
        <v>0</v>
      </c>
      <c r="AR970">
        <v>0</v>
      </c>
      <c r="AS970">
        <v>0</v>
      </c>
      <c r="AT970" t="s">
        <v>90</v>
      </c>
      <c r="AU970" s="1">
        <v>44209.405439814815</v>
      </c>
      <c r="AV970">
        <v>7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-14</v>
      </c>
      <c r="BC970">
        <v>0</v>
      </c>
      <c r="BD970">
        <v>0</v>
      </c>
      <c r="BE970">
        <v>0</v>
      </c>
    </row>
    <row r="971" spans="1:57" x14ac:dyDescent="0.45">
      <c r="A971" t="s">
        <v>2517</v>
      </c>
      <c r="B971" t="s">
        <v>79</v>
      </c>
      <c r="C971" t="s">
        <v>1353</v>
      </c>
      <c r="D971" t="s">
        <v>81</v>
      </c>
      <c r="E971" s="2" t="str">
        <f>HYPERLINK("capsilon://?command=openfolder&amp;siteaddress=FAM.docvelocity-na8.net&amp;folderid=FX54240897-8DF8-18E6-2F7C-FFA4419B50A0","FX201221431")</f>
        <v>FX201221431</v>
      </c>
      <c r="F971" t="s">
        <v>19</v>
      </c>
      <c r="G971" t="s">
        <v>19</v>
      </c>
      <c r="H971" t="s">
        <v>82</v>
      </c>
      <c r="I971" t="s">
        <v>2518</v>
      </c>
      <c r="J971">
        <v>31</v>
      </c>
      <c r="K971" t="s">
        <v>84</v>
      </c>
      <c r="L971" t="s">
        <v>85</v>
      </c>
      <c r="M971" t="s">
        <v>86</v>
      </c>
      <c r="N971">
        <v>3</v>
      </c>
      <c r="O971" s="1">
        <v>44208.772303240738</v>
      </c>
      <c r="P971" s="1">
        <v>44209.405555555553</v>
      </c>
      <c r="Q971">
        <v>53331</v>
      </c>
      <c r="R971">
        <v>1382</v>
      </c>
      <c r="S971" t="b">
        <v>0</v>
      </c>
      <c r="T971" t="s">
        <v>87</v>
      </c>
      <c r="U971" t="b">
        <v>0</v>
      </c>
      <c r="V971" t="s">
        <v>179</v>
      </c>
      <c r="W971" s="1">
        <v>44208.789826388886</v>
      </c>
      <c r="X971">
        <v>1251</v>
      </c>
      <c r="Y971">
        <v>61</v>
      </c>
      <c r="Z971">
        <v>0</v>
      </c>
      <c r="AA971">
        <v>61</v>
      </c>
      <c r="AB971">
        <v>0</v>
      </c>
      <c r="AC971">
        <v>45</v>
      </c>
      <c r="AD971">
        <v>-30</v>
      </c>
      <c r="AE971">
        <v>0</v>
      </c>
      <c r="AF971">
        <v>0</v>
      </c>
      <c r="AG971">
        <v>0</v>
      </c>
      <c r="AH971" t="s">
        <v>132</v>
      </c>
      <c r="AI971" s="1">
        <v>44208.792442129627</v>
      </c>
      <c r="AJ971">
        <v>122</v>
      </c>
      <c r="AK971">
        <v>4</v>
      </c>
      <c r="AL971">
        <v>0</v>
      </c>
      <c r="AM971">
        <v>4</v>
      </c>
      <c r="AN971">
        <v>0</v>
      </c>
      <c r="AO971">
        <v>3</v>
      </c>
      <c r="AP971">
        <v>-34</v>
      </c>
      <c r="AQ971">
        <v>0</v>
      </c>
      <c r="AR971">
        <v>0</v>
      </c>
      <c r="AS971">
        <v>0</v>
      </c>
      <c r="AT971" t="s">
        <v>90</v>
      </c>
      <c r="AU971" s="1">
        <v>44209.405555555553</v>
      </c>
      <c r="AV971">
        <v>9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-34</v>
      </c>
      <c r="BC971">
        <v>0</v>
      </c>
      <c r="BD971">
        <v>0</v>
      </c>
      <c r="BE971">
        <v>0</v>
      </c>
    </row>
    <row r="972" spans="1:57" x14ac:dyDescent="0.45">
      <c r="A972" t="s">
        <v>2519</v>
      </c>
      <c r="B972" t="s">
        <v>79</v>
      </c>
      <c r="C972" t="s">
        <v>231</v>
      </c>
      <c r="D972" t="s">
        <v>81</v>
      </c>
      <c r="E972" s="2" t="str">
        <f>HYPERLINK("capsilon://?command=openfolder&amp;siteaddress=FAM.docvelocity-na8.net&amp;folderid=FXE5C46432-82AF-4B8B-37FA-2D72242E23D1","FX201222948")</f>
        <v>FX201222948</v>
      </c>
      <c r="F972" t="s">
        <v>19</v>
      </c>
      <c r="G972" t="s">
        <v>19</v>
      </c>
      <c r="H972" t="s">
        <v>82</v>
      </c>
      <c r="I972" t="s">
        <v>2520</v>
      </c>
      <c r="J972">
        <v>66</v>
      </c>
      <c r="K972" t="s">
        <v>84</v>
      </c>
      <c r="L972" t="s">
        <v>85</v>
      </c>
      <c r="M972" t="s">
        <v>86</v>
      </c>
      <c r="N972">
        <v>3</v>
      </c>
      <c r="O972" s="1">
        <v>44208.817916666667</v>
      </c>
      <c r="P972" s="1">
        <v>44209.405624999999</v>
      </c>
      <c r="Q972">
        <v>48316</v>
      </c>
      <c r="R972">
        <v>2462</v>
      </c>
      <c r="S972" t="b">
        <v>0</v>
      </c>
      <c r="T972" t="s">
        <v>87</v>
      </c>
      <c r="U972" t="b">
        <v>0</v>
      </c>
      <c r="V972" t="s">
        <v>88</v>
      </c>
      <c r="W972" s="1">
        <v>44209.156493055554</v>
      </c>
      <c r="X972">
        <v>1327</v>
      </c>
      <c r="Y972">
        <v>52</v>
      </c>
      <c r="Z972">
        <v>0</v>
      </c>
      <c r="AA972">
        <v>52</v>
      </c>
      <c r="AB972">
        <v>0</v>
      </c>
      <c r="AC972">
        <v>44</v>
      </c>
      <c r="AD972">
        <v>14</v>
      </c>
      <c r="AE972">
        <v>0</v>
      </c>
      <c r="AF972">
        <v>0</v>
      </c>
      <c r="AG972">
        <v>0</v>
      </c>
      <c r="AH972" t="s">
        <v>89</v>
      </c>
      <c r="AI972" s="1">
        <v>44209.172118055554</v>
      </c>
      <c r="AJ972">
        <v>1130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14</v>
      </c>
      <c r="AQ972">
        <v>0</v>
      </c>
      <c r="AR972">
        <v>0</v>
      </c>
      <c r="AS972">
        <v>0</v>
      </c>
      <c r="AT972" t="s">
        <v>90</v>
      </c>
      <c r="AU972" s="1">
        <v>44209.405624999999</v>
      </c>
      <c r="AV972">
        <v>5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14</v>
      </c>
      <c r="BC972">
        <v>0</v>
      </c>
      <c r="BD972">
        <v>0</v>
      </c>
      <c r="BE972">
        <v>0</v>
      </c>
    </row>
    <row r="973" spans="1:57" hidden="1" x14ac:dyDescent="0.45">
      <c r="A973" t="s">
        <v>2521</v>
      </c>
      <c r="B973" t="s">
        <v>79</v>
      </c>
      <c r="C973" t="s">
        <v>2522</v>
      </c>
      <c r="D973" t="s">
        <v>81</v>
      </c>
      <c r="E973" s="2" t="str">
        <f>HYPERLINK("capsilon://?command=openfolder&amp;siteaddress=FAM.docvelocity-na8.net&amp;folderid=FX44C85DC8-C526-F9B3-C2A6-D6DD83F92DD7","FX201113939")</f>
        <v>FX201113939</v>
      </c>
      <c r="F973" t="s">
        <v>19</v>
      </c>
      <c r="G973" t="s">
        <v>19</v>
      </c>
      <c r="H973" t="s">
        <v>82</v>
      </c>
      <c r="I973" t="s">
        <v>2523</v>
      </c>
      <c r="J973">
        <v>132</v>
      </c>
      <c r="K973" t="s">
        <v>84</v>
      </c>
      <c r="L973" t="s">
        <v>85</v>
      </c>
      <c r="M973" t="s">
        <v>86</v>
      </c>
      <c r="N973">
        <v>1</v>
      </c>
      <c r="O973" s="1">
        <v>44200.637673611112</v>
      </c>
      <c r="P973" s="1">
        <v>44200.739918981482</v>
      </c>
      <c r="Q973">
        <v>8660</v>
      </c>
      <c r="R973">
        <v>174</v>
      </c>
      <c r="S973" t="b">
        <v>0</v>
      </c>
      <c r="T973" t="s">
        <v>87</v>
      </c>
      <c r="U973" t="b">
        <v>0</v>
      </c>
      <c r="V973" t="s">
        <v>255</v>
      </c>
      <c r="W973" s="1">
        <v>44200.739918981482</v>
      </c>
      <c r="X973">
        <v>174</v>
      </c>
      <c r="Y973">
        <v>5</v>
      </c>
      <c r="Z973">
        <v>0</v>
      </c>
      <c r="AA973">
        <v>5</v>
      </c>
      <c r="AB973">
        <v>0</v>
      </c>
      <c r="AC973">
        <v>5</v>
      </c>
      <c r="AD973">
        <v>127</v>
      </c>
      <c r="AE973">
        <v>104</v>
      </c>
      <c r="AF973">
        <v>0</v>
      </c>
      <c r="AG973">
        <v>2</v>
      </c>
      <c r="AH973" t="s">
        <v>87</v>
      </c>
      <c r="AI973" t="s">
        <v>87</v>
      </c>
      <c r="AJ973" t="s">
        <v>87</v>
      </c>
      <c r="AK973" t="s">
        <v>87</v>
      </c>
      <c r="AL973" t="s">
        <v>87</v>
      </c>
      <c r="AM973" t="s">
        <v>87</v>
      </c>
      <c r="AN973" t="s">
        <v>87</v>
      </c>
      <c r="AO973" t="s">
        <v>87</v>
      </c>
      <c r="AP973" t="s">
        <v>87</v>
      </c>
      <c r="AQ973" t="s">
        <v>87</v>
      </c>
      <c r="AR973" t="s">
        <v>87</v>
      </c>
      <c r="AS973" t="s">
        <v>87</v>
      </c>
      <c r="AT973" t="s">
        <v>87</v>
      </c>
      <c r="AU973" t="s">
        <v>87</v>
      </c>
      <c r="AV973" t="s">
        <v>87</v>
      </c>
      <c r="AW973" t="s">
        <v>87</v>
      </c>
      <c r="AX973" t="s">
        <v>87</v>
      </c>
      <c r="AY973" t="s">
        <v>87</v>
      </c>
      <c r="AZ973" t="s">
        <v>87</v>
      </c>
      <c r="BA973" t="s">
        <v>87</v>
      </c>
      <c r="BB973" t="s">
        <v>87</v>
      </c>
      <c r="BC973" t="s">
        <v>87</v>
      </c>
      <c r="BD973" t="s">
        <v>87</v>
      </c>
      <c r="BE973" t="s">
        <v>87</v>
      </c>
    </row>
    <row r="974" spans="1:57" hidden="1" x14ac:dyDescent="0.45">
      <c r="A974" t="s">
        <v>2524</v>
      </c>
      <c r="B974" t="s">
        <v>79</v>
      </c>
      <c r="C974" t="s">
        <v>2525</v>
      </c>
      <c r="D974" t="s">
        <v>81</v>
      </c>
      <c r="E974" s="2" t="str">
        <f>HYPERLINK("capsilon://?command=openfolder&amp;siteaddress=FAM.docvelocity-na8.net&amp;folderid=FX5CE1B4E6-162F-8FDD-9447-41023E26EB09","FX20124330")</f>
        <v>FX20124330</v>
      </c>
      <c r="F974" t="s">
        <v>19</v>
      </c>
      <c r="G974" t="s">
        <v>19</v>
      </c>
      <c r="H974" t="s">
        <v>82</v>
      </c>
      <c r="I974" t="s">
        <v>2526</v>
      </c>
      <c r="J974">
        <v>66</v>
      </c>
      <c r="K974" t="s">
        <v>84</v>
      </c>
      <c r="L974" t="s">
        <v>85</v>
      </c>
      <c r="M974" t="s">
        <v>86</v>
      </c>
      <c r="N974">
        <v>3</v>
      </c>
      <c r="O974" s="1">
        <v>44208.827384259261</v>
      </c>
      <c r="P974" s="1">
        <v>44209.405671296299</v>
      </c>
      <c r="Q974">
        <v>49761</v>
      </c>
      <c r="R974">
        <v>203</v>
      </c>
      <c r="S974" t="b">
        <v>0</v>
      </c>
      <c r="T974" t="s">
        <v>87</v>
      </c>
      <c r="U974" t="b">
        <v>0</v>
      </c>
      <c r="V974" t="s">
        <v>1418</v>
      </c>
      <c r="W974" s="1">
        <v>44209.14435185185</v>
      </c>
      <c r="X974">
        <v>88</v>
      </c>
      <c r="Y974">
        <v>0</v>
      </c>
      <c r="Z974">
        <v>0</v>
      </c>
      <c r="AA974">
        <v>0</v>
      </c>
      <c r="AB974">
        <v>52</v>
      </c>
      <c r="AC974">
        <v>0</v>
      </c>
      <c r="AD974">
        <v>66</v>
      </c>
      <c r="AE974">
        <v>0</v>
      </c>
      <c r="AF974">
        <v>0</v>
      </c>
      <c r="AG974">
        <v>0</v>
      </c>
      <c r="AH974" t="s">
        <v>89</v>
      </c>
      <c r="AI974" s="1">
        <v>44209.151400462964</v>
      </c>
      <c r="AJ974">
        <v>112</v>
      </c>
      <c r="AK974">
        <v>0</v>
      </c>
      <c r="AL974">
        <v>0</v>
      </c>
      <c r="AM974">
        <v>0</v>
      </c>
      <c r="AN974">
        <v>52</v>
      </c>
      <c r="AO974">
        <v>0</v>
      </c>
      <c r="AP974">
        <v>66</v>
      </c>
      <c r="AQ974">
        <v>0</v>
      </c>
      <c r="AR974">
        <v>0</v>
      </c>
      <c r="AS974">
        <v>0</v>
      </c>
      <c r="AT974" t="s">
        <v>90</v>
      </c>
      <c r="AU974" s="1">
        <v>44209.405671296299</v>
      </c>
      <c r="AV974">
        <v>3</v>
      </c>
      <c r="AW974">
        <v>0</v>
      </c>
      <c r="AX974">
        <v>0</v>
      </c>
      <c r="AY974">
        <v>0</v>
      </c>
      <c r="AZ974">
        <v>52</v>
      </c>
      <c r="BA974">
        <v>0</v>
      </c>
      <c r="BB974">
        <v>66</v>
      </c>
      <c r="BC974">
        <v>0</v>
      </c>
      <c r="BD974">
        <v>0</v>
      </c>
      <c r="BE974">
        <v>0</v>
      </c>
    </row>
    <row r="975" spans="1:57" hidden="1" x14ac:dyDescent="0.45">
      <c r="A975" t="s">
        <v>2527</v>
      </c>
      <c r="B975" t="s">
        <v>79</v>
      </c>
      <c r="C975" t="s">
        <v>2061</v>
      </c>
      <c r="D975" t="s">
        <v>81</v>
      </c>
      <c r="E975" s="2" t="str">
        <f>HYPERLINK("capsilon://?command=openfolder&amp;siteaddress=FAM.docvelocity-na8.net&amp;folderid=FX7B7D0734-DAE7-1C81-6380-5937D8DCB3D8","FX201114833")</f>
        <v>FX201114833</v>
      </c>
      <c r="F975" t="s">
        <v>19</v>
      </c>
      <c r="G975" t="s">
        <v>19</v>
      </c>
      <c r="H975" t="s">
        <v>82</v>
      </c>
      <c r="I975" t="s">
        <v>2528</v>
      </c>
      <c r="J975">
        <v>198</v>
      </c>
      <c r="K975" t="s">
        <v>84</v>
      </c>
      <c r="L975" t="s">
        <v>85</v>
      </c>
      <c r="M975" t="s">
        <v>86</v>
      </c>
      <c r="N975">
        <v>3</v>
      </c>
      <c r="O975" s="1">
        <v>44208.828472222223</v>
      </c>
      <c r="P975" s="1">
        <v>44209.405706018515</v>
      </c>
      <c r="Q975">
        <v>49642</v>
      </c>
      <c r="R975">
        <v>231</v>
      </c>
      <c r="S975" t="b">
        <v>0</v>
      </c>
      <c r="T975" t="s">
        <v>87</v>
      </c>
      <c r="U975" t="b">
        <v>0</v>
      </c>
      <c r="V975" t="s">
        <v>1418</v>
      </c>
      <c r="W975" s="1">
        <v>44209.145694444444</v>
      </c>
      <c r="X975">
        <v>115</v>
      </c>
      <c r="Y975">
        <v>0</v>
      </c>
      <c r="Z975">
        <v>0</v>
      </c>
      <c r="AA975">
        <v>0</v>
      </c>
      <c r="AB975">
        <v>156</v>
      </c>
      <c r="AC975">
        <v>0</v>
      </c>
      <c r="AD975">
        <v>198</v>
      </c>
      <c r="AE975">
        <v>0</v>
      </c>
      <c r="AF975">
        <v>0</v>
      </c>
      <c r="AG975">
        <v>0</v>
      </c>
      <c r="AH975" t="s">
        <v>89</v>
      </c>
      <c r="AI975" s="1">
        <v>44209.152719907404</v>
      </c>
      <c r="AJ975">
        <v>113</v>
      </c>
      <c r="AK975">
        <v>0</v>
      </c>
      <c r="AL975">
        <v>0</v>
      </c>
      <c r="AM975">
        <v>0</v>
      </c>
      <c r="AN975">
        <v>156</v>
      </c>
      <c r="AO975">
        <v>0</v>
      </c>
      <c r="AP975">
        <v>198</v>
      </c>
      <c r="AQ975">
        <v>0</v>
      </c>
      <c r="AR975">
        <v>0</v>
      </c>
      <c r="AS975">
        <v>0</v>
      </c>
      <c r="AT975" t="s">
        <v>90</v>
      </c>
      <c r="AU975" s="1">
        <v>44209.405706018515</v>
      </c>
      <c r="AV975">
        <v>3</v>
      </c>
      <c r="AW975">
        <v>0</v>
      </c>
      <c r="AX975">
        <v>0</v>
      </c>
      <c r="AY975">
        <v>0</v>
      </c>
      <c r="AZ975">
        <v>156</v>
      </c>
      <c r="BA975">
        <v>0</v>
      </c>
      <c r="BB975">
        <v>198</v>
      </c>
      <c r="BC975">
        <v>0</v>
      </c>
      <c r="BD975">
        <v>0</v>
      </c>
      <c r="BE975">
        <v>0</v>
      </c>
    </row>
    <row r="976" spans="1:57" hidden="1" x14ac:dyDescent="0.45">
      <c r="A976" t="s">
        <v>2529</v>
      </c>
      <c r="B976" t="s">
        <v>79</v>
      </c>
      <c r="C976" t="s">
        <v>2530</v>
      </c>
      <c r="D976" t="s">
        <v>81</v>
      </c>
      <c r="E976" s="2" t="str">
        <f>HYPERLINK("capsilon://?command=openfolder&amp;siteaddress=FAM.docvelocity-na8.net&amp;folderid=FX873A1490-01B6-D807-0864-4A712ED2681B","FX201223608")</f>
        <v>FX201223608</v>
      </c>
      <c r="F976" t="s">
        <v>19</v>
      </c>
      <c r="G976" t="s">
        <v>19</v>
      </c>
      <c r="H976" t="s">
        <v>82</v>
      </c>
      <c r="I976" t="s">
        <v>2531</v>
      </c>
      <c r="J976">
        <v>66</v>
      </c>
      <c r="K976" t="s">
        <v>84</v>
      </c>
      <c r="L976" t="s">
        <v>85</v>
      </c>
      <c r="M976" t="s">
        <v>86</v>
      </c>
      <c r="N976">
        <v>1</v>
      </c>
      <c r="O976" s="1">
        <v>44208.829259259262</v>
      </c>
      <c r="P976" s="1">
        <v>44209.147465277776</v>
      </c>
      <c r="Q976">
        <v>27341</v>
      </c>
      <c r="R976">
        <v>152</v>
      </c>
      <c r="S976" t="b">
        <v>0</v>
      </c>
      <c r="T976" t="s">
        <v>87</v>
      </c>
      <c r="U976" t="b">
        <v>0</v>
      </c>
      <c r="V976" t="s">
        <v>1418</v>
      </c>
      <c r="W976" s="1">
        <v>44209.147465277776</v>
      </c>
      <c r="X976">
        <v>152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66</v>
      </c>
      <c r="AE976">
        <v>52</v>
      </c>
      <c r="AF976">
        <v>0</v>
      </c>
      <c r="AG976">
        <v>1</v>
      </c>
      <c r="AH976" t="s">
        <v>87</v>
      </c>
      <c r="AI976" t="s">
        <v>87</v>
      </c>
      <c r="AJ976" t="s">
        <v>87</v>
      </c>
      <c r="AK976" t="s">
        <v>87</v>
      </c>
      <c r="AL976" t="s">
        <v>87</v>
      </c>
      <c r="AM976" t="s">
        <v>87</v>
      </c>
      <c r="AN976" t="s">
        <v>87</v>
      </c>
      <c r="AO976" t="s">
        <v>87</v>
      </c>
      <c r="AP976" t="s">
        <v>87</v>
      </c>
      <c r="AQ976" t="s">
        <v>87</v>
      </c>
      <c r="AR976" t="s">
        <v>87</v>
      </c>
      <c r="AS976" t="s">
        <v>87</v>
      </c>
      <c r="AT976" t="s">
        <v>87</v>
      </c>
      <c r="AU976" t="s">
        <v>87</v>
      </c>
      <c r="AV976" t="s">
        <v>87</v>
      </c>
      <c r="AW976" t="s">
        <v>87</v>
      </c>
      <c r="AX976" t="s">
        <v>87</v>
      </c>
      <c r="AY976" t="s">
        <v>87</v>
      </c>
      <c r="AZ976" t="s">
        <v>87</v>
      </c>
      <c r="BA976" t="s">
        <v>87</v>
      </c>
      <c r="BB976" t="s">
        <v>87</v>
      </c>
      <c r="BC976" t="s">
        <v>87</v>
      </c>
      <c r="BD976" t="s">
        <v>87</v>
      </c>
      <c r="BE976" t="s">
        <v>87</v>
      </c>
    </row>
    <row r="977" spans="1:57" hidden="1" x14ac:dyDescent="0.45">
      <c r="A977" t="s">
        <v>2532</v>
      </c>
      <c r="B977" t="s">
        <v>79</v>
      </c>
      <c r="C977" t="s">
        <v>1383</v>
      </c>
      <c r="D977" t="s">
        <v>81</v>
      </c>
      <c r="E977" s="2" t="str">
        <f>HYPERLINK("capsilon://?command=openfolder&amp;siteaddress=FAM.docvelocity-na8.net&amp;folderid=FX0E3C9174-FA0A-7950-F5E6-312D3CC4D2CF","FX20122527")</f>
        <v>FX20122527</v>
      </c>
      <c r="F977" t="s">
        <v>19</v>
      </c>
      <c r="G977" t="s">
        <v>19</v>
      </c>
      <c r="H977" t="s">
        <v>82</v>
      </c>
      <c r="I977" t="s">
        <v>2533</v>
      </c>
      <c r="J977">
        <v>66</v>
      </c>
      <c r="K977" t="s">
        <v>84</v>
      </c>
      <c r="L977" t="s">
        <v>85</v>
      </c>
      <c r="M977" t="s">
        <v>86</v>
      </c>
      <c r="N977">
        <v>3</v>
      </c>
      <c r="O977" s="1">
        <v>44208.842094907406</v>
      </c>
      <c r="P977" s="1">
        <v>44209.405752314815</v>
      </c>
      <c r="Q977">
        <v>48501</v>
      </c>
      <c r="R977">
        <v>199</v>
      </c>
      <c r="S977" t="b">
        <v>0</v>
      </c>
      <c r="T977" t="s">
        <v>87</v>
      </c>
      <c r="U977" t="b">
        <v>0</v>
      </c>
      <c r="V977" t="s">
        <v>98</v>
      </c>
      <c r="W977" s="1">
        <v>44209.146828703706</v>
      </c>
      <c r="X977">
        <v>63</v>
      </c>
      <c r="Y977">
        <v>0</v>
      </c>
      <c r="Z977">
        <v>0</v>
      </c>
      <c r="AA977">
        <v>0</v>
      </c>
      <c r="AB977">
        <v>52</v>
      </c>
      <c r="AC977">
        <v>0</v>
      </c>
      <c r="AD977">
        <v>66</v>
      </c>
      <c r="AE977">
        <v>0</v>
      </c>
      <c r="AF977">
        <v>0</v>
      </c>
      <c r="AG977">
        <v>0</v>
      </c>
      <c r="AH977" t="s">
        <v>94</v>
      </c>
      <c r="AI977" s="1">
        <v>44209.155381944445</v>
      </c>
      <c r="AJ977">
        <v>133</v>
      </c>
      <c r="AK977">
        <v>0</v>
      </c>
      <c r="AL977">
        <v>0</v>
      </c>
      <c r="AM977">
        <v>0</v>
      </c>
      <c r="AN977">
        <v>52</v>
      </c>
      <c r="AO977">
        <v>0</v>
      </c>
      <c r="AP977">
        <v>66</v>
      </c>
      <c r="AQ977">
        <v>0</v>
      </c>
      <c r="AR977">
        <v>0</v>
      </c>
      <c r="AS977">
        <v>0</v>
      </c>
      <c r="AT977" t="s">
        <v>90</v>
      </c>
      <c r="AU977" s="1">
        <v>44209.405752314815</v>
      </c>
      <c r="AV977">
        <v>3</v>
      </c>
      <c r="AW977">
        <v>0</v>
      </c>
      <c r="AX977">
        <v>0</v>
      </c>
      <c r="AY977">
        <v>0</v>
      </c>
      <c r="AZ977">
        <v>52</v>
      </c>
      <c r="BA977">
        <v>0</v>
      </c>
      <c r="BB977">
        <v>66</v>
      </c>
      <c r="BC977">
        <v>0</v>
      </c>
      <c r="BD977">
        <v>0</v>
      </c>
      <c r="BE977">
        <v>0</v>
      </c>
    </row>
    <row r="978" spans="1:57" x14ac:dyDescent="0.45">
      <c r="A978" t="s">
        <v>2534</v>
      </c>
      <c r="B978" t="s">
        <v>79</v>
      </c>
      <c r="C978" t="s">
        <v>2535</v>
      </c>
      <c r="D978" t="s">
        <v>81</v>
      </c>
      <c r="E978" s="2" t="str">
        <f>HYPERLINK("capsilon://?command=openfolder&amp;siteaddress=FAM.docvelocity-na8.net&amp;folderid=FX43F0A4AE-F0CA-F412-DBC6-B1D1E34B74E5","FX201227295")</f>
        <v>FX201227295</v>
      </c>
      <c r="F978" t="s">
        <v>19</v>
      </c>
      <c r="G978" t="s">
        <v>19</v>
      </c>
      <c r="H978" t="s">
        <v>82</v>
      </c>
      <c r="I978" t="s">
        <v>2536</v>
      </c>
      <c r="J978">
        <v>282</v>
      </c>
      <c r="K978" t="s">
        <v>84</v>
      </c>
      <c r="L978" t="s">
        <v>85</v>
      </c>
      <c r="M978" t="s">
        <v>86</v>
      </c>
      <c r="N978">
        <v>3</v>
      </c>
      <c r="O978" s="1">
        <v>44200.639166666668</v>
      </c>
      <c r="P978" s="1">
        <v>44201.388078703705</v>
      </c>
      <c r="Q978">
        <v>63212</v>
      </c>
      <c r="R978">
        <v>1494</v>
      </c>
      <c r="S978" t="b">
        <v>0</v>
      </c>
      <c r="T978" t="s">
        <v>87</v>
      </c>
      <c r="U978" t="b">
        <v>0</v>
      </c>
      <c r="V978" t="s">
        <v>255</v>
      </c>
      <c r="W978" s="1">
        <v>44200.752233796295</v>
      </c>
      <c r="X978">
        <v>1025</v>
      </c>
      <c r="Y978">
        <v>220</v>
      </c>
      <c r="Z978">
        <v>0</v>
      </c>
      <c r="AA978">
        <v>220</v>
      </c>
      <c r="AB978">
        <v>47</v>
      </c>
      <c r="AC978">
        <v>89</v>
      </c>
      <c r="AD978">
        <v>62</v>
      </c>
      <c r="AE978">
        <v>0</v>
      </c>
      <c r="AF978">
        <v>0</v>
      </c>
      <c r="AG978">
        <v>0</v>
      </c>
      <c r="AH978" t="s">
        <v>267</v>
      </c>
      <c r="AI978" s="1">
        <v>44200.804444444446</v>
      </c>
      <c r="AJ978">
        <v>317</v>
      </c>
      <c r="AK978">
        <v>0</v>
      </c>
      <c r="AL978">
        <v>0</v>
      </c>
      <c r="AM978">
        <v>0</v>
      </c>
      <c r="AN978">
        <v>47</v>
      </c>
      <c r="AO978">
        <v>0</v>
      </c>
      <c r="AP978">
        <v>62</v>
      </c>
      <c r="AQ978">
        <v>0</v>
      </c>
      <c r="AR978">
        <v>0</v>
      </c>
      <c r="AS978">
        <v>0</v>
      </c>
      <c r="AT978" t="s">
        <v>90</v>
      </c>
      <c r="AU978" s="1">
        <v>44201.388078703705</v>
      </c>
      <c r="AV978">
        <v>123</v>
      </c>
      <c r="AW978">
        <v>0</v>
      </c>
      <c r="AX978">
        <v>0</v>
      </c>
      <c r="AY978">
        <v>0</v>
      </c>
      <c r="AZ978">
        <v>47</v>
      </c>
      <c r="BA978">
        <v>0</v>
      </c>
      <c r="BB978">
        <v>62</v>
      </c>
      <c r="BC978">
        <v>0</v>
      </c>
      <c r="BD978">
        <v>0</v>
      </c>
      <c r="BE978">
        <v>0</v>
      </c>
    </row>
    <row r="979" spans="1:57" x14ac:dyDescent="0.45">
      <c r="A979" t="s">
        <v>2537</v>
      </c>
      <c r="B979" t="s">
        <v>79</v>
      </c>
      <c r="C979" t="s">
        <v>2530</v>
      </c>
      <c r="D979" t="s">
        <v>81</v>
      </c>
      <c r="E979" s="2" t="str">
        <f>HYPERLINK("capsilon://?command=openfolder&amp;siteaddress=FAM.docvelocity-na8.net&amp;folderid=FX873A1490-01B6-D807-0864-4A712ED2681B","FX201223608")</f>
        <v>FX201223608</v>
      </c>
      <c r="F979" t="s">
        <v>19</v>
      </c>
      <c r="G979" t="s">
        <v>19</v>
      </c>
      <c r="H979" t="s">
        <v>82</v>
      </c>
      <c r="I979" t="s">
        <v>2531</v>
      </c>
      <c r="J979">
        <v>38</v>
      </c>
      <c r="K979" t="s">
        <v>84</v>
      </c>
      <c r="L979" t="s">
        <v>85</v>
      </c>
      <c r="M979" t="s">
        <v>86</v>
      </c>
      <c r="N979">
        <v>3</v>
      </c>
      <c r="O979" s="1">
        <v>44209.147789351853</v>
      </c>
      <c r="P979" s="1">
        <v>44209.36986111111</v>
      </c>
      <c r="Q979">
        <v>18275</v>
      </c>
      <c r="R979">
        <v>912</v>
      </c>
      <c r="S979" t="b">
        <v>0</v>
      </c>
      <c r="T979" t="s">
        <v>87</v>
      </c>
      <c r="U979" t="b">
        <v>1</v>
      </c>
      <c r="V979" t="s">
        <v>1418</v>
      </c>
      <c r="W979" s="1">
        <v>44209.151979166665</v>
      </c>
      <c r="X979">
        <v>358</v>
      </c>
      <c r="Y979">
        <v>37</v>
      </c>
      <c r="Z979">
        <v>0</v>
      </c>
      <c r="AA979">
        <v>37</v>
      </c>
      <c r="AB979">
        <v>0</v>
      </c>
      <c r="AC979">
        <v>15</v>
      </c>
      <c r="AD979">
        <v>1</v>
      </c>
      <c r="AE979">
        <v>0</v>
      </c>
      <c r="AF979">
        <v>0</v>
      </c>
      <c r="AG979">
        <v>0</v>
      </c>
      <c r="AH979" t="s">
        <v>89</v>
      </c>
      <c r="AI979" s="1">
        <v>44209.15902777778</v>
      </c>
      <c r="AJ979">
        <v>545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0</v>
      </c>
      <c r="AT979" t="s">
        <v>90</v>
      </c>
      <c r="AU979" s="1">
        <v>44209.36986111111</v>
      </c>
      <c r="AV979">
        <v>9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0</v>
      </c>
    </row>
    <row r="980" spans="1:57" x14ac:dyDescent="0.45">
      <c r="A980" t="s">
        <v>2538</v>
      </c>
      <c r="B980" t="s">
        <v>79</v>
      </c>
      <c r="C980" t="s">
        <v>2539</v>
      </c>
      <c r="D980" t="s">
        <v>81</v>
      </c>
      <c r="E980" s="2" t="str">
        <f>HYPERLINK("capsilon://?command=openfolder&amp;siteaddress=FAM.docvelocity-na8.net&amp;folderid=FXDF261EF4-364A-EF06-976F-3F04DCE2B3AE","FX201114175")</f>
        <v>FX201114175</v>
      </c>
      <c r="F980" t="s">
        <v>19</v>
      </c>
      <c r="G980" t="s">
        <v>19</v>
      </c>
      <c r="H980" t="s">
        <v>82</v>
      </c>
      <c r="I980" t="s">
        <v>2540</v>
      </c>
      <c r="J980">
        <v>441</v>
      </c>
      <c r="K980" t="s">
        <v>84</v>
      </c>
      <c r="L980" t="s">
        <v>85</v>
      </c>
      <c r="M980" t="s">
        <v>81</v>
      </c>
      <c r="N980">
        <v>3</v>
      </c>
      <c r="O980" s="1">
        <v>44209.203877314816</v>
      </c>
      <c r="P980" s="1">
        <v>44209.216493055559</v>
      </c>
      <c r="Q980">
        <v>973</v>
      </c>
      <c r="R980">
        <v>117</v>
      </c>
      <c r="S980" t="b">
        <v>0</v>
      </c>
      <c r="T980" t="s">
        <v>2541</v>
      </c>
      <c r="U980" t="b">
        <v>0</v>
      </c>
      <c r="V980" t="s">
        <v>88</v>
      </c>
      <c r="W980" s="1">
        <v>44209.205289351848</v>
      </c>
      <c r="X980">
        <v>60</v>
      </c>
      <c r="Y980">
        <v>98</v>
      </c>
      <c r="Z980">
        <v>0</v>
      </c>
      <c r="AA980">
        <v>98</v>
      </c>
      <c r="AB980">
        <v>0</v>
      </c>
      <c r="AC980">
        <v>0</v>
      </c>
      <c r="AD980">
        <v>343</v>
      </c>
      <c r="AE980">
        <v>0</v>
      </c>
      <c r="AF980">
        <v>0</v>
      </c>
      <c r="AG980">
        <v>0</v>
      </c>
      <c r="AH980" t="s">
        <v>94</v>
      </c>
      <c r="AI980" s="1">
        <v>44209.211597222224</v>
      </c>
      <c r="AJ980">
        <v>51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343</v>
      </c>
      <c r="AQ980">
        <v>0</v>
      </c>
      <c r="AR980">
        <v>0</v>
      </c>
      <c r="AS980">
        <v>0</v>
      </c>
      <c r="AT980" t="s">
        <v>2541</v>
      </c>
      <c r="AU980" s="1">
        <v>44209.216493055559</v>
      </c>
      <c r="AV980">
        <v>6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343</v>
      </c>
      <c r="BC980">
        <v>0</v>
      </c>
      <c r="BD980">
        <v>0</v>
      </c>
      <c r="BE980">
        <v>0</v>
      </c>
    </row>
    <row r="981" spans="1:57" x14ac:dyDescent="0.45">
      <c r="A981" t="s">
        <v>2542</v>
      </c>
      <c r="B981" t="s">
        <v>79</v>
      </c>
      <c r="C981" t="s">
        <v>2543</v>
      </c>
      <c r="D981" t="s">
        <v>81</v>
      </c>
      <c r="E981" s="2" t="str">
        <f>HYPERLINK("capsilon://?command=openfolder&amp;siteaddress=FAM.docvelocity-na8.net&amp;folderid=FX242DA722-F67B-4A1B-9EA3-0FFC6F4443C4","FX201114870")</f>
        <v>FX201114870</v>
      </c>
      <c r="F981" t="s">
        <v>19</v>
      </c>
      <c r="G981" t="s">
        <v>19</v>
      </c>
      <c r="H981" t="s">
        <v>82</v>
      </c>
      <c r="I981" t="s">
        <v>2544</v>
      </c>
      <c r="J981">
        <v>882</v>
      </c>
      <c r="K981" t="s">
        <v>84</v>
      </c>
      <c r="L981" t="s">
        <v>85</v>
      </c>
      <c r="M981" t="s">
        <v>81</v>
      </c>
      <c r="N981">
        <v>3</v>
      </c>
      <c r="O981" s="1">
        <v>44209.215289351851</v>
      </c>
      <c r="P981" s="1">
        <v>44209.241550925923</v>
      </c>
      <c r="Q981">
        <v>2124</v>
      </c>
      <c r="R981">
        <v>145</v>
      </c>
      <c r="S981" t="b">
        <v>0</v>
      </c>
      <c r="T981" t="s">
        <v>2541</v>
      </c>
      <c r="U981" t="b">
        <v>0</v>
      </c>
      <c r="V981" t="s">
        <v>88</v>
      </c>
      <c r="W981" s="1">
        <v>44209.220613425925</v>
      </c>
      <c r="X981">
        <v>110</v>
      </c>
      <c r="Y981">
        <v>196</v>
      </c>
      <c r="Z981">
        <v>0</v>
      </c>
      <c r="AA981">
        <v>196</v>
      </c>
      <c r="AB981">
        <v>0</v>
      </c>
      <c r="AC981">
        <v>0</v>
      </c>
      <c r="AD981">
        <v>686</v>
      </c>
      <c r="AE981">
        <v>0</v>
      </c>
      <c r="AF981">
        <v>0</v>
      </c>
      <c r="AG981">
        <v>0</v>
      </c>
      <c r="AH981" t="s">
        <v>94</v>
      </c>
      <c r="AI981" s="1">
        <v>44209.233888888892</v>
      </c>
      <c r="AJ981">
        <v>28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686</v>
      </c>
      <c r="AQ981">
        <v>0</v>
      </c>
      <c r="AR981">
        <v>0</v>
      </c>
      <c r="AS981">
        <v>0</v>
      </c>
      <c r="AT981" t="s">
        <v>2541</v>
      </c>
      <c r="AU981" s="1">
        <v>44209.241550925923</v>
      </c>
      <c r="AV981">
        <v>7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686</v>
      </c>
      <c r="BC981">
        <v>0</v>
      </c>
      <c r="BD981">
        <v>0</v>
      </c>
      <c r="BE981">
        <v>0</v>
      </c>
    </row>
    <row r="982" spans="1:57" x14ac:dyDescent="0.45">
      <c r="A982" t="s">
        <v>2545</v>
      </c>
      <c r="B982" t="s">
        <v>79</v>
      </c>
      <c r="C982" t="s">
        <v>2546</v>
      </c>
      <c r="D982" t="s">
        <v>81</v>
      </c>
      <c r="E982" s="2" t="str">
        <f>HYPERLINK("capsilon://?command=openfolder&amp;siteaddress=FAM.docvelocity-na8.net&amp;folderid=FX2E2831E0-F7F8-BC6D-3757-15FF24575AA0","FX2012819")</f>
        <v>FX2012819</v>
      </c>
      <c r="F982" t="s">
        <v>19</v>
      </c>
      <c r="G982" t="s">
        <v>19</v>
      </c>
      <c r="H982" t="s">
        <v>82</v>
      </c>
      <c r="I982" t="s">
        <v>2547</v>
      </c>
      <c r="J982">
        <v>507</v>
      </c>
      <c r="K982" t="s">
        <v>84</v>
      </c>
      <c r="L982" t="s">
        <v>85</v>
      </c>
      <c r="M982" t="s">
        <v>81</v>
      </c>
      <c r="N982">
        <v>3</v>
      </c>
      <c r="O982" s="1">
        <v>44209.28702546296</v>
      </c>
      <c r="P982" s="1">
        <v>44209.381122685183</v>
      </c>
      <c r="Q982">
        <v>7881</v>
      </c>
      <c r="R982">
        <v>249</v>
      </c>
      <c r="S982" t="b">
        <v>0</v>
      </c>
      <c r="T982" t="s">
        <v>481</v>
      </c>
      <c r="U982" t="b">
        <v>0</v>
      </c>
      <c r="V982" t="s">
        <v>88</v>
      </c>
      <c r="W982" s="1">
        <v>44209.288298611114</v>
      </c>
      <c r="X982">
        <v>103</v>
      </c>
      <c r="Y982">
        <v>110</v>
      </c>
      <c r="Z982">
        <v>0</v>
      </c>
      <c r="AA982">
        <v>110</v>
      </c>
      <c r="AB982">
        <v>0</v>
      </c>
      <c r="AC982">
        <v>0</v>
      </c>
      <c r="AD982">
        <v>397</v>
      </c>
      <c r="AE982">
        <v>0</v>
      </c>
      <c r="AF982">
        <v>0</v>
      </c>
      <c r="AG982">
        <v>0</v>
      </c>
      <c r="AH982" t="s">
        <v>94</v>
      </c>
      <c r="AI982" s="1">
        <v>44209.296840277777</v>
      </c>
      <c r="AJ982">
        <v>101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397</v>
      </c>
      <c r="AQ982">
        <v>0</v>
      </c>
      <c r="AR982">
        <v>0</v>
      </c>
      <c r="AS982">
        <v>0</v>
      </c>
      <c r="AT982" t="s">
        <v>481</v>
      </c>
      <c r="AU982" s="1">
        <v>44209.381122685183</v>
      </c>
      <c r="AV982">
        <v>7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397</v>
      </c>
      <c r="BC982">
        <v>0</v>
      </c>
      <c r="BD982">
        <v>0</v>
      </c>
      <c r="BE982">
        <v>0</v>
      </c>
    </row>
    <row r="983" spans="1:57" x14ac:dyDescent="0.45">
      <c r="A983" t="s">
        <v>2548</v>
      </c>
      <c r="B983" t="s">
        <v>79</v>
      </c>
      <c r="C983" t="s">
        <v>2549</v>
      </c>
      <c r="D983" t="s">
        <v>81</v>
      </c>
      <c r="E983" s="2" t="str">
        <f>HYPERLINK("capsilon://?command=openfolder&amp;siteaddress=FAM.docvelocity-na8.net&amp;folderid=FX5660D5AE-2D6C-F9AF-E567-51BA3F42C7DA","FX21016661")</f>
        <v>FX21016661</v>
      </c>
      <c r="F983" t="s">
        <v>19</v>
      </c>
      <c r="G983" t="s">
        <v>19</v>
      </c>
      <c r="H983" t="s">
        <v>82</v>
      </c>
      <c r="I983" t="s">
        <v>2550</v>
      </c>
      <c r="J983">
        <v>324</v>
      </c>
      <c r="K983" t="s">
        <v>84</v>
      </c>
      <c r="L983" t="s">
        <v>85</v>
      </c>
      <c r="M983" t="s">
        <v>86</v>
      </c>
      <c r="N983">
        <v>3</v>
      </c>
      <c r="O983" s="1">
        <v>44209.327106481483</v>
      </c>
      <c r="P983" s="1">
        <v>44209.4065162037</v>
      </c>
      <c r="Q983">
        <v>988</v>
      </c>
      <c r="R983">
        <v>5873</v>
      </c>
      <c r="S983" t="b">
        <v>0</v>
      </c>
      <c r="T983" t="s">
        <v>87</v>
      </c>
      <c r="U983" t="b">
        <v>0</v>
      </c>
      <c r="V983" t="s">
        <v>919</v>
      </c>
      <c r="W983" s="1">
        <v>44209.361585648148</v>
      </c>
      <c r="X983">
        <v>2976</v>
      </c>
      <c r="Y983">
        <v>242</v>
      </c>
      <c r="Z983">
        <v>0</v>
      </c>
      <c r="AA983">
        <v>242</v>
      </c>
      <c r="AB983">
        <v>74</v>
      </c>
      <c r="AC983">
        <v>51</v>
      </c>
      <c r="AD983">
        <v>82</v>
      </c>
      <c r="AE983">
        <v>0</v>
      </c>
      <c r="AF983">
        <v>0</v>
      </c>
      <c r="AG983">
        <v>0</v>
      </c>
      <c r="AH983" t="s">
        <v>89</v>
      </c>
      <c r="AI983" s="1">
        <v>44209.394803240742</v>
      </c>
      <c r="AJ983">
        <v>2831</v>
      </c>
      <c r="AK983">
        <v>0</v>
      </c>
      <c r="AL983">
        <v>0</v>
      </c>
      <c r="AM983">
        <v>0</v>
      </c>
      <c r="AN983">
        <v>74</v>
      </c>
      <c r="AO983">
        <v>0</v>
      </c>
      <c r="AP983">
        <v>82</v>
      </c>
      <c r="AQ983">
        <v>0</v>
      </c>
      <c r="AR983">
        <v>0</v>
      </c>
      <c r="AS983">
        <v>0</v>
      </c>
      <c r="AT983" t="s">
        <v>90</v>
      </c>
      <c r="AU983" s="1">
        <v>44209.4065162037</v>
      </c>
      <c r="AV983">
        <v>66</v>
      </c>
      <c r="AW983">
        <v>0</v>
      </c>
      <c r="AX983">
        <v>0</v>
      </c>
      <c r="AY983">
        <v>0</v>
      </c>
      <c r="AZ983">
        <v>74</v>
      </c>
      <c r="BA983">
        <v>0</v>
      </c>
      <c r="BB983">
        <v>82</v>
      </c>
      <c r="BC983">
        <v>0</v>
      </c>
      <c r="BD983">
        <v>0</v>
      </c>
      <c r="BE983">
        <v>0</v>
      </c>
    </row>
    <row r="984" spans="1:57" x14ac:dyDescent="0.45">
      <c r="A984" t="s">
        <v>2551</v>
      </c>
      <c r="B984" t="s">
        <v>79</v>
      </c>
      <c r="C984" t="s">
        <v>355</v>
      </c>
      <c r="D984" t="s">
        <v>81</v>
      </c>
      <c r="E984" s="2" t="str">
        <f>HYPERLINK("capsilon://?command=openfolder&amp;siteaddress=FAM.docvelocity-na8.net&amp;folderid=FX0E4D785E-8218-7960-B749-3B4DB300D051","FX20125999")</f>
        <v>FX20125999</v>
      </c>
      <c r="F984" t="s">
        <v>19</v>
      </c>
      <c r="G984" t="s">
        <v>19</v>
      </c>
      <c r="H984" t="s">
        <v>82</v>
      </c>
      <c r="I984" t="s">
        <v>2552</v>
      </c>
      <c r="J984">
        <v>66</v>
      </c>
      <c r="K984" t="s">
        <v>84</v>
      </c>
      <c r="L984" t="s">
        <v>85</v>
      </c>
      <c r="M984" t="s">
        <v>86</v>
      </c>
      <c r="N984">
        <v>3</v>
      </c>
      <c r="O984" s="1">
        <v>44209.328738425924</v>
      </c>
      <c r="P984" s="1">
        <v>44209.407222222224</v>
      </c>
      <c r="Q984">
        <v>5340</v>
      </c>
      <c r="R984">
        <v>1441</v>
      </c>
      <c r="S984" t="b">
        <v>0</v>
      </c>
      <c r="T984" t="s">
        <v>87</v>
      </c>
      <c r="U984" t="b">
        <v>0</v>
      </c>
      <c r="V984" t="s">
        <v>112</v>
      </c>
      <c r="W984" s="1">
        <v>44209.335578703707</v>
      </c>
      <c r="X984">
        <v>522</v>
      </c>
      <c r="Y984">
        <v>52</v>
      </c>
      <c r="Z984">
        <v>0</v>
      </c>
      <c r="AA984">
        <v>52</v>
      </c>
      <c r="AB984">
        <v>0</v>
      </c>
      <c r="AC984">
        <v>33</v>
      </c>
      <c r="AD984">
        <v>14</v>
      </c>
      <c r="AE984">
        <v>0</v>
      </c>
      <c r="AF984">
        <v>0</v>
      </c>
      <c r="AG984">
        <v>0</v>
      </c>
      <c r="AH984" t="s">
        <v>89</v>
      </c>
      <c r="AI984" s="1">
        <v>44209.345682870371</v>
      </c>
      <c r="AJ984">
        <v>859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</v>
      </c>
      <c r="AQ984">
        <v>0</v>
      </c>
      <c r="AR984">
        <v>0</v>
      </c>
      <c r="AS984">
        <v>0</v>
      </c>
      <c r="AT984" t="s">
        <v>90</v>
      </c>
      <c r="AU984" s="1">
        <v>44209.407222222224</v>
      </c>
      <c r="AV984">
        <v>60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14</v>
      </c>
      <c r="BC984">
        <v>0</v>
      </c>
      <c r="BD984">
        <v>0</v>
      </c>
      <c r="BE984">
        <v>0</v>
      </c>
    </row>
    <row r="985" spans="1:57" hidden="1" x14ac:dyDescent="0.45">
      <c r="A985" t="s">
        <v>2553</v>
      </c>
      <c r="B985" t="s">
        <v>79</v>
      </c>
      <c r="C985" t="s">
        <v>2554</v>
      </c>
      <c r="D985" t="s">
        <v>81</v>
      </c>
      <c r="E985" s="2" t="str">
        <f>HYPERLINK("capsilon://?command=openfolder&amp;siteaddress=FAM.docvelocity-na8.net&amp;folderid=FXC16B6975-5E66-D3A5-1DF1-6EC1B35FD0D6","FX20125168")</f>
        <v>FX20125168</v>
      </c>
      <c r="F985" t="s">
        <v>19</v>
      </c>
      <c r="G985" t="s">
        <v>19</v>
      </c>
      <c r="H985" t="s">
        <v>82</v>
      </c>
      <c r="I985" t="s">
        <v>2555</v>
      </c>
      <c r="J985">
        <v>66</v>
      </c>
      <c r="K985" t="s">
        <v>84</v>
      </c>
      <c r="L985" t="s">
        <v>85</v>
      </c>
      <c r="M985" t="s">
        <v>86</v>
      </c>
      <c r="N985">
        <v>3</v>
      </c>
      <c r="O985" s="1">
        <v>44209.338043981479</v>
      </c>
      <c r="P985" s="1">
        <v>44209.407731481479</v>
      </c>
      <c r="Q985">
        <v>5652</v>
      </c>
      <c r="R985">
        <v>369</v>
      </c>
      <c r="S985" t="b">
        <v>0</v>
      </c>
      <c r="T985" t="s">
        <v>87</v>
      </c>
      <c r="U985" t="b">
        <v>0</v>
      </c>
      <c r="V985" t="s">
        <v>98</v>
      </c>
      <c r="W985" s="1">
        <v>44209.342465277776</v>
      </c>
      <c r="X985">
        <v>276</v>
      </c>
      <c r="Y985">
        <v>0</v>
      </c>
      <c r="Z985">
        <v>0</v>
      </c>
      <c r="AA985">
        <v>0</v>
      </c>
      <c r="AB985">
        <v>52</v>
      </c>
      <c r="AC985">
        <v>0</v>
      </c>
      <c r="AD985">
        <v>66</v>
      </c>
      <c r="AE985">
        <v>0</v>
      </c>
      <c r="AF985">
        <v>0</v>
      </c>
      <c r="AG985">
        <v>0</v>
      </c>
      <c r="AH985" t="s">
        <v>94</v>
      </c>
      <c r="AI985" s="1">
        <v>44209.345127314817</v>
      </c>
      <c r="AJ985">
        <v>25</v>
      </c>
      <c r="AK985">
        <v>0</v>
      </c>
      <c r="AL985">
        <v>0</v>
      </c>
      <c r="AM985">
        <v>0</v>
      </c>
      <c r="AN985">
        <v>52</v>
      </c>
      <c r="AO985">
        <v>0</v>
      </c>
      <c r="AP985">
        <v>66</v>
      </c>
      <c r="AQ985">
        <v>0</v>
      </c>
      <c r="AR985">
        <v>0</v>
      </c>
      <c r="AS985">
        <v>0</v>
      </c>
      <c r="AT985" t="s">
        <v>90</v>
      </c>
      <c r="AU985" s="1">
        <v>44209.407731481479</v>
      </c>
      <c r="AV985">
        <v>43</v>
      </c>
      <c r="AW985">
        <v>0</v>
      </c>
      <c r="AX985">
        <v>0</v>
      </c>
      <c r="AY985">
        <v>0</v>
      </c>
      <c r="AZ985">
        <v>52</v>
      </c>
      <c r="BA985">
        <v>0</v>
      </c>
      <c r="BB985">
        <v>66</v>
      </c>
      <c r="BC985">
        <v>0</v>
      </c>
      <c r="BD985">
        <v>0</v>
      </c>
      <c r="BE985">
        <v>0</v>
      </c>
    </row>
    <row r="986" spans="1:57" x14ac:dyDescent="0.45">
      <c r="A986" t="s">
        <v>2556</v>
      </c>
      <c r="B986" t="s">
        <v>79</v>
      </c>
      <c r="C986" t="s">
        <v>2557</v>
      </c>
      <c r="D986" t="s">
        <v>81</v>
      </c>
      <c r="E986" s="2" t="str">
        <f>HYPERLINK("capsilon://?command=openfolder&amp;siteaddress=FAM.docvelocity-na8.net&amp;folderid=FX80010CC3-9348-105C-DBE2-2D70BC1E348F","FX21011977")</f>
        <v>FX21011977</v>
      </c>
      <c r="F986" t="s">
        <v>19</v>
      </c>
      <c r="G986" t="s">
        <v>19</v>
      </c>
      <c r="H986" t="s">
        <v>82</v>
      </c>
      <c r="I986" t="s">
        <v>2558</v>
      </c>
      <c r="J986">
        <v>38</v>
      </c>
      <c r="K986" t="s">
        <v>84</v>
      </c>
      <c r="L986" t="s">
        <v>85</v>
      </c>
      <c r="M986" t="s">
        <v>86</v>
      </c>
      <c r="N986">
        <v>3</v>
      </c>
      <c r="O986" s="1">
        <v>44209.346041666664</v>
      </c>
      <c r="P986" s="1">
        <v>44209.407800925925</v>
      </c>
      <c r="Q986">
        <v>4275</v>
      </c>
      <c r="R986">
        <v>1061</v>
      </c>
      <c r="S986" t="b">
        <v>0</v>
      </c>
      <c r="T986" t="s">
        <v>87</v>
      </c>
      <c r="U986" t="b">
        <v>0</v>
      </c>
      <c r="V986" t="s">
        <v>88</v>
      </c>
      <c r="W986" s="1">
        <v>44209.353750000002</v>
      </c>
      <c r="X986">
        <v>610</v>
      </c>
      <c r="Y986">
        <v>37</v>
      </c>
      <c r="Z986">
        <v>0</v>
      </c>
      <c r="AA986">
        <v>37</v>
      </c>
      <c r="AB986">
        <v>0</v>
      </c>
      <c r="AC986">
        <v>18</v>
      </c>
      <c r="AD986">
        <v>1</v>
      </c>
      <c r="AE986">
        <v>0</v>
      </c>
      <c r="AF986">
        <v>0</v>
      </c>
      <c r="AG986">
        <v>0</v>
      </c>
      <c r="AH986" t="s">
        <v>89</v>
      </c>
      <c r="AI986" s="1">
        <v>44209.362025462964</v>
      </c>
      <c r="AJ986">
        <v>446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 t="s">
        <v>90</v>
      </c>
      <c r="AU986" s="1">
        <v>44209.407800925925</v>
      </c>
      <c r="AV986">
        <v>5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</row>
    <row r="987" spans="1:57" x14ac:dyDescent="0.45">
      <c r="A987" t="s">
        <v>2559</v>
      </c>
      <c r="B987" t="s">
        <v>79</v>
      </c>
      <c r="C987" t="s">
        <v>1631</v>
      </c>
      <c r="D987" t="s">
        <v>81</v>
      </c>
      <c r="E987" s="2" t="str">
        <f>HYPERLINK("capsilon://?command=openfolder&amp;siteaddress=FAM.docvelocity-na8.net&amp;folderid=FX7ADA080F-954E-0547-72AB-0286AF906F3F","FX21014120")</f>
        <v>FX21014120</v>
      </c>
      <c r="F987" t="s">
        <v>19</v>
      </c>
      <c r="G987" t="s">
        <v>19</v>
      </c>
      <c r="H987" t="s">
        <v>82</v>
      </c>
      <c r="I987" t="s">
        <v>2560</v>
      </c>
      <c r="J987">
        <v>66</v>
      </c>
      <c r="K987" t="s">
        <v>84</v>
      </c>
      <c r="L987" t="s">
        <v>85</v>
      </c>
      <c r="M987" t="s">
        <v>86</v>
      </c>
      <c r="N987">
        <v>3</v>
      </c>
      <c r="O987" s="1">
        <v>44209.34888888889</v>
      </c>
      <c r="P987" s="1">
        <v>44209.408206018517</v>
      </c>
      <c r="Q987">
        <v>4396</v>
      </c>
      <c r="R987">
        <v>729</v>
      </c>
      <c r="S987" t="b">
        <v>0</v>
      </c>
      <c r="T987" t="s">
        <v>87</v>
      </c>
      <c r="U987" t="b">
        <v>0</v>
      </c>
      <c r="V987" t="s">
        <v>98</v>
      </c>
      <c r="W987" s="1">
        <v>44209.353703703702</v>
      </c>
      <c r="X987">
        <v>397</v>
      </c>
      <c r="Y987">
        <v>52</v>
      </c>
      <c r="Z987">
        <v>0</v>
      </c>
      <c r="AA987">
        <v>52</v>
      </c>
      <c r="AB987">
        <v>0</v>
      </c>
      <c r="AC987">
        <v>23</v>
      </c>
      <c r="AD987">
        <v>14</v>
      </c>
      <c r="AE987">
        <v>0</v>
      </c>
      <c r="AF987">
        <v>0</v>
      </c>
      <c r="AG987">
        <v>0</v>
      </c>
      <c r="AH987" t="s">
        <v>94</v>
      </c>
      <c r="AI987" s="1">
        <v>44209.361562500002</v>
      </c>
      <c r="AJ987">
        <v>297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</v>
      </c>
      <c r="AQ987">
        <v>0</v>
      </c>
      <c r="AR987">
        <v>0</v>
      </c>
      <c r="AS987">
        <v>0</v>
      </c>
      <c r="AT987" t="s">
        <v>90</v>
      </c>
      <c r="AU987" s="1">
        <v>44209.408206018517</v>
      </c>
      <c r="AV987">
        <v>35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14</v>
      </c>
      <c r="BC987">
        <v>0</v>
      </c>
      <c r="BD987">
        <v>0</v>
      </c>
      <c r="BE987">
        <v>0</v>
      </c>
    </row>
    <row r="988" spans="1:57" x14ac:dyDescent="0.45">
      <c r="A988" t="s">
        <v>2561</v>
      </c>
      <c r="B988" t="s">
        <v>79</v>
      </c>
      <c r="C988" t="s">
        <v>2562</v>
      </c>
      <c r="D988" t="s">
        <v>81</v>
      </c>
      <c r="E988" s="2" t="str">
        <f>HYPERLINK("capsilon://?command=openfolder&amp;siteaddress=FAM.docvelocity-na8.net&amp;folderid=FX5724C34D-C79B-B031-44B8-42773C54845B","FX20126662")</f>
        <v>FX20126662</v>
      </c>
      <c r="F988" t="s">
        <v>19</v>
      </c>
      <c r="G988" t="s">
        <v>19</v>
      </c>
      <c r="H988" t="s">
        <v>82</v>
      </c>
      <c r="I988" t="s">
        <v>2563</v>
      </c>
      <c r="J988">
        <v>110</v>
      </c>
      <c r="K988" t="s">
        <v>84</v>
      </c>
      <c r="L988" t="s">
        <v>85</v>
      </c>
      <c r="M988" t="s">
        <v>86</v>
      </c>
      <c r="N988">
        <v>3</v>
      </c>
      <c r="O988" s="1">
        <v>44209.355115740742</v>
      </c>
      <c r="P988" s="1">
        <v>44209.408900462964</v>
      </c>
      <c r="Q988">
        <v>1981</v>
      </c>
      <c r="R988">
        <v>2666</v>
      </c>
      <c r="S988" t="b">
        <v>0</v>
      </c>
      <c r="T988" t="s">
        <v>87</v>
      </c>
      <c r="U988" t="b">
        <v>0</v>
      </c>
      <c r="V988" t="s">
        <v>98</v>
      </c>
      <c r="W988" s="1">
        <v>44209.380949074075</v>
      </c>
      <c r="X988">
        <v>2214</v>
      </c>
      <c r="Y988">
        <v>102</v>
      </c>
      <c r="Z988">
        <v>0</v>
      </c>
      <c r="AA988">
        <v>102</v>
      </c>
      <c r="AB988">
        <v>0</v>
      </c>
      <c r="AC988">
        <v>84</v>
      </c>
      <c r="AD988">
        <v>8</v>
      </c>
      <c r="AE988">
        <v>0</v>
      </c>
      <c r="AF988">
        <v>0</v>
      </c>
      <c r="AG988">
        <v>0</v>
      </c>
      <c r="AH988" t="s">
        <v>94</v>
      </c>
      <c r="AI988" s="1">
        <v>44209.38790509259</v>
      </c>
      <c r="AJ988">
        <v>393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8</v>
      </c>
      <c r="AQ988">
        <v>0</v>
      </c>
      <c r="AR988">
        <v>0</v>
      </c>
      <c r="AS988">
        <v>0</v>
      </c>
      <c r="AT988" t="s">
        <v>90</v>
      </c>
      <c r="AU988" s="1">
        <v>44209.408900462964</v>
      </c>
      <c r="AV988">
        <v>59</v>
      </c>
      <c r="AW988">
        <v>1</v>
      </c>
      <c r="AX988">
        <v>0</v>
      </c>
      <c r="AY988">
        <v>1</v>
      </c>
      <c r="AZ988">
        <v>0</v>
      </c>
      <c r="BA988">
        <v>1</v>
      </c>
      <c r="BB988">
        <v>7</v>
      </c>
      <c r="BC988">
        <v>0</v>
      </c>
      <c r="BD988">
        <v>0</v>
      </c>
      <c r="BE988">
        <v>0</v>
      </c>
    </row>
    <row r="989" spans="1:57" hidden="1" x14ac:dyDescent="0.45">
      <c r="A989" t="s">
        <v>2564</v>
      </c>
      <c r="B989" t="s">
        <v>79</v>
      </c>
      <c r="C989" t="s">
        <v>2565</v>
      </c>
      <c r="D989" t="s">
        <v>81</v>
      </c>
      <c r="E989" s="2" t="str">
        <f>HYPERLINK("capsilon://?command=openfolder&amp;siteaddress=FAM.docvelocity-na8.net&amp;folderid=FXE6E62341-8147-A6F1-C55C-62EDD41F75D3","FX20115359")</f>
        <v>FX20115359</v>
      </c>
      <c r="F989" t="s">
        <v>19</v>
      </c>
      <c r="G989" t="s">
        <v>19</v>
      </c>
      <c r="H989" t="s">
        <v>82</v>
      </c>
      <c r="I989" t="s">
        <v>2566</v>
      </c>
      <c r="J989">
        <v>66</v>
      </c>
      <c r="K989" t="s">
        <v>84</v>
      </c>
      <c r="L989" t="s">
        <v>85</v>
      </c>
      <c r="M989" t="s">
        <v>86</v>
      </c>
      <c r="N989">
        <v>3</v>
      </c>
      <c r="O989" s="1">
        <v>44209.357222222221</v>
      </c>
      <c r="P989" s="1">
        <v>44209.408958333333</v>
      </c>
      <c r="Q989">
        <v>4266</v>
      </c>
      <c r="R989">
        <v>204</v>
      </c>
      <c r="S989" t="b">
        <v>0</v>
      </c>
      <c r="T989" t="s">
        <v>87</v>
      </c>
      <c r="U989" t="b">
        <v>0</v>
      </c>
      <c r="V989" t="s">
        <v>105</v>
      </c>
      <c r="W989" s="1">
        <v>44209.359375</v>
      </c>
      <c r="X989">
        <v>106</v>
      </c>
      <c r="Y989">
        <v>0</v>
      </c>
      <c r="Z989">
        <v>0</v>
      </c>
      <c r="AA989">
        <v>0</v>
      </c>
      <c r="AB989">
        <v>52</v>
      </c>
      <c r="AC989">
        <v>0</v>
      </c>
      <c r="AD989">
        <v>66</v>
      </c>
      <c r="AE989">
        <v>0</v>
      </c>
      <c r="AF989">
        <v>0</v>
      </c>
      <c r="AG989">
        <v>0</v>
      </c>
      <c r="AH989" t="s">
        <v>94</v>
      </c>
      <c r="AI989" s="1">
        <v>44209.362662037034</v>
      </c>
      <c r="AJ989">
        <v>94</v>
      </c>
      <c r="AK989">
        <v>0</v>
      </c>
      <c r="AL989">
        <v>0</v>
      </c>
      <c r="AM989">
        <v>0</v>
      </c>
      <c r="AN989">
        <v>52</v>
      </c>
      <c r="AO989">
        <v>0</v>
      </c>
      <c r="AP989">
        <v>66</v>
      </c>
      <c r="AQ989">
        <v>0</v>
      </c>
      <c r="AR989">
        <v>0</v>
      </c>
      <c r="AS989">
        <v>0</v>
      </c>
      <c r="AT989" t="s">
        <v>90</v>
      </c>
      <c r="AU989" s="1">
        <v>44209.408958333333</v>
      </c>
      <c r="AV989">
        <v>4</v>
      </c>
      <c r="AW989">
        <v>0</v>
      </c>
      <c r="AX989">
        <v>0</v>
      </c>
      <c r="AY989">
        <v>0</v>
      </c>
      <c r="AZ989">
        <v>52</v>
      </c>
      <c r="BA989">
        <v>0</v>
      </c>
      <c r="BB989">
        <v>66</v>
      </c>
      <c r="BC989">
        <v>0</v>
      </c>
      <c r="BD989">
        <v>0</v>
      </c>
      <c r="BE989">
        <v>0</v>
      </c>
    </row>
    <row r="990" spans="1:57" hidden="1" x14ac:dyDescent="0.45">
      <c r="A990" t="s">
        <v>2567</v>
      </c>
      <c r="B990" t="s">
        <v>79</v>
      </c>
      <c r="C990" t="s">
        <v>2565</v>
      </c>
      <c r="D990" t="s">
        <v>81</v>
      </c>
      <c r="E990" s="2" t="str">
        <f>HYPERLINK("capsilon://?command=openfolder&amp;siteaddress=FAM.docvelocity-na8.net&amp;folderid=FXE6E62341-8147-A6F1-C55C-62EDD41F75D3","FX20115359")</f>
        <v>FX20115359</v>
      </c>
      <c r="F990" t="s">
        <v>19</v>
      </c>
      <c r="G990" t="s">
        <v>19</v>
      </c>
      <c r="H990" t="s">
        <v>82</v>
      </c>
      <c r="I990" t="s">
        <v>2568</v>
      </c>
      <c r="J990">
        <v>66</v>
      </c>
      <c r="K990" t="s">
        <v>84</v>
      </c>
      <c r="L990" t="s">
        <v>85</v>
      </c>
      <c r="M990" t="s">
        <v>86</v>
      </c>
      <c r="N990">
        <v>3</v>
      </c>
      <c r="O990" s="1">
        <v>44209.357430555552</v>
      </c>
      <c r="P990" s="1">
        <v>44209.409004629626</v>
      </c>
      <c r="Q990">
        <v>4320</v>
      </c>
      <c r="R990">
        <v>136</v>
      </c>
      <c r="S990" t="b">
        <v>0</v>
      </c>
      <c r="T990" t="s">
        <v>87</v>
      </c>
      <c r="U990" t="b">
        <v>0</v>
      </c>
      <c r="V990" t="s">
        <v>419</v>
      </c>
      <c r="W990" s="1">
        <v>44209.359560185185</v>
      </c>
      <c r="X990">
        <v>108</v>
      </c>
      <c r="Y990">
        <v>0</v>
      </c>
      <c r="Z990">
        <v>0</v>
      </c>
      <c r="AA990">
        <v>0</v>
      </c>
      <c r="AB990">
        <v>52</v>
      </c>
      <c r="AC990">
        <v>0</v>
      </c>
      <c r="AD990">
        <v>66</v>
      </c>
      <c r="AE990">
        <v>0</v>
      </c>
      <c r="AF990">
        <v>0</v>
      </c>
      <c r="AG990">
        <v>0</v>
      </c>
      <c r="AH990" t="s">
        <v>94</v>
      </c>
      <c r="AI990" s="1">
        <v>44209.362962962965</v>
      </c>
      <c r="AJ990">
        <v>25</v>
      </c>
      <c r="AK990">
        <v>0</v>
      </c>
      <c r="AL990">
        <v>0</v>
      </c>
      <c r="AM990">
        <v>0</v>
      </c>
      <c r="AN990">
        <v>52</v>
      </c>
      <c r="AO990">
        <v>0</v>
      </c>
      <c r="AP990">
        <v>66</v>
      </c>
      <c r="AQ990">
        <v>0</v>
      </c>
      <c r="AR990">
        <v>0</v>
      </c>
      <c r="AS990">
        <v>0</v>
      </c>
      <c r="AT990" t="s">
        <v>90</v>
      </c>
      <c r="AU990" s="1">
        <v>44209.409004629626</v>
      </c>
      <c r="AV990">
        <v>3</v>
      </c>
      <c r="AW990">
        <v>0</v>
      </c>
      <c r="AX990">
        <v>0</v>
      </c>
      <c r="AY990">
        <v>0</v>
      </c>
      <c r="AZ990">
        <v>52</v>
      </c>
      <c r="BA990">
        <v>0</v>
      </c>
      <c r="BB990">
        <v>66</v>
      </c>
      <c r="BC990">
        <v>0</v>
      </c>
      <c r="BD990">
        <v>0</v>
      </c>
      <c r="BE990">
        <v>0</v>
      </c>
    </row>
    <row r="991" spans="1:57" x14ac:dyDescent="0.45">
      <c r="A991" t="s">
        <v>2569</v>
      </c>
      <c r="B991" t="s">
        <v>79</v>
      </c>
      <c r="C991" t="s">
        <v>2570</v>
      </c>
      <c r="D991" t="s">
        <v>81</v>
      </c>
      <c r="E991" s="2" t="str">
        <f>HYPERLINK("capsilon://?command=openfolder&amp;siteaddress=FAM.docvelocity-na8.net&amp;folderid=FX0E85D25D-02D3-CF40-1FE2-EC92D98FC9E3","FX21011808")</f>
        <v>FX21011808</v>
      </c>
      <c r="F991" t="s">
        <v>19</v>
      </c>
      <c r="G991" t="s">
        <v>19</v>
      </c>
      <c r="H991" t="s">
        <v>82</v>
      </c>
      <c r="I991" t="s">
        <v>2571</v>
      </c>
      <c r="J991">
        <v>38</v>
      </c>
      <c r="K991" t="s">
        <v>84</v>
      </c>
      <c r="L991" t="s">
        <v>85</v>
      </c>
      <c r="M991" t="s">
        <v>86</v>
      </c>
      <c r="N991">
        <v>3</v>
      </c>
      <c r="O991" s="1">
        <v>44209.364895833336</v>
      </c>
      <c r="P991" s="1">
        <v>44209.409074074072</v>
      </c>
      <c r="Q991">
        <v>2900</v>
      </c>
      <c r="R991">
        <v>917</v>
      </c>
      <c r="S991" t="b">
        <v>0</v>
      </c>
      <c r="T991" t="s">
        <v>87</v>
      </c>
      <c r="U991" t="b">
        <v>0</v>
      </c>
      <c r="V991" t="s">
        <v>88</v>
      </c>
      <c r="W991" s="1">
        <v>44209.373680555553</v>
      </c>
      <c r="X991">
        <v>733</v>
      </c>
      <c r="Y991">
        <v>37</v>
      </c>
      <c r="Z991">
        <v>0</v>
      </c>
      <c r="AA991">
        <v>37</v>
      </c>
      <c r="AB991">
        <v>0</v>
      </c>
      <c r="AC991">
        <v>7</v>
      </c>
      <c r="AD991">
        <v>1</v>
      </c>
      <c r="AE991">
        <v>0</v>
      </c>
      <c r="AF991">
        <v>0</v>
      </c>
      <c r="AG991">
        <v>0</v>
      </c>
      <c r="AH991" t="s">
        <v>94</v>
      </c>
      <c r="AI991" s="1">
        <v>44209.378738425927</v>
      </c>
      <c r="AJ991">
        <v>178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 t="s">
        <v>90</v>
      </c>
      <c r="AU991" s="1">
        <v>44209.409074074072</v>
      </c>
      <c r="AV991">
        <v>6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</row>
    <row r="992" spans="1:57" x14ac:dyDescent="0.45">
      <c r="A992" t="s">
        <v>2572</v>
      </c>
      <c r="B992" t="s">
        <v>79</v>
      </c>
      <c r="C992" t="s">
        <v>2573</v>
      </c>
      <c r="D992" t="s">
        <v>81</v>
      </c>
      <c r="E992" s="2" t="str">
        <f>HYPERLINK("capsilon://?command=openfolder&amp;siteaddress=FAM.docvelocity-na8.net&amp;folderid=FX21B6CEBD-8282-79F2-14FD-082C00B63E23","FX201221349")</f>
        <v>FX201221349</v>
      </c>
      <c r="F992" t="s">
        <v>19</v>
      </c>
      <c r="G992" t="s">
        <v>19</v>
      </c>
      <c r="H992" t="s">
        <v>82</v>
      </c>
      <c r="I992" t="s">
        <v>2574</v>
      </c>
      <c r="J992">
        <v>31</v>
      </c>
      <c r="K992" t="s">
        <v>84</v>
      </c>
      <c r="L992" t="s">
        <v>85</v>
      </c>
      <c r="M992" t="s">
        <v>86</v>
      </c>
      <c r="N992">
        <v>3</v>
      </c>
      <c r="O992" s="1">
        <v>44209.368437500001</v>
      </c>
      <c r="P992" s="1">
        <v>44209.411481481482</v>
      </c>
      <c r="Q992">
        <v>1938</v>
      </c>
      <c r="R992">
        <v>1781</v>
      </c>
      <c r="S992" t="b">
        <v>0</v>
      </c>
      <c r="T992" t="s">
        <v>87</v>
      </c>
      <c r="U992" t="b">
        <v>0</v>
      </c>
      <c r="V992" t="s">
        <v>105</v>
      </c>
      <c r="W992" s="1">
        <v>44209.37636574074</v>
      </c>
      <c r="X992">
        <v>683</v>
      </c>
      <c r="Y992">
        <v>43</v>
      </c>
      <c r="Z992">
        <v>0</v>
      </c>
      <c r="AA992">
        <v>43</v>
      </c>
      <c r="AB992">
        <v>0</v>
      </c>
      <c r="AC992">
        <v>24</v>
      </c>
      <c r="AD992">
        <v>-12</v>
      </c>
      <c r="AE992">
        <v>0</v>
      </c>
      <c r="AF992">
        <v>0</v>
      </c>
      <c r="AG992">
        <v>0</v>
      </c>
      <c r="AH992" t="s">
        <v>89</v>
      </c>
      <c r="AI992" s="1">
        <v>44209.40488425926</v>
      </c>
      <c r="AJ992">
        <v>870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-12</v>
      </c>
      <c r="AQ992">
        <v>0</v>
      </c>
      <c r="AR992">
        <v>0</v>
      </c>
      <c r="AS992">
        <v>0</v>
      </c>
      <c r="AT992" t="s">
        <v>90</v>
      </c>
      <c r="AU992" s="1">
        <v>44209.411481481482</v>
      </c>
      <c r="AV992">
        <v>208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-12</v>
      </c>
      <c r="BC992">
        <v>0</v>
      </c>
      <c r="BD992">
        <v>0</v>
      </c>
      <c r="BE992">
        <v>0</v>
      </c>
    </row>
    <row r="993" spans="1:57" x14ac:dyDescent="0.45">
      <c r="A993" t="s">
        <v>2575</v>
      </c>
      <c r="B993" t="s">
        <v>79</v>
      </c>
      <c r="C993" t="s">
        <v>2576</v>
      </c>
      <c r="D993" t="s">
        <v>81</v>
      </c>
      <c r="E993" s="2" t="str">
        <f>HYPERLINK("capsilon://?command=openfolder&amp;siteaddress=FAM.docvelocity-na8.net&amp;folderid=FX077B41FC-8AC6-6181-B0ED-DBE7A609539B","FX21014849")</f>
        <v>FX21014849</v>
      </c>
      <c r="F993" t="s">
        <v>19</v>
      </c>
      <c r="G993" t="s">
        <v>19</v>
      </c>
      <c r="H993" t="s">
        <v>82</v>
      </c>
      <c r="I993" t="s">
        <v>2577</v>
      </c>
      <c r="J993">
        <v>532</v>
      </c>
      <c r="K993" t="s">
        <v>84</v>
      </c>
      <c r="L993" t="s">
        <v>85</v>
      </c>
      <c r="M993" t="s">
        <v>86</v>
      </c>
      <c r="N993">
        <v>3</v>
      </c>
      <c r="O993" s="1">
        <v>44209.37296296296</v>
      </c>
      <c r="P993" s="1">
        <v>44209.501458333332</v>
      </c>
      <c r="Q993">
        <v>5444</v>
      </c>
      <c r="R993">
        <v>5658</v>
      </c>
      <c r="S993" t="b">
        <v>0</v>
      </c>
      <c r="T993" t="s">
        <v>87</v>
      </c>
      <c r="U993" t="b">
        <v>0</v>
      </c>
      <c r="V993" t="s">
        <v>88</v>
      </c>
      <c r="W993" s="1">
        <v>44209.421412037038</v>
      </c>
      <c r="X993">
        <v>4123</v>
      </c>
      <c r="Y993">
        <v>403</v>
      </c>
      <c r="Z993">
        <v>0</v>
      </c>
      <c r="AA993">
        <v>403</v>
      </c>
      <c r="AB993">
        <v>27</v>
      </c>
      <c r="AC993">
        <v>171</v>
      </c>
      <c r="AD993">
        <v>129</v>
      </c>
      <c r="AE993">
        <v>0</v>
      </c>
      <c r="AF993">
        <v>0</v>
      </c>
      <c r="AG993">
        <v>0</v>
      </c>
      <c r="AH993" t="s">
        <v>108</v>
      </c>
      <c r="AI993" s="1">
        <v>44209.456678240742</v>
      </c>
      <c r="AJ993">
        <v>1326</v>
      </c>
      <c r="AK993">
        <v>2</v>
      </c>
      <c r="AL993">
        <v>0</v>
      </c>
      <c r="AM993">
        <v>2</v>
      </c>
      <c r="AN993">
        <v>27</v>
      </c>
      <c r="AO993">
        <v>0</v>
      </c>
      <c r="AP993">
        <v>127</v>
      </c>
      <c r="AQ993">
        <v>0</v>
      </c>
      <c r="AR993">
        <v>0</v>
      </c>
      <c r="AS993">
        <v>0</v>
      </c>
      <c r="AT993" t="s">
        <v>90</v>
      </c>
      <c r="AU993" s="1">
        <v>44209.501458333332</v>
      </c>
      <c r="AV993">
        <v>110</v>
      </c>
      <c r="AW993">
        <v>1</v>
      </c>
      <c r="AX993">
        <v>0</v>
      </c>
      <c r="AY993">
        <v>1</v>
      </c>
      <c r="AZ993">
        <v>75</v>
      </c>
      <c r="BA993">
        <v>1</v>
      </c>
      <c r="BB993">
        <v>126</v>
      </c>
      <c r="BC993">
        <v>0</v>
      </c>
      <c r="BD993">
        <v>0</v>
      </c>
      <c r="BE993">
        <v>0</v>
      </c>
    </row>
    <row r="994" spans="1:57" x14ac:dyDescent="0.45">
      <c r="A994" t="s">
        <v>2578</v>
      </c>
      <c r="B994" t="s">
        <v>79</v>
      </c>
      <c r="C994" t="s">
        <v>640</v>
      </c>
      <c r="D994" t="s">
        <v>81</v>
      </c>
      <c r="E994" s="2" t="str">
        <f>HYPERLINK("capsilon://?command=openfolder&amp;siteaddress=FAM.docvelocity-na8.net&amp;folderid=FX62295A95-55C4-5C1B-5039-98A3B81505DD","FX201115306")</f>
        <v>FX201115306</v>
      </c>
      <c r="F994" t="s">
        <v>19</v>
      </c>
      <c r="G994" t="s">
        <v>19</v>
      </c>
      <c r="H994" t="s">
        <v>82</v>
      </c>
      <c r="I994" t="s">
        <v>2579</v>
      </c>
      <c r="J994">
        <v>58</v>
      </c>
      <c r="K994" t="s">
        <v>84</v>
      </c>
      <c r="L994" t="s">
        <v>85</v>
      </c>
      <c r="M994" t="s">
        <v>86</v>
      </c>
      <c r="N994">
        <v>3</v>
      </c>
      <c r="O994" s="1">
        <v>44209.381122685183</v>
      </c>
      <c r="P994" s="1">
        <v>44209.411759259259</v>
      </c>
      <c r="Q994">
        <v>822</v>
      </c>
      <c r="R994">
        <v>1825</v>
      </c>
      <c r="S994" t="b">
        <v>0</v>
      </c>
      <c r="T994" t="s">
        <v>87</v>
      </c>
      <c r="U994" t="b">
        <v>0</v>
      </c>
      <c r="V994" t="s">
        <v>919</v>
      </c>
      <c r="W994" s="1">
        <v>44209.389641203707</v>
      </c>
      <c r="X994">
        <v>735</v>
      </c>
      <c r="Y994">
        <v>54</v>
      </c>
      <c r="Z994">
        <v>0</v>
      </c>
      <c r="AA994">
        <v>54</v>
      </c>
      <c r="AB994">
        <v>0</v>
      </c>
      <c r="AC994">
        <v>30</v>
      </c>
      <c r="AD994">
        <v>4</v>
      </c>
      <c r="AE994">
        <v>0</v>
      </c>
      <c r="AF994">
        <v>0</v>
      </c>
      <c r="AG994">
        <v>0</v>
      </c>
      <c r="AH994" t="s">
        <v>94</v>
      </c>
      <c r="AI994" s="1">
        <v>44209.40724537037</v>
      </c>
      <c r="AJ994">
        <v>1067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3</v>
      </c>
      <c r="AQ994">
        <v>0</v>
      </c>
      <c r="AR994">
        <v>0</v>
      </c>
      <c r="AS994">
        <v>0</v>
      </c>
      <c r="AT994" t="s">
        <v>90</v>
      </c>
      <c r="AU994" s="1">
        <v>44209.411759259259</v>
      </c>
      <c r="AV994">
        <v>23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3</v>
      </c>
      <c r="BC994">
        <v>0</v>
      </c>
      <c r="BD994">
        <v>0</v>
      </c>
      <c r="BE994">
        <v>0</v>
      </c>
    </row>
    <row r="995" spans="1:57" hidden="1" x14ac:dyDescent="0.45">
      <c r="A995" t="s">
        <v>2580</v>
      </c>
      <c r="B995" t="s">
        <v>79</v>
      </c>
      <c r="C995" t="s">
        <v>2581</v>
      </c>
      <c r="D995" t="s">
        <v>81</v>
      </c>
      <c r="E995" s="2" t="str">
        <f>HYPERLINK("capsilon://?command=openfolder&amp;siteaddress=FAM.docvelocity-na8.net&amp;folderid=FXEA6B486C-1687-73E3-BDBA-D541EDF4B793","FX201222659")</f>
        <v>FX201222659</v>
      </c>
      <c r="F995" t="s">
        <v>19</v>
      </c>
      <c r="G995" t="s">
        <v>19</v>
      </c>
      <c r="H995" t="s">
        <v>82</v>
      </c>
      <c r="I995" t="s">
        <v>2582</v>
      </c>
      <c r="J995">
        <v>66</v>
      </c>
      <c r="K995" t="s">
        <v>84</v>
      </c>
      <c r="L995" t="s">
        <v>85</v>
      </c>
      <c r="M995" t="s">
        <v>86</v>
      </c>
      <c r="N995">
        <v>1</v>
      </c>
      <c r="O995" s="1">
        <v>44209.381423611114</v>
      </c>
      <c r="P995" s="1">
        <v>44209.395844907405</v>
      </c>
      <c r="Q995">
        <v>2</v>
      </c>
      <c r="R995">
        <v>1244</v>
      </c>
      <c r="S995" t="b">
        <v>0</v>
      </c>
      <c r="T995" t="s">
        <v>87</v>
      </c>
      <c r="U995" t="b">
        <v>0</v>
      </c>
      <c r="V995" t="s">
        <v>419</v>
      </c>
      <c r="W995" s="1">
        <v>44209.395844907405</v>
      </c>
      <c r="X995">
        <v>1244</v>
      </c>
      <c r="Y995">
        <v>0</v>
      </c>
      <c r="Z995">
        <v>0</v>
      </c>
      <c r="AA995">
        <v>0</v>
      </c>
      <c r="AB995">
        <v>0</v>
      </c>
      <c r="AC995">
        <v>5</v>
      </c>
      <c r="AD995">
        <v>66</v>
      </c>
      <c r="AE995">
        <v>52</v>
      </c>
      <c r="AF995">
        <v>0</v>
      </c>
      <c r="AG995">
        <v>2</v>
      </c>
      <c r="AH995" t="s">
        <v>87</v>
      </c>
      <c r="AI995" t="s">
        <v>87</v>
      </c>
      <c r="AJ995" t="s">
        <v>87</v>
      </c>
      <c r="AK995" t="s">
        <v>87</v>
      </c>
      <c r="AL995" t="s">
        <v>87</v>
      </c>
      <c r="AM995" t="s">
        <v>87</v>
      </c>
      <c r="AN995" t="s">
        <v>87</v>
      </c>
      <c r="AO995" t="s">
        <v>87</v>
      </c>
      <c r="AP995" t="s">
        <v>87</v>
      </c>
      <c r="AQ995" t="s">
        <v>87</v>
      </c>
      <c r="AR995" t="s">
        <v>87</v>
      </c>
      <c r="AS995" t="s">
        <v>87</v>
      </c>
      <c r="AT995" t="s">
        <v>87</v>
      </c>
      <c r="AU995" t="s">
        <v>87</v>
      </c>
      <c r="AV995" t="s">
        <v>87</v>
      </c>
      <c r="AW995" t="s">
        <v>87</v>
      </c>
      <c r="AX995" t="s">
        <v>87</v>
      </c>
      <c r="AY995" t="s">
        <v>87</v>
      </c>
      <c r="AZ995" t="s">
        <v>87</v>
      </c>
      <c r="BA995" t="s">
        <v>87</v>
      </c>
      <c r="BB995" t="s">
        <v>87</v>
      </c>
      <c r="BC995" t="s">
        <v>87</v>
      </c>
      <c r="BD995" t="s">
        <v>87</v>
      </c>
      <c r="BE995" t="s">
        <v>87</v>
      </c>
    </row>
    <row r="996" spans="1:57" x14ac:dyDescent="0.45">
      <c r="A996" t="s">
        <v>2583</v>
      </c>
      <c r="B996" t="s">
        <v>79</v>
      </c>
      <c r="C996" t="s">
        <v>2584</v>
      </c>
      <c r="D996" t="s">
        <v>81</v>
      </c>
      <c r="E996" s="2" t="str">
        <f>HYPERLINK("capsilon://?command=openfolder&amp;siteaddress=FAM.docvelocity-na8.net&amp;folderid=FXB25C7E45-953F-E83E-3057-208359C293DA","FX20126291")</f>
        <v>FX20126291</v>
      </c>
      <c r="F996" t="s">
        <v>19</v>
      </c>
      <c r="G996" t="s">
        <v>19</v>
      </c>
      <c r="H996" t="s">
        <v>82</v>
      </c>
      <c r="I996" t="s">
        <v>2585</v>
      </c>
      <c r="J996">
        <v>38</v>
      </c>
      <c r="K996" t="s">
        <v>84</v>
      </c>
      <c r="L996" t="s">
        <v>85</v>
      </c>
      <c r="M996" t="s">
        <v>86</v>
      </c>
      <c r="N996">
        <v>3</v>
      </c>
      <c r="O996" s="1">
        <v>44209.387557870374</v>
      </c>
      <c r="P996" s="1">
        <v>44209.411851851852</v>
      </c>
      <c r="Q996">
        <v>1056</v>
      </c>
      <c r="R996">
        <v>1043</v>
      </c>
      <c r="S996" t="b">
        <v>0</v>
      </c>
      <c r="T996" t="s">
        <v>87</v>
      </c>
      <c r="U996" t="b">
        <v>0</v>
      </c>
      <c r="V996" t="s">
        <v>98</v>
      </c>
      <c r="W996" s="1">
        <v>44209.39565972222</v>
      </c>
      <c r="X996">
        <v>687</v>
      </c>
      <c r="Y996">
        <v>37</v>
      </c>
      <c r="Z996">
        <v>0</v>
      </c>
      <c r="AA996">
        <v>37</v>
      </c>
      <c r="AB996">
        <v>0</v>
      </c>
      <c r="AC996">
        <v>23</v>
      </c>
      <c r="AD996">
        <v>1</v>
      </c>
      <c r="AE996">
        <v>0</v>
      </c>
      <c r="AF996">
        <v>0</v>
      </c>
      <c r="AG996">
        <v>0</v>
      </c>
      <c r="AH996" t="s">
        <v>94</v>
      </c>
      <c r="AI996" s="1">
        <v>44209.411041666666</v>
      </c>
      <c r="AJ996">
        <v>327</v>
      </c>
      <c r="AK996">
        <v>2</v>
      </c>
      <c r="AL996">
        <v>0</v>
      </c>
      <c r="AM996">
        <v>2</v>
      </c>
      <c r="AN996">
        <v>0</v>
      </c>
      <c r="AO996">
        <v>2</v>
      </c>
      <c r="AP996">
        <v>-1</v>
      </c>
      <c r="AQ996">
        <v>0</v>
      </c>
      <c r="AR996">
        <v>0</v>
      </c>
      <c r="AS996">
        <v>0</v>
      </c>
      <c r="AT996" t="s">
        <v>90</v>
      </c>
      <c r="AU996" s="1">
        <v>44209.411851851852</v>
      </c>
      <c r="AV996">
        <v>7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-1</v>
      </c>
      <c r="BC996">
        <v>0</v>
      </c>
      <c r="BD996">
        <v>0</v>
      </c>
      <c r="BE996">
        <v>0</v>
      </c>
    </row>
    <row r="997" spans="1:57" hidden="1" x14ac:dyDescent="0.45">
      <c r="A997" t="s">
        <v>2586</v>
      </c>
      <c r="B997" t="s">
        <v>79</v>
      </c>
      <c r="C997" t="s">
        <v>364</v>
      </c>
      <c r="D997" t="s">
        <v>81</v>
      </c>
      <c r="E997" s="2" t="str">
        <f>HYPERLINK("capsilon://?command=openfolder&amp;siteaddress=FAM.docvelocity-na8.net&amp;folderid=FXB3651E3F-06D8-899A-8677-3034E239CD09","FX20124870")</f>
        <v>FX20124870</v>
      </c>
      <c r="F997" t="s">
        <v>19</v>
      </c>
      <c r="G997" t="s">
        <v>19</v>
      </c>
      <c r="H997" t="s">
        <v>82</v>
      </c>
      <c r="I997" t="s">
        <v>2587</v>
      </c>
      <c r="J997">
        <v>66</v>
      </c>
      <c r="K997" t="s">
        <v>84</v>
      </c>
      <c r="L997" t="s">
        <v>85</v>
      </c>
      <c r="M997" t="s">
        <v>86</v>
      </c>
      <c r="N997">
        <v>3</v>
      </c>
      <c r="O997" s="1">
        <v>44209.393958333334</v>
      </c>
      <c r="P997" s="1">
        <v>44209.411886574075</v>
      </c>
      <c r="Q997">
        <v>1356</v>
      </c>
      <c r="R997">
        <v>193</v>
      </c>
      <c r="S997" t="b">
        <v>0</v>
      </c>
      <c r="T997" t="s">
        <v>87</v>
      </c>
      <c r="U997" t="b">
        <v>0</v>
      </c>
      <c r="V997" t="s">
        <v>98</v>
      </c>
      <c r="W997" s="1">
        <v>44209.397060185183</v>
      </c>
      <c r="X997">
        <v>120</v>
      </c>
      <c r="Y997">
        <v>0</v>
      </c>
      <c r="Z997">
        <v>0</v>
      </c>
      <c r="AA997">
        <v>0</v>
      </c>
      <c r="AB997">
        <v>52</v>
      </c>
      <c r="AC997">
        <v>0</v>
      </c>
      <c r="AD997">
        <v>66</v>
      </c>
      <c r="AE997">
        <v>0</v>
      </c>
      <c r="AF997">
        <v>0</v>
      </c>
      <c r="AG997">
        <v>0</v>
      </c>
      <c r="AH997" t="s">
        <v>89</v>
      </c>
      <c r="AI997" s="1">
        <v>44209.408842592595</v>
      </c>
      <c r="AJ997">
        <v>70</v>
      </c>
      <c r="AK997">
        <v>0</v>
      </c>
      <c r="AL997">
        <v>0</v>
      </c>
      <c r="AM997">
        <v>0</v>
      </c>
      <c r="AN997">
        <v>52</v>
      </c>
      <c r="AO997">
        <v>0</v>
      </c>
      <c r="AP997">
        <v>66</v>
      </c>
      <c r="AQ997">
        <v>0</v>
      </c>
      <c r="AR997">
        <v>0</v>
      </c>
      <c r="AS997">
        <v>0</v>
      </c>
      <c r="AT997" t="s">
        <v>90</v>
      </c>
      <c r="AU997" s="1">
        <v>44209.411886574075</v>
      </c>
      <c r="AV997">
        <v>3</v>
      </c>
      <c r="AW997">
        <v>0</v>
      </c>
      <c r="AX997">
        <v>0</v>
      </c>
      <c r="AY997">
        <v>0</v>
      </c>
      <c r="AZ997">
        <v>52</v>
      </c>
      <c r="BA997">
        <v>0</v>
      </c>
      <c r="BB997">
        <v>66</v>
      </c>
      <c r="BC997">
        <v>0</v>
      </c>
      <c r="BD997">
        <v>0</v>
      </c>
      <c r="BE997">
        <v>0</v>
      </c>
    </row>
    <row r="998" spans="1:57" x14ac:dyDescent="0.45">
      <c r="A998" t="s">
        <v>2588</v>
      </c>
      <c r="B998" t="s">
        <v>79</v>
      </c>
      <c r="C998" t="s">
        <v>2589</v>
      </c>
      <c r="D998" t="s">
        <v>81</v>
      </c>
      <c r="E998" s="2" t="str">
        <f>HYPERLINK("capsilon://?command=openfolder&amp;siteaddress=FAM.docvelocity-na8.net&amp;folderid=FX10EF0C96-9773-4A74-7EAE-E17C422C8693","FX20128235")</f>
        <v>FX20128235</v>
      </c>
      <c r="F998" t="s">
        <v>19</v>
      </c>
      <c r="G998" t="s">
        <v>19</v>
      </c>
      <c r="H998" t="s">
        <v>82</v>
      </c>
      <c r="I998" t="s">
        <v>2590</v>
      </c>
      <c r="J998">
        <v>83</v>
      </c>
      <c r="K998" t="s">
        <v>84</v>
      </c>
      <c r="L998" t="s">
        <v>85</v>
      </c>
      <c r="M998" t="s">
        <v>86</v>
      </c>
      <c r="N998">
        <v>3</v>
      </c>
      <c r="O998" s="1">
        <v>44209.394918981481</v>
      </c>
      <c r="P998" s="1">
        <v>44209.423796296294</v>
      </c>
      <c r="Q998">
        <v>1184</v>
      </c>
      <c r="R998">
        <v>1311</v>
      </c>
      <c r="S998" t="b">
        <v>0</v>
      </c>
      <c r="T998" t="s">
        <v>87</v>
      </c>
      <c r="U998" t="b">
        <v>0</v>
      </c>
      <c r="V998" t="s">
        <v>112</v>
      </c>
      <c r="W998" s="1">
        <v>44209.400625000002</v>
      </c>
      <c r="X998">
        <v>418</v>
      </c>
      <c r="Y998">
        <v>64</v>
      </c>
      <c r="Z998">
        <v>0</v>
      </c>
      <c r="AA998">
        <v>64</v>
      </c>
      <c r="AB998">
        <v>0</v>
      </c>
      <c r="AC998">
        <v>19</v>
      </c>
      <c r="AD998">
        <v>19</v>
      </c>
      <c r="AE998">
        <v>0</v>
      </c>
      <c r="AF998">
        <v>0</v>
      </c>
      <c r="AG998">
        <v>0</v>
      </c>
      <c r="AH998" t="s">
        <v>89</v>
      </c>
      <c r="AI998" s="1">
        <v>44209.418923611112</v>
      </c>
      <c r="AJ998">
        <v>870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19</v>
      </c>
      <c r="AQ998">
        <v>0</v>
      </c>
      <c r="AR998">
        <v>0</v>
      </c>
      <c r="AS998">
        <v>0</v>
      </c>
      <c r="AT998" t="s">
        <v>90</v>
      </c>
      <c r="AU998" s="1">
        <v>44209.423796296294</v>
      </c>
      <c r="AV998">
        <v>23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19</v>
      </c>
      <c r="BC998">
        <v>0</v>
      </c>
      <c r="BD998">
        <v>0</v>
      </c>
      <c r="BE998">
        <v>0</v>
      </c>
    </row>
    <row r="999" spans="1:57" x14ac:dyDescent="0.45">
      <c r="A999" t="s">
        <v>2591</v>
      </c>
      <c r="B999" t="s">
        <v>79</v>
      </c>
      <c r="C999" t="s">
        <v>2581</v>
      </c>
      <c r="D999" t="s">
        <v>81</v>
      </c>
      <c r="E999" s="2" t="str">
        <f>HYPERLINK("capsilon://?command=openfolder&amp;siteaddress=FAM.docvelocity-na8.net&amp;folderid=FXEA6B486C-1687-73E3-BDBA-D541EDF4B793","FX201222659")</f>
        <v>FX201222659</v>
      </c>
      <c r="F999" t="s">
        <v>19</v>
      </c>
      <c r="G999" t="s">
        <v>19</v>
      </c>
      <c r="H999" t="s">
        <v>82</v>
      </c>
      <c r="I999" t="s">
        <v>2582</v>
      </c>
      <c r="J999">
        <v>76</v>
      </c>
      <c r="K999" t="s">
        <v>84</v>
      </c>
      <c r="L999" t="s">
        <v>85</v>
      </c>
      <c r="M999" t="s">
        <v>86</v>
      </c>
      <c r="N999">
        <v>3</v>
      </c>
      <c r="O999" s="1">
        <v>44209.396192129629</v>
      </c>
      <c r="P999" s="1">
        <v>44209.500034722223</v>
      </c>
      <c r="Q999">
        <v>7262</v>
      </c>
      <c r="R999">
        <v>1710</v>
      </c>
      <c r="S999" t="b">
        <v>0</v>
      </c>
      <c r="T999" t="s">
        <v>87</v>
      </c>
      <c r="U999" t="b">
        <v>1</v>
      </c>
      <c r="V999" t="s">
        <v>419</v>
      </c>
      <c r="W999" s="1">
        <v>44209.411585648151</v>
      </c>
      <c r="X999">
        <v>1327</v>
      </c>
      <c r="Y999">
        <v>74</v>
      </c>
      <c r="Z999">
        <v>0</v>
      </c>
      <c r="AA999">
        <v>74</v>
      </c>
      <c r="AB999">
        <v>0</v>
      </c>
      <c r="AC999">
        <v>51</v>
      </c>
      <c r="AD999">
        <v>2</v>
      </c>
      <c r="AE999">
        <v>0</v>
      </c>
      <c r="AF999">
        <v>0</v>
      </c>
      <c r="AG999">
        <v>0</v>
      </c>
      <c r="AH999" t="s">
        <v>108</v>
      </c>
      <c r="AI999" s="1">
        <v>44209.441319444442</v>
      </c>
      <c r="AJ999">
        <v>328</v>
      </c>
      <c r="AK999">
        <v>3</v>
      </c>
      <c r="AL999">
        <v>0</v>
      </c>
      <c r="AM999">
        <v>3</v>
      </c>
      <c r="AN999">
        <v>0</v>
      </c>
      <c r="AO999">
        <v>1</v>
      </c>
      <c r="AP999">
        <v>-1</v>
      </c>
      <c r="AQ999">
        <v>0</v>
      </c>
      <c r="AR999">
        <v>0</v>
      </c>
      <c r="AS999">
        <v>0</v>
      </c>
      <c r="AT999" t="s">
        <v>90</v>
      </c>
      <c r="AU999" s="1">
        <v>44209.500034722223</v>
      </c>
      <c r="AV999">
        <v>10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-1</v>
      </c>
      <c r="BC999">
        <v>0</v>
      </c>
      <c r="BD999">
        <v>0</v>
      </c>
      <c r="BE999">
        <v>0</v>
      </c>
    </row>
    <row r="1000" spans="1:57" x14ac:dyDescent="0.45">
      <c r="A1000" t="s">
        <v>2592</v>
      </c>
      <c r="B1000" t="s">
        <v>79</v>
      </c>
      <c r="C1000" t="s">
        <v>2562</v>
      </c>
      <c r="D1000" t="s">
        <v>81</v>
      </c>
      <c r="E1000" s="2" t="str">
        <f>HYPERLINK("capsilon://?command=openfolder&amp;siteaddress=FAM.docvelocity-na8.net&amp;folderid=FX5724C34D-C79B-B031-44B8-42773C54845B","FX20126662")</f>
        <v>FX20126662</v>
      </c>
      <c r="F1000" t="s">
        <v>19</v>
      </c>
      <c r="G1000" t="s">
        <v>19</v>
      </c>
      <c r="H1000" t="s">
        <v>82</v>
      </c>
      <c r="I1000" t="s">
        <v>2593</v>
      </c>
      <c r="J1000">
        <v>115</v>
      </c>
      <c r="K1000" t="s">
        <v>84</v>
      </c>
      <c r="L1000" t="s">
        <v>85</v>
      </c>
      <c r="M1000" t="s">
        <v>86</v>
      </c>
      <c r="N1000">
        <v>3</v>
      </c>
      <c r="O1000" s="1">
        <v>44209.422210648147</v>
      </c>
      <c r="P1000" s="1">
        <v>44209.503854166665</v>
      </c>
      <c r="Q1000">
        <v>3983</v>
      </c>
      <c r="R1000">
        <v>3071</v>
      </c>
      <c r="S1000" t="b">
        <v>0</v>
      </c>
      <c r="T1000" t="s">
        <v>87</v>
      </c>
      <c r="U1000" t="b">
        <v>0</v>
      </c>
      <c r="V1000" t="s">
        <v>919</v>
      </c>
      <c r="W1000" s="1">
        <v>44209.441886574074</v>
      </c>
      <c r="X1000">
        <v>1699</v>
      </c>
      <c r="Y1000">
        <v>128</v>
      </c>
      <c r="Z1000">
        <v>0</v>
      </c>
      <c r="AA1000">
        <v>128</v>
      </c>
      <c r="AB1000">
        <v>0</v>
      </c>
      <c r="AC1000">
        <v>52</v>
      </c>
      <c r="AD1000">
        <v>-13</v>
      </c>
      <c r="AE1000">
        <v>0</v>
      </c>
      <c r="AF1000">
        <v>0</v>
      </c>
      <c r="AG1000">
        <v>0</v>
      </c>
      <c r="AH1000" t="s">
        <v>89</v>
      </c>
      <c r="AI1000" s="1">
        <v>44209.456817129627</v>
      </c>
      <c r="AJ1000">
        <v>1166</v>
      </c>
      <c r="AK1000">
        <v>1</v>
      </c>
      <c r="AL1000">
        <v>0</v>
      </c>
      <c r="AM1000">
        <v>1</v>
      </c>
      <c r="AN1000">
        <v>0</v>
      </c>
      <c r="AO1000">
        <v>0</v>
      </c>
      <c r="AP1000">
        <v>-14</v>
      </c>
      <c r="AQ1000">
        <v>0</v>
      </c>
      <c r="AR1000">
        <v>0</v>
      </c>
      <c r="AS1000">
        <v>0</v>
      </c>
      <c r="AT1000" t="s">
        <v>90</v>
      </c>
      <c r="AU1000" s="1">
        <v>44209.503854166665</v>
      </c>
      <c r="AV1000">
        <v>206</v>
      </c>
      <c r="AW1000">
        <v>1</v>
      </c>
      <c r="AX1000">
        <v>0</v>
      </c>
      <c r="AY1000">
        <v>1</v>
      </c>
      <c r="AZ1000">
        <v>0</v>
      </c>
      <c r="BA1000">
        <v>1</v>
      </c>
      <c r="BB1000">
        <v>-15</v>
      </c>
      <c r="BC1000">
        <v>0</v>
      </c>
      <c r="BD1000">
        <v>0</v>
      </c>
      <c r="BE1000">
        <v>0</v>
      </c>
    </row>
    <row r="1001" spans="1:57" hidden="1" x14ac:dyDescent="0.45">
      <c r="A1001" t="s">
        <v>2594</v>
      </c>
      <c r="B1001" t="s">
        <v>79</v>
      </c>
      <c r="C1001" t="s">
        <v>496</v>
      </c>
      <c r="D1001" t="s">
        <v>81</v>
      </c>
      <c r="E1001" s="2" t="str">
        <f>HYPERLINK("capsilon://?command=openfolder&amp;siteaddress=FAM.docvelocity-na8.net&amp;folderid=FXA8AD27CF-5ADC-8B3F-D90E-0066BBB4FEAF","FX20127897")</f>
        <v>FX20127897</v>
      </c>
      <c r="F1001" t="s">
        <v>19</v>
      </c>
      <c r="G1001" t="s">
        <v>19</v>
      </c>
      <c r="H1001" t="s">
        <v>82</v>
      </c>
      <c r="I1001" t="s">
        <v>2595</v>
      </c>
      <c r="J1001">
        <v>66</v>
      </c>
      <c r="K1001" t="s">
        <v>84</v>
      </c>
      <c r="L1001" t="s">
        <v>85</v>
      </c>
      <c r="M1001" t="s">
        <v>86</v>
      </c>
      <c r="N1001">
        <v>1</v>
      </c>
      <c r="O1001" s="1">
        <v>44209.429375</v>
      </c>
      <c r="P1001" s="1">
        <v>44209.43414351852</v>
      </c>
      <c r="Q1001">
        <v>5</v>
      </c>
      <c r="R1001">
        <v>407</v>
      </c>
      <c r="S1001" t="b">
        <v>0</v>
      </c>
      <c r="T1001" t="s">
        <v>87</v>
      </c>
      <c r="U1001" t="b">
        <v>0</v>
      </c>
      <c r="V1001" t="s">
        <v>1418</v>
      </c>
      <c r="W1001" s="1">
        <v>44209.43414351852</v>
      </c>
      <c r="X1001">
        <v>237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66</v>
      </c>
      <c r="AE1001">
        <v>52</v>
      </c>
      <c r="AF1001">
        <v>0</v>
      </c>
      <c r="AG1001">
        <v>2</v>
      </c>
      <c r="AH1001" t="s">
        <v>87</v>
      </c>
      <c r="AI1001" t="s">
        <v>87</v>
      </c>
      <c r="AJ1001" t="s">
        <v>87</v>
      </c>
      <c r="AK1001" t="s">
        <v>87</v>
      </c>
      <c r="AL1001" t="s">
        <v>87</v>
      </c>
      <c r="AM1001" t="s">
        <v>87</v>
      </c>
      <c r="AN1001" t="s">
        <v>87</v>
      </c>
      <c r="AO1001" t="s">
        <v>87</v>
      </c>
      <c r="AP1001" t="s">
        <v>87</v>
      </c>
      <c r="AQ1001" t="s">
        <v>87</v>
      </c>
      <c r="AR1001" t="s">
        <v>87</v>
      </c>
      <c r="AS1001" t="s">
        <v>87</v>
      </c>
      <c r="AT1001" t="s">
        <v>87</v>
      </c>
      <c r="AU1001" t="s">
        <v>87</v>
      </c>
      <c r="AV1001" t="s">
        <v>87</v>
      </c>
      <c r="AW1001" t="s">
        <v>87</v>
      </c>
      <c r="AX1001" t="s">
        <v>87</v>
      </c>
      <c r="AY1001" t="s">
        <v>87</v>
      </c>
      <c r="AZ1001" t="s">
        <v>87</v>
      </c>
      <c r="BA1001" t="s">
        <v>87</v>
      </c>
      <c r="BB1001" t="s">
        <v>87</v>
      </c>
      <c r="BC1001" t="s">
        <v>87</v>
      </c>
      <c r="BD1001" t="s">
        <v>87</v>
      </c>
      <c r="BE1001" t="s">
        <v>87</v>
      </c>
    </row>
    <row r="1002" spans="1:57" x14ac:dyDescent="0.45">
      <c r="A1002" t="s">
        <v>2596</v>
      </c>
      <c r="B1002" t="s">
        <v>79</v>
      </c>
      <c r="C1002" t="s">
        <v>1043</v>
      </c>
      <c r="D1002" t="s">
        <v>81</v>
      </c>
      <c r="E1002" s="2" t="str">
        <f>HYPERLINK("capsilon://?command=openfolder&amp;siteaddress=FAM.docvelocity-na8.net&amp;folderid=FX65C2396C-028D-AF71-DB7D-BADFC5206724","FX201226220")</f>
        <v>FX201226220</v>
      </c>
      <c r="F1002" t="s">
        <v>19</v>
      </c>
      <c r="G1002" t="s">
        <v>19</v>
      </c>
      <c r="H1002" t="s">
        <v>82</v>
      </c>
      <c r="I1002" t="s">
        <v>2597</v>
      </c>
      <c r="J1002">
        <v>354</v>
      </c>
      <c r="K1002" t="s">
        <v>84</v>
      </c>
      <c r="L1002" t="s">
        <v>85</v>
      </c>
      <c r="M1002" t="s">
        <v>86</v>
      </c>
      <c r="N1002">
        <v>3</v>
      </c>
      <c r="O1002" s="1">
        <v>44209.430567129632</v>
      </c>
      <c r="P1002" s="1">
        <v>44209.504861111112</v>
      </c>
      <c r="Q1002">
        <v>480</v>
      </c>
      <c r="R1002">
        <v>5939</v>
      </c>
      <c r="S1002" t="b">
        <v>0</v>
      </c>
      <c r="T1002" t="s">
        <v>87</v>
      </c>
      <c r="U1002" t="b">
        <v>0</v>
      </c>
      <c r="V1002" t="s">
        <v>88</v>
      </c>
      <c r="W1002" s="1">
        <v>44209.484826388885</v>
      </c>
      <c r="X1002">
        <v>4628</v>
      </c>
      <c r="Y1002">
        <v>358</v>
      </c>
      <c r="Z1002">
        <v>0</v>
      </c>
      <c r="AA1002">
        <v>358</v>
      </c>
      <c r="AB1002">
        <v>0</v>
      </c>
      <c r="AC1002">
        <v>186</v>
      </c>
      <c r="AD1002">
        <v>-4</v>
      </c>
      <c r="AE1002">
        <v>0</v>
      </c>
      <c r="AF1002">
        <v>0</v>
      </c>
      <c r="AG1002">
        <v>0</v>
      </c>
      <c r="AH1002" t="s">
        <v>128</v>
      </c>
      <c r="AI1002" s="1">
        <v>44209.499849537038</v>
      </c>
      <c r="AJ1002">
        <v>1224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-4</v>
      </c>
      <c r="AQ1002">
        <v>0</v>
      </c>
      <c r="AR1002">
        <v>0</v>
      </c>
      <c r="AS1002">
        <v>0</v>
      </c>
      <c r="AT1002" t="s">
        <v>90</v>
      </c>
      <c r="AU1002" s="1">
        <v>44209.504861111112</v>
      </c>
      <c r="AV1002">
        <v>87</v>
      </c>
      <c r="AW1002">
        <v>2</v>
      </c>
      <c r="AX1002">
        <v>0</v>
      </c>
      <c r="AY1002">
        <v>2</v>
      </c>
      <c r="AZ1002">
        <v>0</v>
      </c>
      <c r="BA1002">
        <v>2</v>
      </c>
      <c r="BB1002">
        <v>-6</v>
      </c>
      <c r="BC1002">
        <v>0</v>
      </c>
      <c r="BD1002">
        <v>0</v>
      </c>
      <c r="BE1002">
        <v>0</v>
      </c>
    </row>
    <row r="1003" spans="1:57" x14ac:dyDescent="0.45">
      <c r="A1003" t="s">
        <v>2598</v>
      </c>
      <c r="B1003" t="s">
        <v>79</v>
      </c>
      <c r="C1003" t="s">
        <v>2599</v>
      </c>
      <c r="D1003" t="s">
        <v>81</v>
      </c>
      <c r="E1003" s="2" t="str">
        <f>HYPERLINK("capsilon://?command=openfolder&amp;siteaddress=FAM.docvelocity-na8.net&amp;folderid=FX7E7F1298-5998-C55B-94DF-A74EC0F059A6","FX21015576")</f>
        <v>FX21015576</v>
      </c>
      <c r="F1003" t="s">
        <v>19</v>
      </c>
      <c r="G1003" t="s">
        <v>19</v>
      </c>
      <c r="H1003" t="s">
        <v>82</v>
      </c>
      <c r="I1003" t="s">
        <v>2600</v>
      </c>
      <c r="J1003">
        <v>220</v>
      </c>
      <c r="K1003" t="s">
        <v>84</v>
      </c>
      <c r="L1003" t="s">
        <v>85</v>
      </c>
      <c r="M1003" t="s">
        <v>86</v>
      </c>
      <c r="N1003">
        <v>3</v>
      </c>
      <c r="O1003" s="1">
        <v>44209.431817129633</v>
      </c>
      <c r="P1003" s="1">
        <v>44209.506076388891</v>
      </c>
      <c r="Q1003">
        <v>3537</v>
      </c>
      <c r="R1003">
        <v>2879</v>
      </c>
      <c r="S1003" t="b">
        <v>0</v>
      </c>
      <c r="T1003" t="s">
        <v>87</v>
      </c>
      <c r="U1003" t="b">
        <v>0</v>
      </c>
      <c r="V1003" t="s">
        <v>98</v>
      </c>
      <c r="W1003" s="1">
        <v>44209.455393518518</v>
      </c>
      <c r="X1003">
        <v>2037</v>
      </c>
      <c r="Y1003">
        <v>201</v>
      </c>
      <c r="Z1003">
        <v>0</v>
      </c>
      <c r="AA1003">
        <v>201</v>
      </c>
      <c r="AB1003">
        <v>0</v>
      </c>
      <c r="AC1003">
        <v>122</v>
      </c>
      <c r="AD1003">
        <v>19</v>
      </c>
      <c r="AE1003">
        <v>0</v>
      </c>
      <c r="AF1003">
        <v>0</v>
      </c>
      <c r="AG1003">
        <v>0</v>
      </c>
      <c r="AH1003" t="s">
        <v>108</v>
      </c>
      <c r="AI1003" s="1">
        <v>44209.465231481481</v>
      </c>
      <c r="AJ1003">
        <v>738</v>
      </c>
      <c r="AK1003">
        <v>5</v>
      </c>
      <c r="AL1003">
        <v>0</v>
      </c>
      <c r="AM1003">
        <v>5</v>
      </c>
      <c r="AN1003">
        <v>0</v>
      </c>
      <c r="AO1003">
        <v>5</v>
      </c>
      <c r="AP1003">
        <v>14</v>
      </c>
      <c r="AQ1003">
        <v>0</v>
      </c>
      <c r="AR1003">
        <v>0</v>
      </c>
      <c r="AS1003">
        <v>0</v>
      </c>
      <c r="AT1003" t="s">
        <v>90</v>
      </c>
      <c r="AU1003" s="1">
        <v>44209.506076388891</v>
      </c>
      <c r="AV1003">
        <v>104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14</v>
      </c>
      <c r="BC1003">
        <v>0</v>
      </c>
      <c r="BD1003">
        <v>0</v>
      </c>
      <c r="BE1003">
        <v>0</v>
      </c>
    </row>
    <row r="1004" spans="1:57" x14ac:dyDescent="0.45">
      <c r="A1004" t="s">
        <v>2601</v>
      </c>
      <c r="B1004" t="s">
        <v>79</v>
      </c>
      <c r="C1004" t="s">
        <v>2602</v>
      </c>
      <c r="D1004" t="s">
        <v>81</v>
      </c>
      <c r="E1004" s="2" t="str">
        <f>HYPERLINK("capsilon://?command=openfolder&amp;siteaddress=FAM.docvelocity-na8.net&amp;folderid=FX179A6B10-D610-EE60-C0BA-BD3FC90BA1CD","FX21016766")</f>
        <v>FX21016766</v>
      </c>
      <c r="F1004" t="s">
        <v>19</v>
      </c>
      <c r="G1004" t="s">
        <v>19</v>
      </c>
      <c r="H1004" t="s">
        <v>82</v>
      </c>
      <c r="I1004" t="s">
        <v>2603</v>
      </c>
      <c r="J1004">
        <v>163</v>
      </c>
      <c r="K1004" t="s">
        <v>84</v>
      </c>
      <c r="L1004" t="s">
        <v>85</v>
      </c>
      <c r="M1004" t="s">
        <v>86</v>
      </c>
      <c r="N1004">
        <v>3</v>
      </c>
      <c r="O1004" s="1">
        <v>44209.431828703702</v>
      </c>
      <c r="P1004" s="1">
        <v>44209.513483796298</v>
      </c>
      <c r="Q1004">
        <v>313</v>
      </c>
      <c r="R1004">
        <v>6742</v>
      </c>
      <c r="S1004" t="b">
        <v>0</v>
      </c>
      <c r="T1004" t="s">
        <v>87</v>
      </c>
      <c r="U1004" t="b">
        <v>0</v>
      </c>
      <c r="V1004" t="s">
        <v>160</v>
      </c>
      <c r="W1004" s="1">
        <v>44209.495520833334</v>
      </c>
      <c r="X1004">
        <v>2680</v>
      </c>
      <c r="Y1004">
        <v>33</v>
      </c>
      <c r="Z1004">
        <v>0</v>
      </c>
      <c r="AA1004">
        <v>33</v>
      </c>
      <c r="AB1004">
        <v>0</v>
      </c>
      <c r="AC1004">
        <v>67</v>
      </c>
      <c r="AD1004">
        <v>130</v>
      </c>
      <c r="AE1004">
        <v>0</v>
      </c>
      <c r="AF1004">
        <v>0</v>
      </c>
      <c r="AG1004">
        <v>0</v>
      </c>
      <c r="AH1004" t="s">
        <v>108</v>
      </c>
      <c r="AI1004" s="1">
        <v>44209.51295138889</v>
      </c>
      <c r="AJ1004">
        <v>1259</v>
      </c>
      <c r="AK1004">
        <v>36</v>
      </c>
      <c r="AL1004">
        <v>0</v>
      </c>
      <c r="AM1004">
        <v>36</v>
      </c>
      <c r="AN1004">
        <v>0</v>
      </c>
      <c r="AO1004">
        <v>35</v>
      </c>
      <c r="AP1004">
        <v>94</v>
      </c>
      <c r="AQ1004">
        <v>0</v>
      </c>
      <c r="AR1004">
        <v>0</v>
      </c>
      <c r="AS1004">
        <v>0</v>
      </c>
      <c r="AT1004" t="s">
        <v>90</v>
      </c>
      <c r="AU1004" s="1">
        <v>44209.513483796298</v>
      </c>
      <c r="AV1004">
        <v>31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94</v>
      </c>
      <c r="BC1004">
        <v>0</v>
      </c>
      <c r="BD1004">
        <v>0</v>
      </c>
      <c r="BE1004">
        <v>0</v>
      </c>
    </row>
    <row r="1005" spans="1:57" x14ac:dyDescent="0.45">
      <c r="A1005" t="s">
        <v>2604</v>
      </c>
      <c r="B1005" t="s">
        <v>79</v>
      </c>
      <c r="C1005" t="s">
        <v>2145</v>
      </c>
      <c r="D1005" t="s">
        <v>81</v>
      </c>
      <c r="E1005" s="2" t="str">
        <f>HYPERLINK("capsilon://?command=openfolder&amp;siteaddress=FAM.docvelocity-na8.net&amp;folderid=FXF967FD08-0041-28D5-95BE-3FB55A87977E","FX21011632")</f>
        <v>FX21011632</v>
      </c>
      <c r="F1005" t="s">
        <v>19</v>
      </c>
      <c r="G1005" t="s">
        <v>19</v>
      </c>
      <c r="H1005" t="s">
        <v>82</v>
      </c>
      <c r="I1005" t="s">
        <v>2605</v>
      </c>
      <c r="J1005">
        <v>29</v>
      </c>
      <c r="K1005" t="s">
        <v>84</v>
      </c>
      <c r="L1005" t="s">
        <v>85</v>
      </c>
      <c r="M1005" t="s">
        <v>86</v>
      </c>
      <c r="N1005">
        <v>3</v>
      </c>
      <c r="O1005" s="1">
        <v>44209.432037037041</v>
      </c>
      <c r="P1005" s="1">
        <v>44209.50613425926</v>
      </c>
      <c r="Q1005">
        <v>6085</v>
      </c>
      <c r="R1005">
        <v>317</v>
      </c>
      <c r="S1005" t="b">
        <v>0</v>
      </c>
      <c r="T1005" t="s">
        <v>87</v>
      </c>
      <c r="U1005" t="b">
        <v>0</v>
      </c>
      <c r="V1005" t="s">
        <v>419</v>
      </c>
      <c r="W1005" s="1">
        <v>44209.434513888889</v>
      </c>
      <c r="X1005">
        <v>173</v>
      </c>
      <c r="Y1005">
        <v>15</v>
      </c>
      <c r="Z1005">
        <v>0</v>
      </c>
      <c r="AA1005">
        <v>15</v>
      </c>
      <c r="AB1005">
        <v>0</v>
      </c>
      <c r="AC1005">
        <v>4</v>
      </c>
      <c r="AD1005">
        <v>14</v>
      </c>
      <c r="AE1005">
        <v>0</v>
      </c>
      <c r="AF1005">
        <v>0</v>
      </c>
      <c r="AG1005">
        <v>0</v>
      </c>
      <c r="AH1005" t="s">
        <v>94</v>
      </c>
      <c r="AI1005" s="1">
        <v>44209.443506944444</v>
      </c>
      <c r="AJ1005">
        <v>140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14</v>
      </c>
      <c r="AQ1005">
        <v>0</v>
      </c>
      <c r="AR1005">
        <v>0</v>
      </c>
      <c r="AS1005">
        <v>0</v>
      </c>
      <c r="AT1005" t="s">
        <v>90</v>
      </c>
      <c r="AU1005" s="1">
        <v>44209.50613425926</v>
      </c>
      <c r="AV1005">
        <v>4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14</v>
      </c>
      <c r="BC1005">
        <v>0</v>
      </c>
      <c r="BD1005">
        <v>0</v>
      </c>
      <c r="BE1005">
        <v>0</v>
      </c>
    </row>
    <row r="1006" spans="1:57" x14ac:dyDescent="0.45">
      <c r="A1006" t="s">
        <v>2606</v>
      </c>
      <c r="B1006" t="s">
        <v>79</v>
      </c>
      <c r="C1006" t="s">
        <v>1360</v>
      </c>
      <c r="D1006" t="s">
        <v>81</v>
      </c>
      <c r="E1006" s="2" t="str">
        <f>HYPERLINK("capsilon://?command=openfolder&amp;siteaddress=FAM.docvelocity-na8.net&amp;folderid=FX1C24D772-DF79-9A8C-64E1-FBA7876A9537","FX20122688")</f>
        <v>FX20122688</v>
      </c>
      <c r="F1006" t="s">
        <v>19</v>
      </c>
      <c r="G1006" t="s">
        <v>19</v>
      </c>
      <c r="H1006" t="s">
        <v>82</v>
      </c>
      <c r="I1006" t="s">
        <v>2607</v>
      </c>
      <c r="J1006">
        <v>66</v>
      </c>
      <c r="K1006" t="s">
        <v>84</v>
      </c>
      <c r="L1006" t="s">
        <v>85</v>
      </c>
      <c r="M1006" t="s">
        <v>86</v>
      </c>
      <c r="N1006">
        <v>3</v>
      </c>
      <c r="O1006" s="1">
        <v>44209.432245370372</v>
      </c>
      <c r="P1006" s="1">
        <v>44209.506192129629</v>
      </c>
      <c r="Q1006">
        <v>4956</v>
      </c>
      <c r="R1006">
        <v>1433</v>
      </c>
      <c r="S1006" t="b">
        <v>0</v>
      </c>
      <c r="T1006" t="s">
        <v>87</v>
      </c>
      <c r="U1006" t="b">
        <v>0</v>
      </c>
      <c r="V1006" t="s">
        <v>105</v>
      </c>
      <c r="W1006" s="1">
        <v>44209.44226851852</v>
      </c>
      <c r="X1006">
        <v>841</v>
      </c>
      <c r="Y1006">
        <v>52</v>
      </c>
      <c r="Z1006">
        <v>0</v>
      </c>
      <c r="AA1006">
        <v>52</v>
      </c>
      <c r="AB1006">
        <v>0</v>
      </c>
      <c r="AC1006">
        <v>32</v>
      </c>
      <c r="AD1006">
        <v>14</v>
      </c>
      <c r="AE1006">
        <v>0</v>
      </c>
      <c r="AF1006">
        <v>0</v>
      </c>
      <c r="AG1006">
        <v>0</v>
      </c>
      <c r="AH1006" t="s">
        <v>94</v>
      </c>
      <c r="AI1006" s="1">
        <v>44209.450324074074</v>
      </c>
      <c r="AJ1006">
        <v>588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14</v>
      </c>
      <c r="AQ1006">
        <v>0</v>
      </c>
      <c r="AR1006">
        <v>0</v>
      </c>
      <c r="AS1006">
        <v>0</v>
      </c>
      <c r="AT1006" t="s">
        <v>90</v>
      </c>
      <c r="AU1006" s="1">
        <v>44209.506192129629</v>
      </c>
      <c r="AV1006">
        <v>4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14</v>
      </c>
      <c r="BC1006">
        <v>0</v>
      </c>
      <c r="BD1006">
        <v>0</v>
      </c>
      <c r="BE1006">
        <v>0</v>
      </c>
    </row>
    <row r="1007" spans="1:57" x14ac:dyDescent="0.45">
      <c r="A1007" t="s">
        <v>2608</v>
      </c>
      <c r="B1007" t="s">
        <v>79</v>
      </c>
      <c r="C1007" t="s">
        <v>2609</v>
      </c>
      <c r="D1007" t="s">
        <v>81</v>
      </c>
      <c r="E1007" s="2" t="str">
        <f>HYPERLINK("capsilon://?command=openfolder&amp;siteaddress=FAM.docvelocity-na8.net&amp;folderid=FXABDA66B4-0946-205F-5422-CC6B8210A717","FX2101547")</f>
        <v>FX2101547</v>
      </c>
      <c r="F1007" t="s">
        <v>19</v>
      </c>
      <c r="G1007" t="s">
        <v>19</v>
      </c>
      <c r="H1007" t="s">
        <v>82</v>
      </c>
      <c r="I1007" t="s">
        <v>2610</v>
      </c>
      <c r="J1007">
        <v>212</v>
      </c>
      <c r="K1007" t="s">
        <v>84</v>
      </c>
      <c r="L1007" t="s">
        <v>85</v>
      </c>
      <c r="M1007" t="s">
        <v>86</v>
      </c>
      <c r="N1007">
        <v>3</v>
      </c>
      <c r="O1007" s="1">
        <v>44209.433634259258</v>
      </c>
      <c r="P1007" s="1">
        <v>44209.507199074076</v>
      </c>
      <c r="Q1007">
        <v>3453</v>
      </c>
      <c r="R1007">
        <v>2903</v>
      </c>
      <c r="S1007" t="b">
        <v>0</v>
      </c>
      <c r="T1007" t="s">
        <v>87</v>
      </c>
      <c r="U1007" t="b">
        <v>0</v>
      </c>
      <c r="V1007" t="s">
        <v>419</v>
      </c>
      <c r="W1007" s="1">
        <v>44209.462187500001</v>
      </c>
      <c r="X1007">
        <v>2390</v>
      </c>
      <c r="Y1007">
        <v>193</v>
      </c>
      <c r="Z1007">
        <v>0</v>
      </c>
      <c r="AA1007">
        <v>193</v>
      </c>
      <c r="AB1007">
        <v>0</v>
      </c>
      <c r="AC1007">
        <v>125</v>
      </c>
      <c r="AD1007">
        <v>19</v>
      </c>
      <c r="AE1007">
        <v>0</v>
      </c>
      <c r="AF1007">
        <v>0</v>
      </c>
      <c r="AG1007">
        <v>0</v>
      </c>
      <c r="AH1007" t="s">
        <v>128</v>
      </c>
      <c r="AI1007" s="1">
        <v>44209.471689814818</v>
      </c>
      <c r="AJ1007">
        <v>412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19</v>
      </c>
      <c r="AQ1007">
        <v>0</v>
      </c>
      <c r="AR1007">
        <v>0</v>
      </c>
      <c r="AS1007">
        <v>0</v>
      </c>
      <c r="AT1007" t="s">
        <v>90</v>
      </c>
      <c r="AU1007" s="1">
        <v>44209.507199074076</v>
      </c>
      <c r="AV1007">
        <v>86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19</v>
      </c>
      <c r="BC1007">
        <v>0</v>
      </c>
      <c r="BD1007">
        <v>0</v>
      </c>
      <c r="BE1007">
        <v>0</v>
      </c>
    </row>
    <row r="1008" spans="1:57" x14ac:dyDescent="0.45">
      <c r="A1008" t="s">
        <v>2611</v>
      </c>
      <c r="B1008" t="s">
        <v>79</v>
      </c>
      <c r="C1008" t="s">
        <v>2612</v>
      </c>
      <c r="D1008" t="s">
        <v>81</v>
      </c>
      <c r="E1008" s="2" t="str">
        <f>HYPERLINK("capsilon://?command=openfolder&amp;siteaddress=FAM.docvelocity-na8.net&amp;folderid=FXBA3B2974-BC73-1903-A036-A712537AA277","FX21014205")</f>
        <v>FX21014205</v>
      </c>
      <c r="F1008" t="s">
        <v>19</v>
      </c>
      <c r="G1008" t="s">
        <v>19</v>
      </c>
      <c r="H1008" t="s">
        <v>82</v>
      </c>
      <c r="I1008" t="s">
        <v>2613</v>
      </c>
      <c r="J1008">
        <v>365</v>
      </c>
      <c r="K1008" t="s">
        <v>84</v>
      </c>
      <c r="L1008" t="s">
        <v>85</v>
      </c>
      <c r="M1008" t="s">
        <v>81</v>
      </c>
      <c r="N1008">
        <v>2</v>
      </c>
      <c r="O1008" s="1">
        <v>44209.434629629628</v>
      </c>
      <c r="P1008" s="1">
        <v>44209.527581018519</v>
      </c>
      <c r="Q1008">
        <v>835</v>
      </c>
      <c r="R1008">
        <v>7196</v>
      </c>
      <c r="S1008" t="b">
        <v>0</v>
      </c>
      <c r="T1008" t="s">
        <v>242</v>
      </c>
      <c r="U1008" t="b">
        <v>0</v>
      </c>
      <c r="V1008" t="s">
        <v>105</v>
      </c>
      <c r="W1008" s="1">
        <v>44209.512164351851</v>
      </c>
      <c r="X1008">
        <v>6038</v>
      </c>
      <c r="Y1008">
        <v>412</v>
      </c>
      <c r="Z1008">
        <v>0</v>
      </c>
      <c r="AA1008">
        <v>412</v>
      </c>
      <c r="AB1008">
        <v>0</v>
      </c>
      <c r="AC1008">
        <v>216</v>
      </c>
      <c r="AD1008">
        <v>-47</v>
      </c>
      <c r="AE1008">
        <v>0</v>
      </c>
      <c r="AF1008">
        <v>0</v>
      </c>
      <c r="AG1008">
        <v>0</v>
      </c>
      <c r="AH1008" t="s">
        <v>242</v>
      </c>
      <c r="AI1008" s="1">
        <v>44209.527581018519</v>
      </c>
      <c r="AJ1008">
        <v>264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-47</v>
      </c>
      <c r="AQ1008">
        <v>21</v>
      </c>
      <c r="AR1008">
        <v>0</v>
      </c>
      <c r="AS1008">
        <v>2</v>
      </c>
      <c r="AT1008" t="s">
        <v>87</v>
      </c>
      <c r="AU1008" t="s">
        <v>87</v>
      </c>
      <c r="AV1008" t="s">
        <v>87</v>
      </c>
      <c r="AW1008" t="s">
        <v>87</v>
      </c>
      <c r="AX1008" t="s">
        <v>87</v>
      </c>
      <c r="AY1008" t="s">
        <v>87</v>
      </c>
      <c r="AZ1008" t="s">
        <v>87</v>
      </c>
      <c r="BA1008" t="s">
        <v>87</v>
      </c>
      <c r="BB1008" t="s">
        <v>87</v>
      </c>
      <c r="BC1008" t="s">
        <v>87</v>
      </c>
      <c r="BD1008" t="s">
        <v>87</v>
      </c>
      <c r="BE1008" t="s">
        <v>87</v>
      </c>
    </row>
    <row r="1009" spans="1:57" x14ac:dyDescent="0.45">
      <c r="A1009" t="s">
        <v>2614</v>
      </c>
      <c r="B1009" t="s">
        <v>79</v>
      </c>
      <c r="C1009" t="s">
        <v>496</v>
      </c>
      <c r="D1009" t="s">
        <v>81</v>
      </c>
      <c r="E1009" s="2" t="str">
        <f>HYPERLINK("capsilon://?command=openfolder&amp;siteaddress=FAM.docvelocity-na8.net&amp;folderid=FXA8AD27CF-5ADC-8B3F-D90E-0066BBB4FEAF","FX20127897")</f>
        <v>FX20127897</v>
      </c>
      <c r="F1009" t="s">
        <v>19</v>
      </c>
      <c r="G1009" t="s">
        <v>19</v>
      </c>
      <c r="H1009" t="s">
        <v>82</v>
      </c>
      <c r="I1009" t="s">
        <v>2595</v>
      </c>
      <c r="J1009">
        <v>76</v>
      </c>
      <c r="K1009" t="s">
        <v>84</v>
      </c>
      <c r="L1009" t="s">
        <v>85</v>
      </c>
      <c r="M1009" t="s">
        <v>86</v>
      </c>
      <c r="N1009">
        <v>3</v>
      </c>
      <c r="O1009" s="1">
        <v>44209.434884259259</v>
      </c>
      <c r="P1009" s="1">
        <v>44209.500127314815</v>
      </c>
      <c r="Q1009">
        <v>3087</v>
      </c>
      <c r="R1009">
        <v>2550</v>
      </c>
      <c r="S1009" t="b">
        <v>0</v>
      </c>
      <c r="T1009" t="s">
        <v>87</v>
      </c>
      <c r="U1009" t="b">
        <v>1</v>
      </c>
      <c r="V1009" t="s">
        <v>146</v>
      </c>
      <c r="W1009" s="1">
        <v>44209.460902777777</v>
      </c>
      <c r="X1009">
        <v>1973</v>
      </c>
      <c r="Y1009">
        <v>74</v>
      </c>
      <c r="Z1009">
        <v>0</v>
      </c>
      <c r="AA1009">
        <v>74</v>
      </c>
      <c r="AB1009">
        <v>37</v>
      </c>
      <c r="AC1009">
        <v>63</v>
      </c>
      <c r="AD1009">
        <v>2</v>
      </c>
      <c r="AE1009">
        <v>0</v>
      </c>
      <c r="AF1009">
        <v>0</v>
      </c>
      <c r="AG1009">
        <v>0</v>
      </c>
      <c r="AH1009" t="s">
        <v>108</v>
      </c>
      <c r="AI1009" s="1">
        <v>44209.471203703702</v>
      </c>
      <c r="AJ1009">
        <v>515</v>
      </c>
      <c r="AK1009">
        <v>12</v>
      </c>
      <c r="AL1009">
        <v>0</v>
      </c>
      <c r="AM1009">
        <v>12</v>
      </c>
      <c r="AN1009">
        <v>37</v>
      </c>
      <c r="AO1009">
        <v>11</v>
      </c>
      <c r="AP1009">
        <v>-10</v>
      </c>
      <c r="AQ1009">
        <v>0</v>
      </c>
      <c r="AR1009">
        <v>0</v>
      </c>
      <c r="AS1009">
        <v>0</v>
      </c>
      <c r="AT1009" t="s">
        <v>90</v>
      </c>
      <c r="AU1009" s="1">
        <v>44209.500127314815</v>
      </c>
      <c r="AV1009">
        <v>7</v>
      </c>
      <c r="AW1009">
        <v>0</v>
      </c>
      <c r="AX1009">
        <v>0</v>
      </c>
      <c r="AY1009">
        <v>0</v>
      </c>
      <c r="AZ1009">
        <v>37</v>
      </c>
      <c r="BA1009">
        <v>0</v>
      </c>
      <c r="BB1009">
        <v>-10</v>
      </c>
      <c r="BC1009">
        <v>0</v>
      </c>
      <c r="BD1009">
        <v>0</v>
      </c>
      <c r="BE1009">
        <v>0</v>
      </c>
    </row>
    <row r="1010" spans="1:57" x14ac:dyDescent="0.45">
      <c r="A1010" t="s">
        <v>2615</v>
      </c>
      <c r="B1010" t="s">
        <v>79</v>
      </c>
      <c r="C1010" t="s">
        <v>2616</v>
      </c>
      <c r="D1010" t="s">
        <v>81</v>
      </c>
      <c r="E1010" s="2" t="str">
        <f>HYPERLINK("capsilon://?command=openfolder&amp;siteaddress=FAM.docvelocity-na8.net&amp;folderid=FX2EDB1389-9033-935C-3027-A34B67EDAF14","FX21016434")</f>
        <v>FX21016434</v>
      </c>
      <c r="F1010" t="s">
        <v>19</v>
      </c>
      <c r="G1010" t="s">
        <v>19</v>
      </c>
      <c r="H1010" t="s">
        <v>82</v>
      </c>
      <c r="I1010" t="s">
        <v>2617</v>
      </c>
      <c r="J1010">
        <v>180</v>
      </c>
      <c r="K1010" t="s">
        <v>84</v>
      </c>
      <c r="L1010" t="s">
        <v>85</v>
      </c>
      <c r="M1010" t="s">
        <v>86</v>
      </c>
      <c r="N1010">
        <v>3</v>
      </c>
      <c r="O1010" s="1">
        <v>44209.435127314813</v>
      </c>
      <c r="P1010" s="1">
        <v>44209.507488425923</v>
      </c>
      <c r="Q1010">
        <v>3627</v>
      </c>
      <c r="R1010">
        <v>2625</v>
      </c>
      <c r="S1010" t="b">
        <v>0</v>
      </c>
      <c r="T1010" t="s">
        <v>87</v>
      </c>
      <c r="U1010" t="b">
        <v>0</v>
      </c>
      <c r="V1010" t="s">
        <v>179</v>
      </c>
      <c r="W1010" s="1">
        <v>44209.451435185183</v>
      </c>
      <c r="X1010">
        <v>1009</v>
      </c>
      <c r="Y1010">
        <v>152</v>
      </c>
      <c r="Z1010">
        <v>0</v>
      </c>
      <c r="AA1010">
        <v>152</v>
      </c>
      <c r="AB1010">
        <v>0</v>
      </c>
      <c r="AC1010">
        <v>15</v>
      </c>
      <c r="AD1010">
        <v>28</v>
      </c>
      <c r="AE1010">
        <v>0</v>
      </c>
      <c r="AF1010">
        <v>0</v>
      </c>
      <c r="AG1010">
        <v>0</v>
      </c>
      <c r="AH1010" t="s">
        <v>94</v>
      </c>
      <c r="AI1010" s="1">
        <v>44209.471122685187</v>
      </c>
      <c r="AJ1010">
        <v>1592</v>
      </c>
      <c r="AK1010">
        <v>4</v>
      </c>
      <c r="AL1010">
        <v>0</v>
      </c>
      <c r="AM1010">
        <v>4</v>
      </c>
      <c r="AN1010">
        <v>0</v>
      </c>
      <c r="AO1010">
        <v>0</v>
      </c>
      <c r="AP1010">
        <v>24</v>
      </c>
      <c r="AQ1010">
        <v>0</v>
      </c>
      <c r="AR1010">
        <v>0</v>
      </c>
      <c r="AS1010">
        <v>0</v>
      </c>
      <c r="AT1010" t="s">
        <v>90</v>
      </c>
      <c r="AU1010" s="1">
        <v>44209.507488425923</v>
      </c>
      <c r="AV1010">
        <v>24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24</v>
      </c>
      <c r="BC1010">
        <v>0</v>
      </c>
      <c r="BD1010">
        <v>0</v>
      </c>
      <c r="BE1010">
        <v>0</v>
      </c>
    </row>
    <row r="1011" spans="1:57" x14ac:dyDescent="0.45">
      <c r="A1011" t="s">
        <v>2618</v>
      </c>
      <c r="B1011" t="s">
        <v>79</v>
      </c>
      <c r="C1011" t="s">
        <v>2619</v>
      </c>
      <c r="D1011" t="s">
        <v>81</v>
      </c>
      <c r="E1011" s="2" t="str">
        <f>HYPERLINK("capsilon://?command=openfolder&amp;siteaddress=FAM.docvelocity-na8.net&amp;folderid=FX042F67B8-29F3-DCFC-913A-BE2927ACFA42","FX21014524")</f>
        <v>FX21014524</v>
      </c>
      <c r="F1011" t="s">
        <v>19</v>
      </c>
      <c r="G1011" t="s">
        <v>19</v>
      </c>
      <c r="H1011" t="s">
        <v>82</v>
      </c>
      <c r="I1011" t="s">
        <v>2620</v>
      </c>
      <c r="J1011">
        <v>106</v>
      </c>
      <c r="K1011" t="s">
        <v>84</v>
      </c>
      <c r="L1011" t="s">
        <v>85</v>
      </c>
      <c r="M1011" t="s">
        <v>86</v>
      </c>
      <c r="N1011">
        <v>3</v>
      </c>
      <c r="O1011" s="1">
        <v>44209.435960648145</v>
      </c>
      <c r="P1011" s="1">
        <v>44209.508715277778</v>
      </c>
      <c r="Q1011">
        <v>4064</v>
      </c>
      <c r="R1011">
        <v>2222</v>
      </c>
      <c r="S1011" t="b">
        <v>0</v>
      </c>
      <c r="T1011" t="s">
        <v>87</v>
      </c>
      <c r="U1011" t="b">
        <v>0</v>
      </c>
      <c r="V1011" t="s">
        <v>160</v>
      </c>
      <c r="W1011" s="1">
        <v>44209.462511574071</v>
      </c>
      <c r="X1011">
        <v>1697</v>
      </c>
      <c r="Y1011">
        <v>138</v>
      </c>
      <c r="Z1011">
        <v>0</v>
      </c>
      <c r="AA1011">
        <v>138</v>
      </c>
      <c r="AB1011">
        <v>0</v>
      </c>
      <c r="AC1011">
        <v>78</v>
      </c>
      <c r="AD1011">
        <v>-32</v>
      </c>
      <c r="AE1011">
        <v>0</v>
      </c>
      <c r="AF1011">
        <v>0</v>
      </c>
      <c r="AG1011">
        <v>0</v>
      </c>
      <c r="AH1011" t="s">
        <v>128</v>
      </c>
      <c r="AI1011" s="1">
        <v>44209.476168981484</v>
      </c>
      <c r="AJ1011">
        <v>386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-32</v>
      </c>
      <c r="AQ1011">
        <v>0</v>
      </c>
      <c r="AR1011">
        <v>0</v>
      </c>
      <c r="AS1011">
        <v>0</v>
      </c>
      <c r="AT1011" t="s">
        <v>90</v>
      </c>
      <c r="AU1011" s="1">
        <v>44209.508715277778</v>
      </c>
      <c r="AV1011">
        <v>106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-32</v>
      </c>
      <c r="BC1011">
        <v>0</v>
      </c>
      <c r="BD1011">
        <v>0</v>
      </c>
      <c r="BE1011">
        <v>0</v>
      </c>
    </row>
    <row r="1012" spans="1:57" x14ac:dyDescent="0.45">
      <c r="A1012" t="s">
        <v>2621</v>
      </c>
      <c r="B1012" t="s">
        <v>79</v>
      </c>
      <c r="C1012" t="s">
        <v>1008</v>
      </c>
      <c r="D1012" t="s">
        <v>81</v>
      </c>
      <c r="E1012" s="2" t="str">
        <f>HYPERLINK("capsilon://?command=openfolder&amp;siteaddress=FAM.docvelocity-na8.net&amp;folderid=FX8B229F9D-25EA-922E-8625-A16F93D39D87","FX210174")</f>
        <v>FX210174</v>
      </c>
      <c r="F1012" t="s">
        <v>19</v>
      </c>
      <c r="G1012" t="s">
        <v>19</v>
      </c>
      <c r="H1012" t="s">
        <v>82</v>
      </c>
      <c r="I1012" t="s">
        <v>2622</v>
      </c>
      <c r="J1012">
        <v>66</v>
      </c>
      <c r="K1012" t="s">
        <v>84</v>
      </c>
      <c r="L1012" t="s">
        <v>85</v>
      </c>
      <c r="M1012" t="s">
        <v>86</v>
      </c>
      <c r="N1012">
        <v>3</v>
      </c>
      <c r="O1012" s="1">
        <v>44209.436261574076</v>
      </c>
      <c r="P1012" s="1">
        <v>44209.510451388887</v>
      </c>
      <c r="Q1012">
        <v>2577</v>
      </c>
      <c r="R1012">
        <v>3833</v>
      </c>
      <c r="S1012" t="b">
        <v>0</v>
      </c>
      <c r="T1012" t="s">
        <v>87</v>
      </c>
      <c r="U1012" t="b">
        <v>0</v>
      </c>
      <c r="V1012" t="s">
        <v>919</v>
      </c>
      <c r="W1012" s="1">
        <v>44209.459074074075</v>
      </c>
      <c r="X1012">
        <v>1337</v>
      </c>
      <c r="Y1012">
        <v>52</v>
      </c>
      <c r="Z1012">
        <v>0</v>
      </c>
      <c r="AA1012">
        <v>52</v>
      </c>
      <c r="AB1012">
        <v>0</v>
      </c>
      <c r="AC1012">
        <v>35</v>
      </c>
      <c r="AD1012">
        <v>14</v>
      </c>
      <c r="AE1012">
        <v>0</v>
      </c>
      <c r="AF1012">
        <v>0</v>
      </c>
      <c r="AG1012">
        <v>0</v>
      </c>
      <c r="AH1012" t="s">
        <v>89</v>
      </c>
      <c r="AI1012" s="1">
        <v>44209.500381944446</v>
      </c>
      <c r="AJ1012">
        <v>2326</v>
      </c>
      <c r="AK1012">
        <v>6</v>
      </c>
      <c r="AL1012">
        <v>0</v>
      </c>
      <c r="AM1012">
        <v>6</v>
      </c>
      <c r="AN1012">
        <v>0</v>
      </c>
      <c r="AO1012">
        <v>6</v>
      </c>
      <c r="AP1012">
        <v>8</v>
      </c>
      <c r="AQ1012">
        <v>0</v>
      </c>
      <c r="AR1012">
        <v>0</v>
      </c>
      <c r="AS1012">
        <v>0</v>
      </c>
      <c r="AT1012" t="s">
        <v>90</v>
      </c>
      <c r="AU1012" s="1">
        <v>44209.510451388887</v>
      </c>
      <c r="AV1012">
        <v>149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8</v>
      </c>
      <c r="BC1012">
        <v>0</v>
      </c>
      <c r="BD1012">
        <v>0</v>
      </c>
      <c r="BE1012">
        <v>0</v>
      </c>
    </row>
    <row r="1013" spans="1:57" x14ac:dyDescent="0.45">
      <c r="A1013" t="s">
        <v>2623</v>
      </c>
      <c r="B1013" t="s">
        <v>79</v>
      </c>
      <c r="C1013" t="s">
        <v>2624</v>
      </c>
      <c r="D1013" t="s">
        <v>81</v>
      </c>
      <c r="E1013" s="2" t="str">
        <f>HYPERLINK("capsilon://?command=openfolder&amp;siteaddress=FAM.docvelocity-na8.net&amp;folderid=FXFE04F245-09A3-AB3D-6822-2DD1B88D4F79","FX201112862")</f>
        <v>FX201112862</v>
      </c>
      <c r="F1013" t="s">
        <v>19</v>
      </c>
      <c r="G1013" t="s">
        <v>19</v>
      </c>
      <c r="H1013" t="s">
        <v>82</v>
      </c>
      <c r="I1013" t="s">
        <v>2625</v>
      </c>
      <c r="J1013">
        <v>202</v>
      </c>
      <c r="K1013" t="s">
        <v>84</v>
      </c>
      <c r="L1013" t="s">
        <v>85</v>
      </c>
      <c r="M1013" t="s">
        <v>86</v>
      </c>
      <c r="N1013">
        <v>3</v>
      </c>
      <c r="O1013" s="1">
        <v>44209.437916666669</v>
      </c>
      <c r="P1013" s="1">
        <v>44209.511261574073</v>
      </c>
      <c r="Q1013">
        <v>3783</v>
      </c>
      <c r="R1013">
        <v>2554</v>
      </c>
      <c r="S1013" t="b">
        <v>0</v>
      </c>
      <c r="T1013" t="s">
        <v>87</v>
      </c>
      <c r="U1013" t="b">
        <v>0</v>
      </c>
      <c r="V1013" t="s">
        <v>171</v>
      </c>
      <c r="W1013" s="1">
        <v>44209.466469907406</v>
      </c>
      <c r="X1013">
        <v>1878</v>
      </c>
      <c r="Y1013">
        <v>179</v>
      </c>
      <c r="Z1013">
        <v>0</v>
      </c>
      <c r="AA1013">
        <v>179</v>
      </c>
      <c r="AB1013">
        <v>0</v>
      </c>
      <c r="AC1013">
        <v>68</v>
      </c>
      <c r="AD1013">
        <v>23</v>
      </c>
      <c r="AE1013">
        <v>0</v>
      </c>
      <c r="AF1013">
        <v>0</v>
      </c>
      <c r="AG1013">
        <v>0</v>
      </c>
      <c r="AH1013" t="s">
        <v>128</v>
      </c>
      <c r="AI1013" s="1">
        <v>44209.483078703706</v>
      </c>
      <c r="AJ1013">
        <v>596</v>
      </c>
      <c r="AK1013">
        <v>2</v>
      </c>
      <c r="AL1013">
        <v>0</v>
      </c>
      <c r="AM1013">
        <v>2</v>
      </c>
      <c r="AN1013">
        <v>0</v>
      </c>
      <c r="AO1013">
        <v>2</v>
      </c>
      <c r="AP1013">
        <v>21</v>
      </c>
      <c r="AQ1013">
        <v>0</v>
      </c>
      <c r="AR1013">
        <v>0</v>
      </c>
      <c r="AS1013">
        <v>0</v>
      </c>
      <c r="AT1013" t="s">
        <v>90</v>
      </c>
      <c r="AU1013" s="1">
        <v>44209.511261574073</v>
      </c>
      <c r="AV1013">
        <v>69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21</v>
      </c>
      <c r="BC1013">
        <v>0</v>
      </c>
      <c r="BD1013">
        <v>0</v>
      </c>
      <c r="BE1013">
        <v>0</v>
      </c>
    </row>
    <row r="1014" spans="1:57" x14ac:dyDescent="0.45">
      <c r="A1014" t="s">
        <v>2626</v>
      </c>
      <c r="B1014" t="s">
        <v>79</v>
      </c>
      <c r="C1014" t="s">
        <v>2627</v>
      </c>
      <c r="D1014" t="s">
        <v>81</v>
      </c>
      <c r="E1014" s="2" t="str">
        <f>HYPERLINK("capsilon://?command=openfolder&amp;siteaddress=FAM.docvelocity-na8.net&amp;folderid=FX23F4282E-CAB1-1320-8362-DEF6A117A333","FX201223867")</f>
        <v>FX201223867</v>
      </c>
      <c r="F1014" t="s">
        <v>19</v>
      </c>
      <c r="G1014" t="s">
        <v>19</v>
      </c>
      <c r="H1014" t="s">
        <v>82</v>
      </c>
      <c r="I1014" t="s">
        <v>2628</v>
      </c>
      <c r="J1014">
        <v>66</v>
      </c>
      <c r="K1014" t="s">
        <v>84</v>
      </c>
      <c r="L1014" t="s">
        <v>85</v>
      </c>
      <c r="M1014" t="s">
        <v>86</v>
      </c>
      <c r="N1014">
        <v>3</v>
      </c>
      <c r="O1014" s="1">
        <v>44200.647476851853</v>
      </c>
      <c r="P1014" s="1">
        <v>44201.389490740738</v>
      </c>
      <c r="Q1014">
        <v>63431</v>
      </c>
      <c r="R1014">
        <v>679</v>
      </c>
      <c r="S1014" t="b">
        <v>0</v>
      </c>
      <c r="T1014" t="s">
        <v>87</v>
      </c>
      <c r="U1014" t="b">
        <v>0</v>
      </c>
      <c r="V1014" t="s">
        <v>242</v>
      </c>
      <c r="W1014" s="1">
        <v>44200.743020833332</v>
      </c>
      <c r="X1014">
        <v>246</v>
      </c>
      <c r="Y1014">
        <v>52</v>
      </c>
      <c r="Z1014">
        <v>0</v>
      </c>
      <c r="AA1014">
        <v>52</v>
      </c>
      <c r="AB1014">
        <v>0</v>
      </c>
      <c r="AC1014">
        <v>28</v>
      </c>
      <c r="AD1014">
        <v>14</v>
      </c>
      <c r="AE1014">
        <v>0</v>
      </c>
      <c r="AF1014">
        <v>0</v>
      </c>
      <c r="AG1014">
        <v>0</v>
      </c>
      <c r="AH1014" t="s">
        <v>128</v>
      </c>
      <c r="AI1014" s="1">
        <v>44200.806504629632</v>
      </c>
      <c r="AJ1014">
        <v>311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13</v>
      </c>
      <c r="AQ1014">
        <v>0</v>
      </c>
      <c r="AR1014">
        <v>0</v>
      </c>
      <c r="AS1014">
        <v>0</v>
      </c>
      <c r="AT1014" t="s">
        <v>90</v>
      </c>
      <c r="AU1014" s="1">
        <v>44201.389490740738</v>
      </c>
      <c r="AV1014">
        <v>122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13</v>
      </c>
      <c r="BC1014">
        <v>0</v>
      </c>
      <c r="BD1014">
        <v>0</v>
      </c>
      <c r="BE1014">
        <v>0</v>
      </c>
    </row>
    <row r="1015" spans="1:57" x14ac:dyDescent="0.45">
      <c r="A1015" t="s">
        <v>2629</v>
      </c>
      <c r="B1015" t="s">
        <v>79</v>
      </c>
      <c r="C1015" t="s">
        <v>2630</v>
      </c>
      <c r="D1015" t="s">
        <v>81</v>
      </c>
      <c r="E1015" s="2" t="str">
        <f>HYPERLINK("capsilon://?command=openfolder&amp;siteaddress=FAM.docvelocity-na8.net&amp;folderid=FXE5B12633-0F61-0A92-F2CE-A51C35575274","FX21014620")</f>
        <v>FX21014620</v>
      </c>
      <c r="F1015" t="s">
        <v>19</v>
      </c>
      <c r="G1015" t="s">
        <v>19</v>
      </c>
      <c r="H1015" t="s">
        <v>82</v>
      </c>
      <c r="I1015" t="s">
        <v>2631</v>
      </c>
      <c r="J1015">
        <v>76</v>
      </c>
      <c r="K1015" t="s">
        <v>84</v>
      </c>
      <c r="L1015" t="s">
        <v>85</v>
      </c>
      <c r="M1015" t="s">
        <v>86</v>
      </c>
      <c r="N1015">
        <v>3</v>
      </c>
      <c r="O1015" s="1">
        <v>44209.445879629631</v>
      </c>
      <c r="P1015" s="1">
        <v>44209.511365740742</v>
      </c>
      <c r="Q1015">
        <v>3681</v>
      </c>
      <c r="R1015">
        <v>1977</v>
      </c>
      <c r="S1015" t="b">
        <v>0</v>
      </c>
      <c r="T1015" t="s">
        <v>87</v>
      </c>
      <c r="U1015" t="b">
        <v>0</v>
      </c>
      <c r="V1015" t="s">
        <v>168</v>
      </c>
      <c r="W1015" s="1">
        <v>44209.47011574074</v>
      </c>
      <c r="X1015">
        <v>1708</v>
      </c>
      <c r="Y1015">
        <v>74</v>
      </c>
      <c r="Z1015">
        <v>0</v>
      </c>
      <c r="AA1015">
        <v>74</v>
      </c>
      <c r="AB1015">
        <v>0</v>
      </c>
      <c r="AC1015">
        <v>32</v>
      </c>
      <c r="AD1015">
        <v>2</v>
      </c>
      <c r="AE1015">
        <v>0</v>
      </c>
      <c r="AF1015">
        <v>0</v>
      </c>
      <c r="AG1015">
        <v>0</v>
      </c>
      <c r="AH1015" t="s">
        <v>128</v>
      </c>
      <c r="AI1015" s="1">
        <v>44209.485671296294</v>
      </c>
      <c r="AJ1015">
        <v>223</v>
      </c>
      <c r="AK1015">
        <v>2</v>
      </c>
      <c r="AL1015">
        <v>0</v>
      </c>
      <c r="AM1015">
        <v>2</v>
      </c>
      <c r="AN1015">
        <v>0</v>
      </c>
      <c r="AO1015">
        <v>2</v>
      </c>
      <c r="AP1015">
        <v>0</v>
      </c>
      <c r="AQ1015">
        <v>0</v>
      </c>
      <c r="AR1015">
        <v>0</v>
      </c>
      <c r="AS1015">
        <v>0</v>
      </c>
      <c r="AT1015" t="s">
        <v>90</v>
      </c>
      <c r="AU1015" s="1">
        <v>44209.511365740742</v>
      </c>
      <c r="AV1015">
        <v>8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</row>
    <row r="1016" spans="1:57" x14ac:dyDescent="0.45">
      <c r="A1016" t="s">
        <v>2632</v>
      </c>
      <c r="B1016" t="s">
        <v>79</v>
      </c>
      <c r="C1016" t="s">
        <v>2633</v>
      </c>
      <c r="D1016" t="s">
        <v>81</v>
      </c>
      <c r="E1016" s="2" t="str">
        <f>HYPERLINK("capsilon://?command=openfolder&amp;siteaddress=FAM.docvelocity-na8.net&amp;folderid=FXB4C92E26-5266-9BF3-1FE9-0621FC77873D","FX21013955")</f>
        <v>FX21013955</v>
      </c>
      <c r="F1016" t="s">
        <v>19</v>
      </c>
      <c r="G1016" t="s">
        <v>19</v>
      </c>
      <c r="H1016" t="s">
        <v>82</v>
      </c>
      <c r="I1016" t="s">
        <v>2634</v>
      </c>
      <c r="J1016">
        <v>128</v>
      </c>
      <c r="K1016" t="s">
        <v>84</v>
      </c>
      <c r="L1016" t="s">
        <v>85</v>
      </c>
      <c r="M1016" t="s">
        <v>86</v>
      </c>
      <c r="N1016">
        <v>3</v>
      </c>
      <c r="O1016" s="1">
        <v>44209.460787037038</v>
      </c>
      <c r="P1016" s="1">
        <v>44209.511550925927</v>
      </c>
      <c r="Q1016">
        <v>1215</v>
      </c>
      <c r="R1016">
        <v>3171</v>
      </c>
      <c r="S1016" t="b">
        <v>0</v>
      </c>
      <c r="T1016" t="s">
        <v>87</v>
      </c>
      <c r="U1016" t="b">
        <v>0</v>
      </c>
      <c r="V1016" t="s">
        <v>179</v>
      </c>
      <c r="W1016" s="1">
        <v>44209.486006944448</v>
      </c>
      <c r="X1016">
        <v>2178</v>
      </c>
      <c r="Y1016">
        <v>116</v>
      </c>
      <c r="Z1016">
        <v>0</v>
      </c>
      <c r="AA1016">
        <v>116</v>
      </c>
      <c r="AB1016">
        <v>0</v>
      </c>
      <c r="AC1016">
        <v>63</v>
      </c>
      <c r="AD1016">
        <v>12</v>
      </c>
      <c r="AE1016">
        <v>0</v>
      </c>
      <c r="AF1016">
        <v>0</v>
      </c>
      <c r="AG1016">
        <v>0</v>
      </c>
      <c r="AH1016" t="s">
        <v>108</v>
      </c>
      <c r="AI1016" s="1">
        <v>44209.49832175926</v>
      </c>
      <c r="AJ1016">
        <v>978</v>
      </c>
      <c r="AK1016">
        <v>3</v>
      </c>
      <c r="AL1016">
        <v>0</v>
      </c>
      <c r="AM1016">
        <v>3</v>
      </c>
      <c r="AN1016">
        <v>0</v>
      </c>
      <c r="AO1016">
        <v>2</v>
      </c>
      <c r="AP1016">
        <v>9</v>
      </c>
      <c r="AQ1016">
        <v>0</v>
      </c>
      <c r="AR1016">
        <v>0</v>
      </c>
      <c r="AS1016">
        <v>0</v>
      </c>
      <c r="AT1016" t="s">
        <v>90</v>
      </c>
      <c r="AU1016" s="1">
        <v>44209.511550925927</v>
      </c>
      <c r="AV1016">
        <v>15</v>
      </c>
      <c r="AW1016">
        <v>1</v>
      </c>
      <c r="AX1016">
        <v>0</v>
      </c>
      <c r="AY1016">
        <v>1</v>
      </c>
      <c r="AZ1016">
        <v>0</v>
      </c>
      <c r="BA1016">
        <v>1</v>
      </c>
      <c r="BB1016">
        <v>8</v>
      </c>
      <c r="BC1016">
        <v>0</v>
      </c>
      <c r="BD1016">
        <v>0</v>
      </c>
      <c r="BE1016">
        <v>0</v>
      </c>
    </row>
    <row r="1017" spans="1:57" hidden="1" x14ac:dyDescent="0.45">
      <c r="A1017" t="s">
        <v>2635</v>
      </c>
      <c r="B1017" t="s">
        <v>79</v>
      </c>
      <c r="C1017" t="s">
        <v>2636</v>
      </c>
      <c r="D1017" t="s">
        <v>81</v>
      </c>
      <c r="E1017" s="2" t="str">
        <f>HYPERLINK("capsilon://?command=openfolder&amp;siteaddress=FAM.docvelocity-na8.net&amp;folderid=FX01EC3B02-AF64-D9CD-453E-2946CC2FC589","FX20117777")</f>
        <v>FX20117777</v>
      </c>
      <c r="F1017" t="s">
        <v>19</v>
      </c>
      <c r="G1017" t="s">
        <v>19</v>
      </c>
      <c r="H1017" t="s">
        <v>82</v>
      </c>
      <c r="I1017" t="s">
        <v>2637</v>
      </c>
      <c r="J1017">
        <v>66</v>
      </c>
      <c r="K1017" t="s">
        <v>84</v>
      </c>
      <c r="L1017" t="s">
        <v>85</v>
      </c>
      <c r="M1017" t="s">
        <v>86</v>
      </c>
      <c r="N1017">
        <v>3</v>
      </c>
      <c r="O1017" s="1">
        <v>44209.460844907408</v>
      </c>
      <c r="P1017" s="1">
        <v>44209.511678240742</v>
      </c>
      <c r="Q1017">
        <v>4097</v>
      </c>
      <c r="R1017">
        <v>295</v>
      </c>
      <c r="S1017" t="b">
        <v>0</v>
      </c>
      <c r="T1017" t="s">
        <v>87</v>
      </c>
      <c r="U1017" t="b">
        <v>0</v>
      </c>
      <c r="V1017" t="s">
        <v>146</v>
      </c>
      <c r="W1017" s="1">
        <v>44209.462708333333</v>
      </c>
      <c r="X1017">
        <v>155</v>
      </c>
      <c r="Y1017">
        <v>0</v>
      </c>
      <c r="Z1017">
        <v>0</v>
      </c>
      <c r="AA1017">
        <v>0</v>
      </c>
      <c r="AB1017">
        <v>52</v>
      </c>
      <c r="AC1017">
        <v>0</v>
      </c>
      <c r="AD1017">
        <v>66</v>
      </c>
      <c r="AE1017">
        <v>0</v>
      </c>
      <c r="AF1017">
        <v>0</v>
      </c>
      <c r="AG1017">
        <v>0</v>
      </c>
      <c r="AH1017" t="s">
        <v>108</v>
      </c>
      <c r="AI1017" s="1">
        <v>44209.485914351855</v>
      </c>
      <c r="AJ1017">
        <v>130</v>
      </c>
      <c r="AK1017">
        <v>0</v>
      </c>
      <c r="AL1017">
        <v>0</v>
      </c>
      <c r="AM1017">
        <v>0</v>
      </c>
      <c r="AN1017">
        <v>52</v>
      </c>
      <c r="AO1017">
        <v>0</v>
      </c>
      <c r="AP1017">
        <v>66</v>
      </c>
      <c r="AQ1017">
        <v>0</v>
      </c>
      <c r="AR1017">
        <v>0</v>
      </c>
      <c r="AS1017">
        <v>0</v>
      </c>
      <c r="AT1017" t="s">
        <v>90</v>
      </c>
      <c r="AU1017" s="1">
        <v>44209.511678240742</v>
      </c>
      <c r="AV1017">
        <v>10</v>
      </c>
      <c r="AW1017">
        <v>0</v>
      </c>
      <c r="AX1017">
        <v>0</v>
      </c>
      <c r="AY1017">
        <v>0</v>
      </c>
      <c r="AZ1017">
        <v>52</v>
      </c>
      <c r="BA1017">
        <v>0</v>
      </c>
      <c r="BB1017">
        <v>66</v>
      </c>
      <c r="BC1017">
        <v>0</v>
      </c>
      <c r="BD1017">
        <v>0</v>
      </c>
      <c r="BE1017">
        <v>0</v>
      </c>
    </row>
    <row r="1018" spans="1:57" x14ac:dyDescent="0.45">
      <c r="A1018" t="s">
        <v>2638</v>
      </c>
      <c r="B1018" t="s">
        <v>79</v>
      </c>
      <c r="C1018" t="s">
        <v>2639</v>
      </c>
      <c r="D1018" t="s">
        <v>81</v>
      </c>
      <c r="E1018" s="2" t="str">
        <f>HYPERLINK("capsilon://?command=openfolder&amp;siteaddress=FAM.docvelocity-na8.net&amp;folderid=FXD28534DB-E796-376A-A962-E12A787E1ECC","FX21015522")</f>
        <v>FX21015522</v>
      </c>
      <c r="F1018" t="s">
        <v>19</v>
      </c>
      <c r="G1018" t="s">
        <v>19</v>
      </c>
      <c r="H1018" t="s">
        <v>82</v>
      </c>
      <c r="I1018" t="s">
        <v>2640</v>
      </c>
      <c r="J1018">
        <v>126</v>
      </c>
      <c r="K1018" t="s">
        <v>84</v>
      </c>
      <c r="L1018" t="s">
        <v>85</v>
      </c>
      <c r="M1018" t="s">
        <v>86</v>
      </c>
      <c r="N1018">
        <v>3</v>
      </c>
      <c r="O1018" s="1">
        <v>44209.464039351849</v>
      </c>
      <c r="P1018" s="1">
        <v>44209.512106481481</v>
      </c>
      <c r="Q1018">
        <v>1717</v>
      </c>
      <c r="R1018">
        <v>2436</v>
      </c>
      <c r="S1018" t="b">
        <v>0</v>
      </c>
      <c r="T1018" t="s">
        <v>87</v>
      </c>
      <c r="U1018" t="b">
        <v>0</v>
      </c>
      <c r="V1018" t="s">
        <v>146</v>
      </c>
      <c r="W1018" s="1">
        <v>44209.482094907406</v>
      </c>
      <c r="X1018">
        <v>1560</v>
      </c>
      <c r="Y1018">
        <v>93</v>
      </c>
      <c r="Z1018">
        <v>0</v>
      </c>
      <c r="AA1018">
        <v>93</v>
      </c>
      <c r="AB1018">
        <v>37</v>
      </c>
      <c r="AC1018">
        <v>46</v>
      </c>
      <c r="AD1018">
        <v>33</v>
      </c>
      <c r="AE1018">
        <v>0</v>
      </c>
      <c r="AF1018">
        <v>0</v>
      </c>
      <c r="AG1018">
        <v>0</v>
      </c>
      <c r="AH1018" t="s">
        <v>267</v>
      </c>
      <c r="AI1018" s="1">
        <v>44209.49417824074</v>
      </c>
      <c r="AJ1018">
        <v>840</v>
      </c>
      <c r="AK1018">
        <v>2</v>
      </c>
      <c r="AL1018">
        <v>0</v>
      </c>
      <c r="AM1018">
        <v>2</v>
      </c>
      <c r="AN1018">
        <v>37</v>
      </c>
      <c r="AO1018">
        <v>2</v>
      </c>
      <c r="AP1018">
        <v>31</v>
      </c>
      <c r="AQ1018">
        <v>0</v>
      </c>
      <c r="AR1018">
        <v>0</v>
      </c>
      <c r="AS1018">
        <v>0</v>
      </c>
      <c r="AT1018" t="s">
        <v>90</v>
      </c>
      <c r="AU1018" s="1">
        <v>44209.512106481481</v>
      </c>
      <c r="AV1018">
        <v>36</v>
      </c>
      <c r="AW1018">
        <v>0</v>
      </c>
      <c r="AX1018">
        <v>0</v>
      </c>
      <c r="AY1018">
        <v>0</v>
      </c>
      <c r="AZ1018">
        <v>37</v>
      </c>
      <c r="BA1018">
        <v>0</v>
      </c>
      <c r="BB1018">
        <v>31</v>
      </c>
      <c r="BC1018">
        <v>0</v>
      </c>
      <c r="BD1018">
        <v>0</v>
      </c>
      <c r="BE1018">
        <v>0</v>
      </c>
    </row>
    <row r="1019" spans="1:57" hidden="1" x14ac:dyDescent="0.45">
      <c r="A1019" t="s">
        <v>2641</v>
      </c>
      <c r="B1019" t="s">
        <v>79</v>
      </c>
      <c r="C1019" t="s">
        <v>1399</v>
      </c>
      <c r="D1019" t="s">
        <v>81</v>
      </c>
      <c r="E1019" s="2" t="str">
        <f>HYPERLINK("capsilon://?command=openfolder&amp;siteaddress=FAM.docvelocity-na8.net&amp;folderid=FX84E84093-383A-B025-766B-259A024D4397","FX2012887")</f>
        <v>FX2012887</v>
      </c>
      <c r="F1019" t="s">
        <v>19</v>
      </c>
      <c r="G1019" t="s">
        <v>19</v>
      </c>
      <c r="H1019" t="s">
        <v>82</v>
      </c>
      <c r="I1019" t="s">
        <v>2642</v>
      </c>
      <c r="J1019">
        <v>66</v>
      </c>
      <c r="K1019" t="s">
        <v>84</v>
      </c>
      <c r="L1019" t="s">
        <v>85</v>
      </c>
      <c r="M1019" t="s">
        <v>86</v>
      </c>
      <c r="N1019">
        <v>3</v>
      </c>
      <c r="O1019" s="1">
        <v>44209.467638888891</v>
      </c>
      <c r="P1019" s="1">
        <v>44209.512141203704</v>
      </c>
      <c r="Q1019">
        <v>3496</v>
      </c>
      <c r="R1019">
        <v>349</v>
      </c>
      <c r="S1019" t="b">
        <v>0</v>
      </c>
      <c r="T1019" t="s">
        <v>87</v>
      </c>
      <c r="U1019" t="b">
        <v>0</v>
      </c>
      <c r="V1019" t="s">
        <v>919</v>
      </c>
      <c r="W1019" s="1">
        <v>44209.470370370371</v>
      </c>
      <c r="X1019">
        <v>228</v>
      </c>
      <c r="Y1019">
        <v>0</v>
      </c>
      <c r="Z1019">
        <v>0</v>
      </c>
      <c r="AA1019">
        <v>0</v>
      </c>
      <c r="AB1019">
        <v>52</v>
      </c>
      <c r="AC1019">
        <v>0</v>
      </c>
      <c r="AD1019">
        <v>66</v>
      </c>
      <c r="AE1019">
        <v>0</v>
      </c>
      <c r="AF1019">
        <v>0</v>
      </c>
      <c r="AG1019">
        <v>0</v>
      </c>
      <c r="AH1019" t="s">
        <v>94</v>
      </c>
      <c r="AI1019" s="1">
        <v>44209.487210648149</v>
      </c>
      <c r="AJ1019">
        <v>118</v>
      </c>
      <c r="AK1019">
        <v>0</v>
      </c>
      <c r="AL1019">
        <v>0</v>
      </c>
      <c r="AM1019">
        <v>0</v>
      </c>
      <c r="AN1019">
        <v>52</v>
      </c>
      <c r="AO1019">
        <v>0</v>
      </c>
      <c r="AP1019">
        <v>66</v>
      </c>
      <c r="AQ1019">
        <v>0</v>
      </c>
      <c r="AR1019">
        <v>0</v>
      </c>
      <c r="AS1019">
        <v>0</v>
      </c>
      <c r="AT1019" t="s">
        <v>90</v>
      </c>
      <c r="AU1019" s="1">
        <v>44209.512141203704</v>
      </c>
      <c r="AV1019">
        <v>3</v>
      </c>
      <c r="AW1019">
        <v>0</v>
      </c>
      <c r="AX1019">
        <v>0</v>
      </c>
      <c r="AY1019">
        <v>0</v>
      </c>
      <c r="AZ1019">
        <v>52</v>
      </c>
      <c r="BA1019">
        <v>0</v>
      </c>
      <c r="BB1019">
        <v>66</v>
      </c>
      <c r="BC1019">
        <v>0</v>
      </c>
      <c r="BD1019">
        <v>0</v>
      </c>
      <c r="BE1019">
        <v>0</v>
      </c>
    </row>
    <row r="1020" spans="1:57" x14ac:dyDescent="0.45">
      <c r="A1020" t="s">
        <v>2643</v>
      </c>
      <c r="B1020" t="s">
        <v>79</v>
      </c>
      <c r="C1020" t="s">
        <v>2644</v>
      </c>
      <c r="D1020" t="s">
        <v>81</v>
      </c>
      <c r="E1020" s="2" t="str">
        <f>HYPERLINK("capsilon://?command=openfolder&amp;siteaddress=FAM.docvelocity-na8.net&amp;folderid=FX70D5C3F7-DEB8-7F8C-395D-DF3015863501","FX21011382")</f>
        <v>FX21011382</v>
      </c>
      <c r="F1020" t="s">
        <v>19</v>
      </c>
      <c r="G1020" t="s">
        <v>19</v>
      </c>
      <c r="H1020" t="s">
        <v>82</v>
      </c>
      <c r="I1020" t="s">
        <v>2645</v>
      </c>
      <c r="J1020">
        <v>465</v>
      </c>
      <c r="K1020" t="s">
        <v>84</v>
      </c>
      <c r="L1020" t="s">
        <v>85</v>
      </c>
      <c r="M1020" t="s">
        <v>86</v>
      </c>
      <c r="N1020">
        <v>3</v>
      </c>
      <c r="O1020" s="1">
        <v>44209.472488425927</v>
      </c>
      <c r="P1020" s="1">
        <v>44209.587523148148</v>
      </c>
      <c r="Q1020">
        <v>1903</v>
      </c>
      <c r="R1020">
        <v>8036</v>
      </c>
      <c r="S1020" t="b">
        <v>0</v>
      </c>
      <c r="T1020" t="s">
        <v>87</v>
      </c>
      <c r="U1020" t="b">
        <v>0</v>
      </c>
      <c r="V1020" t="s">
        <v>98</v>
      </c>
      <c r="W1020" s="1">
        <v>44209.533414351848</v>
      </c>
      <c r="X1020">
        <v>5263</v>
      </c>
      <c r="Y1020">
        <v>393</v>
      </c>
      <c r="Z1020">
        <v>0</v>
      </c>
      <c r="AA1020">
        <v>393</v>
      </c>
      <c r="AB1020">
        <v>0</v>
      </c>
      <c r="AC1020">
        <v>131</v>
      </c>
      <c r="AD1020">
        <v>72</v>
      </c>
      <c r="AE1020">
        <v>0</v>
      </c>
      <c r="AF1020">
        <v>0</v>
      </c>
      <c r="AG1020">
        <v>0</v>
      </c>
      <c r="AH1020" t="s">
        <v>267</v>
      </c>
      <c r="AI1020" s="1">
        <v>44209.569837962961</v>
      </c>
      <c r="AJ1020">
        <v>2529</v>
      </c>
      <c r="AK1020">
        <v>26</v>
      </c>
      <c r="AL1020">
        <v>0</v>
      </c>
      <c r="AM1020">
        <v>26</v>
      </c>
      <c r="AN1020">
        <v>0</v>
      </c>
      <c r="AO1020">
        <v>27</v>
      </c>
      <c r="AP1020">
        <v>46</v>
      </c>
      <c r="AQ1020">
        <v>0</v>
      </c>
      <c r="AR1020">
        <v>0</v>
      </c>
      <c r="AS1020">
        <v>0</v>
      </c>
      <c r="AT1020" t="s">
        <v>90</v>
      </c>
      <c r="AU1020" s="1">
        <v>44209.587523148148</v>
      </c>
      <c r="AV1020">
        <v>237</v>
      </c>
      <c r="AW1020">
        <v>0</v>
      </c>
      <c r="AX1020">
        <v>0</v>
      </c>
      <c r="AY1020">
        <v>0</v>
      </c>
      <c r="AZ1020">
        <v>120</v>
      </c>
      <c r="BA1020">
        <v>0</v>
      </c>
      <c r="BB1020">
        <v>46</v>
      </c>
      <c r="BC1020">
        <v>0</v>
      </c>
      <c r="BD1020">
        <v>0</v>
      </c>
      <c r="BE1020">
        <v>0</v>
      </c>
    </row>
    <row r="1021" spans="1:57" x14ac:dyDescent="0.45">
      <c r="A1021" t="s">
        <v>2646</v>
      </c>
      <c r="B1021" t="s">
        <v>79</v>
      </c>
      <c r="C1021" t="s">
        <v>2647</v>
      </c>
      <c r="D1021" t="s">
        <v>81</v>
      </c>
      <c r="E1021" s="2" t="str">
        <f>HYPERLINK("capsilon://?command=openfolder&amp;siteaddress=FAM.docvelocity-na8.net&amp;folderid=FXA59C5BC2-6FF4-E62A-B61C-637F1A96B8D0","FX21016683")</f>
        <v>FX21016683</v>
      </c>
      <c r="F1021" t="s">
        <v>19</v>
      </c>
      <c r="G1021" t="s">
        <v>19</v>
      </c>
      <c r="H1021" t="s">
        <v>82</v>
      </c>
      <c r="I1021" t="s">
        <v>2648</v>
      </c>
      <c r="J1021">
        <v>26</v>
      </c>
      <c r="K1021" t="s">
        <v>84</v>
      </c>
      <c r="L1021" t="s">
        <v>85</v>
      </c>
      <c r="M1021" t="s">
        <v>86</v>
      </c>
      <c r="N1021">
        <v>3</v>
      </c>
      <c r="O1021" s="1">
        <v>44209.47519675926</v>
      </c>
      <c r="P1021" s="1">
        <v>44209.512187499997</v>
      </c>
      <c r="Q1021">
        <v>2017</v>
      </c>
      <c r="R1021">
        <v>1179</v>
      </c>
      <c r="S1021" t="b">
        <v>0</v>
      </c>
      <c r="T1021" t="s">
        <v>87</v>
      </c>
      <c r="U1021" t="b">
        <v>0</v>
      </c>
      <c r="V1021" t="s">
        <v>168</v>
      </c>
      <c r="W1021" s="1">
        <v>44209.486770833333</v>
      </c>
      <c r="X1021">
        <v>994</v>
      </c>
      <c r="Y1021">
        <v>21</v>
      </c>
      <c r="Z1021">
        <v>0</v>
      </c>
      <c r="AA1021">
        <v>21</v>
      </c>
      <c r="AB1021">
        <v>0</v>
      </c>
      <c r="AC1021">
        <v>19</v>
      </c>
      <c r="AD1021">
        <v>5</v>
      </c>
      <c r="AE1021">
        <v>0</v>
      </c>
      <c r="AF1021">
        <v>0</v>
      </c>
      <c r="AG1021">
        <v>0</v>
      </c>
      <c r="AH1021" t="s">
        <v>94</v>
      </c>
      <c r="AI1021" s="1">
        <v>44209.489328703705</v>
      </c>
      <c r="AJ1021">
        <v>182</v>
      </c>
      <c r="AK1021">
        <v>1</v>
      </c>
      <c r="AL1021">
        <v>0</v>
      </c>
      <c r="AM1021">
        <v>1</v>
      </c>
      <c r="AN1021">
        <v>0</v>
      </c>
      <c r="AO1021">
        <v>1</v>
      </c>
      <c r="AP1021">
        <v>4</v>
      </c>
      <c r="AQ1021">
        <v>0</v>
      </c>
      <c r="AR1021">
        <v>0</v>
      </c>
      <c r="AS1021">
        <v>0</v>
      </c>
      <c r="AT1021" t="s">
        <v>90</v>
      </c>
      <c r="AU1021" s="1">
        <v>44209.512187499997</v>
      </c>
      <c r="AV1021">
        <v>3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4</v>
      </c>
      <c r="BC1021">
        <v>0</v>
      </c>
      <c r="BD1021">
        <v>0</v>
      </c>
      <c r="BE1021">
        <v>0</v>
      </c>
    </row>
    <row r="1022" spans="1:57" hidden="1" x14ac:dyDescent="0.45">
      <c r="A1022" t="s">
        <v>2649</v>
      </c>
      <c r="B1022" t="s">
        <v>79</v>
      </c>
      <c r="C1022" t="s">
        <v>346</v>
      </c>
      <c r="D1022" t="s">
        <v>81</v>
      </c>
      <c r="E1022" s="2" t="str">
        <f>HYPERLINK("capsilon://?command=openfolder&amp;siteaddress=FAM.docvelocity-na8.net&amp;folderid=FX463D5318-D956-0F6F-56FC-642CE044B762","FX20121355")</f>
        <v>FX20121355</v>
      </c>
      <c r="F1022" t="s">
        <v>19</v>
      </c>
      <c r="G1022" t="s">
        <v>19</v>
      </c>
      <c r="H1022" t="s">
        <v>82</v>
      </c>
      <c r="I1022" t="s">
        <v>2650</v>
      </c>
      <c r="J1022">
        <v>66</v>
      </c>
      <c r="K1022" t="s">
        <v>84</v>
      </c>
      <c r="L1022" t="s">
        <v>85</v>
      </c>
      <c r="M1022" t="s">
        <v>86</v>
      </c>
      <c r="N1022">
        <v>3</v>
      </c>
      <c r="O1022" s="1">
        <v>44209.478391203702</v>
      </c>
      <c r="P1022" s="1">
        <v>44209.51222222222</v>
      </c>
      <c r="Q1022">
        <v>2626</v>
      </c>
      <c r="R1022">
        <v>297</v>
      </c>
      <c r="S1022" t="b">
        <v>0</v>
      </c>
      <c r="T1022" t="s">
        <v>87</v>
      </c>
      <c r="U1022" t="b">
        <v>0</v>
      </c>
      <c r="V1022" t="s">
        <v>419</v>
      </c>
      <c r="W1022" s="1">
        <v>44209.480983796297</v>
      </c>
      <c r="X1022">
        <v>165</v>
      </c>
      <c r="Y1022">
        <v>0</v>
      </c>
      <c r="Z1022">
        <v>0</v>
      </c>
      <c r="AA1022">
        <v>0</v>
      </c>
      <c r="AB1022">
        <v>52</v>
      </c>
      <c r="AC1022">
        <v>0</v>
      </c>
      <c r="AD1022">
        <v>66</v>
      </c>
      <c r="AE1022">
        <v>0</v>
      </c>
      <c r="AF1022">
        <v>0</v>
      </c>
      <c r="AG1022">
        <v>0</v>
      </c>
      <c r="AH1022" t="s">
        <v>108</v>
      </c>
      <c r="AI1022" s="1">
        <v>44209.486990740741</v>
      </c>
      <c r="AJ1022">
        <v>92</v>
      </c>
      <c r="AK1022">
        <v>0</v>
      </c>
      <c r="AL1022">
        <v>0</v>
      </c>
      <c r="AM1022">
        <v>0</v>
      </c>
      <c r="AN1022">
        <v>52</v>
      </c>
      <c r="AO1022">
        <v>0</v>
      </c>
      <c r="AP1022">
        <v>66</v>
      </c>
      <c r="AQ1022">
        <v>0</v>
      </c>
      <c r="AR1022">
        <v>0</v>
      </c>
      <c r="AS1022">
        <v>0</v>
      </c>
      <c r="AT1022" t="s">
        <v>90</v>
      </c>
      <c r="AU1022" s="1">
        <v>44209.51222222222</v>
      </c>
      <c r="AV1022">
        <v>2</v>
      </c>
      <c r="AW1022">
        <v>0</v>
      </c>
      <c r="AX1022">
        <v>0</v>
      </c>
      <c r="AY1022">
        <v>0</v>
      </c>
      <c r="AZ1022">
        <v>52</v>
      </c>
      <c r="BA1022">
        <v>0</v>
      </c>
      <c r="BB1022">
        <v>66</v>
      </c>
      <c r="BC1022">
        <v>0</v>
      </c>
      <c r="BD1022">
        <v>0</v>
      </c>
      <c r="BE1022">
        <v>0</v>
      </c>
    </row>
    <row r="1023" spans="1:57" x14ac:dyDescent="0.45">
      <c r="A1023" t="s">
        <v>2651</v>
      </c>
      <c r="B1023" t="s">
        <v>79</v>
      </c>
      <c r="C1023" t="s">
        <v>240</v>
      </c>
      <c r="D1023" t="s">
        <v>81</v>
      </c>
      <c r="E1023" s="2" t="str">
        <f>HYPERLINK("capsilon://?command=openfolder&amp;siteaddress=FAM.docvelocity-na8.net&amp;folderid=FX34768451-A8B2-1F34-7388-CC3EA1351C40","FX201229197")</f>
        <v>FX201229197</v>
      </c>
      <c r="F1023" t="s">
        <v>19</v>
      </c>
      <c r="G1023" t="s">
        <v>19</v>
      </c>
      <c r="H1023" t="s">
        <v>82</v>
      </c>
      <c r="I1023" t="s">
        <v>2652</v>
      </c>
      <c r="J1023">
        <v>229</v>
      </c>
      <c r="K1023" t="s">
        <v>84</v>
      </c>
      <c r="L1023" t="s">
        <v>85</v>
      </c>
      <c r="M1023" t="s">
        <v>86</v>
      </c>
      <c r="N1023">
        <v>3</v>
      </c>
      <c r="O1023" s="1">
        <v>44200.649988425925</v>
      </c>
      <c r="P1023" s="1">
        <v>44201.390127314815</v>
      </c>
      <c r="Q1023">
        <v>59967</v>
      </c>
      <c r="R1023">
        <v>3981</v>
      </c>
      <c r="S1023" t="b">
        <v>0</v>
      </c>
      <c r="T1023" t="s">
        <v>87</v>
      </c>
      <c r="U1023" t="b">
        <v>0</v>
      </c>
      <c r="V1023" t="s">
        <v>266</v>
      </c>
      <c r="W1023" s="1">
        <v>44200.775196759256</v>
      </c>
      <c r="X1023">
        <v>2966</v>
      </c>
      <c r="Y1023">
        <v>222</v>
      </c>
      <c r="Z1023">
        <v>0</v>
      </c>
      <c r="AA1023">
        <v>222</v>
      </c>
      <c r="AB1023">
        <v>0</v>
      </c>
      <c r="AC1023">
        <v>176</v>
      </c>
      <c r="AD1023">
        <v>7</v>
      </c>
      <c r="AE1023">
        <v>0</v>
      </c>
      <c r="AF1023">
        <v>0</v>
      </c>
      <c r="AG1023">
        <v>0</v>
      </c>
      <c r="AH1023" t="s">
        <v>267</v>
      </c>
      <c r="AI1023" s="1">
        <v>44200.814247685186</v>
      </c>
      <c r="AJ1023">
        <v>846</v>
      </c>
      <c r="AK1023">
        <v>3</v>
      </c>
      <c r="AL1023">
        <v>0</v>
      </c>
      <c r="AM1023">
        <v>3</v>
      </c>
      <c r="AN1023">
        <v>0</v>
      </c>
      <c r="AO1023">
        <v>2</v>
      </c>
      <c r="AP1023">
        <v>4</v>
      </c>
      <c r="AQ1023">
        <v>0</v>
      </c>
      <c r="AR1023">
        <v>0</v>
      </c>
      <c r="AS1023">
        <v>0</v>
      </c>
      <c r="AT1023" t="s">
        <v>549</v>
      </c>
      <c r="AU1023" s="1">
        <v>44201.390127314815</v>
      </c>
      <c r="AV1023">
        <v>169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4</v>
      </c>
      <c r="BC1023">
        <v>0</v>
      </c>
      <c r="BD1023">
        <v>0</v>
      </c>
      <c r="BE1023">
        <v>0</v>
      </c>
    </row>
    <row r="1024" spans="1:57" hidden="1" x14ac:dyDescent="0.45">
      <c r="A1024" t="s">
        <v>2653</v>
      </c>
      <c r="B1024" t="s">
        <v>79</v>
      </c>
      <c r="C1024" t="s">
        <v>1185</v>
      </c>
      <c r="D1024" t="s">
        <v>81</v>
      </c>
      <c r="E1024" s="2" t="str">
        <f>HYPERLINK("capsilon://?command=openfolder&amp;siteaddress=FAM.docvelocity-na8.net&amp;folderid=FXFAC3B060-3364-D168-1DE1-C58FB9CE43B7","FX20113630")</f>
        <v>FX20113630</v>
      </c>
      <c r="F1024" t="s">
        <v>19</v>
      </c>
      <c r="G1024" t="s">
        <v>19</v>
      </c>
      <c r="H1024" t="s">
        <v>82</v>
      </c>
      <c r="I1024" t="s">
        <v>2654</v>
      </c>
      <c r="J1024">
        <v>66</v>
      </c>
      <c r="K1024" t="s">
        <v>84</v>
      </c>
      <c r="L1024" t="s">
        <v>85</v>
      </c>
      <c r="M1024" t="s">
        <v>86</v>
      </c>
      <c r="N1024">
        <v>3</v>
      </c>
      <c r="O1024" s="1">
        <v>44209.483067129629</v>
      </c>
      <c r="P1024" s="1">
        <v>44209.512291666666</v>
      </c>
      <c r="Q1024">
        <v>2365</v>
      </c>
      <c r="R1024">
        <v>160</v>
      </c>
      <c r="S1024" t="b">
        <v>0</v>
      </c>
      <c r="T1024" t="s">
        <v>87</v>
      </c>
      <c r="U1024" t="b">
        <v>0</v>
      </c>
      <c r="V1024" t="s">
        <v>171</v>
      </c>
      <c r="W1024" s="1">
        <v>44209.483761574076</v>
      </c>
      <c r="X1024">
        <v>59</v>
      </c>
      <c r="Y1024">
        <v>0</v>
      </c>
      <c r="Z1024">
        <v>0</v>
      </c>
      <c r="AA1024">
        <v>0</v>
      </c>
      <c r="AB1024">
        <v>52</v>
      </c>
      <c r="AC1024">
        <v>0</v>
      </c>
      <c r="AD1024">
        <v>66</v>
      </c>
      <c r="AE1024">
        <v>0</v>
      </c>
      <c r="AF1024">
        <v>0</v>
      </c>
      <c r="AG1024">
        <v>0</v>
      </c>
      <c r="AH1024" t="s">
        <v>94</v>
      </c>
      <c r="AI1024" s="1">
        <v>44209.493541666663</v>
      </c>
      <c r="AJ1024">
        <v>71</v>
      </c>
      <c r="AK1024">
        <v>0</v>
      </c>
      <c r="AL1024">
        <v>0</v>
      </c>
      <c r="AM1024">
        <v>0</v>
      </c>
      <c r="AN1024">
        <v>52</v>
      </c>
      <c r="AO1024">
        <v>0</v>
      </c>
      <c r="AP1024">
        <v>66</v>
      </c>
      <c r="AQ1024">
        <v>0</v>
      </c>
      <c r="AR1024">
        <v>0</v>
      </c>
      <c r="AS1024">
        <v>0</v>
      </c>
      <c r="AT1024" t="s">
        <v>90</v>
      </c>
      <c r="AU1024" s="1">
        <v>44209.512291666666</v>
      </c>
      <c r="AV1024">
        <v>3</v>
      </c>
      <c r="AW1024">
        <v>0</v>
      </c>
      <c r="AX1024">
        <v>0</v>
      </c>
      <c r="AY1024">
        <v>0</v>
      </c>
      <c r="AZ1024">
        <v>52</v>
      </c>
      <c r="BA1024">
        <v>0</v>
      </c>
      <c r="BB1024">
        <v>66</v>
      </c>
      <c r="BC1024">
        <v>0</v>
      </c>
      <c r="BD1024">
        <v>0</v>
      </c>
      <c r="BE1024">
        <v>0</v>
      </c>
    </row>
    <row r="1025" spans="1:57" x14ac:dyDescent="0.45">
      <c r="A1025" t="s">
        <v>2655</v>
      </c>
      <c r="B1025" t="s">
        <v>79</v>
      </c>
      <c r="C1025" t="s">
        <v>2656</v>
      </c>
      <c r="D1025" t="s">
        <v>81</v>
      </c>
      <c r="E1025" s="2" t="str">
        <f>HYPERLINK("capsilon://?command=openfolder&amp;siteaddress=FAM.docvelocity-na8.net&amp;folderid=FX4B949026-512F-4C5A-9902-338CB9B820B9","FX21017442")</f>
        <v>FX21017442</v>
      </c>
      <c r="F1025" t="s">
        <v>19</v>
      </c>
      <c r="G1025" t="s">
        <v>19</v>
      </c>
      <c r="H1025" t="s">
        <v>82</v>
      </c>
      <c r="I1025" t="s">
        <v>2657</v>
      </c>
      <c r="J1025">
        <v>326</v>
      </c>
      <c r="K1025" t="s">
        <v>84</v>
      </c>
      <c r="L1025" t="s">
        <v>85</v>
      </c>
      <c r="M1025" t="s">
        <v>86</v>
      </c>
      <c r="N1025">
        <v>3</v>
      </c>
      <c r="O1025" s="1">
        <v>44209.483159722222</v>
      </c>
      <c r="P1025" s="1">
        <v>44209.537835648145</v>
      </c>
      <c r="Q1025">
        <v>1777</v>
      </c>
      <c r="R1025">
        <v>2947</v>
      </c>
      <c r="S1025" t="b">
        <v>0</v>
      </c>
      <c r="T1025" t="s">
        <v>87</v>
      </c>
      <c r="U1025" t="b">
        <v>0</v>
      </c>
      <c r="V1025" t="s">
        <v>242</v>
      </c>
      <c r="W1025" s="1">
        <v>44209.501030092593</v>
      </c>
      <c r="X1025">
        <v>1530</v>
      </c>
      <c r="Y1025">
        <v>220</v>
      </c>
      <c r="Z1025">
        <v>0</v>
      </c>
      <c r="AA1025">
        <v>220</v>
      </c>
      <c r="AB1025">
        <v>0</v>
      </c>
      <c r="AC1025">
        <v>65</v>
      </c>
      <c r="AD1025">
        <v>106</v>
      </c>
      <c r="AE1025">
        <v>0</v>
      </c>
      <c r="AF1025">
        <v>0</v>
      </c>
      <c r="AG1025">
        <v>0</v>
      </c>
      <c r="AH1025" t="s">
        <v>89</v>
      </c>
      <c r="AI1025" s="1">
        <v>44209.520127314812</v>
      </c>
      <c r="AJ1025">
        <v>1310</v>
      </c>
      <c r="AK1025">
        <v>1</v>
      </c>
      <c r="AL1025">
        <v>0</v>
      </c>
      <c r="AM1025">
        <v>1</v>
      </c>
      <c r="AN1025">
        <v>0</v>
      </c>
      <c r="AO1025">
        <v>0</v>
      </c>
      <c r="AP1025">
        <v>105</v>
      </c>
      <c r="AQ1025">
        <v>0</v>
      </c>
      <c r="AR1025">
        <v>0</v>
      </c>
      <c r="AS1025">
        <v>0</v>
      </c>
      <c r="AT1025" t="s">
        <v>549</v>
      </c>
      <c r="AU1025" s="1">
        <v>44209.537835648145</v>
      </c>
      <c r="AV1025">
        <v>107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105</v>
      </c>
      <c r="BC1025">
        <v>0</v>
      </c>
      <c r="BD1025">
        <v>0</v>
      </c>
      <c r="BE1025">
        <v>0</v>
      </c>
    </row>
    <row r="1026" spans="1:57" hidden="1" x14ac:dyDescent="0.45">
      <c r="A1026" t="s">
        <v>2658</v>
      </c>
      <c r="B1026" t="s">
        <v>79</v>
      </c>
      <c r="C1026" t="s">
        <v>2659</v>
      </c>
      <c r="D1026" t="s">
        <v>81</v>
      </c>
      <c r="E1026" s="2" t="str">
        <f>HYPERLINK("capsilon://?command=openfolder&amp;siteaddress=FAM.docvelocity-na8.net&amp;folderid=FX4E332026-96AD-CE30-448B-6E3E11B46072","FX201223753")</f>
        <v>FX201223753</v>
      </c>
      <c r="F1026" t="s">
        <v>19</v>
      </c>
      <c r="G1026" t="s">
        <v>19</v>
      </c>
      <c r="H1026" t="s">
        <v>82</v>
      </c>
      <c r="I1026" t="s">
        <v>2660</v>
      </c>
      <c r="J1026">
        <v>66</v>
      </c>
      <c r="K1026" t="s">
        <v>84</v>
      </c>
      <c r="L1026" t="s">
        <v>85</v>
      </c>
      <c r="M1026" t="s">
        <v>86</v>
      </c>
      <c r="N1026">
        <v>1</v>
      </c>
      <c r="O1026" s="1">
        <v>44209.483171296299</v>
      </c>
      <c r="P1026" s="1">
        <v>44209.484988425924</v>
      </c>
      <c r="Q1026">
        <v>23</v>
      </c>
      <c r="R1026">
        <v>134</v>
      </c>
      <c r="S1026" t="b">
        <v>0</v>
      </c>
      <c r="T1026" t="s">
        <v>87</v>
      </c>
      <c r="U1026" t="b">
        <v>0</v>
      </c>
      <c r="V1026" t="s">
        <v>142</v>
      </c>
      <c r="W1026" s="1">
        <v>44209.484988425924</v>
      </c>
      <c r="X1026">
        <v>134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66</v>
      </c>
      <c r="AE1026">
        <v>52</v>
      </c>
      <c r="AF1026">
        <v>0</v>
      </c>
      <c r="AG1026">
        <v>1</v>
      </c>
      <c r="AH1026" t="s">
        <v>87</v>
      </c>
      <c r="AI1026" t="s">
        <v>87</v>
      </c>
      <c r="AJ1026" t="s">
        <v>87</v>
      </c>
      <c r="AK1026" t="s">
        <v>87</v>
      </c>
      <c r="AL1026" t="s">
        <v>87</v>
      </c>
      <c r="AM1026" t="s">
        <v>87</v>
      </c>
      <c r="AN1026" t="s">
        <v>87</v>
      </c>
      <c r="AO1026" t="s">
        <v>87</v>
      </c>
      <c r="AP1026" t="s">
        <v>87</v>
      </c>
      <c r="AQ1026" t="s">
        <v>87</v>
      </c>
      <c r="AR1026" t="s">
        <v>87</v>
      </c>
      <c r="AS1026" t="s">
        <v>87</v>
      </c>
      <c r="AT1026" t="s">
        <v>87</v>
      </c>
      <c r="AU1026" t="s">
        <v>87</v>
      </c>
      <c r="AV1026" t="s">
        <v>87</v>
      </c>
      <c r="AW1026" t="s">
        <v>87</v>
      </c>
      <c r="AX1026" t="s">
        <v>87</v>
      </c>
      <c r="AY1026" t="s">
        <v>87</v>
      </c>
      <c r="AZ1026" t="s">
        <v>87</v>
      </c>
      <c r="BA1026" t="s">
        <v>87</v>
      </c>
      <c r="BB1026" t="s">
        <v>87</v>
      </c>
      <c r="BC1026" t="s">
        <v>87</v>
      </c>
      <c r="BD1026" t="s">
        <v>87</v>
      </c>
      <c r="BE1026" t="s">
        <v>87</v>
      </c>
    </row>
    <row r="1027" spans="1:57" hidden="1" x14ac:dyDescent="0.45">
      <c r="A1027" t="s">
        <v>2661</v>
      </c>
      <c r="B1027" t="s">
        <v>79</v>
      </c>
      <c r="C1027" t="s">
        <v>1185</v>
      </c>
      <c r="D1027" t="s">
        <v>81</v>
      </c>
      <c r="E1027" s="2" t="str">
        <f>HYPERLINK("capsilon://?command=openfolder&amp;siteaddress=FAM.docvelocity-na8.net&amp;folderid=FXFAC3B060-3364-D168-1DE1-C58FB9CE43B7","FX20113630")</f>
        <v>FX20113630</v>
      </c>
      <c r="F1027" t="s">
        <v>19</v>
      </c>
      <c r="G1027" t="s">
        <v>19</v>
      </c>
      <c r="H1027" t="s">
        <v>82</v>
      </c>
      <c r="I1027" t="s">
        <v>2662</v>
      </c>
      <c r="J1027">
        <v>66</v>
      </c>
      <c r="K1027" t="s">
        <v>84</v>
      </c>
      <c r="L1027" t="s">
        <v>85</v>
      </c>
      <c r="M1027" t="s">
        <v>86</v>
      </c>
      <c r="N1027">
        <v>3</v>
      </c>
      <c r="O1027" s="1">
        <v>44209.483576388891</v>
      </c>
      <c r="P1027" s="1">
        <v>44209.513113425928</v>
      </c>
      <c r="Q1027">
        <v>2317</v>
      </c>
      <c r="R1027">
        <v>235</v>
      </c>
      <c r="S1027" t="b">
        <v>0</v>
      </c>
      <c r="T1027" t="s">
        <v>87</v>
      </c>
      <c r="U1027" t="b">
        <v>0</v>
      </c>
      <c r="V1027" t="s">
        <v>171</v>
      </c>
      <c r="W1027" s="1">
        <v>44209.484965277778</v>
      </c>
      <c r="X1027">
        <v>77</v>
      </c>
      <c r="Y1027">
        <v>0</v>
      </c>
      <c r="Z1027">
        <v>0</v>
      </c>
      <c r="AA1027">
        <v>0</v>
      </c>
      <c r="AB1027">
        <v>52</v>
      </c>
      <c r="AC1027">
        <v>0</v>
      </c>
      <c r="AD1027">
        <v>66</v>
      </c>
      <c r="AE1027">
        <v>0</v>
      </c>
      <c r="AF1027">
        <v>0</v>
      </c>
      <c r="AG1027">
        <v>0</v>
      </c>
      <c r="AH1027" t="s">
        <v>94</v>
      </c>
      <c r="AI1027" s="1">
        <v>44209.494166666664</v>
      </c>
      <c r="AJ1027">
        <v>53</v>
      </c>
      <c r="AK1027">
        <v>0</v>
      </c>
      <c r="AL1027">
        <v>0</v>
      </c>
      <c r="AM1027">
        <v>0</v>
      </c>
      <c r="AN1027">
        <v>52</v>
      </c>
      <c r="AO1027">
        <v>0</v>
      </c>
      <c r="AP1027">
        <v>66</v>
      </c>
      <c r="AQ1027">
        <v>0</v>
      </c>
      <c r="AR1027">
        <v>0</v>
      </c>
      <c r="AS1027">
        <v>0</v>
      </c>
      <c r="AT1027" t="s">
        <v>90</v>
      </c>
      <c r="AU1027" s="1">
        <v>44209.513113425928</v>
      </c>
      <c r="AV1027">
        <v>71</v>
      </c>
      <c r="AW1027">
        <v>0</v>
      </c>
      <c r="AX1027">
        <v>0</v>
      </c>
      <c r="AY1027">
        <v>0</v>
      </c>
      <c r="AZ1027">
        <v>52</v>
      </c>
      <c r="BA1027">
        <v>0</v>
      </c>
      <c r="BB1027">
        <v>66</v>
      </c>
      <c r="BC1027">
        <v>0</v>
      </c>
      <c r="BD1027">
        <v>0</v>
      </c>
      <c r="BE1027">
        <v>0</v>
      </c>
    </row>
    <row r="1028" spans="1:57" x14ac:dyDescent="0.45">
      <c r="A1028" t="s">
        <v>2663</v>
      </c>
      <c r="B1028" t="s">
        <v>79</v>
      </c>
      <c r="C1028" t="s">
        <v>2664</v>
      </c>
      <c r="D1028" t="s">
        <v>81</v>
      </c>
      <c r="E1028" s="2" t="str">
        <f>HYPERLINK("capsilon://?command=openfolder&amp;siteaddress=FAM.docvelocity-na8.net&amp;folderid=FX5A238F6F-2897-46A9-FE99-EB04F5D382A5","FX201229309")</f>
        <v>FX201229309</v>
      </c>
      <c r="F1028" t="s">
        <v>19</v>
      </c>
      <c r="G1028" t="s">
        <v>19</v>
      </c>
      <c r="H1028" t="s">
        <v>82</v>
      </c>
      <c r="I1028" t="s">
        <v>2665</v>
      </c>
      <c r="J1028">
        <v>162</v>
      </c>
      <c r="K1028" t="s">
        <v>84</v>
      </c>
      <c r="L1028" t="s">
        <v>85</v>
      </c>
      <c r="M1028" t="s">
        <v>86</v>
      </c>
      <c r="N1028">
        <v>3</v>
      </c>
      <c r="O1028" s="1">
        <v>44209.485023148147</v>
      </c>
      <c r="P1028" s="1">
        <v>44209.542986111112</v>
      </c>
      <c r="Q1028">
        <v>94</v>
      </c>
      <c r="R1028">
        <v>4914</v>
      </c>
      <c r="S1028" t="b">
        <v>0</v>
      </c>
      <c r="T1028" t="s">
        <v>87</v>
      </c>
      <c r="U1028" t="b">
        <v>0</v>
      </c>
      <c r="V1028" t="s">
        <v>171</v>
      </c>
      <c r="W1028" s="1">
        <v>44209.524062500001</v>
      </c>
      <c r="X1028">
        <v>3372</v>
      </c>
      <c r="Y1028">
        <v>187</v>
      </c>
      <c r="Z1028">
        <v>0</v>
      </c>
      <c r="AA1028">
        <v>187</v>
      </c>
      <c r="AB1028">
        <v>0</v>
      </c>
      <c r="AC1028">
        <v>105</v>
      </c>
      <c r="AD1028">
        <v>-25</v>
      </c>
      <c r="AE1028">
        <v>0</v>
      </c>
      <c r="AF1028">
        <v>0</v>
      </c>
      <c r="AG1028">
        <v>0</v>
      </c>
      <c r="AH1028" t="s">
        <v>267</v>
      </c>
      <c r="AI1028" s="1">
        <v>44209.540555555555</v>
      </c>
      <c r="AJ1028">
        <v>1373</v>
      </c>
      <c r="AK1028">
        <v>2</v>
      </c>
      <c r="AL1028">
        <v>0</v>
      </c>
      <c r="AM1028">
        <v>2</v>
      </c>
      <c r="AN1028">
        <v>0</v>
      </c>
      <c r="AO1028">
        <v>2</v>
      </c>
      <c r="AP1028">
        <v>-27</v>
      </c>
      <c r="AQ1028">
        <v>0</v>
      </c>
      <c r="AR1028">
        <v>0</v>
      </c>
      <c r="AS1028">
        <v>0</v>
      </c>
      <c r="AT1028" t="s">
        <v>549</v>
      </c>
      <c r="AU1028" s="1">
        <v>44209.542986111112</v>
      </c>
      <c r="AV1028">
        <v>169</v>
      </c>
      <c r="AW1028">
        <v>2</v>
      </c>
      <c r="AX1028">
        <v>0</v>
      </c>
      <c r="AY1028">
        <v>2</v>
      </c>
      <c r="AZ1028">
        <v>0</v>
      </c>
      <c r="BA1028">
        <v>2</v>
      </c>
      <c r="BB1028">
        <v>-29</v>
      </c>
      <c r="BC1028">
        <v>0</v>
      </c>
      <c r="BD1028">
        <v>0</v>
      </c>
      <c r="BE1028">
        <v>0</v>
      </c>
    </row>
    <row r="1029" spans="1:57" x14ac:dyDescent="0.45">
      <c r="A1029" t="s">
        <v>2666</v>
      </c>
      <c r="B1029" t="s">
        <v>79</v>
      </c>
      <c r="C1029" t="s">
        <v>2659</v>
      </c>
      <c r="D1029" t="s">
        <v>81</v>
      </c>
      <c r="E1029" s="2" t="str">
        <f>HYPERLINK("capsilon://?command=openfolder&amp;siteaddress=FAM.docvelocity-na8.net&amp;folderid=FX4E332026-96AD-CE30-448B-6E3E11B46072","FX201223753")</f>
        <v>FX201223753</v>
      </c>
      <c r="F1029" t="s">
        <v>19</v>
      </c>
      <c r="G1029" t="s">
        <v>19</v>
      </c>
      <c r="H1029" t="s">
        <v>82</v>
      </c>
      <c r="I1029" t="s">
        <v>2660</v>
      </c>
      <c r="J1029">
        <v>38</v>
      </c>
      <c r="K1029" t="s">
        <v>84</v>
      </c>
      <c r="L1029" t="s">
        <v>85</v>
      </c>
      <c r="M1029" t="s">
        <v>86</v>
      </c>
      <c r="N1029">
        <v>3</v>
      </c>
      <c r="O1029" s="1">
        <v>44209.485300925924</v>
      </c>
      <c r="P1029" s="1">
        <v>44209.500185185185</v>
      </c>
      <c r="Q1029">
        <v>663</v>
      </c>
      <c r="R1029">
        <v>623</v>
      </c>
      <c r="S1029" t="b">
        <v>0</v>
      </c>
      <c r="T1029" t="s">
        <v>87</v>
      </c>
      <c r="U1029" t="b">
        <v>1</v>
      </c>
      <c r="V1029" t="s">
        <v>142</v>
      </c>
      <c r="W1029" s="1">
        <v>44209.48945601852</v>
      </c>
      <c r="X1029">
        <v>359</v>
      </c>
      <c r="Y1029">
        <v>37</v>
      </c>
      <c r="Z1029">
        <v>0</v>
      </c>
      <c r="AA1029">
        <v>37</v>
      </c>
      <c r="AB1029">
        <v>0</v>
      </c>
      <c r="AC1029">
        <v>33</v>
      </c>
      <c r="AD1029">
        <v>1</v>
      </c>
      <c r="AE1029">
        <v>0</v>
      </c>
      <c r="AF1029">
        <v>0</v>
      </c>
      <c r="AG1029">
        <v>0</v>
      </c>
      <c r="AH1029" t="s">
        <v>94</v>
      </c>
      <c r="AI1029" s="1">
        <v>44209.492719907408</v>
      </c>
      <c r="AJ1029">
        <v>259</v>
      </c>
      <c r="AK1029">
        <v>1</v>
      </c>
      <c r="AL1029">
        <v>0</v>
      </c>
      <c r="AM1029">
        <v>1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 t="s">
        <v>90</v>
      </c>
      <c r="AU1029" s="1">
        <v>44209.500185185185</v>
      </c>
      <c r="AV1029">
        <v>5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</row>
    <row r="1030" spans="1:57" x14ac:dyDescent="0.45">
      <c r="A1030" t="s">
        <v>2667</v>
      </c>
      <c r="B1030" t="s">
        <v>79</v>
      </c>
      <c r="C1030" t="s">
        <v>2668</v>
      </c>
      <c r="D1030" t="s">
        <v>81</v>
      </c>
      <c r="E1030" s="2" t="str">
        <f>HYPERLINK("capsilon://?command=openfolder&amp;siteaddress=FAM.docvelocity-na8.net&amp;folderid=FXC60AA823-4C25-0361-F8D9-D1113B497A47","FX21011779")</f>
        <v>FX21011779</v>
      </c>
      <c r="F1030" t="s">
        <v>19</v>
      </c>
      <c r="G1030" t="s">
        <v>19</v>
      </c>
      <c r="H1030" t="s">
        <v>82</v>
      </c>
      <c r="I1030" t="s">
        <v>2669</v>
      </c>
      <c r="J1030">
        <v>156</v>
      </c>
      <c r="K1030" t="s">
        <v>84</v>
      </c>
      <c r="L1030" t="s">
        <v>85</v>
      </c>
      <c r="M1030" t="s">
        <v>86</v>
      </c>
      <c r="N1030">
        <v>3</v>
      </c>
      <c r="O1030" s="1">
        <v>44209.486273148148</v>
      </c>
      <c r="P1030" s="1">
        <v>44209.541018518517</v>
      </c>
      <c r="Q1030">
        <v>423</v>
      </c>
      <c r="R1030">
        <v>4307</v>
      </c>
      <c r="S1030" t="b">
        <v>0</v>
      </c>
      <c r="T1030" t="s">
        <v>87</v>
      </c>
      <c r="U1030" t="b">
        <v>0</v>
      </c>
      <c r="V1030" t="s">
        <v>919</v>
      </c>
      <c r="W1030" s="1">
        <v>44209.517627314817</v>
      </c>
      <c r="X1030">
        <v>2708</v>
      </c>
      <c r="Y1030">
        <v>154</v>
      </c>
      <c r="Z1030">
        <v>0</v>
      </c>
      <c r="AA1030">
        <v>154</v>
      </c>
      <c r="AB1030">
        <v>0</v>
      </c>
      <c r="AC1030">
        <v>73</v>
      </c>
      <c r="AD1030">
        <v>2</v>
      </c>
      <c r="AE1030">
        <v>0</v>
      </c>
      <c r="AF1030">
        <v>0</v>
      </c>
      <c r="AG1030">
        <v>0</v>
      </c>
      <c r="AH1030" t="s">
        <v>89</v>
      </c>
      <c r="AI1030" s="1">
        <v>44209.535266203704</v>
      </c>
      <c r="AJ1030">
        <v>1307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2</v>
      </c>
      <c r="AQ1030">
        <v>0</v>
      </c>
      <c r="AR1030">
        <v>0</v>
      </c>
      <c r="AS1030">
        <v>0</v>
      </c>
      <c r="AT1030" t="s">
        <v>549</v>
      </c>
      <c r="AU1030" s="1">
        <v>44209.541018518517</v>
      </c>
      <c r="AV1030">
        <v>274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2</v>
      </c>
      <c r="BC1030">
        <v>0</v>
      </c>
      <c r="BD1030">
        <v>0</v>
      </c>
      <c r="BE1030">
        <v>0</v>
      </c>
    </row>
    <row r="1031" spans="1:57" hidden="1" x14ac:dyDescent="0.45">
      <c r="A1031" t="s">
        <v>2670</v>
      </c>
      <c r="B1031" t="s">
        <v>79</v>
      </c>
      <c r="C1031" t="s">
        <v>2671</v>
      </c>
      <c r="D1031" t="s">
        <v>81</v>
      </c>
      <c r="E1031" s="2" t="str">
        <f>HYPERLINK("capsilon://?command=openfolder&amp;siteaddress=FAM.docvelocity-na8.net&amp;folderid=FX2E99FC1D-FF29-72AF-C35B-84CB4282A2F2","FX201110226")</f>
        <v>FX201110226</v>
      </c>
      <c r="F1031" t="s">
        <v>19</v>
      </c>
      <c r="G1031" t="s">
        <v>19</v>
      </c>
      <c r="H1031" t="s">
        <v>82</v>
      </c>
      <c r="I1031" t="s">
        <v>2672</v>
      </c>
      <c r="J1031">
        <v>554</v>
      </c>
      <c r="K1031" t="s">
        <v>84</v>
      </c>
      <c r="L1031" t="s">
        <v>85</v>
      </c>
      <c r="M1031" t="s">
        <v>81</v>
      </c>
      <c r="N1031">
        <v>3</v>
      </c>
      <c r="O1031" s="1">
        <v>44209.494571759256</v>
      </c>
      <c r="P1031" s="1">
        <v>44209.53665509259</v>
      </c>
      <c r="Q1031">
        <v>2237</v>
      </c>
      <c r="R1031">
        <v>1399</v>
      </c>
      <c r="S1031" t="b">
        <v>0</v>
      </c>
      <c r="T1031" t="s">
        <v>1797</v>
      </c>
      <c r="U1031" t="b">
        <v>0</v>
      </c>
      <c r="V1031" t="s">
        <v>146</v>
      </c>
      <c r="W1031" s="1">
        <v>44209.503622685188</v>
      </c>
      <c r="X1031">
        <v>778</v>
      </c>
      <c r="Y1031">
        <v>0</v>
      </c>
      <c r="Z1031">
        <v>0</v>
      </c>
      <c r="AA1031">
        <v>0</v>
      </c>
      <c r="AB1031">
        <v>98</v>
      </c>
      <c r="AC1031">
        <v>0</v>
      </c>
      <c r="AD1031">
        <v>554</v>
      </c>
      <c r="AE1031">
        <v>0</v>
      </c>
      <c r="AF1031">
        <v>0</v>
      </c>
      <c r="AG1031">
        <v>0</v>
      </c>
      <c r="AH1031" t="s">
        <v>267</v>
      </c>
      <c r="AI1031" s="1">
        <v>44209.515081018515</v>
      </c>
      <c r="AJ1031">
        <v>164</v>
      </c>
      <c r="AK1031">
        <v>0</v>
      </c>
      <c r="AL1031">
        <v>0</v>
      </c>
      <c r="AM1031">
        <v>0</v>
      </c>
      <c r="AN1031">
        <v>98</v>
      </c>
      <c r="AO1031">
        <v>0</v>
      </c>
      <c r="AP1031">
        <v>554</v>
      </c>
      <c r="AQ1031">
        <v>0</v>
      </c>
      <c r="AR1031">
        <v>0</v>
      </c>
      <c r="AS1031">
        <v>0</v>
      </c>
      <c r="AT1031" t="s">
        <v>1797</v>
      </c>
      <c r="AU1031" s="1">
        <v>44209.53665509259</v>
      </c>
      <c r="AV1031">
        <v>5</v>
      </c>
      <c r="AW1031">
        <v>0</v>
      </c>
      <c r="AX1031">
        <v>0</v>
      </c>
      <c r="AY1031">
        <v>0</v>
      </c>
      <c r="AZ1031">
        <v>98</v>
      </c>
      <c r="BA1031">
        <v>0</v>
      </c>
      <c r="BB1031">
        <v>554</v>
      </c>
      <c r="BC1031">
        <v>0</v>
      </c>
      <c r="BD1031">
        <v>0</v>
      </c>
      <c r="BE1031">
        <v>0</v>
      </c>
    </row>
    <row r="1032" spans="1:57" x14ac:dyDescent="0.45">
      <c r="A1032" t="s">
        <v>2673</v>
      </c>
      <c r="B1032" t="s">
        <v>79</v>
      </c>
      <c r="C1032" t="s">
        <v>2674</v>
      </c>
      <c r="D1032" t="s">
        <v>81</v>
      </c>
      <c r="E1032" s="2" t="str">
        <f>HYPERLINK("capsilon://?command=openfolder&amp;siteaddress=FAM.docvelocity-na8.net&amp;folderid=FX8CB4270B-F44F-C2CE-7C82-12834537AF65","FX21016371")</f>
        <v>FX21016371</v>
      </c>
      <c r="F1032" t="s">
        <v>19</v>
      </c>
      <c r="G1032" t="s">
        <v>19</v>
      </c>
      <c r="H1032" t="s">
        <v>82</v>
      </c>
      <c r="I1032" t="s">
        <v>2675</v>
      </c>
      <c r="J1032">
        <v>625</v>
      </c>
      <c r="K1032" t="s">
        <v>84</v>
      </c>
      <c r="L1032" t="s">
        <v>85</v>
      </c>
      <c r="M1032" t="s">
        <v>86</v>
      </c>
      <c r="N1032">
        <v>3</v>
      </c>
      <c r="O1032" s="1">
        <v>44209.496493055558</v>
      </c>
      <c r="P1032" s="1">
        <v>44209.588194444441</v>
      </c>
      <c r="Q1032">
        <v>2968</v>
      </c>
      <c r="R1032">
        <v>4955</v>
      </c>
      <c r="S1032" t="b">
        <v>0</v>
      </c>
      <c r="T1032" t="s">
        <v>87</v>
      </c>
      <c r="U1032" t="b">
        <v>0</v>
      </c>
      <c r="V1032" t="s">
        <v>112</v>
      </c>
      <c r="W1032" s="1">
        <v>44209.542002314818</v>
      </c>
      <c r="X1032">
        <v>3902</v>
      </c>
      <c r="Y1032">
        <v>623</v>
      </c>
      <c r="Z1032">
        <v>0</v>
      </c>
      <c r="AA1032">
        <v>623</v>
      </c>
      <c r="AB1032">
        <v>37</v>
      </c>
      <c r="AC1032">
        <v>293</v>
      </c>
      <c r="AD1032">
        <v>2</v>
      </c>
      <c r="AE1032">
        <v>0</v>
      </c>
      <c r="AF1032">
        <v>0</v>
      </c>
      <c r="AG1032">
        <v>0</v>
      </c>
      <c r="AH1032" t="s">
        <v>128</v>
      </c>
      <c r="AI1032" s="1">
        <v>44209.57439814815</v>
      </c>
      <c r="AJ1032">
        <v>994</v>
      </c>
      <c r="AK1032">
        <v>0</v>
      </c>
      <c r="AL1032">
        <v>0</v>
      </c>
      <c r="AM1032">
        <v>0</v>
      </c>
      <c r="AN1032">
        <v>37</v>
      </c>
      <c r="AO1032">
        <v>0</v>
      </c>
      <c r="AP1032">
        <v>2</v>
      </c>
      <c r="AQ1032">
        <v>0</v>
      </c>
      <c r="AR1032">
        <v>0</v>
      </c>
      <c r="AS1032">
        <v>0</v>
      </c>
      <c r="AT1032" t="s">
        <v>90</v>
      </c>
      <c r="AU1032" s="1">
        <v>44209.588194444441</v>
      </c>
      <c r="AV1032">
        <v>47</v>
      </c>
      <c r="AW1032">
        <v>0</v>
      </c>
      <c r="AX1032">
        <v>0</v>
      </c>
      <c r="AY1032">
        <v>0</v>
      </c>
      <c r="AZ1032">
        <v>37</v>
      </c>
      <c r="BA1032">
        <v>0</v>
      </c>
      <c r="BB1032">
        <v>2</v>
      </c>
      <c r="BC1032">
        <v>0</v>
      </c>
      <c r="BD1032">
        <v>0</v>
      </c>
      <c r="BE1032">
        <v>0</v>
      </c>
    </row>
    <row r="1033" spans="1:57" x14ac:dyDescent="0.45">
      <c r="A1033" t="s">
        <v>2676</v>
      </c>
      <c r="B1033" t="s">
        <v>79</v>
      </c>
      <c r="C1033" t="s">
        <v>2074</v>
      </c>
      <c r="D1033" t="s">
        <v>81</v>
      </c>
      <c r="E1033" s="2" t="str">
        <f>HYPERLINK("capsilon://?command=openfolder&amp;siteaddress=FAM.docvelocity-na8.net&amp;folderid=FXEFA22894-3DEE-E99F-F288-3A80387A28D4","FX20121817")</f>
        <v>FX20121817</v>
      </c>
      <c r="F1033" t="s">
        <v>19</v>
      </c>
      <c r="G1033" t="s">
        <v>19</v>
      </c>
      <c r="H1033" t="s">
        <v>82</v>
      </c>
      <c r="I1033" t="s">
        <v>2677</v>
      </c>
      <c r="J1033">
        <v>34</v>
      </c>
      <c r="K1033" t="s">
        <v>84</v>
      </c>
      <c r="L1033" t="s">
        <v>85</v>
      </c>
      <c r="M1033" t="s">
        <v>86</v>
      </c>
      <c r="N1033">
        <v>3</v>
      </c>
      <c r="O1033" s="1">
        <v>44209.497071759259</v>
      </c>
      <c r="P1033" s="1">
        <v>44209.545740740738</v>
      </c>
      <c r="Q1033">
        <v>2095</v>
      </c>
      <c r="R1033">
        <v>2110</v>
      </c>
      <c r="S1033" t="b">
        <v>0</v>
      </c>
      <c r="T1033" t="s">
        <v>87</v>
      </c>
      <c r="U1033" t="b">
        <v>0</v>
      </c>
      <c r="V1033" t="s">
        <v>160</v>
      </c>
      <c r="W1033" s="1">
        <v>44209.512870370374</v>
      </c>
      <c r="X1033">
        <v>1354</v>
      </c>
      <c r="Y1033">
        <v>86</v>
      </c>
      <c r="Z1033">
        <v>0</v>
      </c>
      <c r="AA1033">
        <v>86</v>
      </c>
      <c r="AB1033">
        <v>0</v>
      </c>
      <c r="AC1033">
        <v>56</v>
      </c>
      <c r="AD1033">
        <v>-52</v>
      </c>
      <c r="AE1033">
        <v>0</v>
      </c>
      <c r="AF1033">
        <v>0</v>
      </c>
      <c r="AG1033">
        <v>0</v>
      </c>
      <c r="AH1033" t="s">
        <v>147</v>
      </c>
      <c r="AI1033" s="1">
        <v>44209.520312499997</v>
      </c>
      <c r="AJ1033">
        <v>519</v>
      </c>
      <c r="AK1033">
        <v>7</v>
      </c>
      <c r="AL1033">
        <v>0</v>
      </c>
      <c r="AM1033">
        <v>7</v>
      </c>
      <c r="AN1033">
        <v>0</v>
      </c>
      <c r="AO1033">
        <v>19</v>
      </c>
      <c r="AP1033">
        <v>-59</v>
      </c>
      <c r="AQ1033">
        <v>0</v>
      </c>
      <c r="AR1033">
        <v>0</v>
      </c>
      <c r="AS1033">
        <v>0</v>
      </c>
      <c r="AT1033" t="s">
        <v>549</v>
      </c>
      <c r="AU1033" s="1">
        <v>44209.545740740738</v>
      </c>
      <c r="AV1033">
        <v>237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-59</v>
      </c>
      <c r="BC1033">
        <v>0</v>
      </c>
      <c r="BD1033">
        <v>0</v>
      </c>
      <c r="BE1033">
        <v>0</v>
      </c>
    </row>
    <row r="1034" spans="1:57" x14ac:dyDescent="0.45">
      <c r="A1034" t="s">
        <v>2678</v>
      </c>
      <c r="B1034" t="s">
        <v>79</v>
      </c>
      <c r="C1034" t="s">
        <v>2679</v>
      </c>
      <c r="D1034" t="s">
        <v>81</v>
      </c>
      <c r="E1034" s="2" t="str">
        <f>HYPERLINK("capsilon://?command=openfolder&amp;siteaddress=FAM.docvelocity-na8.net&amp;folderid=FX6BD76A67-3297-5DF3-FF3D-6D32D66B6B90","FX21017310")</f>
        <v>FX21017310</v>
      </c>
      <c r="F1034" t="s">
        <v>19</v>
      </c>
      <c r="G1034" t="s">
        <v>19</v>
      </c>
      <c r="H1034" t="s">
        <v>82</v>
      </c>
      <c r="I1034" t="s">
        <v>2680</v>
      </c>
      <c r="J1034">
        <v>38</v>
      </c>
      <c r="K1034" t="s">
        <v>84</v>
      </c>
      <c r="L1034" t="s">
        <v>85</v>
      </c>
      <c r="M1034" t="s">
        <v>86</v>
      </c>
      <c r="N1034">
        <v>3</v>
      </c>
      <c r="O1034" s="1">
        <v>44209.502592592595</v>
      </c>
      <c r="P1034" s="1">
        <v>44209.513541666667</v>
      </c>
      <c r="Q1034">
        <v>251</v>
      </c>
      <c r="R1034">
        <v>695</v>
      </c>
      <c r="S1034" t="b">
        <v>0</v>
      </c>
      <c r="T1034" t="s">
        <v>87</v>
      </c>
      <c r="U1034" t="b">
        <v>0</v>
      </c>
      <c r="V1034" t="s">
        <v>255</v>
      </c>
      <c r="W1034" s="1">
        <v>44209.506678240738</v>
      </c>
      <c r="X1034">
        <v>344</v>
      </c>
      <c r="Y1034">
        <v>37</v>
      </c>
      <c r="Z1034">
        <v>0</v>
      </c>
      <c r="AA1034">
        <v>37</v>
      </c>
      <c r="AB1034">
        <v>0</v>
      </c>
      <c r="AC1034">
        <v>14</v>
      </c>
      <c r="AD1034">
        <v>1</v>
      </c>
      <c r="AE1034">
        <v>0</v>
      </c>
      <c r="AF1034">
        <v>0</v>
      </c>
      <c r="AG1034">
        <v>0</v>
      </c>
      <c r="AH1034" t="s">
        <v>267</v>
      </c>
      <c r="AI1034" s="1">
        <v>44209.510798611111</v>
      </c>
      <c r="AJ1034">
        <v>346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 t="s">
        <v>90</v>
      </c>
      <c r="AU1034" s="1">
        <v>44209.513541666667</v>
      </c>
      <c r="AV1034">
        <v>5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</row>
    <row r="1035" spans="1:57" x14ac:dyDescent="0.45">
      <c r="A1035" t="s">
        <v>2681</v>
      </c>
      <c r="B1035" t="s">
        <v>79</v>
      </c>
      <c r="C1035" t="s">
        <v>2682</v>
      </c>
      <c r="D1035" t="s">
        <v>81</v>
      </c>
      <c r="E1035" s="2" t="str">
        <f>HYPERLINK("capsilon://?command=openfolder&amp;siteaddress=FAM.docvelocity-na8.net&amp;folderid=FXA5400BB4-6D98-933A-2A29-87221A9733B3","FX21017766")</f>
        <v>FX21017766</v>
      </c>
      <c r="F1035" t="s">
        <v>19</v>
      </c>
      <c r="G1035" t="s">
        <v>19</v>
      </c>
      <c r="H1035" t="s">
        <v>82</v>
      </c>
      <c r="I1035" t="s">
        <v>2683</v>
      </c>
      <c r="J1035">
        <v>117</v>
      </c>
      <c r="K1035" t="s">
        <v>84</v>
      </c>
      <c r="L1035" t="s">
        <v>85</v>
      </c>
      <c r="M1035" t="s">
        <v>86</v>
      </c>
      <c r="N1035">
        <v>3</v>
      </c>
      <c r="O1035" s="1">
        <v>44209.504629629628</v>
      </c>
      <c r="P1035" s="1">
        <v>44209.546666666669</v>
      </c>
      <c r="Q1035">
        <v>796</v>
      </c>
      <c r="R1035">
        <v>2836</v>
      </c>
      <c r="S1035" t="b">
        <v>0</v>
      </c>
      <c r="T1035" t="s">
        <v>87</v>
      </c>
      <c r="U1035" t="b">
        <v>0</v>
      </c>
      <c r="V1035" t="s">
        <v>146</v>
      </c>
      <c r="W1035" s="1">
        <v>44209.530486111114</v>
      </c>
      <c r="X1035">
        <v>2233</v>
      </c>
      <c r="Y1035">
        <v>137</v>
      </c>
      <c r="Z1035">
        <v>0</v>
      </c>
      <c r="AA1035">
        <v>137</v>
      </c>
      <c r="AB1035">
        <v>0</v>
      </c>
      <c r="AC1035">
        <v>79</v>
      </c>
      <c r="AD1035">
        <v>-20</v>
      </c>
      <c r="AE1035">
        <v>0</v>
      </c>
      <c r="AF1035">
        <v>0</v>
      </c>
      <c r="AG1035">
        <v>0</v>
      </c>
      <c r="AH1035" t="s">
        <v>128</v>
      </c>
      <c r="AI1035" s="1">
        <v>44209.538865740738</v>
      </c>
      <c r="AJ1035">
        <v>523</v>
      </c>
      <c r="AK1035">
        <v>3</v>
      </c>
      <c r="AL1035">
        <v>0</v>
      </c>
      <c r="AM1035">
        <v>3</v>
      </c>
      <c r="AN1035">
        <v>0</v>
      </c>
      <c r="AO1035">
        <v>3</v>
      </c>
      <c r="AP1035">
        <v>-23</v>
      </c>
      <c r="AQ1035">
        <v>0</v>
      </c>
      <c r="AR1035">
        <v>0</v>
      </c>
      <c r="AS1035">
        <v>0</v>
      </c>
      <c r="AT1035" t="s">
        <v>549</v>
      </c>
      <c r="AU1035" s="1">
        <v>44209.546666666669</v>
      </c>
      <c r="AV1035">
        <v>80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-23</v>
      </c>
      <c r="BC1035">
        <v>0</v>
      </c>
      <c r="BD1035">
        <v>0</v>
      </c>
      <c r="BE1035">
        <v>0</v>
      </c>
    </row>
    <row r="1036" spans="1:57" hidden="1" x14ac:dyDescent="0.45">
      <c r="A1036" t="s">
        <v>2684</v>
      </c>
      <c r="B1036" t="s">
        <v>79</v>
      </c>
      <c r="C1036" t="s">
        <v>1112</v>
      </c>
      <c r="D1036" t="s">
        <v>81</v>
      </c>
      <c r="E1036" s="2" t="str">
        <f>HYPERLINK("capsilon://?command=openfolder&amp;siteaddress=FAM.docvelocity-na8.net&amp;folderid=FXF004B699-CD94-3EC4-1D59-C59DAEE0D83F","FX20127002")</f>
        <v>FX20127002</v>
      </c>
      <c r="F1036" t="s">
        <v>19</v>
      </c>
      <c r="G1036" t="s">
        <v>19</v>
      </c>
      <c r="H1036" t="s">
        <v>82</v>
      </c>
      <c r="I1036" t="s">
        <v>2685</v>
      </c>
      <c r="J1036">
        <v>66</v>
      </c>
      <c r="K1036" t="s">
        <v>84</v>
      </c>
      <c r="L1036" t="s">
        <v>85</v>
      </c>
      <c r="M1036" t="s">
        <v>86</v>
      </c>
      <c r="N1036">
        <v>3</v>
      </c>
      <c r="O1036" s="1">
        <v>44209.510266203702</v>
      </c>
      <c r="P1036" s="1">
        <v>44209.546724537038</v>
      </c>
      <c r="Q1036">
        <v>2872</v>
      </c>
      <c r="R1036">
        <v>278</v>
      </c>
      <c r="S1036" t="b">
        <v>0</v>
      </c>
      <c r="T1036" t="s">
        <v>87</v>
      </c>
      <c r="U1036" t="b">
        <v>0</v>
      </c>
      <c r="V1036" t="s">
        <v>179</v>
      </c>
      <c r="W1036" s="1">
        <v>44209.512719907405</v>
      </c>
      <c r="X1036">
        <v>211</v>
      </c>
      <c r="Y1036">
        <v>0</v>
      </c>
      <c r="Z1036">
        <v>0</v>
      </c>
      <c r="AA1036">
        <v>0</v>
      </c>
      <c r="AB1036">
        <v>52</v>
      </c>
      <c r="AC1036">
        <v>0</v>
      </c>
      <c r="AD1036">
        <v>66</v>
      </c>
      <c r="AE1036">
        <v>0</v>
      </c>
      <c r="AF1036">
        <v>0</v>
      </c>
      <c r="AG1036">
        <v>0</v>
      </c>
      <c r="AH1036" t="s">
        <v>94</v>
      </c>
      <c r="AI1036" s="1">
        <v>44209.515868055554</v>
      </c>
      <c r="AJ1036">
        <v>62</v>
      </c>
      <c r="AK1036">
        <v>0</v>
      </c>
      <c r="AL1036">
        <v>0</v>
      </c>
      <c r="AM1036">
        <v>0</v>
      </c>
      <c r="AN1036">
        <v>52</v>
      </c>
      <c r="AO1036">
        <v>0</v>
      </c>
      <c r="AP1036">
        <v>66</v>
      </c>
      <c r="AQ1036">
        <v>0</v>
      </c>
      <c r="AR1036">
        <v>0</v>
      </c>
      <c r="AS1036">
        <v>0</v>
      </c>
      <c r="AT1036" t="s">
        <v>549</v>
      </c>
      <c r="AU1036" s="1">
        <v>44209.546724537038</v>
      </c>
      <c r="AV1036">
        <v>5</v>
      </c>
      <c r="AW1036">
        <v>0</v>
      </c>
      <c r="AX1036">
        <v>0</v>
      </c>
      <c r="AY1036">
        <v>0</v>
      </c>
      <c r="AZ1036">
        <v>52</v>
      </c>
      <c r="BA1036">
        <v>0</v>
      </c>
      <c r="BB1036">
        <v>66</v>
      </c>
      <c r="BC1036">
        <v>0</v>
      </c>
      <c r="BD1036">
        <v>0</v>
      </c>
      <c r="BE1036">
        <v>0</v>
      </c>
    </row>
    <row r="1037" spans="1:57" x14ac:dyDescent="0.45">
      <c r="A1037" t="s">
        <v>2686</v>
      </c>
      <c r="B1037" t="s">
        <v>79</v>
      </c>
      <c r="C1037" t="s">
        <v>2687</v>
      </c>
      <c r="D1037" t="s">
        <v>81</v>
      </c>
      <c r="E1037" s="2" t="str">
        <f>HYPERLINK("capsilon://?command=openfolder&amp;siteaddress=FAM.docvelocity-na8.net&amp;folderid=FX69F60238-0A90-2A18-75CB-D496A3FE65E6","FX21015740")</f>
        <v>FX21015740</v>
      </c>
      <c r="F1037" t="s">
        <v>19</v>
      </c>
      <c r="G1037" t="s">
        <v>19</v>
      </c>
      <c r="H1037" t="s">
        <v>82</v>
      </c>
      <c r="I1037" t="s">
        <v>2688</v>
      </c>
      <c r="J1037">
        <v>471</v>
      </c>
      <c r="K1037" t="s">
        <v>84</v>
      </c>
      <c r="L1037" t="s">
        <v>85</v>
      </c>
      <c r="M1037" t="s">
        <v>86</v>
      </c>
      <c r="N1037">
        <v>3</v>
      </c>
      <c r="O1037" s="1">
        <v>44209.513460648152</v>
      </c>
      <c r="P1037" s="1">
        <v>44210.336296296293</v>
      </c>
      <c r="Q1037">
        <v>59443</v>
      </c>
      <c r="R1037">
        <v>11650</v>
      </c>
      <c r="S1037" t="b">
        <v>0</v>
      </c>
      <c r="T1037" t="s">
        <v>87</v>
      </c>
      <c r="U1037" t="b">
        <v>0</v>
      </c>
      <c r="V1037" t="s">
        <v>146</v>
      </c>
      <c r="W1037" s="1">
        <v>44209.66369212963</v>
      </c>
      <c r="X1037">
        <v>7447</v>
      </c>
      <c r="Y1037">
        <v>654</v>
      </c>
      <c r="Z1037">
        <v>0</v>
      </c>
      <c r="AA1037">
        <v>654</v>
      </c>
      <c r="AB1037">
        <v>0</v>
      </c>
      <c r="AC1037">
        <v>422</v>
      </c>
      <c r="AD1037">
        <v>-183</v>
      </c>
      <c r="AE1037">
        <v>0</v>
      </c>
      <c r="AF1037">
        <v>0</v>
      </c>
      <c r="AG1037">
        <v>0</v>
      </c>
      <c r="AH1037" t="s">
        <v>128</v>
      </c>
      <c r="AI1037" s="1">
        <v>44209.706122685187</v>
      </c>
      <c r="AJ1037">
        <v>3569</v>
      </c>
      <c r="AK1037">
        <v>38</v>
      </c>
      <c r="AL1037">
        <v>0</v>
      </c>
      <c r="AM1037">
        <v>38</v>
      </c>
      <c r="AN1037">
        <v>0</v>
      </c>
      <c r="AO1037">
        <v>38</v>
      </c>
      <c r="AP1037">
        <v>-221</v>
      </c>
      <c r="AQ1037">
        <v>0</v>
      </c>
      <c r="AR1037">
        <v>0</v>
      </c>
      <c r="AS1037">
        <v>0</v>
      </c>
      <c r="AT1037" t="s">
        <v>90</v>
      </c>
      <c r="AU1037" s="1">
        <v>44210.336296296293</v>
      </c>
      <c r="AV1037">
        <v>36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-221</v>
      </c>
      <c r="BC1037">
        <v>0</v>
      </c>
      <c r="BD1037">
        <v>0</v>
      </c>
      <c r="BE1037">
        <v>0</v>
      </c>
    </row>
    <row r="1038" spans="1:57" x14ac:dyDescent="0.45">
      <c r="A1038" t="s">
        <v>2689</v>
      </c>
      <c r="B1038" t="s">
        <v>79</v>
      </c>
      <c r="C1038" t="s">
        <v>1137</v>
      </c>
      <c r="D1038" t="s">
        <v>81</v>
      </c>
      <c r="E1038" s="2" t="str">
        <f>HYPERLINK("capsilon://?command=openfolder&amp;siteaddress=FAM.docvelocity-na8.net&amp;folderid=FX37419348-883A-7231-86A5-66213CF8F4A9","FX201227543")</f>
        <v>FX201227543</v>
      </c>
      <c r="F1038" t="s">
        <v>19</v>
      </c>
      <c r="G1038" t="s">
        <v>19</v>
      </c>
      <c r="H1038" t="s">
        <v>82</v>
      </c>
      <c r="I1038" t="s">
        <v>2690</v>
      </c>
      <c r="J1038">
        <v>212</v>
      </c>
      <c r="K1038" t="s">
        <v>84</v>
      </c>
      <c r="L1038" t="s">
        <v>85</v>
      </c>
      <c r="M1038" t="s">
        <v>86</v>
      </c>
      <c r="N1038">
        <v>3</v>
      </c>
      <c r="O1038" s="1">
        <v>44200.65184027778</v>
      </c>
      <c r="P1038" s="1">
        <v>44201.394305555557</v>
      </c>
      <c r="Q1038">
        <v>61785</v>
      </c>
      <c r="R1038">
        <v>2364</v>
      </c>
      <c r="S1038" t="b">
        <v>0</v>
      </c>
      <c r="T1038" t="s">
        <v>87</v>
      </c>
      <c r="U1038" t="b">
        <v>0</v>
      </c>
      <c r="V1038" t="s">
        <v>242</v>
      </c>
      <c r="W1038" s="1">
        <v>44200.767708333333</v>
      </c>
      <c r="X1038">
        <v>1257</v>
      </c>
      <c r="Y1038">
        <v>201</v>
      </c>
      <c r="Z1038">
        <v>0</v>
      </c>
      <c r="AA1038">
        <v>201</v>
      </c>
      <c r="AB1038">
        <v>39</v>
      </c>
      <c r="AC1038">
        <v>109</v>
      </c>
      <c r="AD1038">
        <v>11</v>
      </c>
      <c r="AE1038">
        <v>0</v>
      </c>
      <c r="AF1038">
        <v>0</v>
      </c>
      <c r="AG1038">
        <v>0</v>
      </c>
      <c r="AH1038" t="s">
        <v>128</v>
      </c>
      <c r="AI1038" s="1">
        <v>44200.814745370371</v>
      </c>
      <c r="AJ1038">
        <v>711</v>
      </c>
      <c r="AK1038">
        <v>1</v>
      </c>
      <c r="AL1038">
        <v>0</v>
      </c>
      <c r="AM1038">
        <v>1</v>
      </c>
      <c r="AN1038">
        <v>39</v>
      </c>
      <c r="AO1038">
        <v>1</v>
      </c>
      <c r="AP1038">
        <v>10</v>
      </c>
      <c r="AQ1038">
        <v>0</v>
      </c>
      <c r="AR1038">
        <v>0</v>
      </c>
      <c r="AS1038">
        <v>0</v>
      </c>
      <c r="AT1038" t="s">
        <v>549</v>
      </c>
      <c r="AU1038" s="1">
        <v>44201.394305555557</v>
      </c>
      <c r="AV1038">
        <v>360</v>
      </c>
      <c r="AW1038">
        <v>0</v>
      </c>
      <c r="AX1038">
        <v>0</v>
      </c>
      <c r="AY1038">
        <v>0</v>
      </c>
      <c r="AZ1038">
        <v>39</v>
      </c>
      <c r="BA1038">
        <v>0</v>
      </c>
      <c r="BB1038">
        <v>10</v>
      </c>
      <c r="BC1038">
        <v>0</v>
      </c>
      <c r="BD1038">
        <v>0</v>
      </c>
      <c r="BE1038">
        <v>0</v>
      </c>
    </row>
    <row r="1039" spans="1:57" hidden="1" x14ac:dyDescent="0.45">
      <c r="A1039" t="s">
        <v>2691</v>
      </c>
      <c r="B1039" t="s">
        <v>79</v>
      </c>
      <c r="C1039" t="s">
        <v>2692</v>
      </c>
      <c r="D1039" t="s">
        <v>81</v>
      </c>
      <c r="E1039" s="2" t="str">
        <f>HYPERLINK("capsilon://?command=openfolder&amp;siteaddress=FAM.docvelocity-na8.net&amp;folderid=FX36D5057F-A806-DF4F-9BF2-F04FEF3EAE47","FX2011660")</f>
        <v>FX2011660</v>
      </c>
      <c r="F1039" t="s">
        <v>19</v>
      </c>
      <c r="G1039" t="s">
        <v>19</v>
      </c>
      <c r="H1039" t="s">
        <v>82</v>
      </c>
      <c r="I1039" t="s">
        <v>2693</v>
      </c>
      <c r="J1039">
        <v>66</v>
      </c>
      <c r="K1039" t="s">
        <v>84</v>
      </c>
      <c r="L1039" t="s">
        <v>85</v>
      </c>
      <c r="M1039" t="s">
        <v>86</v>
      </c>
      <c r="N1039">
        <v>3</v>
      </c>
      <c r="O1039" s="1">
        <v>44209.518263888887</v>
      </c>
      <c r="P1039" s="1">
        <v>44209.588402777779</v>
      </c>
      <c r="Q1039">
        <v>5842</v>
      </c>
      <c r="R1039">
        <v>218</v>
      </c>
      <c r="S1039" t="b">
        <v>0</v>
      </c>
      <c r="T1039" t="s">
        <v>87</v>
      </c>
      <c r="U1039" t="b">
        <v>0</v>
      </c>
      <c r="V1039" t="s">
        <v>242</v>
      </c>
      <c r="W1039" s="1">
        <v>44209.519641203704</v>
      </c>
      <c r="X1039">
        <v>85</v>
      </c>
      <c r="Y1039">
        <v>0</v>
      </c>
      <c r="Z1039">
        <v>0</v>
      </c>
      <c r="AA1039">
        <v>0</v>
      </c>
      <c r="AB1039">
        <v>52</v>
      </c>
      <c r="AC1039">
        <v>0</v>
      </c>
      <c r="AD1039">
        <v>66</v>
      </c>
      <c r="AE1039">
        <v>0</v>
      </c>
      <c r="AF1039">
        <v>0</v>
      </c>
      <c r="AG1039">
        <v>0</v>
      </c>
      <c r="AH1039" t="s">
        <v>267</v>
      </c>
      <c r="AI1039" s="1">
        <v>44209.573564814818</v>
      </c>
      <c r="AJ1039">
        <v>106</v>
      </c>
      <c r="AK1039">
        <v>0</v>
      </c>
      <c r="AL1039">
        <v>0</v>
      </c>
      <c r="AM1039">
        <v>0</v>
      </c>
      <c r="AN1039">
        <v>52</v>
      </c>
      <c r="AO1039">
        <v>0</v>
      </c>
      <c r="AP1039">
        <v>66</v>
      </c>
      <c r="AQ1039">
        <v>0</v>
      </c>
      <c r="AR1039">
        <v>0</v>
      </c>
      <c r="AS1039">
        <v>0</v>
      </c>
      <c r="AT1039" t="s">
        <v>90</v>
      </c>
      <c r="AU1039" s="1">
        <v>44209.588402777779</v>
      </c>
      <c r="AV1039">
        <v>17</v>
      </c>
      <c r="AW1039">
        <v>0</v>
      </c>
      <c r="AX1039">
        <v>0</v>
      </c>
      <c r="AY1039">
        <v>0</v>
      </c>
      <c r="AZ1039">
        <v>52</v>
      </c>
      <c r="BA1039">
        <v>0</v>
      </c>
      <c r="BB1039">
        <v>66</v>
      </c>
      <c r="BC1039">
        <v>0</v>
      </c>
      <c r="BD1039">
        <v>0</v>
      </c>
      <c r="BE1039">
        <v>0</v>
      </c>
    </row>
    <row r="1040" spans="1:57" x14ac:dyDescent="0.45">
      <c r="A1040" t="s">
        <v>2694</v>
      </c>
      <c r="B1040" t="s">
        <v>79</v>
      </c>
      <c r="C1040" t="s">
        <v>2695</v>
      </c>
      <c r="D1040" t="s">
        <v>81</v>
      </c>
      <c r="E1040" s="2" t="str">
        <f>HYPERLINK("capsilon://?command=openfolder&amp;siteaddress=FAM.docvelocity-na8.net&amp;folderid=FX5B0A8973-F652-61DD-E0B7-9BFE457C2C8E","FX21014762")</f>
        <v>FX21014762</v>
      </c>
      <c r="F1040" t="s">
        <v>19</v>
      </c>
      <c r="G1040" t="s">
        <v>19</v>
      </c>
      <c r="H1040" t="s">
        <v>82</v>
      </c>
      <c r="I1040" t="s">
        <v>2696</v>
      </c>
      <c r="J1040">
        <v>64</v>
      </c>
      <c r="K1040" t="s">
        <v>84</v>
      </c>
      <c r="L1040" t="s">
        <v>85</v>
      </c>
      <c r="M1040" t="s">
        <v>86</v>
      </c>
      <c r="N1040">
        <v>3</v>
      </c>
      <c r="O1040" s="1">
        <v>44209.519560185188</v>
      </c>
      <c r="P1040" s="1">
        <v>44209.58861111111</v>
      </c>
      <c r="Q1040">
        <v>4457</v>
      </c>
      <c r="R1040">
        <v>1509</v>
      </c>
      <c r="S1040" t="b">
        <v>0</v>
      </c>
      <c r="T1040" t="s">
        <v>87</v>
      </c>
      <c r="U1040" t="b">
        <v>0</v>
      </c>
      <c r="V1040" t="s">
        <v>179</v>
      </c>
      <c r="W1040" s="1">
        <v>44209.533148148148</v>
      </c>
      <c r="X1040">
        <v>1165</v>
      </c>
      <c r="Y1040">
        <v>58</v>
      </c>
      <c r="Z1040">
        <v>0</v>
      </c>
      <c r="AA1040">
        <v>58</v>
      </c>
      <c r="AB1040">
        <v>0</v>
      </c>
      <c r="AC1040">
        <v>35</v>
      </c>
      <c r="AD1040">
        <v>6</v>
      </c>
      <c r="AE1040">
        <v>0</v>
      </c>
      <c r="AF1040">
        <v>0</v>
      </c>
      <c r="AG1040">
        <v>0</v>
      </c>
      <c r="AH1040" t="s">
        <v>267</v>
      </c>
      <c r="AI1040" s="1">
        <v>44209.577349537038</v>
      </c>
      <c r="AJ1040">
        <v>327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6</v>
      </c>
      <c r="AQ1040">
        <v>0</v>
      </c>
      <c r="AR1040">
        <v>0</v>
      </c>
      <c r="AS1040">
        <v>0</v>
      </c>
      <c r="AT1040" t="s">
        <v>90</v>
      </c>
      <c r="AU1040" s="1">
        <v>44209.58861111111</v>
      </c>
      <c r="AV1040">
        <v>17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6</v>
      </c>
      <c r="BC1040">
        <v>0</v>
      </c>
      <c r="BD1040">
        <v>0</v>
      </c>
      <c r="BE1040">
        <v>0</v>
      </c>
    </row>
    <row r="1041" spans="1:57" x14ac:dyDescent="0.45">
      <c r="A1041" t="s">
        <v>2697</v>
      </c>
      <c r="B1041" t="s">
        <v>79</v>
      </c>
      <c r="C1041" t="s">
        <v>2698</v>
      </c>
      <c r="D1041" t="s">
        <v>81</v>
      </c>
      <c r="E1041" s="2" t="str">
        <f>HYPERLINK("capsilon://?command=openfolder&amp;siteaddress=FAM.docvelocity-na8.net&amp;folderid=FX6DAECB4C-E94B-3142-62FA-0E64F779F41F","FX21016543")</f>
        <v>FX21016543</v>
      </c>
      <c r="F1041" t="s">
        <v>19</v>
      </c>
      <c r="G1041" t="s">
        <v>19</v>
      </c>
      <c r="H1041" t="s">
        <v>82</v>
      </c>
      <c r="I1041" t="s">
        <v>2699</v>
      </c>
      <c r="J1041">
        <v>127</v>
      </c>
      <c r="K1041" t="s">
        <v>84</v>
      </c>
      <c r="L1041" t="s">
        <v>85</v>
      </c>
      <c r="M1041" t="s">
        <v>86</v>
      </c>
      <c r="N1041">
        <v>3</v>
      </c>
      <c r="O1041" s="1">
        <v>44209.520601851851</v>
      </c>
      <c r="P1041" s="1">
        <v>44209.590219907404</v>
      </c>
      <c r="Q1041">
        <v>3918</v>
      </c>
      <c r="R1041">
        <v>2097</v>
      </c>
      <c r="S1041" t="b">
        <v>0</v>
      </c>
      <c r="T1041" t="s">
        <v>87</v>
      </c>
      <c r="U1041" t="b">
        <v>0</v>
      </c>
      <c r="V1041" t="s">
        <v>160</v>
      </c>
      <c r="W1041" s="1">
        <v>44209.539710648147</v>
      </c>
      <c r="X1041">
        <v>1627</v>
      </c>
      <c r="Y1041">
        <v>107</v>
      </c>
      <c r="Z1041">
        <v>0</v>
      </c>
      <c r="AA1041">
        <v>107</v>
      </c>
      <c r="AB1041">
        <v>0</v>
      </c>
      <c r="AC1041">
        <v>56</v>
      </c>
      <c r="AD1041">
        <v>20</v>
      </c>
      <c r="AE1041">
        <v>0</v>
      </c>
      <c r="AF1041">
        <v>0</v>
      </c>
      <c r="AG1041">
        <v>0</v>
      </c>
      <c r="AH1041" t="s">
        <v>128</v>
      </c>
      <c r="AI1041" s="1">
        <v>44209.578287037039</v>
      </c>
      <c r="AJ1041">
        <v>331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20</v>
      </c>
      <c r="AQ1041">
        <v>0</v>
      </c>
      <c r="AR1041">
        <v>0</v>
      </c>
      <c r="AS1041">
        <v>0</v>
      </c>
      <c r="AT1041" t="s">
        <v>90</v>
      </c>
      <c r="AU1041" s="1">
        <v>44209.590219907404</v>
      </c>
      <c r="AV1041">
        <v>139</v>
      </c>
      <c r="AW1041">
        <v>2</v>
      </c>
      <c r="AX1041">
        <v>0</v>
      </c>
      <c r="AY1041">
        <v>2</v>
      </c>
      <c r="AZ1041">
        <v>0</v>
      </c>
      <c r="BA1041">
        <v>2</v>
      </c>
      <c r="BB1041">
        <v>18</v>
      </c>
      <c r="BC1041">
        <v>0</v>
      </c>
      <c r="BD1041">
        <v>0</v>
      </c>
      <c r="BE1041">
        <v>0</v>
      </c>
    </row>
    <row r="1042" spans="1:57" x14ac:dyDescent="0.45">
      <c r="A1042" t="s">
        <v>2700</v>
      </c>
      <c r="B1042" t="s">
        <v>79</v>
      </c>
      <c r="C1042" t="s">
        <v>2701</v>
      </c>
      <c r="D1042" t="s">
        <v>81</v>
      </c>
      <c r="E1042" s="2" t="str">
        <f>HYPERLINK("capsilon://?command=openfolder&amp;siteaddress=FAM.docvelocity-na8.net&amp;folderid=FXD3EB17C1-6BE7-9F22-547C-616AB9D246B1","FX201229020")</f>
        <v>FX201229020</v>
      </c>
      <c r="F1042" t="s">
        <v>19</v>
      </c>
      <c r="G1042" t="s">
        <v>19</v>
      </c>
      <c r="H1042" t="s">
        <v>82</v>
      </c>
      <c r="I1042" t="s">
        <v>2702</v>
      </c>
      <c r="J1042">
        <v>76</v>
      </c>
      <c r="K1042" t="s">
        <v>84</v>
      </c>
      <c r="L1042" t="s">
        <v>85</v>
      </c>
      <c r="M1042" t="s">
        <v>86</v>
      </c>
      <c r="N1042">
        <v>3</v>
      </c>
      <c r="O1042" s="1">
        <v>44200.652303240742</v>
      </c>
      <c r="P1042" s="1">
        <v>44201.390405092592</v>
      </c>
      <c r="Q1042">
        <v>61137</v>
      </c>
      <c r="R1042">
        <v>2635</v>
      </c>
      <c r="S1042" t="b">
        <v>0</v>
      </c>
      <c r="T1042" t="s">
        <v>87</v>
      </c>
      <c r="U1042" t="b">
        <v>0</v>
      </c>
      <c r="V1042" t="s">
        <v>262</v>
      </c>
      <c r="W1042" s="1">
        <v>44200.783090277779</v>
      </c>
      <c r="X1042">
        <v>2433</v>
      </c>
      <c r="Y1042">
        <v>74</v>
      </c>
      <c r="Z1042">
        <v>0</v>
      </c>
      <c r="AA1042">
        <v>74</v>
      </c>
      <c r="AB1042">
        <v>0</v>
      </c>
      <c r="AC1042">
        <v>70</v>
      </c>
      <c r="AD1042">
        <v>2</v>
      </c>
      <c r="AE1042">
        <v>0</v>
      </c>
      <c r="AF1042">
        <v>0</v>
      </c>
      <c r="AG1042">
        <v>0</v>
      </c>
      <c r="AH1042" t="s">
        <v>267</v>
      </c>
      <c r="AI1042" s="1">
        <v>44200.816504629627</v>
      </c>
      <c r="AJ1042">
        <v>194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2</v>
      </c>
      <c r="AQ1042">
        <v>0</v>
      </c>
      <c r="AR1042">
        <v>0</v>
      </c>
      <c r="AS1042">
        <v>0</v>
      </c>
      <c r="AT1042" t="s">
        <v>90</v>
      </c>
      <c r="AU1042" s="1">
        <v>44201.390405092592</v>
      </c>
      <c r="AV1042">
        <v>8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2</v>
      </c>
      <c r="BC1042">
        <v>0</v>
      </c>
      <c r="BD1042">
        <v>0</v>
      </c>
      <c r="BE1042">
        <v>0</v>
      </c>
    </row>
    <row r="1043" spans="1:57" x14ac:dyDescent="0.45">
      <c r="A1043" t="s">
        <v>2703</v>
      </c>
      <c r="B1043" t="s">
        <v>79</v>
      </c>
      <c r="C1043" t="s">
        <v>2704</v>
      </c>
      <c r="D1043" t="s">
        <v>81</v>
      </c>
      <c r="E1043" s="2" t="str">
        <f>HYPERLINK("capsilon://?command=openfolder&amp;siteaddress=FAM.docvelocity-na8.net&amp;folderid=FX41565CB3-ECC2-650C-9B32-BAD74361183D","FX201114117")</f>
        <v>FX201114117</v>
      </c>
      <c r="F1043" t="s">
        <v>19</v>
      </c>
      <c r="G1043" t="s">
        <v>19</v>
      </c>
      <c r="H1043" t="s">
        <v>82</v>
      </c>
      <c r="I1043" t="s">
        <v>2705</v>
      </c>
      <c r="J1043">
        <v>38</v>
      </c>
      <c r="K1043" t="s">
        <v>84</v>
      </c>
      <c r="L1043" t="s">
        <v>85</v>
      </c>
      <c r="M1043" t="s">
        <v>86</v>
      </c>
      <c r="N1043">
        <v>3</v>
      </c>
      <c r="O1043" s="1">
        <v>44209.527731481481</v>
      </c>
      <c r="P1043" s="1">
        <v>44209.590312499997</v>
      </c>
      <c r="Q1043">
        <v>4914</v>
      </c>
      <c r="R1043">
        <v>493</v>
      </c>
      <c r="S1043" t="b">
        <v>0</v>
      </c>
      <c r="T1043" t="s">
        <v>87</v>
      </c>
      <c r="U1043" t="b">
        <v>0</v>
      </c>
      <c r="V1043" t="s">
        <v>242</v>
      </c>
      <c r="W1043" s="1">
        <v>44209.531006944446</v>
      </c>
      <c r="X1043">
        <v>280</v>
      </c>
      <c r="Y1043">
        <v>37</v>
      </c>
      <c r="Z1043">
        <v>0</v>
      </c>
      <c r="AA1043">
        <v>37</v>
      </c>
      <c r="AB1043">
        <v>0</v>
      </c>
      <c r="AC1043">
        <v>29</v>
      </c>
      <c r="AD1043">
        <v>1</v>
      </c>
      <c r="AE1043">
        <v>0</v>
      </c>
      <c r="AF1043">
        <v>0</v>
      </c>
      <c r="AG1043">
        <v>0</v>
      </c>
      <c r="AH1043" t="s">
        <v>267</v>
      </c>
      <c r="AI1043" s="1">
        <v>44209.579722222225</v>
      </c>
      <c r="AJ1043">
        <v>205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 t="s">
        <v>90</v>
      </c>
      <c r="AU1043" s="1">
        <v>44209.590312499997</v>
      </c>
      <c r="AV1043">
        <v>8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0</v>
      </c>
    </row>
    <row r="1044" spans="1:57" x14ac:dyDescent="0.45">
      <c r="A1044" t="s">
        <v>2706</v>
      </c>
      <c r="B1044" t="s">
        <v>79</v>
      </c>
      <c r="C1044" t="s">
        <v>2707</v>
      </c>
      <c r="D1044" t="s">
        <v>81</v>
      </c>
      <c r="E1044" s="2" t="str">
        <f>HYPERLINK("capsilon://?command=openfolder&amp;siteaddress=FAM.docvelocity-na8.net&amp;folderid=FX7E2D0732-AE25-9F27-4A81-C5B516C7DB47","FX21017372")</f>
        <v>FX21017372</v>
      </c>
      <c r="F1044" t="s">
        <v>19</v>
      </c>
      <c r="G1044" t="s">
        <v>19</v>
      </c>
      <c r="H1044" t="s">
        <v>82</v>
      </c>
      <c r="I1044" t="s">
        <v>2708</v>
      </c>
      <c r="J1044">
        <v>38</v>
      </c>
      <c r="K1044" t="s">
        <v>84</v>
      </c>
      <c r="L1044" t="s">
        <v>85</v>
      </c>
      <c r="M1044" t="s">
        <v>86</v>
      </c>
      <c r="N1044">
        <v>3</v>
      </c>
      <c r="O1044" s="1">
        <v>44209.527743055558</v>
      </c>
      <c r="P1044" s="1">
        <v>44209.590358796297</v>
      </c>
      <c r="Q1044">
        <v>5075</v>
      </c>
      <c r="R1044">
        <v>335</v>
      </c>
      <c r="S1044" t="b">
        <v>0</v>
      </c>
      <c r="T1044" t="s">
        <v>87</v>
      </c>
      <c r="U1044" t="b">
        <v>0</v>
      </c>
      <c r="V1044" t="s">
        <v>259</v>
      </c>
      <c r="W1044" s="1">
        <v>44209.532488425924</v>
      </c>
      <c r="X1044">
        <v>239</v>
      </c>
      <c r="Y1044">
        <v>37</v>
      </c>
      <c r="Z1044">
        <v>0</v>
      </c>
      <c r="AA1044">
        <v>37</v>
      </c>
      <c r="AB1044">
        <v>0</v>
      </c>
      <c r="AC1044">
        <v>9</v>
      </c>
      <c r="AD1044">
        <v>1</v>
      </c>
      <c r="AE1044">
        <v>0</v>
      </c>
      <c r="AF1044">
        <v>0</v>
      </c>
      <c r="AG1044">
        <v>0</v>
      </c>
      <c r="AH1044" t="s">
        <v>128</v>
      </c>
      <c r="AI1044" s="1">
        <v>44209.579467592594</v>
      </c>
      <c r="AJ1044">
        <v>92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 t="s">
        <v>90</v>
      </c>
      <c r="AU1044" s="1">
        <v>44209.590358796297</v>
      </c>
      <c r="AV1044">
        <v>4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</row>
    <row r="1045" spans="1:57" x14ac:dyDescent="0.45">
      <c r="A1045" t="s">
        <v>2709</v>
      </c>
      <c r="B1045" t="s">
        <v>79</v>
      </c>
      <c r="C1045" t="s">
        <v>2612</v>
      </c>
      <c r="D1045" t="s">
        <v>81</v>
      </c>
      <c r="E1045" s="2" t="str">
        <f>HYPERLINK("capsilon://?command=openfolder&amp;siteaddress=FAM.docvelocity-na8.net&amp;folderid=FXBA3B2974-BC73-1903-A036-A712537AA277","FX21014205")</f>
        <v>FX21014205</v>
      </c>
      <c r="F1045" t="s">
        <v>19</v>
      </c>
      <c r="G1045" t="s">
        <v>19</v>
      </c>
      <c r="H1045" t="s">
        <v>82</v>
      </c>
      <c r="I1045" t="s">
        <v>2613</v>
      </c>
      <c r="J1045">
        <v>52</v>
      </c>
      <c r="K1045" t="s">
        <v>84</v>
      </c>
      <c r="L1045" t="s">
        <v>85</v>
      </c>
      <c r="M1045" t="s">
        <v>86</v>
      </c>
      <c r="N1045">
        <v>3</v>
      </c>
      <c r="O1045" s="1">
        <v>44209.527997685182</v>
      </c>
      <c r="P1045" s="1">
        <v>44209.584398148145</v>
      </c>
      <c r="Q1045">
        <v>2872</v>
      </c>
      <c r="R1045">
        <v>2001</v>
      </c>
      <c r="S1045" t="b">
        <v>0</v>
      </c>
      <c r="T1045" t="s">
        <v>87</v>
      </c>
      <c r="U1045" t="b">
        <v>1</v>
      </c>
      <c r="V1045" t="s">
        <v>255</v>
      </c>
      <c r="W1045" s="1">
        <v>44209.535381944443</v>
      </c>
      <c r="X1045">
        <v>577</v>
      </c>
      <c r="Y1045">
        <v>42</v>
      </c>
      <c r="Z1045">
        <v>0</v>
      </c>
      <c r="AA1045">
        <v>42</v>
      </c>
      <c r="AB1045">
        <v>0</v>
      </c>
      <c r="AC1045">
        <v>11</v>
      </c>
      <c r="AD1045">
        <v>10</v>
      </c>
      <c r="AE1045">
        <v>0</v>
      </c>
      <c r="AF1045">
        <v>0</v>
      </c>
      <c r="AG1045">
        <v>0</v>
      </c>
      <c r="AH1045" t="s">
        <v>128</v>
      </c>
      <c r="AI1045" s="1">
        <v>44209.554062499999</v>
      </c>
      <c r="AJ1045">
        <v>1313</v>
      </c>
      <c r="AK1045">
        <v>3</v>
      </c>
      <c r="AL1045">
        <v>0</v>
      </c>
      <c r="AM1045">
        <v>3</v>
      </c>
      <c r="AN1045">
        <v>0</v>
      </c>
      <c r="AO1045">
        <v>3</v>
      </c>
      <c r="AP1045">
        <v>7</v>
      </c>
      <c r="AQ1045">
        <v>0</v>
      </c>
      <c r="AR1045">
        <v>0</v>
      </c>
      <c r="AS1045">
        <v>0</v>
      </c>
      <c r="AT1045" t="s">
        <v>90</v>
      </c>
      <c r="AU1045" s="1">
        <v>44209.584398148145</v>
      </c>
      <c r="AV1045">
        <v>92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7</v>
      </c>
      <c r="BC1045">
        <v>0</v>
      </c>
      <c r="BD1045">
        <v>0</v>
      </c>
      <c r="BE1045">
        <v>0</v>
      </c>
    </row>
    <row r="1046" spans="1:57" hidden="1" x14ac:dyDescent="0.45">
      <c r="A1046" t="s">
        <v>2710</v>
      </c>
      <c r="B1046" t="s">
        <v>79</v>
      </c>
      <c r="C1046" t="s">
        <v>2711</v>
      </c>
      <c r="D1046" t="s">
        <v>81</v>
      </c>
      <c r="E1046" s="2" t="str">
        <f>HYPERLINK("capsilon://?command=openfolder&amp;siteaddress=FAM.docvelocity-na8.net&amp;folderid=FX4AF8D2D3-0740-D0C4-5DCA-E664C9B8F189","FX20125916")</f>
        <v>FX20125916</v>
      </c>
      <c r="F1046" t="s">
        <v>19</v>
      </c>
      <c r="G1046" t="s">
        <v>19</v>
      </c>
      <c r="H1046" t="s">
        <v>82</v>
      </c>
      <c r="I1046" t="s">
        <v>2712</v>
      </c>
      <c r="J1046">
        <v>66</v>
      </c>
      <c r="K1046" t="s">
        <v>84</v>
      </c>
      <c r="L1046" t="s">
        <v>85</v>
      </c>
      <c r="M1046" t="s">
        <v>86</v>
      </c>
      <c r="N1046">
        <v>1</v>
      </c>
      <c r="O1046" s="1">
        <v>44209.52957175926</v>
      </c>
      <c r="P1046" s="1">
        <v>44209.534247685187</v>
      </c>
      <c r="Q1046">
        <v>80</v>
      </c>
      <c r="R1046">
        <v>324</v>
      </c>
      <c r="S1046" t="b">
        <v>0</v>
      </c>
      <c r="T1046" t="s">
        <v>87</v>
      </c>
      <c r="U1046" t="b">
        <v>0</v>
      </c>
      <c r="V1046" t="s">
        <v>146</v>
      </c>
      <c r="W1046" s="1">
        <v>44209.534247685187</v>
      </c>
      <c r="X1046">
        <v>324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66</v>
      </c>
      <c r="AE1046">
        <v>52</v>
      </c>
      <c r="AF1046">
        <v>0</v>
      </c>
      <c r="AG1046">
        <v>1</v>
      </c>
      <c r="AH1046" t="s">
        <v>87</v>
      </c>
      <c r="AI1046" t="s">
        <v>87</v>
      </c>
      <c r="AJ1046" t="s">
        <v>87</v>
      </c>
      <c r="AK1046" t="s">
        <v>87</v>
      </c>
      <c r="AL1046" t="s">
        <v>87</v>
      </c>
      <c r="AM1046" t="s">
        <v>87</v>
      </c>
      <c r="AN1046" t="s">
        <v>87</v>
      </c>
      <c r="AO1046" t="s">
        <v>87</v>
      </c>
      <c r="AP1046" t="s">
        <v>87</v>
      </c>
      <c r="AQ1046" t="s">
        <v>87</v>
      </c>
      <c r="AR1046" t="s">
        <v>87</v>
      </c>
      <c r="AS1046" t="s">
        <v>87</v>
      </c>
      <c r="AT1046" t="s">
        <v>87</v>
      </c>
      <c r="AU1046" t="s">
        <v>87</v>
      </c>
      <c r="AV1046" t="s">
        <v>87</v>
      </c>
      <c r="AW1046" t="s">
        <v>87</v>
      </c>
      <c r="AX1046" t="s">
        <v>87</v>
      </c>
      <c r="AY1046" t="s">
        <v>87</v>
      </c>
      <c r="AZ1046" t="s">
        <v>87</v>
      </c>
      <c r="BA1046" t="s">
        <v>87</v>
      </c>
      <c r="BB1046" t="s">
        <v>87</v>
      </c>
      <c r="BC1046" t="s">
        <v>87</v>
      </c>
      <c r="BD1046" t="s">
        <v>87</v>
      </c>
      <c r="BE1046" t="s">
        <v>87</v>
      </c>
    </row>
    <row r="1047" spans="1:57" x14ac:dyDescent="0.45">
      <c r="A1047" t="s">
        <v>2713</v>
      </c>
      <c r="B1047" t="s">
        <v>79</v>
      </c>
      <c r="C1047" t="s">
        <v>2191</v>
      </c>
      <c r="D1047" t="s">
        <v>81</v>
      </c>
      <c r="E1047" s="2" t="str">
        <f>HYPERLINK("capsilon://?command=openfolder&amp;siteaddress=FAM.docvelocity-na8.net&amp;folderid=FX3C298AC9-5214-B0FF-4D48-090041E2CA7B","FX21015544")</f>
        <v>FX21015544</v>
      </c>
      <c r="F1047" t="s">
        <v>19</v>
      </c>
      <c r="G1047" t="s">
        <v>19</v>
      </c>
      <c r="H1047" t="s">
        <v>82</v>
      </c>
      <c r="I1047" t="s">
        <v>2714</v>
      </c>
      <c r="J1047">
        <v>66</v>
      </c>
      <c r="K1047" t="s">
        <v>84</v>
      </c>
      <c r="L1047" t="s">
        <v>85</v>
      </c>
      <c r="M1047" t="s">
        <v>86</v>
      </c>
      <c r="N1047">
        <v>3</v>
      </c>
      <c r="O1047" s="1">
        <v>44209.531400462962</v>
      </c>
      <c r="P1047" s="1">
        <v>44209.590462962966</v>
      </c>
      <c r="Q1047">
        <v>4515</v>
      </c>
      <c r="R1047">
        <v>588</v>
      </c>
      <c r="S1047" t="b">
        <v>0</v>
      </c>
      <c r="T1047" t="s">
        <v>87</v>
      </c>
      <c r="U1047" t="b">
        <v>0</v>
      </c>
      <c r="V1047" t="s">
        <v>242</v>
      </c>
      <c r="W1047" s="1">
        <v>44209.537106481483</v>
      </c>
      <c r="X1047">
        <v>475</v>
      </c>
      <c r="Y1047">
        <v>52</v>
      </c>
      <c r="Z1047">
        <v>0</v>
      </c>
      <c r="AA1047">
        <v>52</v>
      </c>
      <c r="AB1047">
        <v>0</v>
      </c>
      <c r="AC1047">
        <v>32</v>
      </c>
      <c r="AD1047">
        <v>14</v>
      </c>
      <c r="AE1047">
        <v>0</v>
      </c>
      <c r="AF1047">
        <v>0</v>
      </c>
      <c r="AG1047">
        <v>0</v>
      </c>
      <c r="AH1047" t="s">
        <v>128</v>
      </c>
      <c r="AI1047" s="1">
        <v>44209.580694444441</v>
      </c>
      <c r="AJ1047">
        <v>105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14</v>
      </c>
      <c r="AQ1047">
        <v>0</v>
      </c>
      <c r="AR1047">
        <v>0</v>
      </c>
      <c r="AS1047">
        <v>0</v>
      </c>
      <c r="AT1047" t="s">
        <v>90</v>
      </c>
      <c r="AU1047" s="1">
        <v>44209.590462962966</v>
      </c>
      <c r="AV1047">
        <v>8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14</v>
      </c>
      <c r="BC1047">
        <v>0</v>
      </c>
      <c r="BD1047">
        <v>0</v>
      </c>
      <c r="BE1047">
        <v>0</v>
      </c>
    </row>
    <row r="1048" spans="1:57" hidden="1" x14ac:dyDescent="0.45">
      <c r="A1048" t="s">
        <v>2715</v>
      </c>
      <c r="B1048" t="s">
        <v>79</v>
      </c>
      <c r="C1048" t="s">
        <v>980</v>
      </c>
      <c r="D1048" t="s">
        <v>81</v>
      </c>
      <c r="E1048" s="2" t="str">
        <f>HYPERLINK("capsilon://?command=openfolder&amp;siteaddress=FAM.docvelocity-na8.net&amp;folderid=FX88E79DC1-11E1-8934-EA03-3CAC9FBB0112","FX20123051")</f>
        <v>FX20123051</v>
      </c>
      <c r="F1048" t="s">
        <v>19</v>
      </c>
      <c r="G1048" t="s">
        <v>19</v>
      </c>
      <c r="H1048" t="s">
        <v>82</v>
      </c>
      <c r="I1048" t="s">
        <v>2716</v>
      </c>
      <c r="J1048">
        <v>66</v>
      </c>
      <c r="K1048" t="s">
        <v>84</v>
      </c>
      <c r="L1048" t="s">
        <v>85</v>
      </c>
      <c r="M1048" t="s">
        <v>86</v>
      </c>
      <c r="N1048">
        <v>1</v>
      </c>
      <c r="O1048" s="1">
        <v>44209.533726851849</v>
      </c>
      <c r="P1048" s="1">
        <v>44209.534398148149</v>
      </c>
      <c r="Q1048">
        <v>1</v>
      </c>
      <c r="R1048">
        <v>57</v>
      </c>
      <c r="S1048" t="b">
        <v>0</v>
      </c>
      <c r="T1048" t="s">
        <v>87</v>
      </c>
      <c r="U1048" t="b">
        <v>0</v>
      </c>
      <c r="V1048" t="s">
        <v>179</v>
      </c>
      <c r="W1048" s="1">
        <v>44209.534398148149</v>
      </c>
      <c r="X1048">
        <v>57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66</v>
      </c>
      <c r="AE1048">
        <v>52</v>
      </c>
      <c r="AF1048">
        <v>0</v>
      </c>
      <c r="AG1048">
        <v>1</v>
      </c>
      <c r="AH1048" t="s">
        <v>87</v>
      </c>
      <c r="AI1048" t="s">
        <v>87</v>
      </c>
      <c r="AJ1048" t="s">
        <v>87</v>
      </c>
      <c r="AK1048" t="s">
        <v>87</v>
      </c>
      <c r="AL1048" t="s">
        <v>87</v>
      </c>
      <c r="AM1048" t="s">
        <v>87</v>
      </c>
      <c r="AN1048" t="s">
        <v>87</v>
      </c>
      <c r="AO1048" t="s">
        <v>87</v>
      </c>
      <c r="AP1048" t="s">
        <v>87</v>
      </c>
      <c r="AQ1048" t="s">
        <v>87</v>
      </c>
      <c r="AR1048" t="s">
        <v>87</v>
      </c>
      <c r="AS1048" t="s">
        <v>87</v>
      </c>
      <c r="AT1048" t="s">
        <v>87</v>
      </c>
      <c r="AU1048" t="s">
        <v>87</v>
      </c>
      <c r="AV1048" t="s">
        <v>87</v>
      </c>
      <c r="AW1048" t="s">
        <v>87</v>
      </c>
      <c r="AX1048" t="s">
        <v>87</v>
      </c>
      <c r="AY1048" t="s">
        <v>87</v>
      </c>
      <c r="AZ1048" t="s">
        <v>87</v>
      </c>
      <c r="BA1048" t="s">
        <v>87</v>
      </c>
      <c r="BB1048" t="s">
        <v>87</v>
      </c>
      <c r="BC1048" t="s">
        <v>87</v>
      </c>
      <c r="BD1048" t="s">
        <v>87</v>
      </c>
      <c r="BE1048" t="s">
        <v>87</v>
      </c>
    </row>
    <row r="1049" spans="1:57" x14ac:dyDescent="0.45">
      <c r="A1049" t="s">
        <v>2717</v>
      </c>
      <c r="B1049" t="s">
        <v>79</v>
      </c>
      <c r="C1049" t="s">
        <v>2711</v>
      </c>
      <c r="D1049" t="s">
        <v>81</v>
      </c>
      <c r="E1049" s="2" t="str">
        <f>HYPERLINK("capsilon://?command=openfolder&amp;siteaddress=FAM.docvelocity-na8.net&amp;folderid=FX4AF8D2D3-0740-D0C4-5DCA-E664C9B8F189","FX20125916")</f>
        <v>FX20125916</v>
      </c>
      <c r="F1049" t="s">
        <v>19</v>
      </c>
      <c r="G1049" t="s">
        <v>19</v>
      </c>
      <c r="H1049" t="s">
        <v>82</v>
      </c>
      <c r="I1049" t="s">
        <v>2712</v>
      </c>
      <c r="J1049">
        <v>38</v>
      </c>
      <c r="K1049" t="s">
        <v>84</v>
      </c>
      <c r="L1049" t="s">
        <v>85</v>
      </c>
      <c r="M1049" t="s">
        <v>86</v>
      </c>
      <c r="N1049">
        <v>3</v>
      </c>
      <c r="O1049" s="1">
        <v>44209.53466435185</v>
      </c>
      <c r="P1049" s="1">
        <v>44209.584479166668</v>
      </c>
      <c r="Q1049">
        <v>3468</v>
      </c>
      <c r="R1049">
        <v>836</v>
      </c>
      <c r="S1049" t="b">
        <v>0</v>
      </c>
      <c r="T1049" t="s">
        <v>87</v>
      </c>
      <c r="U1049" t="b">
        <v>1</v>
      </c>
      <c r="V1049" t="s">
        <v>179</v>
      </c>
      <c r="W1049" s="1">
        <v>44209.542407407411</v>
      </c>
      <c r="X1049">
        <v>668</v>
      </c>
      <c r="Y1049">
        <v>37</v>
      </c>
      <c r="Z1049">
        <v>0</v>
      </c>
      <c r="AA1049">
        <v>37</v>
      </c>
      <c r="AB1049">
        <v>0</v>
      </c>
      <c r="AC1049">
        <v>21</v>
      </c>
      <c r="AD1049">
        <v>1</v>
      </c>
      <c r="AE1049">
        <v>0</v>
      </c>
      <c r="AF1049">
        <v>0</v>
      </c>
      <c r="AG1049">
        <v>0</v>
      </c>
      <c r="AH1049" t="s">
        <v>128</v>
      </c>
      <c r="AI1049" s="1">
        <v>44209.555937500001</v>
      </c>
      <c r="AJ1049">
        <v>161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 t="s">
        <v>90</v>
      </c>
      <c r="AU1049" s="1">
        <v>44209.584479166668</v>
      </c>
      <c r="AV1049">
        <v>7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</row>
    <row r="1050" spans="1:57" x14ac:dyDescent="0.45">
      <c r="A1050" t="s">
        <v>2718</v>
      </c>
      <c r="B1050" t="s">
        <v>79</v>
      </c>
      <c r="C1050" t="s">
        <v>980</v>
      </c>
      <c r="D1050" t="s">
        <v>81</v>
      </c>
      <c r="E1050" s="2" t="str">
        <f>HYPERLINK("capsilon://?command=openfolder&amp;siteaddress=FAM.docvelocity-na8.net&amp;folderid=FX88E79DC1-11E1-8934-EA03-3CAC9FBB0112","FX20123051")</f>
        <v>FX20123051</v>
      </c>
      <c r="F1050" t="s">
        <v>19</v>
      </c>
      <c r="G1050" t="s">
        <v>19</v>
      </c>
      <c r="H1050" t="s">
        <v>82</v>
      </c>
      <c r="I1050" t="s">
        <v>2716</v>
      </c>
      <c r="J1050">
        <v>38</v>
      </c>
      <c r="K1050" t="s">
        <v>84</v>
      </c>
      <c r="L1050" t="s">
        <v>85</v>
      </c>
      <c r="M1050" t="s">
        <v>86</v>
      </c>
      <c r="N1050">
        <v>3</v>
      </c>
      <c r="O1050" s="1">
        <v>44209.534687500003</v>
      </c>
      <c r="P1050" s="1">
        <v>44209.584548611114</v>
      </c>
      <c r="Q1050">
        <v>3334</v>
      </c>
      <c r="R1050">
        <v>974</v>
      </c>
      <c r="S1050" t="b">
        <v>0</v>
      </c>
      <c r="T1050" t="s">
        <v>87</v>
      </c>
      <c r="U1050" t="b">
        <v>1</v>
      </c>
      <c r="V1050" t="s">
        <v>146</v>
      </c>
      <c r="W1050" s="1">
        <v>44209.542708333334</v>
      </c>
      <c r="X1050">
        <v>692</v>
      </c>
      <c r="Y1050">
        <v>37</v>
      </c>
      <c r="Z1050">
        <v>0</v>
      </c>
      <c r="AA1050">
        <v>37</v>
      </c>
      <c r="AB1050">
        <v>0</v>
      </c>
      <c r="AC1050">
        <v>11</v>
      </c>
      <c r="AD1050">
        <v>1</v>
      </c>
      <c r="AE1050">
        <v>0</v>
      </c>
      <c r="AF1050">
        <v>0</v>
      </c>
      <c r="AG1050">
        <v>0</v>
      </c>
      <c r="AH1050" t="s">
        <v>128</v>
      </c>
      <c r="AI1050" s="1">
        <v>44209.55914351852</v>
      </c>
      <c r="AJ1050">
        <v>277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 t="s">
        <v>90</v>
      </c>
      <c r="AU1050" s="1">
        <v>44209.584548611114</v>
      </c>
      <c r="AV1050">
        <v>5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</row>
    <row r="1051" spans="1:57" x14ac:dyDescent="0.45">
      <c r="A1051" t="s">
        <v>2719</v>
      </c>
      <c r="B1051" t="s">
        <v>79</v>
      </c>
      <c r="C1051" t="s">
        <v>2668</v>
      </c>
      <c r="D1051" t="s">
        <v>81</v>
      </c>
      <c r="E1051" s="2" t="str">
        <f>HYPERLINK("capsilon://?command=openfolder&amp;siteaddress=FAM.docvelocity-na8.net&amp;folderid=FXC60AA823-4C25-0361-F8D9-D1113B497A47","FX21011779")</f>
        <v>FX21011779</v>
      </c>
      <c r="F1051" t="s">
        <v>19</v>
      </c>
      <c r="G1051" t="s">
        <v>19</v>
      </c>
      <c r="H1051" t="s">
        <v>82</v>
      </c>
      <c r="I1051" t="s">
        <v>2720</v>
      </c>
      <c r="J1051">
        <v>38</v>
      </c>
      <c r="K1051" t="s">
        <v>84</v>
      </c>
      <c r="L1051" t="s">
        <v>85</v>
      </c>
      <c r="M1051" t="s">
        <v>86</v>
      </c>
      <c r="N1051">
        <v>3</v>
      </c>
      <c r="O1051" s="1">
        <v>44209.540393518517</v>
      </c>
      <c r="P1051" s="1">
        <v>44209.590520833335</v>
      </c>
      <c r="Q1051">
        <v>3391</v>
      </c>
      <c r="R1051">
        <v>940</v>
      </c>
      <c r="S1051" t="b">
        <v>0</v>
      </c>
      <c r="T1051" t="s">
        <v>87</v>
      </c>
      <c r="U1051" t="b">
        <v>0</v>
      </c>
      <c r="V1051" t="s">
        <v>171</v>
      </c>
      <c r="W1051" s="1">
        <v>44209.549155092594</v>
      </c>
      <c r="X1051">
        <v>756</v>
      </c>
      <c r="Y1051">
        <v>37</v>
      </c>
      <c r="Z1051">
        <v>0</v>
      </c>
      <c r="AA1051">
        <v>37</v>
      </c>
      <c r="AB1051">
        <v>0</v>
      </c>
      <c r="AC1051">
        <v>20</v>
      </c>
      <c r="AD1051">
        <v>1</v>
      </c>
      <c r="AE1051">
        <v>0</v>
      </c>
      <c r="AF1051">
        <v>0</v>
      </c>
      <c r="AG1051">
        <v>0</v>
      </c>
      <c r="AH1051" t="s">
        <v>267</v>
      </c>
      <c r="AI1051" s="1">
        <v>44209.581805555557</v>
      </c>
      <c r="AJ1051">
        <v>180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 t="s">
        <v>90</v>
      </c>
      <c r="AU1051" s="1">
        <v>44209.590520833335</v>
      </c>
      <c r="AV1051">
        <v>4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</row>
    <row r="1052" spans="1:57" x14ac:dyDescent="0.45">
      <c r="A1052" t="s">
        <v>2721</v>
      </c>
      <c r="B1052" t="s">
        <v>79</v>
      </c>
      <c r="C1052" t="s">
        <v>1555</v>
      </c>
      <c r="D1052" t="s">
        <v>81</v>
      </c>
      <c r="E1052" s="2" t="str">
        <f>HYPERLINK("capsilon://?command=openfolder&amp;siteaddress=FAM.docvelocity-na8.net&amp;folderid=FX071F4FDD-FC38-5B07-5B8A-1ADC97AB51E9","FX201111925")</f>
        <v>FX201111925</v>
      </c>
      <c r="F1052" t="s">
        <v>19</v>
      </c>
      <c r="G1052" t="s">
        <v>19</v>
      </c>
      <c r="H1052" t="s">
        <v>82</v>
      </c>
      <c r="I1052" t="s">
        <v>1556</v>
      </c>
      <c r="J1052">
        <v>102</v>
      </c>
      <c r="K1052" t="s">
        <v>84</v>
      </c>
      <c r="L1052" t="s">
        <v>85</v>
      </c>
      <c r="M1052" t="s">
        <v>86</v>
      </c>
      <c r="N1052">
        <v>3</v>
      </c>
      <c r="O1052" s="1">
        <v>44200.654027777775</v>
      </c>
      <c r="P1052" s="1">
        <v>44201.336064814815</v>
      </c>
      <c r="Q1052">
        <v>56428</v>
      </c>
      <c r="R1052">
        <v>2500</v>
      </c>
      <c r="S1052" t="b">
        <v>0</v>
      </c>
      <c r="T1052" t="s">
        <v>87</v>
      </c>
      <c r="U1052" t="b">
        <v>1</v>
      </c>
      <c r="V1052" t="s">
        <v>262</v>
      </c>
      <c r="W1052" s="1">
        <v>44200.677789351852</v>
      </c>
      <c r="X1052">
        <v>1895</v>
      </c>
      <c r="Y1052">
        <v>87</v>
      </c>
      <c r="Z1052">
        <v>0</v>
      </c>
      <c r="AA1052">
        <v>87</v>
      </c>
      <c r="AB1052">
        <v>0</v>
      </c>
      <c r="AC1052">
        <v>38</v>
      </c>
      <c r="AD1052">
        <v>15</v>
      </c>
      <c r="AE1052">
        <v>0</v>
      </c>
      <c r="AF1052">
        <v>0</v>
      </c>
      <c r="AG1052">
        <v>0</v>
      </c>
      <c r="AH1052" t="s">
        <v>267</v>
      </c>
      <c r="AI1052" s="1">
        <v>44200.689687500002</v>
      </c>
      <c r="AJ1052">
        <v>518</v>
      </c>
      <c r="AK1052">
        <v>17</v>
      </c>
      <c r="AL1052">
        <v>0</v>
      </c>
      <c r="AM1052">
        <v>17</v>
      </c>
      <c r="AN1052">
        <v>0</v>
      </c>
      <c r="AO1052">
        <v>11</v>
      </c>
      <c r="AP1052">
        <v>-2</v>
      </c>
      <c r="AQ1052">
        <v>0</v>
      </c>
      <c r="AR1052">
        <v>0</v>
      </c>
      <c r="AS1052">
        <v>0</v>
      </c>
      <c r="AT1052" t="s">
        <v>90</v>
      </c>
      <c r="AU1052" s="1">
        <v>44201.336064814815</v>
      </c>
      <c r="AV1052">
        <v>87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-2</v>
      </c>
      <c r="BC1052">
        <v>0</v>
      </c>
      <c r="BD1052">
        <v>0</v>
      </c>
      <c r="BE1052">
        <v>0</v>
      </c>
    </row>
    <row r="1053" spans="1:57" hidden="1" x14ac:dyDescent="0.45">
      <c r="A1053" t="s">
        <v>2722</v>
      </c>
      <c r="B1053" t="s">
        <v>79</v>
      </c>
      <c r="C1053" t="s">
        <v>2723</v>
      </c>
      <c r="D1053" t="s">
        <v>81</v>
      </c>
      <c r="E1053" s="2" t="str">
        <f>HYPERLINK("capsilon://?command=openfolder&amp;siteaddress=FAM.docvelocity-na8.net&amp;folderid=FX21B1759B-D0C8-0853-F05D-F26D1F00119A","FX201222282")</f>
        <v>FX201222282</v>
      </c>
      <c r="F1053" t="s">
        <v>19</v>
      </c>
      <c r="G1053" t="s">
        <v>19</v>
      </c>
      <c r="H1053" t="s">
        <v>82</v>
      </c>
      <c r="I1053" t="s">
        <v>2724</v>
      </c>
      <c r="J1053">
        <v>66</v>
      </c>
      <c r="K1053" t="s">
        <v>84</v>
      </c>
      <c r="L1053" t="s">
        <v>85</v>
      </c>
      <c r="M1053" t="s">
        <v>86</v>
      </c>
      <c r="N1053">
        <v>1</v>
      </c>
      <c r="O1053" s="1">
        <v>44209.544351851851</v>
      </c>
      <c r="P1053" s="1">
        <v>44209.545636574076</v>
      </c>
      <c r="Q1053">
        <v>3</v>
      </c>
      <c r="R1053">
        <v>108</v>
      </c>
      <c r="S1053" t="b">
        <v>0</v>
      </c>
      <c r="T1053" t="s">
        <v>87</v>
      </c>
      <c r="U1053" t="b">
        <v>0</v>
      </c>
      <c r="V1053" t="s">
        <v>179</v>
      </c>
      <c r="W1053" s="1">
        <v>44209.545636574076</v>
      </c>
      <c r="X1053">
        <v>108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66</v>
      </c>
      <c r="AE1053">
        <v>52</v>
      </c>
      <c r="AF1053">
        <v>0</v>
      </c>
      <c r="AG1053">
        <v>1</v>
      </c>
      <c r="AH1053" t="s">
        <v>87</v>
      </c>
      <c r="AI1053" t="s">
        <v>87</v>
      </c>
      <c r="AJ1053" t="s">
        <v>87</v>
      </c>
      <c r="AK1053" t="s">
        <v>87</v>
      </c>
      <c r="AL1053" t="s">
        <v>87</v>
      </c>
      <c r="AM1053" t="s">
        <v>87</v>
      </c>
      <c r="AN1053" t="s">
        <v>87</v>
      </c>
      <c r="AO1053" t="s">
        <v>87</v>
      </c>
      <c r="AP1053" t="s">
        <v>87</v>
      </c>
      <c r="AQ1053" t="s">
        <v>87</v>
      </c>
      <c r="AR1053" t="s">
        <v>87</v>
      </c>
      <c r="AS1053" t="s">
        <v>87</v>
      </c>
      <c r="AT1053" t="s">
        <v>87</v>
      </c>
      <c r="AU1053" t="s">
        <v>87</v>
      </c>
      <c r="AV1053" t="s">
        <v>87</v>
      </c>
      <c r="AW1053" t="s">
        <v>87</v>
      </c>
      <c r="AX1053" t="s">
        <v>87</v>
      </c>
      <c r="AY1053" t="s">
        <v>87</v>
      </c>
      <c r="AZ1053" t="s">
        <v>87</v>
      </c>
      <c r="BA1053" t="s">
        <v>87</v>
      </c>
      <c r="BB1053" t="s">
        <v>87</v>
      </c>
      <c r="BC1053" t="s">
        <v>87</v>
      </c>
      <c r="BD1053" t="s">
        <v>87</v>
      </c>
      <c r="BE1053" t="s">
        <v>87</v>
      </c>
    </row>
    <row r="1054" spans="1:57" x14ac:dyDescent="0.45">
      <c r="A1054" t="s">
        <v>2725</v>
      </c>
      <c r="B1054" t="s">
        <v>79</v>
      </c>
      <c r="C1054" t="s">
        <v>2726</v>
      </c>
      <c r="D1054" t="s">
        <v>81</v>
      </c>
      <c r="E1054" s="2" t="str">
        <f>HYPERLINK("capsilon://?command=openfolder&amp;siteaddress=FAM.docvelocity-na8.net&amp;folderid=FX5BDD04EE-2D09-0EB1-C683-EA3E726F46B9","FX21013490")</f>
        <v>FX21013490</v>
      </c>
      <c r="F1054" t="s">
        <v>19</v>
      </c>
      <c r="G1054" t="s">
        <v>19</v>
      </c>
      <c r="H1054" t="s">
        <v>82</v>
      </c>
      <c r="I1054" t="s">
        <v>2727</v>
      </c>
      <c r="J1054">
        <v>183</v>
      </c>
      <c r="K1054" t="s">
        <v>84</v>
      </c>
      <c r="L1054" t="s">
        <v>85</v>
      </c>
      <c r="M1054" t="s">
        <v>86</v>
      </c>
      <c r="N1054">
        <v>3</v>
      </c>
      <c r="O1054" s="1">
        <v>44209.54519675926</v>
      </c>
      <c r="P1054" s="1">
        <v>44209.591249999998</v>
      </c>
      <c r="Q1054">
        <v>1566</v>
      </c>
      <c r="R1054">
        <v>2413</v>
      </c>
      <c r="S1054" t="b">
        <v>0</v>
      </c>
      <c r="T1054" t="s">
        <v>87</v>
      </c>
      <c r="U1054" t="b">
        <v>0</v>
      </c>
      <c r="V1054" t="s">
        <v>242</v>
      </c>
      <c r="W1054" s="1">
        <v>44209.568020833336</v>
      </c>
      <c r="X1054">
        <v>1866</v>
      </c>
      <c r="Y1054">
        <v>186</v>
      </c>
      <c r="Z1054">
        <v>0</v>
      </c>
      <c r="AA1054">
        <v>186</v>
      </c>
      <c r="AB1054">
        <v>0</v>
      </c>
      <c r="AC1054">
        <v>125</v>
      </c>
      <c r="AD1054">
        <v>-3</v>
      </c>
      <c r="AE1054">
        <v>0</v>
      </c>
      <c r="AF1054">
        <v>0</v>
      </c>
      <c r="AG1054">
        <v>0</v>
      </c>
      <c r="AH1054" t="s">
        <v>128</v>
      </c>
      <c r="AI1054" s="1">
        <v>44209.585995370369</v>
      </c>
      <c r="AJ1054">
        <v>457</v>
      </c>
      <c r="AK1054">
        <v>1</v>
      </c>
      <c r="AL1054">
        <v>0</v>
      </c>
      <c r="AM1054">
        <v>1</v>
      </c>
      <c r="AN1054">
        <v>0</v>
      </c>
      <c r="AO1054">
        <v>1</v>
      </c>
      <c r="AP1054">
        <v>-4</v>
      </c>
      <c r="AQ1054">
        <v>0</v>
      </c>
      <c r="AR1054">
        <v>0</v>
      </c>
      <c r="AS1054">
        <v>0</v>
      </c>
      <c r="AT1054" t="s">
        <v>90</v>
      </c>
      <c r="AU1054" s="1">
        <v>44209.591249999998</v>
      </c>
      <c r="AV1054">
        <v>62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-4</v>
      </c>
      <c r="BC1054">
        <v>0</v>
      </c>
      <c r="BD1054">
        <v>0</v>
      </c>
      <c r="BE1054">
        <v>0</v>
      </c>
    </row>
    <row r="1055" spans="1:57" hidden="1" x14ac:dyDescent="0.45">
      <c r="A1055" t="s">
        <v>2728</v>
      </c>
      <c r="B1055" t="s">
        <v>79</v>
      </c>
      <c r="C1055" t="s">
        <v>2402</v>
      </c>
      <c r="D1055" t="s">
        <v>81</v>
      </c>
      <c r="E1055" s="2" t="str">
        <f>HYPERLINK("capsilon://?command=openfolder&amp;siteaddress=FAM.docvelocity-na8.net&amp;folderid=FX184356FC-8897-878C-C77B-0D10CFE9F753","FX201222917")</f>
        <v>FX201222917</v>
      </c>
      <c r="F1055" t="s">
        <v>19</v>
      </c>
      <c r="G1055" t="s">
        <v>19</v>
      </c>
      <c r="H1055" t="s">
        <v>82</v>
      </c>
      <c r="I1055" t="s">
        <v>2729</v>
      </c>
      <c r="J1055">
        <v>66</v>
      </c>
      <c r="K1055" t="s">
        <v>84</v>
      </c>
      <c r="L1055" t="s">
        <v>85</v>
      </c>
      <c r="M1055" t="s">
        <v>86</v>
      </c>
      <c r="N1055">
        <v>1</v>
      </c>
      <c r="O1055" s="1">
        <v>44209.545243055552</v>
      </c>
      <c r="P1055" s="1">
        <v>44209.547824074078</v>
      </c>
      <c r="Q1055">
        <v>149</v>
      </c>
      <c r="R1055">
        <v>74</v>
      </c>
      <c r="S1055" t="b">
        <v>0</v>
      </c>
      <c r="T1055" t="s">
        <v>87</v>
      </c>
      <c r="U1055" t="b">
        <v>0</v>
      </c>
      <c r="V1055" t="s">
        <v>179</v>
      </c>
      <c r="W1055" s="1">
        <v>44209.547824074078</v>
      </c>
      <c r="X1055">
        <v>74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66</v>
      </c>
      <c r="AE1055">
        <v>52</v>
      </c>
      <c r="AF1055">
        <v>0</v>
      </c>
      <c r="AG1055">
        <v>1</v>
      </c>
      <c r="AH1055" t="s">
        <v>87</v>
      </c>
      <c r="AI1055" t="s">
        <v>87</v>
      </c>
      <c r="AJ1055" t="s">
        <v>87</v>
      </c>
      <c r="AK1055" t="s">
        <v>87</v>
      </c>
      <c r="AL1055" t="s">
        <v>87</v>
      </c>
      <c r="AM1055" t="s">
        <v>87</v>
      </c>
      <c r="AN1055" t="s">
        <v>87</v>
      </c>
      <c r="AO1055" t="s">
        <v>87</v>
      </c>
      <c r="AP1055" t="s">
        <v>87</v>
      </c>
      <c r="AQ1055" t="s">
        <v>87</v>
      </c>
      <c r="AR1055" t="s">
        <v>87</v>
      </c>
      <c r="AS1055" t="s">
        <v>87</v>
      </c>
      <c r="AT1055" t="s">
        <v>87</v>
      </c>
      <c r="AU1055" t="s">
        <v>87</v>
      </c>
      <c r="AV1055" t="s">
        <v>87</v>
      </c>
      <c r="AW1055" t="s">
        <v>87</v>
      </c>
      <c r="AX1055" t="s">
        <v>87</v>
      </c>
      <c r="AY1055" t="s">
        <v>87</v>
      </c>
      <c r="AZ1055" t="s">
        <v>87</v>
      </c>
      <c r="BA1055" t="s">
        <v>87</v>
      </c>
      <c r="BB1055" t="s">
        <v>87</v>
      </c>
      <c r="BC1055" t="s">
        <v>87</v>
      </c>
      <c r="BD1055" t="s">
        <v>87</v>
      </c>
      <c r="BE1055" t="s">
        <v>87</v>
      </c>
    </row>
    <row r="1056" spans="1:57" x14ac:dyDescent="0.45">
      <c r="A1056" t="s">
        <v>2730</v>
      </c>
      <c r="B1056" t="s">
        <v>79</v>
      </c>
      <c r="C1056" t="s">
        <v>2723</v>
      </c>
      <c r="D1056" t="s">
        <v>81</v>
      </c>
      <c r="E1056" s="2" t="str">
        <f>HYPERLINK("capsilon://?command=openfolder&amp;siteaddress=FAM.docvelocity-na8.net&amp;folderid=FX21B1759B-D0C8-0853-F05D-F26D1F00119A","FX201222282")</f>
        <v>FX201222282</v>
      </c>
      <c r="F1056" t="s">
        <v>19</v>
      </c>
      <c r="G1056" t="s">
        <v>19</v>
      </c>
      <c r="H1056" t="s">
        <v>82</v>
      </c>
      <c r="I1056" t="s">
        <v>2724</v>
      </c>
      <c r="J1056">
        <v>38</v>
      </c>
      <c r="K1056" t="s">
        <v>84</v>
      </c>
      <c r="L1056" t="s">
        <v>85</v>
      </c>
      <c r="M1056" t="s">
        <v>86</v>
      </c>
      <c r="N1056">
        <v>3</v>
      </c>
      <c r="O1056" s="1">
        <v>44209.546018518522</v>
      </c>
      <c r="P1056" s="1">
        <v>44209.584618055553</v>
      </c>
      <c r="Q1056">
        <v>2952</v>
      </c>
      <c r="R1056">
        <v>383</v>
      </c>
      <c r="S1056" t="b">
        <v>0</v>
      </c>
      <c r="T1056" t="s">
        <v>87</v>
      </c>
      <c r="U1056" t="b">
        <v>1</v>
      </c>
      <c r="V1056" t="s">
        <v>255</v>
      </c>
      <c r="W1056" s="1">
        <v>44209.549328703702</v>
      </c>
      <c r="X1056">
        <v>275</v>
      </c>
      <c r="Y1056">
        <v>37</v>
      </c>
      <c r="Z1056">
        <v>0</v>
      </c>
      <c r="AA1056">
        <v>37</v>
      </c>
      <c r="AB1056">
        <v>0</v>
      </c>
      <c r="AC1056">
        <v>34</v>
      </c>
      <c r="AD1056">
        <v>1</v>
      </c>
      <c r="AE1056">
        <v>0</v>
      </c>
      <c r="AF1056">
        <v>0</v>
      </c>
      <c r="AG1056">
        <v>0</v>
      </c>
      <c r="AH1056" t="s">
        <v>128</v>
      </c>
      <c r="AI1056" s="1">
        <v>44209.560335648152</v>
      </c>
      <c r="AJ1056">
        <v>102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 t="s">
        <v>90</v>
      </c>
      <c r="AU1056" s="1">
        <v>44209.584618055553</v>
      </c>
      <c r="AV1056">
        <v>6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</row>
    <row r="1057" spans="1:57" x14ac:dyDescent="0.45">
      <c r="A1057" t="s">
        <v>2731</v>
      </c>
      <c r="B1057" t="s">
        <v>79</v>
      </c>
      <c r="C1057" t="s">
        <v>2732</v>
      </c>
      <c r="D1057" t="s">
        <v>81</v>
      </c>
      <c r="E1057" s="2" t="str">
        <f>HYPERLINK("capsilon://?command=openfolder&amp;siteaddress=FAM.docvelocity-na8.net&amp;folderid=FX4596AD04-59EE-2767-2E42-716003E70ABB","FX21014833")</f>
        <v>FX21014833</v>
      </c>
      <c r="F1057" t="s">
        <v>19</v>
      </c>
      <c r="G1057" t="s">
        <v>19</v>
      </c>
      <c r="H1057" t="s">
        <v>82</v>
      </c>
      <c r="I1057" t="s">
        <v>2733</v>
      </c>
      <c r="J1057">
        <v>285</v>
      </c>
      <c r="K1057" t="s">
        <v>84</v>
      </c>
      <c r="L1057" t="s">
        <v>85</v>
      </c>
      <c r="M1057" t="s">
        <v>86</v>
      </c>
      <c r="N1057">
        <v>3</v>
      </c>
      <c r="O1057" s="1">
        <v>44209.547233796293</v>
      </c>
      <c r="P1057" s="1">
        <v>44209.631516203706</v>
      </c>
      <c r="Q1057">
        <v>2525</v>
      </c>
      <c r="R1057">
        <v>4757</v>
      </c>
      <c r="S1057" t="b">
        <v>0</v>
      </c>
      <c r="T1057" t="s">
        <v>87</v>
      </c>
      <c r="U1057" t="b">
        <v>0</v>
      </c>
      <c r="V1057" t="s">
        <v>142</v>
      </c>
      <c r="W1057" s="1">
        <v>44209.589826388888</v>
      </c>
      <c r="X1057">
        <v>3579</v>
      </c>
      <c r="Y1057">
        <v>262</v>
      </c>
      <c r="Z1057">
        <v>0</v>
      </c>
      <c r="AA1057">
        <v>262</v>
      </c>
      <c r="AB1057">
        <v>0</v>
      </c>
      <c r="AC1057">
        <v>123</v>
      </c>
      <c r="AD1057">
        <v>23</v>
      </c>
      <c r="AE1057">
        <v>0</v>
      </c>
      <c r="AF1057">
        <v>0</v>
      </c>
      <c r="AG1057">
        <v>0</v>
      </c>
      <c r="AH1057" t="s">
        <v>267</v>
      </c>
      <c r="AI1057" s="1">
        <v>44209.603194444448</v>
      </c>
      <c r="AJ1057">
        <v>1133</v>
      </c>
      <c r="AK1057">
        <v>3</v>
      </c>
      <c r="AL1057">
        <v>0</v>
      </c>
      <c r="AM1057">
        <v>3</v>
      </c>
      <c r="AN1057">
        <v>0</v>
      </c>
      <c r="AO1057">
        <v>3</v>
      </c>
      <c r="AP1057">
        <v>20</v>
      </c>
      <c r="AQ1057">
        <v>0</v>
      </c>
      <c r="AR1057">
        <v>0</v>
      </c>
      <c r="AS1057">
        <v>0</v>
      </c>
      <c r="AT1057" t="s">
        <v>90</v>
      </c>
      <c r="AU1057" s="1">
        <v>44209.631516203706</v>
      </c>
      <c r="AV1057">
        <v>34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20</v>
      </c>
      <c r="BC1057">
        <v>0</v>
      </c>
      <c r="BD1057">
        <v>0</v>
      </c>
      <c r="BE1057">
        <v>0</v>
      </c>
    </row>
    <row r="1058" spans="1:57" x14ac:dyDescent="0.45">
      <c r="A1058" t="s">
        <v>2734</v>
      </c>
      <c r="B1058" t="s">
        <v>79</v>
      </c>
      <c r="C1058" t="s">
        <v>2402</v>
      </c>
      <c r="D1058" t="s">
        <v>81</v>
      </c>
      <c r="E1058" s="2" t="str">
        <f>HYPERLINK("capsilon://?command=openfolder&amp;siteaddress=FAM.docvelocity-na8.net&amp;folderid=FX184356FC-8897-878C-C77B-0D10CFE9F753","FX201222917")</f>
        <v>FX201222917</v>
      </c>
      <c r="F1058" t="s">
        <v>19</v>
      </c>
      <c r="G1058" t="s">
        <v>19</v>
      </c>
      <c r="H1058" t="s">
        <v>82</v>
      </c>
      <c r="I1058" t="s">
        <v>2729</v>
      </c>
      <c r="J1058">
        <v>38</v>
      </c>
      <c r="K1058" t="s">
        <v>84</v>
      </c>
      <c r="L1058" t="s">
        <v>85</v>
      </c>
      <c r="M1058" t="s">
        <v>86</v>
      </c>
      <c r="N1058">
        <v>3</v>
      </c>
      <c r="O1058" s="1">
        <v>44209.548449074071</v>
      </c>
      <c r="P1058" s="1">
        <v>44209.584687499999</v>
      </c>
      <c r="Q1058">
        <v>1901</v>
      </c>
      <c r="R1058">
        <v>1230</v>
      </c>
      <c r="S1058" t="b">
        <v>0</v>
      </c>
      <c r="T1058" t="s">
        <v>87</v>
      </c>
      <c r="U1058" t="b">
        <v>1</v>
      </c>
      <c r="V1058" t="s">
        <v>259</v>
      </c>
      <c r="W1058" s="1">
        <v>44209.560231481482</v>
      </c>
      <c r="X1058">
        <v>1013</v>
      </c>
      <c r="Y1058">
        <v>37</v>
      </c>
      <c r="Z1058">
        <v>0</v>
      </c>
      <c r="AA1058">
        <v>37</v>
      </c>
      <c r="AB1058">
        <v>0</v>
      </c>
      <c r="AC1058">
        <v>33</v>
      </c>
      <c r="AD1058">
        <v>1</v>
      </c>
      <c r="AE1058">
        <v>0</v>
      </c>
      <c r="AF1058">
        <v>0</v>
      </c>
      <c r="AG1058">
        <v>0</v>
      </c>
      <c r="AH1058" t="s">
        <v>128</v>
      </c>
      <c r="AI1058" s="1">
        <v>44209.562881944446</v>
      </c>
      <c r="AJ1058">
        <v>212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 t="s">
        <v>90</v>
      </c>
      <c r="AU1058" s="1">
        <v>44209.584687499999</v>
      </c>
      <c r="AV1058">
        <v>5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</row>
    <row r="1059" spans="1:57" hidden="1" x14ac:dyDescent="0.45">
      <c r="A1059" t="s">
        <v>2735</v>
      </c>
      <c r="B1059" t="s">
        <v>79</v>
      </c>
      <c r="C1059" t="s">
        <v>2736</v>
      </c>
      <c r="D1059" t="s">
        <v>81</v>
      </c>
      <c r="E1059" s="2" t="str">
        <f>HYPERLINK("capsilon://?command=openfolder&amp;siteaddress=FAM.docvelocity-na8.net&amp;folderid=FX673EDBDA-7480-73B3-CF03-42C44A27F561","FX20127687")</f>
        <v>FX20127687</v>
      </c>
      <c r="F1059" t="s">
        <v>19</v>
      </c>
      <c r="G1059" t="s">
        <v>19</v>
      </c>
      <c r="H1059" t="s">
        <v>82</v>
      </c>
      <c r="I1059" t="s">
        <v>2737</v>
      </c>
      <c r="J1059">
        <v>66</v>
      </c>
      <c r="K1059" t="s">
        <v>84</v>
      </c>
      <c r="L1059" t="s">
        <v>85</v>
      </c>
      <c r="M1059" t="s">
        <v>86</v>
      </c>
      <c r="N1059">
        <v>3</v>
      </c>
      <c r="O1059" s="1">
        <v>44209.550949074073</v>
      </c>
      <c r="P1059" s="1">
        <v>44209.591284722221</v>
      </c>
      <c r="Q1059">
        <v>3288</v>
      </c>
      <c r="R1059">
        <v>197</v>
      </c>
      <c r="S1059" t="b">
        <v>0</v>
      </c>
      <c r="T1059" t="s">
        <v>87</v>
      </c>
      <c r="U1059" t="b">
        <v>0</v>
      </c>
      <c r="V1059" t="s">
        <v>255</v>
      </c>
      <c r="W1059" s="1">
        <v>44209.554236111115</v>
      </c>
      <c r="X1059">
        <v>62</v>
      </c>
      <c r="Y1059">
        <v>0</v>
      </c>
      <c r="Z1059">
        <v>0</v>
      </c>
      <c r="AA1059">
        <v>0</v>
      </c>
      <c r="AB1059">
        <v>52</v>
      </c>
      <c r="AC1059">
        <v>0</v>
      </c>
      <c r="AD1059">
        <v>66</v>
      </c>
      <c r="AE1059">
        <v>0</v>
      </c>
      <c r="AF1059">
        <v>0</v>
      </c>
      <c r="AG1059">
        <v>0</v>
      </c>
      <c r="AH1059" t="s">
        <v>267</v>
      </c>
      <c r="AI1059" s="1">
        <v>44209.582650462966</v>
      </c>
      <c r="AJ1059">
        <v>72</v>
      </c>
      <c r="AK1059">
        <v>0</v>
      </c>
      <c r="AL1059">
        <v>0</v>
      </c>
      <c r="AM1059">
        <v>0</v>
      </c>
      <c r="AN1059">
        <v>52</v>
      </c>
      <c r="AO1059">
        <v>0</v>
      </c>
      <c r="AP1059">
        <v>66</v>
      </c>
      <c r="AQ1059">
        <v>0</v>
      </c>
      <c r="AR1059">
        <v>0</v>
      </c>
      <c r="AS1059">
        <v>0</v>
      </c>
      <c r="AT1059" t="s">
        <v>90</v>
      </c>
      <c r="AU1059" s="1">
        <v>44209.591284722221</v>
      </c>
      <c r="AV1059">
        <v>3</v>
      </c>
      <c r="AW1059">
        <v>0</v>
      </c>
      <c r="AX1059">
        <v>0</v>
      </c>
      <c r="AY1059">
        <v>0</v>
      </c>
      <c r="AZ1059">
        <v>52</v>
      </c>
      <c r="BA1059">
        <v>0</v>
      </c>
      <c r="BB1059">
        <v>66</v>
      </c>
      <c r="BC1059">
        <v>0</v>
      </c>
      <c r="BD1059">
        <v>0</v>
      </c>
      <c r="BE1059">
        <v>0</v>
      </c>
    </row>
    <row r="1060" spans="1:57" x14ac:dyDescent="0.45">
      <c r="A1060" t="s">
        <v>2738</v>
      </c>
      <c r="B1060" t="s">
        <v>79</v>
      </c>
      <c r="C1060" t="s">
        <v>2739</v>
      </c>
      <c r="D1060" t="s">
        <v>81</v>
      </c>
      <c r="E1060" s="2" t="str">
        <f>HYPERLINK("capsilon://?command=openfolder&amp;siteaddress=FAM.docvelocity-na8.net&amp;folderid=FX6342D1C9-92EA-E660-9DD5-16D1080C0C00","FX21015487")</f>
        <v>FX21015487</v>
      </c>
      <c r="F1060" t="s">
        <v>19</v>
      </c>
      <c r="G1060" t="s">
        <v>19</v>
      </c>
      <c r="H1060" t="s">
        <v>82</v>
      </c>
      <c r="I1060" t="s">
        <v>2740</v>
      </c>
      <c r="J1060">
        <v>38</v>
      </c>
      <c r="K1060" t="s">
        <v>84</v>
      </c>
      <c r="L1060" t="s">
        <v>85</v>
      </c>
      <c r="M1060" t="s">
        <v>86</v>
      </c>
      <c r="N1060">
        <v>3</v>
      </c>
      <c r="O1060" s="1">
        <v>44209.551296296297</v>
      </c>
      <c r="P1060" s="1">
        <v>44209.59134259259</v>
      </c>
      <c r="Q1060">
        <v>2438</v>
      </c>
      <c r="R1060">
        <v>1022</v>
      </c>
      <c r="S1060" t="b">
        <v>0</v>
      </c>
      <c r="T1060" t="s">
        <v>87</v>
      </c>
      <c r="U1060" t="b">
        <v>0</v>
      </c>
      <c r="V1060" t="s">
        <v>171</v>
      </c>
      <c r="W1060" s="1">
        <v>44209.560624999998</v>
      </c>
      <c r="X1060">
        <v>806</v>
      </c>
      <c r="Y1060">
        <v>37</v>
      </c>
      <c r="Z1060">
        <v>0</v>
      </c>
      <c r="AA1060">
        <v>37</v>
      </c>
      <c r="AB1060">
        <v>0</v>
      </c>
      <c r="AC1060">
        <v>33</v>
      </c>
      <c r="AD1060">
        <v>1</v>
      </c>
      <c r="AE1060">
        <v>0</v>
      </c>
      <c r="AF1060">
        <v>0</v>
      </c>
      <c r="AG1060">
        <v>0</v>
      </c>
      <c r="AH1060" t="s">
        <v>267</v>
      </c>
      <c r="AI1060" s="1">
        <v>44209.585104166668</v>
      </c>
      <c r="AJ1060">
        <v>211</v>
      </c>
      <c r="AK1060">
        <v>1</v>
      </c>
      <c r="AL1060">
        <v>0</v>
      </c>
      <c r="AM1060">
        <v>1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 t="s">
        <v>90</v>
      </c>
      <c r="AU1060" s="1">
        <v>44209.59134259259</v>
      </c>
      <c r="AV1060">
        <v>5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</row>
    <row r="1061" spans="1:57" x14ac:dyDescent="0.45">
      <c r="A1061" t="s">
        <v>2741</v>
      </c>
      <c r="B1061" t="s">
        <v>79</v>
      </c>
      <c r="C1061" t="s">
        <v>2739</v>
      </c>
      <c r="D1061" t="s">
        <v>81</v>
      </c>
      <c r="E1061" s="2" t="str">
        <f>HYPERLINK("capsilon://?command=openfolder&amp;siteaddress=FAM.docvelocity-na8.net&amp;folderid=FX6342D1C9-92EA-E660-9DD5-16D1080C0C00","FX21015487")</f>
        <v>FX21015487</v>
      </c>
      <c r="F1061" t="s">
        <v>19</v>
      </c>
      <c r="G1061" t="s">
        <v>19</v>
      </c>
      <c r="H1061" t="s">
        <v>82</v>
      </c>
      <c r="I1061" t="s">
        <v>2742</v>
      </c>
      <c r="J1061">
        <v>306</v>
      </c>
      <c r="K1061" t="s">
        <v>84</v>
      </c>
      <c r="L1061" t="s">
        <v>85</v>
      </c>
      <c r="M1061" t="s">
        <v>86</v>
      </c>
      <c r="N1061">
        <v>3</v>
      </c>
      <c r="O1061" s="1">
        <v>44209.551805555559</v>
      </c>
      <c r="P1061" s="1">
        <v>44209.597303240742</v>
      </c>
      <c r="Q1061">
        <v>2334</v>
      </c>
      <c r="R1061">
        <v>1597</v>
      </c>
      <c r="S1061" t="b">
        <v>0</v>
      </c>
      <c r="T1061" t="s">
        <v>87</v>
      </c>
      <c r="U1061" t="b">
        <v>0</v>
      </c>
      <c r="V1061" t="s">
        <v>255</v>
      </c>
      <c r="W1061" s="1">
        <v>44209.565509259257</v>
      </c>
      <c r="X1061">
        <v>973</v>
      </c>
      <c r="Y1061">
        <v>250</v>
      </c>
      <c r="Z1061">
        <v>0</v>
      </c>
      <c r="AA1061">
        <v>250</v>
      </c>
      <c r="AB1061">
        <v>0</v>
      </c>
      <c r="AC1061">
        <v>42</v>
      </c>
      <c r="AD1061">
        <v>56</v>
      </c>
      <c r="AE1061">
        <v>0</v>
      </c>
      <c r="AF1061">
        <v>0</v>
      </c>
      <c r="AG1061">
        <v>0</v>
      </c>
      <c r="AH1061" t="s">
        <v>128</v>
      </c>
      <c r="AI1061" s="1">
        <v>44209.592847222222</v>
      </c>
      <c r="AJ1061">
        <v>591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56</v>
      </c>
      <c r="AQ1061">
        <v>0</v>
      </c>
      <c r="AR1061">
        <v>0</v>
      </c>
      <c r="AS1061">
        <v>0</v>
      </c>
      <c r="AT1061" t="s">
        <v>90</v>
      </c>
      <c r="AU1061" s="1">
        <v>44209.597303240742</v>
      </c>
      <c r="AV1061">
        <v>33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56</v>
      </c>
      <c r="BC1061">
        <v>0</v>
      </c>
      <c r="BD1061">
        <v>0</v>
      </c>
      <c r="BE1061">
        <v>0</v>
      </c>
    </row>
    <row r="1062" spans="1:57" x14ac:dyDescent="0.45">
      <c r="A1062" t="s">
        <v>2743</v>
      </c>
      <c r="B1062" t="s">
        <v>79</v>
      </c>
      <c r="C1062" t="s">
        <v>2744</v>
      </c>
      <c r="D1062" t="s">
        <v>81</v>
      </c>
      <c r="E1062" s="2" t="str">
        <f>HYPERLINK("capsilon://?command=openfolder&amp;siteaddress=FAM.docvelocity-na8.net&amp;folderid=FXF693C463-4173-8D9A-05D3-17DC11917528","FX20123126")</f>
        <v>FX20123126</v>
      </c>
      <c r="F1062" t="s">
        <v>19</v>
      </c>
      <c r="G1062" t="s">
        <v>19</v>
      </c>
      <c r="H1062" t="s">
        <v>82</v>
      </c>
      <c r="I1062" t="s">
        <v>2745</v>
      </c>
      <c r="J1062">
        <v>60</v>
      </c>
      <c r="K1062" t="s">
        <v>84</v>
      </c>
      <c r="L1062" t="s">
        <v>85</v>
      </c>
      <c r="M1062" t="s">
        <v>86</v>
      </c>
      <c r="N1062">
        <v>3</v>
      </c>
      <c r="O1062" s="1">
        <v>44209.552719907406</v>
      </c>
      <c r="P1062" s="1">
        <v>44209.592303240737</v>
      </c>
      <c r="Q1062">
        <v>2604</v>
      </c>
      <c r="R1062">
        <v>816</v>
      </c>
      <c r="S1062" t="b">
        <v>0</v>
      </c>
      <c r="T1062" t="s">
        <v>87</v>
      </c>
      <c r="U1062" t="b">
        <v>0</v>
      </c>
      <c r="V1062" t="s">
        <v>179</v>
      </c>
      <c r="W1062" s="1">
        <v>44209.561145833337</v>
      </c>
      <c r="X1062">
        <v>501</v>
      </c>
      <c r="Y1062">
        <v>62</v>
      </c>
      <c r="Z1062">
        <v>0</v>
      </c>
      <c r="AA1062">
        <v>62</v>
      </c>
      <c r="AB1062">
        <v>0</v>
      </c>
      <c r="AC1062">
        <v>20</v>
      </c>
      <c r="AD1062">
        <v>-2</v>
      </c>
      <c r="AE1062">
        <v>0</v>
      </c>
      <c r="AF1062">
        <v>0</v>
      </c>
      <c r="AG1062">
        <v>0</v>
      </c>
      <c r="AH1062" t="s">
        <v>267</v>
      </c>
      <c r="AI1062" s="1">
        <v>44209.590069444443</v>
      </c>
      <c r="AJ1062">
        <v>233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-2</v>
      </c>
      <c r="AQ1062">
        <v>0</v>
      </c>
      <c r="AR1062">
        <v>0</v>
      </c>
      <c r="AS1062">
        <v>0</v>
      </c>
      <c r="AT1062" t="s">
        <v>90</v>
      </c>
      <c r="AU1062" s="1">
        <v>44209.592303240737</v>
      </c>
      <c r="AV1062">
        <v>82</v>
      </c>
      <c r="AW1062">
        <v>1</v>
      </c>
      <c r="AX1062">
        <v>0</v>
      </c>
      <c r="AY1062">
        <v>1</v>
      </c>
      <c r="AZ1062">
        <v>0</v>
      </c>
      <c r="BA1062">
        <v>1</v>
      </c>
      <c r="BB1062">
        <v>-3</v>
      </c>
      <c r="BC1062">
        <v>0</v>
      </c>
      <c r="BD1062">
        <v>0</v>
      </c>
      <c r="BE1062">
        <v>0</v>
      </c>
    </row>
    <row r="1063" spans="1:57" x14ac:dyDescent="0.45">
      <c r="A1063" t="s">
        <v>2746</v>
      </c>
      <c r="B1063" t="s">
        <v>79</v>
      </c>
      <c r="C1063" t="s">
        <v>2747</v>
      </c>
      <c r="D1063" t="s">
        <v>81</v>
      </c>
      <c r="E1063" s="2" t="str">
        <f>HYPERLINK("capsilon://?command=openfolder&amp;siteaddress=FAM.docvelocity-na8.net&amp;folderid=FX458A11E6-908C-BCE9-8751-4AFBB0E1DF03","FX21011535")</f>
        <v>FX21011535</v>
      </c>
      <c r="F1063" t="s">
        <v>19</v>
      </c>
      <c r="G1063" t="s">
        <v>19</v>
      </c>
      <c r="H1063" t="s">
        <v>82</v>
      </c>
      <c r="I1063" t="s">
        <v>2748</v>
      </c>
      <c r="J1063">
        <v>152</v>
      </c>
      <c r="K1063" t="s">
        <v>84</v>
      </c>
      <c r="L1063" t="s">
        <v>85</v>
      </c>
      <c r="M1063" t="s">
        <v>86</v>
      </c>
      <c r="N1063">
        <v>3</v>
      </c>
      <c r="O1063" s="1">
        <v>44209.553298611114</v>
      </c>
      <c r="P1063" s="1">
        <v>44209.598726851851</v>
      </c>
      <c r="Q1063">
        <v>733</v>
      </c>
      <c r="R1063">
        <v>3192</v>
      </c>
      <c r="S1063" t="b">
        <v>0</v>
      </c>
      <c r="T1063" t="s">
        <v>87</v>
      </c>
      <c r="U1063" t="b">
        <v>0</v>
      </c>
      <c r="V1063" t="s">
        <v>160</v>
      </c>
      <c r="W1063" s="1">
        <v>44209.58734953704</v>
      </c>
      <c r="X1063">
        <v>2674</v>
      </c>
      <c r="Y1063">
        <v>146</v>
      </c>
      <c r="Z1063">
        <v>0</v>
      </c>
      <c r="AA1063">
        <v>146</v>
      </c>
      <c r="AB1063">
        <v>0</v>
      </c>
      <c r="AC1063">
        <v>69</v>
      </c>
      <c r="AD1063">
        <v>6</v>
      </c>
      <c r="AE1063">
        <v>0</v>
      </c>
      <c r="AF1063">
        <v>0</v>
      </c>
      <c r="AG1063">
        <v>0</v>
      </c>
      <c r="AH1063" t="s">
        <v>128</v>
      </c>
      <c r="AI1063" s="1">
        <v>44209.59715277778</v>
      </c>
      <c r="AJ1063">
        <v>371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6</v>
      </c>
      <c r="AQ1063">
        <v>0</v>
      </c>
      <c r="AR1063">
        <v>0</v>
      </c>
      <c r="AS1063">
        <v>0</v>
      </c>
      <c r="AT1063" t="s">
        <v>90</v>
      </c>
      <c r="AU1063" s="1">
        <v>44209.598726851851</v>
      </c>
      <c r="AV1063">
        <v>122</v>
      </c>
      <c r="AW1063">
        <v>2</v>
      </c>
      <c r="AX1063">
        <v>0</v>
      </c>
      <c r="AY1063">
        <v>2</v>
      </c>
      <c r="AZ1063">
        <v>0</v>
      </c>
      <c r="BA1063">
        <v>2</v>
      </c>
      <c r="BB1063">
        <v>4</v>
      </c>
      <c r="BC1063">
        <v>0</v>
      </c>
      <c r="BD1063">
        <v>0</v>
      </c>
      <c r="BE1063">
        <v>0</v>
      </c>
    </row>
    <row r="1064" spans="1:57" hidden="1" x14ac:dyDescent="0.45">
      <c r="A1064" t="s">
        <v>2749</v>
      </c>
      <c r="B1064" t="s">
        <v>79</v>
      </c>
      <c r="C1064" t="s">
        <v>1040</v>
      </c>
      <c r="D1064" t="s">
        <v>81</v>
      </c>
      <c r="E1064" s="2" t="str">
        <f>HYPERLINK("capsilon://?command=openfolder&amp;siteaddress=FAM.docvelocity-na8.net&amp;folderid=FX25AE985D-5D36-7BC0-0903-FF17BD3F5E9E","FX201113035")</f>
        <v>FX201113035</v>
      </c>
      <c r="F1064" t="s">
        <v>19</v>
      </c>
      <c r="G1064" t="s">
        <v>19</v>
      </c>
      <c r="H1064" t="s">
        <v>82</v>
      </c>
      <c r="I1064" t="s">
        <v>2750</v>
      </c>
      <c r="J1064">
        <v>66</v>
      </c>
      <c r="K1064" t="s">
        <v>84</v>
      </c>
      <c r="L1064" t="s">
        <v>85</v>
      </c>
      <c r="M1064" t="s">
        <v>86</v>
      </c>
      <c r="N1064">
        <v>1</v>
      </c>
      <c r="O1064" s="1">
        <v>44209.55505787037</v>
      </c>
      <c r="P1064" s="1">
        <v>44209.559016203704</v>
      </c>
      <c r="Q1064">
        <v>158</v>
      </c>
      <c r="R1064">
        <v>184</v>
      </c>
      <c r="S1064" t="b">
        <v>0</v>
      </c>
      <c r="T1064" t="s">
        <v>87</v>
      </c>
      <c r="U1064" t="b">
        <v>0</v>
      </c>
      <c r="V1064" t="s">
        <v>343</v>
      </c>
      <c r="W1064" s="1">
        <v>44209.559016203704</v>
      </c>
      <c r="X1064">
        <v>184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66</v>
      </c>
      <c r="AE1064">
        <v>52</v>
      </c>
      <c r="AF1064">
        <v>0</v>
      </c>
      <c r="AG1064">
        <v>1</v>
      </c>
      <c r="AH1064" t="s">
        <v>87</v>
      </c>
      <c r="AI1064" t="s">
        <v>87</v>
      </c>
      <c r="AJ1064" t="s">
        <v>87</v>
      </c>
      <c r="AK1064" t="s">
        <v>87</v>
      </c>
      <c r="AL1064" t="s">
        <v>87</v>
      </c>
      <c r="AM1064" t="s">
        <v>87</v>
      </c>
      <c r="AN1064" t="s">
        <v>87</v>
      </c>
      <c r="AO1064" t="s">
        <v>87</v>
      </c>
      <c r="AP1064" t="s">
        <v>87</v>
      </c>
      <c r="AQ1064" t="s">
        <v>87</v>
      </c>
      <c r="AR1064" t="s">
        <v>87</v>
      </c>
      <c r="AS1064" t="s">
        <v>87</v>
      </c>
      <c r="AT1064" t="s">
        <v>87</v>
      </c>
      <c r="AU1064" t="s">
        <v>87</v>
      </c>
      <c r="AV1064" t="s">
        <v>87</v>
      </c>
      <c r="AW1064" t="s">
        <v>87</v>
      </c>
      <c r="AX1064" t="s">
        <v>87</v>
      </c>
      <c r="AY1064" t="s">
        <v>87</v>
      </c>
      <c r="AZ1064" t="s">
        <v>87</v>
      </c>
      <c r="BA1064" t="s">
        <v>87</v>
      </c>
      <c r="BB1064" t="s">
        <v>87</v>
      </c>
      <c r="BC1064" t="s">
        <v>87</v>
      </c>
      <c r="BD1064" t="s">
        <v>87</v>
      </c>
      <c r="BE1064" t="s">
        <v>87</v>
      </c>
    </row>
    <row r="1065" spans="1:57" hidden="1" x14ac:dyDescent="0.45">
      <c r="A1065" t="s">
        <v>2751</v>
      </c>
      <c r="B1065" t="s">
        <v>79</v>
      </c>
      <c r="C1065" t="s">
        <v>1040</v>
      </c>
      <c r="D1065" t="s">
        <v>81</v>
      </c>
      <c r="E1065" s="2" t="str">
        <f>HYPERLINK("capsilon://?command=openfolder&amp;siteaddress=FAM.docvelocity-na8.net&amp;folderid=FX25AE985D-5D36-7BC0-0903-FF17BD3F5E9E","FX201113035")</f>
        <v>FX201113035</v>
      </c>
      <c r="F1065" t="s">
        <v>19</v>
      </c>
      <c r="G1065" t="s">
        <v>19</v>
      </c>
      <c r="H1065" t="s">
        <v>82</v>
      </c>
      <c r="I1065" t="s">
        <v>2752</v>
      </c>
      <c r="J1065">
        <v>66</v>
      </c>
      <c r="K1065" t="s">
        <v>84</v>
      </c>
      <c r="L1065" t="s">
        <v>85</v>
      </c>
      <c r="M1065" t="s">
        <v>86</v>
      </c>
      <c r="N1065">
        <v>3</v>
      </c>
      <c r="O1065" s="1">
        <v>44209.557222222225</v>
      </c>
      <c r="P1065" s="1">
        <v>44209.598761574074</v>
      </c>
      <c r="Q1065">
        <v>3492</v>
      </c>
      <c r="R1065">
        <v>97</v>
      </c>
      <c r="S1065" t="b">
        <v>0</v>
      </c>
      <c r="T1065" t="s">
        <v>87</v>
      </c>
      <c r="U1065" t="b">
        <v>0</v>
      </c>
      <c r="V1065" t="s">
        <v>171</v>
      </c>
      <c r="W1065" s="1">
        <v>44209.561157407406</v>
      </c>
      <c r="X1065">
        <v>45</v>
      </c>
      <c r="Y1065">
        <v>0</v>
      </c>
      <c r="Z1065">
        <v>0</v>
      </c>
      <c r="AA1065">
        <v>0</v>
      </c>
      <c r="AB1065">
        <v>52</v>
      </c>
      <c r="AC1065">
        <v>0</v>
      </c>
      <c r="AD1065">
        <v>66</v>
      </c>
      <c r="AE1065">
        <v>0</v>
      </c>
      <c r="AF1065">
        <v>0</v>
      </c>
      <c r="AG1065">
        <v>0</v>
      </c>
      <c r="AH1065" t="s">
        <v>128</v>
      </c>
      <c r="AI1065" s="1">
        <v>44209.598715277774</v>
      </c>
      <c r="AJ1065">
        <v>26</v>
      </c>
      <c r="AK1065">
        <v>0</v>
      </c>
      <c r="AL1065">
        <v>0</v>
      </c>
      <c r="AM1065">
        <v>0</v>
      </c>
      <c r="AN1065">
        <v>52</v>
      </c>
      <c r="AO1065">
        <v>0</v>
      </c>
      <c r="AP1065">
        <v>66</v>
      </c>
      <c r="AQ1065">
        <v>0</v>
      </c>
      <c r="AR1065">
        <v>0</v>
      </c>
      <c r="AS1065">
        <v>0</v>
      </c>
      <c r="AT1065" t="s">
        <v>90</v>
      </c>
      <c r="AU1065" s="1">
        <v>44209.598761574074</v>
      </c>
      <c r="AV1065">
        <v>2</v>
      </c>
      <c r="AW1065">
        <v>0</v>
      </c>
      <c r="AX1065">
        <v>0</v>
      </c>
      <c r="AY1065">
        <v>0</v>
      </c>
      <c r="AZ1065">
        <v>52</v>
      </c>
      <c r="BA1065">
        <v>0</v>
      </c>
      <c r="BB1065">
        <v>66</v>
      </c>
      <c r="BC1065">
        <v>0</v>
      </c>
      <c r="BD1065">
        <v>0</v>
      </c>
      <c r="BE1065">
        <v>0</v>
      </c>
    </row>
    <row r="1066" spans="1:57" x14ac:dyDescent="0.45">
      <c r="A1066" t="s">
        <v>2753</v>
      </c>
      <c r="B1066" t="s">
        <v>79</v>
      </c>
      <c r="C1066" t="s">
        <v>1137</v>
      </c>
      <c r="D1066" t="s">
        <v>81</v>
      </c>
      <c r="E1066" s="2" t="str">
        <f>HYPERLINK("capsilon://?command=openfolder&amp;siteaddress=FAM.docvelocity-na8.net&amp;folderid=FX37419348-883A-7231-86A5-66213CF8F4A9","FX201227543")</f>
        <v>FX201227543</v>
      </c>
      <c r="F1066" t="s">
        <v>19</v>
      </c>
      <c r="G1066" t="s">
        <v>19</v>
      </c>
      <c r="H1066" t="s">
        <v>82</v>
      </c>
      <c r="I1066" t="s">
        <v>2754</v>
      </c>
      <c r="J1066">
        <v>66</v>
      </c>
      <c r="K1066" t="s">
        <v>84</v>
      </c>
      <c r="L1066" t="s">
        <v>85</v>
      </c>
      <c r="M1066" t="s">
        <v>86</v>
      </c>
      <c r="N1066">
        <v>3</v>
      </c>
      <c r="O1066" s="1">
        <v>44209.557835648149</v>
      </c>
      <c r="P1066" s="1">
        <v>44209.602858796294</v>
      </c>
      <c r="Q1066">
        <v>3132</v>
      </c>
      <c r="R1066">
        <v>758</v>
      </c>
      <c r="S1066" t="b">
        <v>0</v>
      </c>
      <c r="T1066" t="s">
        <v>87</v>
      </c>
      <c r="U1066" t="b">
        <v>0</v>
      </c>
      <c r="V1066" t="s">
        <v>259</v>
      </c>
      <c r="W1066" s="1">
        <v>44209.566469907404</v>
      </c>
      <c r="X1066">
        <v>474</v>
      </c>
      <c r="Y1066">
        <v>52</v>
      </c>
      <c r="Z1066">
        <v>0</v>
      </c>
      <c r="AA1066">
        <v>52</v>
      </c>
      <c r="AB1066">
        <v>0</v>
      </c>
      <c r="AC1066">
        <v>27</v>
      </c>
      <c r="AD1066">
        <v>14</v>
      </c>
      <c r="AE1066">
        <v>0</v>
      </c>
      <c r="AF1066">
        <v>0</v>
      </c>
      <c r="AG1066">
        <v>0</v>
      </c>
      <c r="AH1066" t="s">
        <v>128</v>
      </c>
      <c r="AI1066" s="1">
        <v>44209.601875</v>
      </c>
      <c r="AJ1066">
        <v>272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14</v>
      </c>
      <c r="AQ1066">
        <v>0</v>
      </c>
      <c r="AR1066">
        <v>0</v>
      </c>
      <c r="AS1066">
        <v>0</v>
      </c>
      <c r="AT1066" t="s">
        <v>90</v>
      </c>
      <c r="AU1066" s="1">
        <v>44209.602858796294</v>
      </c>
      <c r="AV1066">
        <v>12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14</v>
      </c>
      <c r="BC1066">
        <v>0</v>
      </c>
      <c r="BD1066">
        <v>0</v>
      </c>
      <c r="BE1066">
        <v>0</v>
      </c>
    </row>
    <row r="1067" spans="1:57" x14ac:dyDescent="0.45">
      <c r="A1067" t="s">
        <v>2755</v>
      </c>
      <c r="B1067" t="s">
        <v>79</v>
      </c>
      <c r="C1067" t="s">
        <v>1040</v>
      </c>
      <c r="D1067" t="s">
        <v>81</v>
      </c>
      <c r="E1067" s="2" t="str">
        <f>HYPERLINK("capsilon://?command=openfolder&amp;siteaddress=FAM.docvelocity-na8.net&amp;folderid=FX25AE985D-5D36-7BC0-0903-FF17BD3F5E9E","FX201113035")</f>
        <v>FX201113035</v>
      </c>
      <c r="F1067" t="s">
        <v>19</v>
      </c>
      <c r="G1067" t="s">
        <v>19</v>
      </c>
      <c r="H1067" t="s">
        <v>82</v>
      </c>
      <c r="I1067" t="s">
        <v>2750</v>
      </c>
      <c r="J1067">
        <v>38</v>
      </c>
      <c r="K1067" t="s">
        <v>84</v>
      </c>
      <c r="L1067" t="s">
        <v>85</v>
      </c>
      <c r="M1067" t="s">
        <v>86</v>
      </c>
      <c r="N1067">
        <v>3</v>
      </c>
      <c r="O1067" s="1">
        <v>44209.559699074074</v>
      </c>
      <c r="P1067" s="1">
        <v>44209.584768518522</v>
      </c>
      <c r="Q1067">
        <v>1344</v>
      </c>
      <c r="R1067">
        <v>822</v>
      </c>
      <c r="S1067" t="b">
        <v>0</v>
      </c>
      <c r="T1067" t="s">
        <v>87</v>
      </c>
      <c r="U1067" t="b">
        <v>1</v>
      </c>
      <c r="V1067" t="s">
        <v>343</v>
      </c>
      <c r="W1067" s="1">
        <v>44209.566770833335</v>
      </c>
      <c r="X1067">
        <v>602</v>
      </c>
      <c r="Y1067">
        <v>37</v>
      </c>
      <c r="Z1067">
        <v>0</v>
      </c>
      <c r="AA1067">
        <v>37</v>
      </c>
      <c r="AB1067">
        <v>0</v>
      </c>
      <c r="AC1067">
        <v>34</v>
      </c>
      <c r="AD1067">
        <v>1</v>
      </c>
      <c r="AE1067">
        <v>0</v>
      </c>
      <c r="AF1067">
        <v>0</v>
      </c>
      <c r="AG1067">
        <v>0</v>
      </c>
      <c r="AH1067" t="s">
        <v>267</v>
      </c>
      <c r="AI1067" s="1">
        <v>44209.572326388887</v>
      </c>
      <c r="AJ1067">
        <v>214</v>
      </c>
      <c r="AK1067">
        <v>1</v>
      </c>
      <c r="AL1067">
        <v>0</v>
      </c>
      <c r="AM1067">
        <v>1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 t="s">
        <v>90</v>
      </c>
      <c r="AU1067" s="1">
        <v>44209.584768518522</v>
      </c>
      <c r="AV1067">
        <v>6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</row>
    <row r="1068" spans="1:57" hidden="1" x14ac:dyDescent="0.45">
      <c r="A1068" t="s">
        <v>2756</v>
      </c>
      <c r="B1068" t="s">
        <v>79</v>
      </c>
      <c r="C1068" t="s">
        <v>2757</v>
      </c>
      <c r="D1068" t="s">
        <v>81</v>
      </c>
      <c r="E1068" s="2" t="str">
        <f>HYPERLINK("capsilon://?command=openfolder&amp;siteaddress=FAM.docvelocity-na8.net&amp;folderid=FX1E64DCAB-55F9-2156-A733-F203019180AD","FX20126308")</f>
        <v>FX20126308</v>
      </c>
      <c r="F1068" t="s">
        <v>19</v>
      </c>
      <c r="G1068" t="s">
        <v>19</v>
      </c>
      <c r="H1068" t="s">
        <v>82</v>
      </c>
      <c r="I1068" t="s">
        <v>2758</v>
      </c>
      <c r="J1068">
        <v>66</v>
      </c>
      <c r="K1068" t="s">
        <v>84</v>
      </c>
      <c r="L1068" t="s">
        <v>85</v>
      </c>
      <c r="M1068" t="s">
        <v>86</v>
      </c>
      <c r="N1068">
        <v>1</v>
      </c>
      <c r="O1068" s="1">
        <v>44200.656585648147</v>
      </c>
      <c r="P1068" s="1">
        <v>44200.766469907408</v>
      </c>
      <c r="Q1068">
        <v>9343</v>
      </c>
      <c r="R1068">
        <v>151</v>
      </c>
      <c r="S1068" t="b">
        <v>0</v>
      </c>
      <c r="T1068" t="s">
        <v>87</v>
      </c>
      <c r="U1068" t="b">
        <v>0</v>
      </c>
      <c r="V1068" t="s">
        <v>255</v>
      </c>
      <c r="W1068" s="1">
        <v>44200.766469907408</v>
      </c>
      <c r="X1068">
        <v>151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66</v>
      </c>
      <c r="AE1068">
        <v>52</v>
      </c>
      <c r="AF1068">
        <v>0</v>
      </c>
      <c r="AG1068">
        <v>1</v>
      </c>
      <c r="AH1068" t="s">
        <v>87</v>
      </c>
      <c r="AI1068" t="s">
        <v>87</v>
      </c>
      <c r="AJ1068" t="s">
        <v>87</v>
      </c>
      <c r="AK1068" t="s">
        <v>87</v>
      </c>
      <c r="AL1068" t="s">
        <v>87</v>
      </c>
      <c r="AM1068" t="s">
        <v>87</v>
      </c>
      <c r="AN1068" t="s">
        <v>87</v>
      </c>
      <c r="AO1068" t="s">
        <v>87</v>
      </c>
      <c r="AP1068" t="s">
        <v>87</v>
      </c>
      <c r="AQ1068" t="s">
        <v>87</v>
      </c>
      <c r="AR1068" t="s">
        <v>87</v>
      </c>
      <c r="AS1068" t="s">
        <v>87</v>
      </c>
      <c r="AT1068" t="s">
        <v>87</v>
      </c>
      <c r="AU1068" t="s">
        <v>87</v>
      </c>
      <c r="AV1068" t="s">
        <v>87</v>
      </c>
      <c r="AW1068" t="s">
        <v>87</v>
      </c>
      <c r="AX1068" t="s">
        <v>87</v>
      </c>
      <c r="AY1068" t="s">
        <v>87</v>
      </c>
      <c r="AZ1068" t="s">
        <v>87</v>
      </c>
      <c r="BA1068" t="s">
        <v>87</v>
      </c>
      <c r="BB1068" t="s">
        <v>87</v>
      </c>
      <c r="BC1068" t="s">
        <v>87</v>
      </c>
      <c r="BD1068" t="s">
        <v>87</v>
      </c>
      <c r="BE1068" t="s">
        <v>87</v>
      </c>
    </row>
    <row r="1069" spans="1:57" x14ac:dyDescent="0.45">
      <c r="A1069" t="s">
        <v>2759</v>
      </c>
      <c r="B1069" t="s">
        <v>79</v>
      </c>
      <c r="C1069" t="s">
        <v>1890</v>
      </c>
      <c r="D1069" t="s">
        <v>81</v>
      </c>
      <c r="E1069" s="2" t="str">
        <f>HYPERLINK("capsilon://?command=openfolder&amp;siteaddress=FAM.docvelocity-na8.net&amp;folderid=FXA2660F5D-D7CA-DD78-A601-1795C871FF8A","FX20126951")</f>
        <v>FX20126951</v>
      </c>
      <c r="F1069" t="s">
        <v>19</v>
      </c>
      <c r="G1069" t="s">
        <v>19</v>
      </c>
      <c r="H1069" t="s">
        <v>82</v>
      </c>
      <c r="I1069" t="s">
        <v>2760</v>
      </c>
      <c r="J1069">
        <v>276</v>
      </c>
      <c r="K1069" t="s">
        <v>84</v>
      </c>
      <c r="L1069" t="s">
        <v>85</v>
      </c>
      <c r="M1069" t="s">
        <v>86</v>
      </c>
      <c r="N1069">
        <v>3</v>
      </c>
      <c r="O1069" s="1">
        <v>44209.566724537035</v>
      </c>
      <c r="P1069" s="1">
        <v>44209.632743055554</v>
      </c>
      <c r="Q1069">
        <v>2267</v>
      </c>
      <c r="R1069">
        <v>3437</v>
      </c>
      <c r="S1069" t="b">
        <v>0</v>
      </c>
      <c r="T1069" t="s">
        <v>87</v>
      </c>
      <c r="U1069" t="b">
        <v>0</v>
      </c>
      <c r="V1069" t="s">
        <v>171</v>
      </c>
      <c r="W1069" s="1">
        <v>44209.597662037035</v>
      </c>
      <c r="X1069">
        <v>2672</v>
      </c>
      <c r="Y1069">
        <v>244</v>
      </c>
      <c r="Z1069">
        <v>0</v>
      </c>
      <c r="AA1069">
        <v>244</v>
      </c>
      <c r="AB1069">
        <v>0</v>
      </c>
      <c r="AC1069">
        <v>51</v>
      </c>
      <c r="AD1069">
        <v>32</v>
      </c>
      <c r="AE1069">
        <v>0</v>
      </c>
      <c r="AF1069">
        <v>0</v>
      </c>
      <c r="AG1069">
        <v>0</v>
      </c>
      <c r="AH1069" t="s">
        <v>128</v>
      </c>
      <c r="AI1069" s="1">
        <v>44209.609513888892</v>
      </c>
      <c r="AJ1069">
        <v>659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32</v>
      </c>
      <c r="AQ1069">
        <v>0</v>
      </c>
      <c r="AR1069">
        <v>0</v>
      </c>
      <c r="AS1069">
        <v>0</v>
      </c>
      <c r="AT1069" t="s">
        <v>90</v>
      </c>
      <c r="AU1069" s="1">
        <v>44209.632743055554</v>
      </c>
      <c r="AV1069">
        <v>106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32</v>
      </c>
      <c r="BC1069">
        <v>0</v>
      </c>
      <c r="BD1069">
        <v>0</v>
      </c>
      <c r="BE1069">
        <v>0</v>
      </c>
    </row>
    <row r="1070" spans="1:57" x14ac:dyDescent="0.45">
      <c r="A1070" t="s">
        <v>2761</v>
      </c>
      <c r="B1070" t="s">
        <v>79</v>
      </c>
      <c r="C1070" t="s">
        <v>2762</v>
      </c>
      <c r="D1070" t="s">
        <v>81</v>
      </c>
      <c r="E1070" s="2" t="str">
        <f>HYPERLINK("capsilon://?command=openfolder&amp;siteaddress=FAM.docvelocity-na8.net&amp;folderid=FXB6E7794B-A03D-5885-C16E-877D076FACC9","FX21017189")</f>
        <v>FX21017189</v>
      </c>
      <c r="F1070" t="s">
        <v>19</v>
      </c>
      <c r="G1070" t="s">
        <v>19</v>
      </c>
      <c r="H1070" t="s">
        <v>82</v>
      </c>
      <c r="I1070" t="s">
        <v>2763</v>
      </c>
      <c r="J1070">
        <v>126</v>
      </c>
      <c r="K1070" t="s">
        <v>84</v>
      </c>
      <c r="L1070" t="s">
        <v>85</v>
      </c>
      <c r="M1070" t="s">
        <v>86</v>
      </c>
      <c r="N1070">
        <v>3</v>
      </c>
      <c r="O1070" s="1">
        <v>44209.57</v>
      </c>
      <c r="P1070" s="1">
        <v>44209.634398148148</v>
      </c>
      <c r="Q1070">
        <v>2733</v>
      </c>
      <c r="R1070">
        <v>2831</v>
      </c>
      <c r="S1070" t="b">
        <v>0</v>
      </c>
      <c r="T1070" t="s">
        <v>87</v>
      </c>
      <c r="U1070" t="b">
        <v>0</v>
      </c>
      <c r="V1070" t="s">
        <v>343</v>
      </c>
      <c r="W1070" s="1">
        <v>44209.591296296298</v>
      </c>
      <c r="X1070">
        <v>1836</v>
      </c>
      <c r="Y1070">
        <v>135</v>
      </c>
      <c r="Z1070">
        <v>0</v>
      </c>
      <c r="AA1070">
        <v>135</v>
      </c>
      <c r="AB1070">
        <v>0</v>
      </c>
      <c r="AC1070">
        <v>67</v>
      </c>
      <c r="AD1070">
        <v>-9</v>
      </c>
      <c r="AE1070">
        <v>0</v>
      </c>
      <c r="AF1070">
        <v>0</v>
      </c>
      <c r="AG1070">
        <v>0</v>
      </c>
      <c r="AH1070" t="s">
        <v>267</v>
      </c>
      <c r="AI1070" s="1">
        <v>44209.613067129627</v>
      </c>
      <c r="AJ1070">
        <v>852</v>
      </c>
      <c r="AK1070">
        <v>1</v>
      </c>
      <c r="AL1070">
        <v>0</v>
      </c>
      <c r="AM1070">
        <v>1</v>
      </c>
      <c r="AN1070">
        <v>0</v>
      </c>
      <c r="AO1070">
        <v>1</v>
      </c>
      <c r="AP1070">
        <v>-10</v>
      </c>
      <c r="AQ1070">
        <v>0</v>
      </c>
      <c r="AR1070">
        <v>0</v>
      </c>
      <c r="AS1070">
        <v>0</v>
      </c>
      <c r="AT1070" t="s">
        <v>90</v>
      </c>
      <c r="AU1070" s="1">
        <v>44209.634398148148</v>
      </c>
      <c r="AV1070">
        <v>143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-10</v>
      </c>
      <c r="BC1070">
        <v>0</v>
      </c>
      <c r="BD1070">
        <v>0</v>
      </c>
      <c r="BE1070">
        <v>0</v>
      </c>
    </row>
    <row r="1071" spans="1:57" x14ac:dyDescent="0.45">
      <c r="A1071" t="s">
        <v>2764</v>
      </c>
      <c r="B1071" t="s">
        <v>79</v>
      </c>
      <c r="C1071" t="s">
        <v>2765</v>
      </c>
      <c r="D1071" t="s">
        <v>81</v>
      </c>
      <c r="E1071" s="2" t="str">
        <f>HYPERLINK("capsilon://?command=openfolder&amp;siteaddress=FAM.docvelocity-na8.net&amp;folderid=FX9C14C892-9500-1A0C-5ECC-CAD9AF3E00E0","FX21016388")</f>
        <v>FX21016388</v>
      </c>
      <c r="F1071" t="s">
        <v>19</v>
      </c>
      <c r="G1071" t="s">
        <v>19</v>
      </c>
      <c r="H1071" t="s">
        <v>82</v>
      </c>
      <c r="I1071" t="s">
        <v>2766</v>
      </c>
      <c r="J1071">
        <v>262</v>
      </c>
      <c r="K1071" t="s">
        <v>84</v>
      </c>
      <c r="L1071" t="s">
        <v>85</v>
      </c>
      <c r="M1071" t="s">
        <v>86</v>
      </c>
      <c r="N1071">
        <v>3</v>
      </c>
      <c r="O1071" s="1">
        <v>44209.570601851854</v>
      </c>
      <c r="P1071" s="1">
        <v>44209.63548611111</v>
      </c>
      <c r="Q1071">
        <v>3935</v>
      </c>
      <c r="R1071">
        <v>1671</v>
      </c>
      <c r="S1071" t="b">
        <v>0</v>
      </c>
      <c r="T1071" t="s">
        <v>87</v>
      </c>
      <c r="U1071" t="b">
        <v>0</v>
      </c>
      <c r="V1071" t="s">
        <v>255</v>
      </c>
      <c r="W1071" s="1">
        <v>44209.581226851849</v>
      </c>
      <c r="X1071">
        <v>909</v>
      </c>
      <c r="Y1071">
        <v>208</v>
      </c>
      <c r="Z1071">
        <v>0</v>
      </c>
      <c r="AA1071">
        <v>208</v>
      </c>
      <c r="AB1071">
        <v>0</v>
      </c>
      <c r="AC1071">
        <v>58</v>
      </c>
      <c r="AD1071">
        <v>54</v>
      </c>
      <c r="AE1071">
        <v>0</v>
      </c>
      <c r="AF1071">
        <v>0</v>
      </c>
      <c r="AG1071">
        <v>0</v>
      </c>
      <c r="AH1071" t="s">
        <v>128</v>
      </c>
      <c r="AI1071" s="1">
        <v>44209.617268518516</v>
      </c>
      <c r="AJ1071">
        <v>669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54</v>
      </c>
      <c r="AQ1071">
        <v>0</v>
      </c>
      <c r="AR1071">
        <v>0</v>
      </c>
      <c r="AS1071">
        <v>0</v>
      </c>
      <c r="AT1071" t="s">
        <v>90</v>
      </c>
      <c r="AU1071" s="1">
        <v>44209.63548611111</v>
      </c>
      <c r="AV1071">
        <v>93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54</v>
      </c>
      <c r="BC1071">
        <v>0</v>
      </c>
      <c r="BD1071">
        <v>0</v>
      </c>
      <c r="BE1071">
        <v>0</v>
      </c>
    </row>
    <row r="1072" spans="1:57" x14ac:dyDescent="0.45">
      <c r="A1072" t="s">
        <v>2767</v>
      </c>
      <c r="B1072" t="s">
        <v>79</v>
      </c>
      <c r="C1072" t="s">
        <v>2768</v>
      </c>
      <c r="D1072" t="s">
        <v>81</v>
      </c>
      <c r="E1072" s="2" t="str">
        <f>HYPERLINK("capsilon://?command=openfolder&amp;siteaddress=FAM.docvelocity-na8.net&amp;folderid=FX96764C55-250F-BDF5-B07F-0C32D7081D22","FX20125747")</f>
        <v>FX20125747</v>
      </c>
      <c r="F1072" t="s">
        <v>19</v>
      </c>
      <c r="G1072" t="s">
        <v>19</v>
      </c>
      <c r="H1072" t="s">
        <v>82</v>
      </c>
      <c r="I1072" t="s">
        <v>2769</v>
      </c>
      <c r="J1072">
        <v>285</v>
      </c>
      <c r="K1072" t="s">
        <v>84</v>
      </c>
      <c r="L1072" t="s">
        <v>85</v>
      </c>
      <c r="M1072" t="s">
        <v>86</v>
      </c>
      <c r="N1072">
        <v>3</v>
      </c>
      <c r="O1072" s="1">
        <v>44200.657754629632</v>
      </c>
      <c r="P1072" s="1">
        <v>44201.390787037039</v>
      </c>
      <c r="Q1072">
        <v>60508</v>
      </c>
      <c r="R1072">
        <v>2826</v>
      </c>
      <c r="S1072" t="b">
        <v>0</v>
      </c>
      <c r="T1072" t="s">
        <v>87</v>
      </c>
      <c r="U1072" t="b">
        <v>0</v>
      </c>
      <c r="V1072" t="s">
        <v>255</v>
      </c>
      <c r="W1072" s="1">
        <v>44200.786157407405</v>
      </c>
      <c r="X1072">
        <v>1700</v>
      </c>
      <c r="Y1072">
        <v>225</v>
      </c>
      <c r="Z1072">
        <v>0</v>
      </c>
      <c r="AA1072">
        <v>225</v>
      </c>
      <c r="AB1072">
        <v>37</v>
      </c>
      <c r="AC1072">
        <v>106</v>
      </c>
      <c r="AD1072">
        <v>60</v>
      </c>
      <c r="AE1072">
        <v>0</v>
      </c>
      <c r="AF1072">
        <v>0</v>
      </c>
      <c r="AG1072">
        <v>0</v>
      </c>
      <c r="AH1072" t="s">
        <v>128</v>
      </c>
      <c r="AI1072" s="1">
        <v>44200.827418981484</v>
      </c>
      <c r="AJ1072">
        <v>1094</v>
      </c>
      <c r="AK1072">
        <v>2</v>
      </c>
      <c r="AL1072">
        <v>0</v>
      </c>
      <c r="AM1072">
        <v>2</v>
      </c>
      <c r="AN1072">
        <v>98</v>
      </c>
      <c r="AO1072">
        <v>2</v>
      </c>
      <c r="AP1072">
        <v>58</v>
      </c>
      <c r="AQ1072">
        <v>0</v>
      </c>
      <c r="AR1072">
        <v>0</v>
      </c>
      <c r="AS1072">
        <v>0</v>
      </c>
      <c r="AT1072" t="s">
        <v>90</v>
      </c>
      <c r="AU1072" s="1">
        <v>44201.390787037039</v>
      </c>
      <c r="AV1072">
        <v>32</v>
      </c>
      <c r="AW1072">
        <v>0</v>
      </c>
      <c r="AX1072">
        <v>0</v>
      </c>
      <c r="AY1072">
        <v>0</v>
      </c>
      <c r="AZ1072">
        <v>98</v>
      </c>
      <c r="BA1072">
        <v>0</v>
      </c>
      <c r="BB1072">
        <v>58</v>
      </c>
      <c r="BC1072">
        <v>0</v>
      </c>
      <c r="BD1072">
        <v>0</v>
      </c>
      <c r="BE1072">
        <v>0</v>
      </c>
    </row>
    <row r="1073" spans="1:57" hidden="1" x14ac:dyDescent="0.45">
      <c r="A1073" t="s">
        <v>2770</v>
      </c>
      <c r="B1073" t="s">
        <v>79</v>
      </c>
      <c r="C1073" t="s">
        <v>2771</v>
      </c>
      <c r="D1073" t="s">
        <v>81</v>
      </c>
      <c r="E1073" s="2" t="str">
        <f>HYPERLINK("capsilon://?command=openfolder&amp;siteaddress=FAM.docvelocity-na8.net&amp;folderid=FXBD8786AC-1BDA-8D3A-8973-110DC5125145","FX20123784")</f>
        <v>FX20123784</v>
      </c>
      <c r="F1073" t="s">
        <v>19</v>
      </c>
      <c r="G1073" t="s">
        <v>19</v>
      </c>
      <c r="H1073" t="s">
        <v>82</v>
      </c>
      <c r="I1073" t="s">
        <v>2772</v>
      </c>
      <c r="J1073">
        <v>66</v>
      </c>
      <c r="K1073" t="s">
        <v>84</v>
      </c>
      <c r="L1073" t="s">
        <v>85</v>
      </c>
      <c r="M1073" t="s">
        <v>86</v>
      </c>
      <c r="N1073">
        <v>1</v>
      </c>
      <c r="O1073" s="1">
        <v>44209.574074074073</v>
      </c>
      <c r="P1073" s="1">
        <v>44209.577118055553</v>
      </c>
      <c r="Q1073">
        <v>127</v>
      </c>
      <c r="R1073">
        <v>136</v>
      </c>
      <c r="S1073" t="b">
        <v>0</v>
      </c>
      <c r="T1073" t="s">
        <v>87</v>
      </c>
      <c r="U1073" t="b">
        <v>0</v>
      </c>
      <c r="V1073" t="s">
        <v>242</v>
      </c>
      <c r="W1073" s="1">
        <v>44209.577118055553</v>
      </c>
      <c r="X1073">
        <v>136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66</v>
      </c>
      <c r="AE1073">
        <v>52</v>
      </c>
      <c r="AF1073">
        <v>0</v>
      </c>
      <c r="AG1073">
        <v>1</v>
      </c>
      <c r="AH1073" t="s">
        <v>87</v>
      </c>
      <c r="AI1073" t="s">
        <v>87</v>
      </c>
      <c r="AJ1073" t="s">
        <v>87</v>
      </c>
      <c r="AK1073" t="s">
        <v>87</v>
      </c>
      <c r="AL1073" t="s">
        <v>87</v>
      </c>
      <c r="AM1073" t="s">
        <v>87</v>
      </c>
      <c r="AN1073" t="s">
        <v>87</v>
      </c>
      <c r="AO1073" t="s">
        <v>87</v>
      </c>
      <c r="AP1073" t="s">
        <v>87</v>
      </c>
      <c r="AQ1073" t="s">
        <v>87</v>
      </c>
      <c r="AR1073" t="s">
        <v>87</v>
      </c>
      <c r="AS1073" t="s">
        <v>87</v>
      </c>
      <c r="AT1073" t="s">
        <v>87</v>
      </c>
      <c r="AU1073" t="s">
        <v>87</v>
      </c>
      <c r="AV1073" t="s">
        <v>87</v>
      </c>
      <c r="AW1073" t="s">
        <v>87</v>
      </c>
      <c r="AX1073" t="s">
        <v>87</v>
      </c>
      <c r="AY1073" t="s">
        <v>87</v>
      </c>
      <c r="AZ1073" t="s">
        <v>87</v>
      </c>
      <c r="BA1073" t="s">
        <v>87</v>
      </c>
      <c r="BB1073" t="s">
        <v>87</v>
      </c>
      <c r="BC1073" t="s">
        <v>87</v>
      </c>
      <c r="BD1073" t="s">
        <v>87</v>
      </c>
      <c r="BE1073" t="s">
        <v>87</v>
      </c>
    </row>
    <row r="1074" spans="1:57" x14ac:dyDescent="0.45">
      <c r="A1074" t="s">
        <v>2773</v>
      </c>
      <c r="B1074" t="s">
        <v>79</v>
      </c>
      <c r="C1074" t="s">
        <v>2774</v>
      </c>
      <c r="D1074" t="s">
        <v>81</v>
      </c>
      <c r="E1074" s="2" t="str">
        <f>HYPERLINK("capsilon://?command=openfolder&amp;siteaddress=FAM.docvelocity-na8.net&amp;folderid=FX8F24DB13-6008-B68A-08D1-C3794301B6E2","FX201221601")</f>
        <v>FX201221601</v>
      </c>
      <c r="F1074" t="s">
        <v>19</v>
      </c>
      <c r="G1074" t="s">
        <v>19</v>
      </c>
      <c r="H1074" t="s">
        <v>82</v>
      </c>
      <c r="I1074" t="s">
        <v>2775</v>
      </c>
      <c r="J1074">
        <v>38</v>
      </c>
      <c r="K1074" t="s">
        <v>84</v>
      </c>
      <c r="L1074" t="s">
        <v>85</v>
      </c>
      <c r="M1074" t="s">
        <v>86</v>
      </c>
      <c r="N1074">
        <v>3</v>
      </c>
      <c r="O1074" s="1">
        <v>44209.574699074074</v>
      </c>
      <c r="P1074" s="1">
        <v>44209.636458333334</v>
      </c>
      <c r="Q1074">
        <v>4106</v>
      </c>
      <c r="R1074">
        <v>1230</v>
      </c>
      <c r="S1074" t="b">
        <v>0</v>
      </c>
      <c r="T1074" t="s">
        <v>87</v>
      </c>
      <c r="U1074" t="b">
        <v>0</v>
      </c>
      <c r="V1074" t="s">
        <v>179</v>
      </c>
      <c r="W1074" s="1">
        <v>44209.588275462964</v>
      </c>
      <c r="X1074">
        <v>975</v>
      </c>
      <c r="Y1074">
        <v>37</v>
      </c>
      <c r="Z1074">
        <v>0</v>
      </c>
      <c r="AA1074">
        <v>37</v>
      </c>
      <c r="AB1074">
        <v>0</v>
      </c>
      <c r="AC1074">
        <v>15</v>
      </c>
      <c r="AD1074">
        <v>1</v>
      </c>
      <c r="AE1074">
        <v>0</v>
      </c>
      <c r="AF1074">
        <v>0</v>
      </c>
      <c r="AG1074">
        <v>0</v>
      </c>
      <c r="AH1074" t="s">
        <v>267</v>
      </c>
      <c r="AI1074" s="1">
        <v>44209.615069444444</v>
      </c>
      <c r="AJ1074">
        <v>172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 t="s">
        <v>90</v>
      </c>
      <c r="AU1074" s="1">
        <v>44209.636458333334</v>
      </c>
      <c r="AV1074">
        <v>83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</row>
    <row r="1075" spans="1:57" hidden="1" x14ac:dyDescent="0.45">
      <c r="A1075" t="s">
        <v>2776</v>
      </c>
      <c r="B1075" t="s">
        <v>79</v>
      </c>
      <c r="C1075" t="s">
        <v>2777</v>
      </c>
      <c r="D1075" t="s">
        <v>81</v>
      </c>
      <c r="E1075" s="2" t="str">
        <f>HYPERLINK("capsilon://?command=openfolder&amp;siteaddress=FAM.docvelocity-na8.net&amp;folderid=FXFE709663-4675-90E6-9070-FCB3879254AE","FX20024079")</f>
        <v>FX20024079</v>
      </c>
      <c r="F1075" t="s">
        <v>19</v>
      </c>
      <c r="G1075" t="s">
        <v>19</v>
      </c>
      <c r="H1075" t="s">
        <v>82</v>
      </c>
      <c r="I1075" t="s">
        <v>2778</v>
      </c>
      <c r="J1075">
        <v>26</v>
      </c>
      <c r="K1075" t="s">
        <v>84</v>
      </c>
      <c r="L1075" t="s">
        <v>85</v>
      </c>
      <c r="M1075" t="s">
        <v>81</v>
      </c>
      <c r="N1075">
        <v>1</v>
      </c>
      <c r="O1075" s="1">
        <v>44200.657951388886</v>
      </c>
      <c r="P1075" s="1">
        <v>44200.658993055556</v>
      </c>
      <c r="Q1075">
        <v>60</v>
      </c>
      <c r="R1075">
        <v>30</v>
      </c>
      <c r="S1075" t="b">
        <v>0</v>
      </c>
      <c r="T1075" t="s">
        <v>2779</v>
      </c>
      <c r="U1075" t="b">
        <v>0</v>
      </c>
      <c r="V1075" t="s">
        <v>2779</v>
      </c>
      <c r="W1075" s="1">
        <v>44200.658993055556</v>
      </c>
      <c r="X1075">
        <v>30</v>
      </c>
      <c r="Y1075">
        <v>21</v>
      </c>
      <c r="Z1075">
        <v>0</v>
      </c>
      <c r="AA1075">
        <v>21</v>
      </c>
      <c r="AB1075">
        <v>0</v>
      </c>
      <c r="AC1075">
        <v>0</v>
      </c>
      <c r="AD1075">
        <v>5</v>
      </c>
      <c r="AE1075">
        <v>0</v>
      </c>
      <c r="AF1075">
        <v>0</v>
      </c>
      <c r="AG1075">
        <v>0</v>
      </c>
      <c r="AH1075" t="s">
        <v>87</v>
      </c>
      <c r="AI1075" t="s">
        <v>87</v>
      </c>
      <c r="AJ1075" t="s">
        <v>87</v>
      </c>
      <c r="AK1075" t="s">
        <v>87</v>
      </c>
      <c r="AL1075" t="s">
        <v>87</v>
      </c>
      <c r="AM1075" t="s">
        <v>87</v>
      </c>
      <c r="AN1075" t="s">
        <v>87</v>
      </c>
      <c r="AO1075" t="s">
        <v>87</v>
      </c>
      <c r="AP1075" t="s">
        <v>87</v>
      </c>
      <c r="AQ1075" t="s">
        <v>87</v>
      </c>
      <c r="AR1075" t="s">
        <v>87</v>
      </c>
      <c r="AS1075" t="s">
        <v>87</v>
      </c>
      <c r="AT1075" t="s">
        <v>87</v>
      </c>
      <c r="AU1075" t="s">
        <v>87</v>
      </c>
      <c r="AV1075" t="s">
        <v>87</v>
      </c>
      <c r="AW1075" t="s">
        <v>87</v>
      </c>
      <c r="AX1075" t="s">
        <v>87</v>
      </c>
      <c r="AY1075" t="s">
        <v>87</v>
      </c>
      <c r="AZ1075" t="s">
        <v>87</v>
      </c>
      <c r="BA1075" t="s">
        <v>87</v>
      </c>
      <c r="BB1075" t="s">
        <v>87</v>
      </c>
      <c r="BC1075" t="s">
        <v>87</v>
      </c>
      <c r="BD1075" t="s">
        <v>87</v>
      </c>
      <c r="BE1075" t="s">
        <v>87</v>
      </c>
    </row>
    <row r="1076" spans="1:57" x14ac:dyDescent="0.45">
      <c r="A1076" t="s">
        <v>2780</v>
      </c>
      <c r="B1076" t="s">
        <v>79</v>
      </c>
      <c r="C1076" t="s">
        <v>2771</v>
      </c>
      <c r="D1076" t="s">
        <v>81</v>
      </c>
      <c r="E1076" s="2" t="str">
        <f>HYPERLINK("capsilon://?command=openfolder&amp;siteaddress=FAM.docvelocity-na8.net&amp;folderid=FXBD8786AC-1BDA-8D3A-8973-110DC5125145","FX20123784")</f>
        <v>FX20123784</v>
      </c>
      <c r="F1076" t="s">
        <v>19</v>
      </c>
      <c r="G1076" t="s">
        <v>19</v>
      </c>
      <c r="H1076" t="s">
        <v>82</v>
      </c>
      <c r="I1076" t="s">
        <v>2772</v>
      </c>
      <c r="J1076">
        <v>38</v>
      </c>
      <c r="K1076" t="s">
        <v>84</v>
      </c>
      <c r="L1076" t="s">
        <v>85</v>
      </c>
      <c r="M1076" t="s">
        <v>86</v>
      </c>
      <c r="N1076">
        <v>3</v>
      </c>
      <c r="O1076" s="1">
        <v>44209.57744212963</v>
      </c>
      <c r="P1076" s="1">
        <v>44209.587581018517</v>
      </c>
      <c r="Q1076">
        <v>212</v>
      </c>
      <c r="R1076">
        <v>664</v>
      </c>
      <c r="S1076" t="b">
        <v>0</v>
      </c>
      <c r="T1076" t="s">
        <v>87</v>
      </c>
      <c r="U1076" t="b">
        <v>1</v>
      </c>
      <c r="V1076" t="s">
        <v>259</v>
      </c>
      <c r="W1076" s="1">
        <v>44209.58289351852</v>
      </c>
      <c r="X1076">
        <v>466</v>
      </c>
      <c r="Y1076">
        <v>37</v>
      </c>
      <c r="Z1076">
        <v>0</v>
      </c>
      <c r="AA1076">
        <v>37</v>
      </c>
      <c r="AB1076">
        <v>0</v>
      </c>
      <c r="AC1076">
        <v>33</v>
      </c>
      <c r="AD1076">
        <v>1</v>
      </c>
      <c r="AE1076">
        <v>0</v>
      </c>
      <c r="AF1076">
        <v>0</v>
      </c>
      <c r="AG1076">
        <v>0</v>
      </c>
      <c r="AH1076" t="s">
        <v>267</v>
      </c>
      <c r="AI1076" s="1">
        <v>44209.587361111109</v>
      </c>
      <c r="AJ1076">
        <v>194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 t="s">
        <v>90</v>
      </c>
      <c r="AU1076" s="1">
        <v>44209.587581018517</v>
      </c>
      <c r="AV1076">
        <v>4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</row>
    <row r="1077" spans="1:57" x14ac:dyDescent="0.45">
      <c r="A1077" t="s">
        <v>2781</v>
      </c>
      <c r="B1077" t="s">
        <v>79</v>
      </c>
      <c r="C1077" t="s">
        <v>2782</v>
      </c>
      <c r="D1077" t="s">
        <v>81</v>
      </c>
      <c r="E1077" s="2" t="str">
        <f>HYPERLINK("capsilon://?command=openfolder&amp;siteaddress=FAM.docvelocity-na8.net&amp;folderid=FX52E51A5C-BC9D-73F1-0F79-2EB2E386F8B6","FX201221526")</f>
        <v>FX201221526</v>
      </c>
      <c r="F1077" t="s">
        <v>19</v>
      </c>
      <c r="G1077" t="s">
        <v>19</v>
      </c>
      <c r="H1077" t="s">
        <v>82</v>
      </c>
      <c r="I1077" t="s">
        <v>2783</v>
      </c>
      <c r="J1077">
        <v>66</v>
      </c>
      <c r="K1077" t="s">
        <v>84</v>
      </c>
      <c r="L1077" t="s">
        <v>85</v>
      </c>
      <c r="M1077" t="s">
        <v>86</v>
      </c>
      <c r="N1077">
        <v>3</v>
      </c>
      <c r="O1077" s="1">
        <v>44209.580335648148</v>
      </c>
      <c r="P1077" s="1">
        <v>44209.636840277781</v>
      </c>
      <c r="Q1077">
        <v>3791</v>
      </c>
      <c r="R1077">
        <v>1091</v>
      </c>
      <c r="S1077" t="b">
        <v>0</v>
      </c>
      <c r="T1077" t="s">
        <v>87</v>
      </c>
      <c r="U1077" t="b">
        <v>0</v>
      </c>
      <c r="V1077" t="s">
        <v>168</v>
      </c>
      <c r="W1077" s="1">
        <v>44209.589768518519</v>
      </c>
      <c r="X1077">
        <v>813</v>
      </c>
      <c r="Y1077">
        <v>52</v>
      </c>
      <c r="Z1077">
        <v>0</v>
      </c>
      <c r="AA1077">
        <v>52</v>
      </c>
      <c r="AB1077">
        <v>0</v>
      </c>
      <c r="AC1077">
        <v>30</v>
      </c>
      <c r="AD1077">
        <v>14</v>
      </c>
      <c r="AE1077">
        <v>0</v>
      </c>
      <c r="AF1077">
        <v>0</v>
      </c>
      <c r="AG1077">
        <v>0</v>
      </c>
      <c r="AH1077" t="s">
        <v>267</v>
      </c>
      <c r="AI1077" s="1">
        <v>44209.617928240739</v>
      </c>
      <c r="AJ1077">
        <v>246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14</v>
      </c>
      <c r="AQ1077">
        <v>0</v>
      </c>
      <c r="AR1077">
        <v>0</v>
      </c>
      <c r="AS1077">
        <v>0</v>
      </c>
      <c r="AT1077" t="s">
        <v>90</v>
      </c>
      <c r="AU1077" s="1">
        <v>44209.636840277781</v>
      </c>
      <c r="AV1077">
        <v>32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14</v>
      </c>
      <c r="BC1077">
        <v>0</v>
      </c>
      <c r="BD1077">
        <v>0</v>
      </c>
      <c r="BE1077">
        <v>0</v>
      </c>
    </row>
    <row r="1078" spans="1:57" x14ac:dyDescent="0.45">
      <c r="A1078" t="s">
        <v>2784</v>
      </c>
      <c r="B1078" t="s">
        <v>79</v>
      </c>
      <c r="C1078" t="s">
        <v>2785</v>
      </c>
      <c r="D1078" t="s">
        <v>81</v>
      </c>
      <c r="E1078" s="2" t="str">
        <f>HYPERLINK("capsilon://?command=openfolder&amp;siteaddress=FAM.docvelocity-na8.net&amp;folderid=FXAE7146AF-551E-83CA-1C7F-1FD2FA28F132","FX21016501")</f>
        <v>FX21016501</v>
      </c>
      <c r="F1078" t="s">
        <v>19</v>
      </c>
      <c r="G1078" t="s">
        <v>19</v>
      </c>
      <c r="H1078" t="s">
        <v>82</v>
      </c>
      <c r="I1078" t="s">
        <v>2786</v>
      </c>
      <c r="J1078">
        <v>296</v>
      </c>
      <c r="K1078" t="s">
        <v>84</v>
      </c>
      <c r="L1078" t="s">
        <v>85</v>
      </c>
      <c r="M1078" t="s">
        <v>86</v>
      </c>
      <c r="N1078">
        <v>3</v>
      </c>
      <c r="O1078" s="1">
        <v>44209.582951388889</v>
      </c>
      <c r="P1078" s="1">
        <v>44209.642743055556</v>
      </c>
      <c r="Q1078">
        <v>1127</v>
      </c>
      <c r="R1078">
        <v>4039</v>
      </c>
      <c r="S1078" t="b">
        <v>0</v>
      </c>
      <c r="T1078" t="s">
        <v>87</v>
      </c>
      <c r="U1078" t="b">
        <v>0</v>
      </c>
      <c r="V1078" t="s">
        <v>255</v>
      </c>
      <c r="W1078" s="1">
        <v>44209.605081018519</v>
      </c>
      <c r="X1078">
        <v>1873</v>
      </c>
      <c r="Y1078">
        <v>246</v>
      </c>
      <c r="Z1078">
        <v>0</v>
      </c>
      <c r="AA1078">
        <v>246</v>
      </c>
      <c r="AB1078">
        <v>0</v>
      </c>
      <c r="AC1078">
        <v>115</v>
      </c>
      <c r="AD1078">
        <v>50</v>
      </c>
      <c r="AE1078">
        <v>0</v>
      </c>
      <c r="AF1078">
        <v>0</v>
      </c>
      <c r="AG1078">
        <v>0</v>
      </c>
      <c r="AH1078" t="s">
        <v>267</v>
      </c>
      <c r="AI1078" s="1">
        <v>44209.642118055555</v>
      </c>
      <c r="AJ1078">
        <v>2089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50</v>
      </c>
      <c r="AQ1078">
        <v>0</v>
      </c>
      <c r="AR1078">
        <v>0</v>
      </c>
      <c r="AS1078">
        <v>0</v>
      </c>
      <c r="AT1078" t="s">
        <v>90</v>
      </c>
      <c r="AU1078" s="1">
        <v>44209.642743055556</v>
      </c>
      <c r="AV1078">
        <v>50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50</v>
      </c>
      <c r="BC1078">
        <v>0</v>
      </c>
      <c r="BD1078">
        <v>0</v>
      </c>
      <c r="BE1078">
        <v>0</v>
      </c>
    </row>
    <row r="1079" spans="1:57" hidden="1" x14ac:dyDescent="0.45">
      <c r="A1079" t="s">
        <v>2787</v>
      </c>
      <c r="B1079" t="s">
        <v>79</v>
      </c>
      <c r="C1079" t="s">
        <v>2788</v>
      </c>
      <c r="D1079" t="s">
        <v>81</v>
      </c>
      <c r="E1079" s="2" t="str">
        <f>HYPERLINK("capsilon://?command=openfolder&amp;siteaddress=FAM.docvelocity-na8.net&amp;folderid=FX0338B64F-2F4B-D928-6369-15DB7B0A4708","FX2011253")</f>
        <v>FX2011253</v>
      </c>
      <c r="F1079" t="s">
        <v>19</v>
      </c>
      <c r="G1079" t="s">
        <v>19</v>
      </c>
      <c r="H1079" t="s">
        <v>82</v>
      </c>
      <c r="I1079" t="s">
        <v>2789</v>
      </c>
      <c r="J1079">
        <v>66</v>
      </c>
      <c r="K1079" t="s">
        <v>84</v>
      </c>
      <c r="L1079" t="s">
        <v>85</v>
      </c>
      <c r="M1079" t="s">
        <v>86</v>
      </c>
      <c r="N1079">
        <v>3</v>
      </c>
      <c r="O1079" s="1">
        <v>44209.584108796298</v>
      </c>
      <c r="P1079" s="1">
        <v>44209.636886574073</v>
      </c>
      <c r="Q1079">
        <v>4302</v>
      </c>
      <c r="R1079">
        <v>258</v>
      </c>
      <c r="S1079" t="b">
        <v>0</v>
      </c>
      <c r="T1079" t="s">
        <v>87</v>
      </c>
      <c r="U1079" t="b">
        <v>0</v>
      </c>
      <c r="V1079" t="s">
        <v>242</v>
      </c>
      <c r="W1079" s="1">
        <v>44209.58666666667</v>
      </c>
      <c r="X1079">
        <v>207</v>
      </c>
      <c r="Y1079">
        <v>0</v>
      </c>
      <c r="Z1079">
        <v>0</v>
      </c>
      <c r="AA1079">
        <v>0</v>
      </c>
      <c r="AB1079">
        <v>52</v>
      </c>
      <c r="AC1079">
        <v>0</v>
      </c>
      <c r="AD1079">
        <v>66</v>
      </c>
      <c r="AE1079">
        <v>0</v>
      </c>
      <c r="AF1079">
        <v>0</v>
      </c>
      <c r="AG1079">
        <v>0</v>
      </c>
      <c r="AH1079" t="s">
        <v>128</v>
      </c>
      <c r="AI1079" s="1">
        <v>44209.619386574072</v>
      </c>
      <c r="AJ1079">
        <v>48</v>
      </c>
      <c r="AK1079">
        <v>0</v>
      </c>
      <c r="AL1079">
        <v>0</v>
      </c>
      <c r="AM1079">
        <v>0</v>
      </c>
      <c r="AN1079">
        <v>52</v>
      </c>
      <c r="AO1079">
        <v>0</v>
      </c>
      <c r="AP1079">
        <v>66</v>
      </c>
      <c r="AQ1079">
        <v>0</v>
      </c>
      <c r="AR1079">
        <v>0</v>
      </c>
      <c r="AS1079">
        <v>0</v>
      </c>
      <c r="AT1079" t="s">
        <v>90</v>
      </c>
      <c r="AU1079" s="1">
        <v>44209.636886574073</v>
      </c>
      <c r="AV1079">
        <v>3</v>
      </c>
      <c r="AW1079">
        <v>0</v>
      </c>
      <c r="AX1079">
        <v>0</v>
      </c>
      <c r="AY1079">
        <v>0</v>
      </c>
      <c r="AZ1079">
        <v>52</v>
      </c>
      <c r="BA1079">
        <v>0</v>
      </c>
      <c r="BB1079">
        <v>66</v>
      </c>
      <c r="BC1079">
        <v>0</v>
      </c>
      <c r="BD1079">
        <v>0</v>
      </c>
      <c r="BE1079">
        <v>0</v>
      </c>
    </row>
    <row r="1080" spans="1:57" x14ac:dyDescent="0.45">
      <c r="A1080" t="s">
        <v>2790</v>
      </c>
      <c r="B1080" t="s">
        <v>79</v>
      </c>
      <c r="C1080" t="s">
        <v>1719</v>
      </c>
      <c r="D1080" t="s">
        <v>81</v>
      </c>
      <c r="E1080" s="2" t="str">
        <f>HYPERLINK("capsilon://?command=openfolder&amp;siteaddress=FAM.docvelocity-na8.net&amp;folderid=FXDE958D47-E5B8-5648-997F-9BF90D77A2FF","FX201228054")</f>
        <v>FX201228054</v>
      </c>
      <c r="F1080" t="s">
        <v>19</v>
      </c>
      <c r="G1080" t="s">
        <v>19</v>
      </c>
      <c r="H1080" t="s">
        <v>82</v>
      </c>
      <c r="I1080" t="s">
        <v>2791</v>
      </c>
      <c r="J1080">
        <v>26</v>
      </c>
      <c r="K1080" t="s">
        <v>84</v>
      </c>
      <c r="L1080" t="s">
        <v>85</v>
      </c>
      <c r="M1080" t="s">
        <v>86</v>
      </c>
      <c r="N1080">
        <v>3</v>
      </c>
      <c r="O1080" s="1">
        <v>44209.585231481484</v>
      </c>
      <c r="P1080" s="1">
        <v>44209.636932870373</v>
      </c>
      <c r="Q1080">
        <v>4216</v>
      </c>
      <c r="R1080">
        <v>251</v>
      </c>
      <c r="S1080" t="b">
        <v>0</v>
      </c>
      <c r="T1080" t="s">
        <v>87</v>
      </c>
      <c r="U1080" t="b">
        <v>0</v>
      </c>
      <c r="V1080" t="s">
        <v>259</v>
      </c>
      <c r="W1080" s="1">
        <v>44209.587905092594</v>
      </c>
      <c r="X1080">
        <v>160</v>
      </c>
      <c r="Y1080">
        <v>21</v>
      </c>
      <c r="Z1080">
        <v>0</v>
      </c>
      <c r="AA1080">
        <v>21</v>
      </c>
      <c r="AB1080">
        <v>0</v>
      </c>
      <c r="AC1080">
        <v>5</v>
      </c>
      <c r="AD1080">
        <v>5</v>
      </c>
      <c r="AE1080">
        <v>0</v>
      </c>
      <c r="AF1080">
        <v>0</v>
      </c>
      <c r="AG1080">
        <v>0</v>
      </c>
      <c r="AH1080" t="s">
        <v>128</v>
      </c>
      <c r="AI1080" s="1">
        <v>44209.620405092595</v>
      </c>
      <c r="AJ1080">
        <v>87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5</v>
      </c>
      <c r="AQ1080">
        <v>0</v>
      </c>
      <c r="AR1080">
        <v>0</v>
      </c>
      <c r="AS1080">
        <v>0</v>
      </c>
      <c r="AT1080" t="s">
        <v>90</v>
      </c>
      <c r="AU1080" s="1">
        <v>44209.636932870373</v>
      </c>
      <c r="AV1080">
        <v>4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5</v>
      </c>
      <c r="BC1080">
        <v>0</v>
      </c>
      <c r="BD1080">
        <v>0</v>
      </c>
      <c r="BE1080">
        <v>0</v>
      </c>
    </row>
    <row r="1081" spans="1:57" hidden="1" x14ac:dyDescent="0.45">
      <c r="A1081" t="s">
        <v>2792</v>
      </c>
      <c r="B1081" t="s">
        <v>79</v>
      </c>
      <c r="C1081" t="s">
        <v>2788</v>
      </c>
      <c r="D1081" t="s">
        <v>81</v>
      </c>
      <c r="E1081" s="2" t="str">
        <f>HYPERLINK("capsilon://?command=openfolder&amp;siteaddress=FAM.docvelocity-na8.net&amp;folderid=FX0338B64F-2F4B-D928-6369-15DB7B0A4708","FX2011253")</f>
        <v>FX2011253</v>
      </c>
      <c r="F1081" t="s">
        <v>19</v>
      </c>
      <c r="G1081" t="s">
        <v>19</v>
      </c>
      <c r="H1081" t="s">
        <v>82</v>
      </c>
      <c r="I1081" t="s">
        <v>2793</v>
      </c>
      <c r="J1081">
        <v>66</v>
      </c>
      <c r="K1081" t="s">
        <v>84</v>
      </c>
      <c r="L1081" t="s">
        <v>85</v>
      </c>
      <c r="M1081" t="s">
        <v>86</v>
      </c>
      <c r="N1081">
        <v>3</v>
      </c>
      <c r="O1081" s="1">
        <v>44209.585509259261</v>
      </c>
      <c r="P1081" s="1">
        <v>44209.636979166666</v>
      </c>
      <c r="Q1081">
        <v>4278</v>
      </c>
      <c r="R1081">
        <v>169</v>
      </c>
      <c r="S1081" t="b">
        <v>0</v>
      </c>
      <c r="T1081" t="s">
        <v>87</v>
      </c>
      <c r="U1081" t="b">
        <v>0</v>
      </c>
      <c r="V1081" t="s">
        <v>242</v>
      </c>
      <c r="W1081" s="1">
        <v>44209.587696759256</v>
      </c>
      <c r="X1081">
        <v>88</v>
      </c>
      <c r="Y1081">
        <v>0</v>
      </c>
      <c r="Z1081">
        <v>0</v>
      </c>
      <c r="AA1081">
        <v>0</v>
      </c>
      <c r="AB1081">
        <v>52</v>
      </c>
      <c r="AC1081">
        <v>0</v>
      </c>
      <c r="AD1081">
        <v>66</v>
      </c>
      <c r="AE1081">
        <v>0</v>
      </c>
      <c r="AF1081">
        <v>0</v>
      </c>
      <c r="AG1081">
        <v>0</v>
      </c>
      <c r="AH1081" t="s">
        <v>94</v>
      </c>
      <c r="AI1081" s="1">
        <v>44209.620462962965</v>
      </c>
      <c r="AJ1081">
        <v>77</v>
      </c>
      <c r="AK1081">
        <v>0</v>
      </c>
      <c r="AL1081">
        <v>0</v>
      </c>
      <c r="AM1081">
        <v>0</v>
      </c>
      <c r="AN1081">
        <v>52</v>
      </c>
      <c r="AO1081">
        <v>0</v>
      </c>
      <c r="AP1081">
        <v>66</v>
      </c>
      <c r="AQ1081">
        <v>0</v>
      </c>
      <c r="AR1081">
        <v>0</v>
      </c>
      <c r="AS1081">
        <v>0</v>
      </c>
      <c r="AT1081" t="s">
        <v>90</v>
      </c>
      <c r="AU1081" s="1">
        <v>44209.636979166666</v>
      </c>
      <c r="AV1081">
        <v>4</v>
      </c>
      <c r="AW1081">
        <v>0</v>
      </c>
      <c r="AX1081">
        <v>0</v>
      </c>
      <c r="AY1081">
        <v>0</v>
      </c>
      <c r="AZ1081">
        <v>52</v>
      </c>
      <c r="BA1081">
        <v>0</v>
      </c>
      <c r="BB1081">
        <v>66</v>
      </c>
      <c r="BC1081">
        <v>0</v>
      </c>
      <c r="BD1081">
        <v>0</v>
      </c>
      <c r="BE1081">
        <v>0</v>
      </c>
    </row>
    <row r="1082" spans="1:57" x14ac:dyDescent="0.45">
      <c r="A1082" t="s">
        <v>2794</v>
      </c>
      <c r="B1082" t="s">
        <v>79</v>
      </c>
      <c r="C1082" t="s">
        <v>1719</v>
      </c>
      <c r="D1082" t="s">
        <v>81</v>
      </c>
      <c r="E1082" s="2" t="str">
        <f>HYPERLINK("capsilon://?command=openfolder&amp;siteaddress=FAM.docvelocity-na8.net&amp;folderid=FXDE958D47-E5B8-5648-997F-9BF90D77A2FF","FX201228054")</f>
        <v>FX201228054</v>
      </c>
      <c r="F1082" t="s">
        <v>19</v>
      </c>
      <c r="G1082" t="s">
        <v>19</v>
      </c>
      <c r="H1082" t="s">
        <v>82</v>
      </c>
      <c r="I1082" t="s">
        <v>2795</v>
      </c>
      <c r="J1082">
        <v>34</v>
      </c>
      <c r="K1082" t="s">
        <v>84</v>
      </c>
      <c r="L1082" t="s">
        <v>85</v>
      </c>
      <c r="M1082" t="s">
        <v>86</v>
      </c>
      <c r="N1082">
        <v>3</v>
      </c>
      <c r="O1082" s="1">
        <v>44209.586423611108</v>
      </c>
      <c r="P1082" s="1">
        <v>44209.637326388889</v>
      </c>
      <c r="Q1082">
        <v>2409</v>
      </c>
      <c r="R1082">
        <v>1989</v>
      </c>
      <c r="S1082" t="b">
        <v>0</v>
      </c>
      <c r="T1082" t="s">
        <v>87</v>
      </c>
      <c r="U1082" t="b">
        <v>0</v>
      </c>
      <c r="V1082" t="s">
        <v>160</v>
      </c>
      <c r="W1082" s="1">
        <v>44209.608310185184</v>
      </c>
      <c r="X1082">
        <v>1810</v>
      </c>
      <c r="Y1082">
        <v>41</v>
      </c>
      <c r="Z1082">
        <v>0</v>
      </c>
      <c r="AA1082">
        <v>41</v>
      </c>
      <c r="AB1082">
        <v>0</v>
      </c>
      <c r="AC1082">
        <v>30</v>
      </c>
      <c r="AD1082">
        <v>-7</v>
      </c>
      <c r="AE1082">
        <v>0</v>
      </c>
      <c r="AF1082">
        <v>0</v>
      </c>
      <c r="AG1082">
        <v>0</v>
      </c>
      <c r="AH1082" t="s">
        <v>128</v>
      </c>
      <c r="AI1082" s="1">
        <v>44209.622141203705</v>
      </c>
      <c r="AJ1082">
        <v>149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-7</v>
      </c>
      <c r="AQ1082">
        <v>0</v>
      </c>
      <c r="AR1082">
        <v>0</v>
      </c>
      <c r="AS1082">
        <v>0</v>
      </c>
      <c r="AT1082" t="s">
        <v>90</v>
      </c>
      <c r="AU1082" s="1">
        <v>44209.637326388889</v>
      </c>
      <c r="AV1082">
        <v>30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-7</v>
      </c>
      <c r="BC1082">
        <v>0</v>
      </c>
      <c r="BD1082">
        <v>0</v>
      </c>
      <c r="BE1082">
        <v>0</v>
      </c>
    </row>
    <row r="1083" spans="1:57" x14ac:dyDescent="0.45">
      <c r="A1083" t="s">
        <v>2796</v>
      </c>
      <c r="B1083" t="s">
        <v>79</v>
      </c>
      <c r="C1083" t="s">
        <v>2797</v>
      </c>
      <c r="D1083" t="s">
        <v>81</v>
      </c>
      <c r="E1083" s="2" t="str">
        <f>HYPERLINK("capsilon://?command=openfolder&amp;siteaddress=FAM.docvelocity-na8.net&amp;folderid=FXCEEF3435-8536-C34A-C25F-9FBC17CFEC95","FX201226078")</f>
        <v>FX201226078</v>
      </c>
      <c r="F1083" t="s">
        <v>19</v>
      </c>
      <c r="G1083" t="s">
        <v>19</v>
      </c>
      <c r="H1083" t="s">
        <v>82</v>
      </c>
      <c r="I1083" t="s">
        <v>2798</v>
      </c>
      <c r="J1083">
        <v>66</v>
      </c>
      <c r="K1083" t="s">
        <v>84</v>
      </c>
      <c r="L1083" t="s">
        <v>85</v>
      </c>
      <c r="M1083" t="s">
        <v>86</v>
      </c>
      <c r="N1083">
        <v>3</v>
      </c>
      <c r="O1083" s="1">
        <v>44209.586967592593</v>
      </c>
      <c r="P1083" s="1">
        <v>44209.638090277775</v>
      </c>
      <c r="Q1083">
        <v>3711</v>
      </c>
      <c r="R1083">
        <v>706</v>
      </c>
      <c r="S1083" t="b">
        <v>0</v>
      </c>
      <c r="T1083" t="s">
        <v>87</v>
      </c>
      <c r="U1083" t="b">
        <v>0</v>
      </c>
      <c r="V1083" t="s">
        <v>242</v>
      </c>
      <c r="W1083" s="1">
        <v>44209.592060185183</v>
      </c>
      <c r="X1083">
        <v>376</v>
      </c>
      <c r="Y1083">
        <v>52</v>
      </c>
      <c r="Z1083">
        <v>0</v>
      </c>
      <c r="AA1083">
        <v>52</v>
      </c>
      <c r="AB1083">
        <v>0</v>
      </c>
      <c r="AC1083">
        <v>22</v>
      </c>
      <c r="AD1083">
        <v>14</v>
      </c>
      <c r="AE1083">
        <v>0</v>
      </c>
      <c r="AF1083">
        <v>0</v>
      </c>
      <c r="AG1083">
        <v>0</v>
      </c>
      <c r="AH1083" t="s">
        <v>94</v>
      </c>
      <c r="AI1083" s="1">
        <v>44209.623541666668</v>
      </c>
      <c r="AJ1083">
        <v>265</v>
      </c>
      <c r="AK1083">
        <v>1</v>
      </c>
      <c r="AL1083">
        <v>0</v>
      </c>
      <c r="AM1083">
        <v>1</v>
      </c>
      <c r="AN1083">
        <v>0</v>
      </c>
      <c r="AO1083">
        <v>1</v>
      </c>
      <c r="AP1083">
        <v>13</v>
      </c>
      <c r="AQ1083">
        <v>0</v>
      </c>
      <c r="AR1083">
        <v>0</v>
      </c>
      <c r="AS1083">
        <v>0</v>
      </c>
      <c r="AT1083" t="s">
        <v>90</v>
      </c>
      <c r="AU1083" s="1">
        <v>44209.638090277775</v>
      </c>
      <c r="AV1083">
        <v>65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13</v>
      </c>
      <c r="BC1083">
        <v>0</v>
      </c>
      <c r="BD1083">
        <v>0</v>
      </c>
      <c r="BE1083">
        <v>0</v>
      </c>
    </row>
    <row r="1084" spans="1:57" x14ac:dyDescent="0.45">
      <c r="A1084" t="s">
        <v>2799</v>
      </c>
      <c r="B1084" t="s">
        <v>79</v>
      </c>
      <c r="C1084" t="s">
        <v>2800</v>
      </c>
      <c r="D1084" t="s">
        <v>81</v>
      </c>
      <c r="E1084" s="2" t="str">
        <f>HYPERLINK("capsilon://?command=openfolder&amp;siteaddress=FAM.docvelocity-na8.net&amp;folderid=FXE4708F6F-2EC4-AC47-3475-FE458A762C62","FX201018495")</f>
        <v>FX201018495</v>
      </c>
      <c r="F1084" t="s">
        <v>19</v>
      </c>
      <c r="G1084" t="s">
        <v>19</v>
      </c>
      <c r="H1084" t="s">
        <v>82</v>
      </c>
      <c r="I1084" t="s">
        <v>2801</v>
      </c>
      <c r="J1084">
        <v>82</v>
      </c>
      <c r="K1084" t="s">
        <v>84</v>
      </c>
      <c r="L1084" t="s">
        <v>85</v>
      </c>
      <c r="M1084" t="s">
        <v>86</v>
      </c>
      <c r="N1084">
        <v>3</v>
      </c>
      <c r="O1084" s="1">
        <v>44209.587604166663</v>
      </c>
      <c r="P1084" s="1">
        <v>44209.639074074075</v>
      </c>
      <c r="Q1084">
        <v>3903</v>
      </c>
      <c r="R1084">
        <v>544</v>
      </c>
      <c r="S1084" t="b">
        <v>0</v>
      </c>
      <c r="T1084" t="s">
        <v>87</v>
      </c>
      <c r="U1084" t="b">
        <v>0</v>
      </c>
      <c r="V1084" t="s">
        <v>259</v>
      </c>
      <c r="W1084" s="1">
        <v>44209.59138888889</v>
      </c>
      <c r="X1084">
        <v>300</v>
      </c>
      <c r="Y1084">
        <v>57</v>
      </c>
      <c r="Z1084">
        <v>0</v>
      </c>
      <c r="AA1084">
        <v>57</v>
      </c>
      <c r="AB1084">
        <v>0</v>
      </c>
      <c r="AC1084">
        <v>25</v>
      </c>
      <c r="AD1084">
        <v>25</v>
      </c>
      <c r="AE1084">
        <v>0</v>
      </c>
      <c r="AF1084">
        <v>0</v>
      </c>
      <c r="AG1084">
        <v>0</v>
      </c>
      <c r="AH1084" t="s">
        <v>128</v>
      </c>
      <c r="AI1084" s="1">
        <v>44209.623993055553</v>
      </c>
      <c r="AJ1084">
        <v>159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25</v>
      </c>
      <c r="AQ1084">
        <v>0</v>
      </c>
      <c r="AR1084">
        <v>0</v>
      </c>
      <c r="AS1084">
        <v>0</v>
      </c>
      <c r="AT1084" t="s">
        <v>90</v>
      </c>
      <c r="AU1084" s="1">
        <v>44209.639074074075</v>
      </c>
      <c r="AV1084">
        <v>85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25</v>
      </c>
      <c r="BC1084">
        <v>0</v>
      </c>
      <c r="BD1084">
        <v>0</v>
      </c>
      <c r="BE1084">
        <v>0</v>
      </c>
    </row>
    <row r="1085" spans="1:57" x14ac:dyDescent="0.45">
      <c r="A1085" t="s">
        <v>2802</v>
      </c>
      <c r="B1085" t="s">
        <v>79</v>
      </c>
      <c r="C1085" t="s">
        <v>2803</v>
      </c>
      <c r="D1085" t="s">
        <v>81</v>
      </c>
      <c r="E1085" s="2" t="str">
        <f>HYPERLINK("capsilon://?command=openfolder&amp;siteaddress=FAM.docvelocity-na8.net&amp;folderid=FX3A539A71-7F2A-6CCD-B438-FF32544843B2","FX20121730")</f>
        <v>FX20121730</v>
      </c>
      <c r="F1085" t="s">
        <v>19</v>
      </c>
      <c r="G1085" t="s">
        <v>19</v>
      </c>
      <c r="H1085" t="s">
        <v>82</v>
      </c>
      <c r="I1085" t="s">
        <v>2804</v>
      </c>
      <c r="J1085">
        <v>70</v>
      </c>
      <c r="K1085" t="s">
        <v>84</v>
      </c>
      <c r="L1085" t="s">
        <v>85</v>
      </c>
      <c r="M1085" t="s">
        <v>86</v>
      </c>
      <c r="N1085">
        <v>3</v>
      </c>
      <c r="O1085" s="1">
        <v>44209.589421296296</v>
      </c>
      <c r="P1085" s="1">
        <v>44209.639432870368</v>
      </c>
      <c r="Q1085">
        <v>1976</v>
      </c>
      <c r="R1085">
        <v>2345</v>
      </c>
      <c r="S1085" t="b">
        <v>0</v>
      </c>
      <c r="T1085" t="s">
        <v>87</v>
      </c>
      <c r="U1085" t="b">
        <v>0</v>
      </c>
      <c r="V1085" t="s">
        <v>179</v>
      </c>
      <c r="W1085" s="1">
        <v>44209.611064814817</v>
      </c>
      <c r="X1085">
        <v>1870</v>
      </c>
      <c r="Y1085">
        <v>92</v>
      </c>
      <c r="Z1085">
        <v>0</v>
      </c>
      <c r="AA1085">
        <v>92</v>
      </c>
      <c r="AB1085">
        <v>0</v>
      </c>
      <c r="AC1085">
        <v>70</v>
      </c>
      <c r="AD1085">
        <v>-22</v>
      </c>
      <c r="AE1085">
        <v>0</v>
      </c>
      <c r="AF1085">
        <v>0</v>
      </c>
      <c r="AG1085">
        <v>0</v>
      </c>
      <c r="AH1085" t="s">
        <v>94</v>
      </c>
      <c r="AI1085" s="1">
        <v>44209.628703703704</v>
      </c>
      <c r="AJ1085">
        <v>445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-22</v>
      </c>
      <c r="AQ1085">
        <v>0</v>
      </c>
      <c r="AR1085">
        <v>0</v>
      </c>
      <c r="AS1085">
        <v>0</v>
      </c>
      <c r="AT1085" t="s">
        <v>90</v>
      </c>
      <c r="AU1085" s="1">
        <v>44209.639432870368</v>
      </c>
      <c r="AV1085">
        <v>30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-22</v>
      </c>
      <c r="BC1085">
        <v>0</v>
      </c>
      <c r="BD1085">
        <v>0</v>
      </c>
      <c r="BE1085">
        <v>0</v>
      </c>
    </row>
    <row r="1086" spans="1:57" x14ac:dyDescent="0.45">
      <c r="A1086" t="s">
        <v>2805</v>
      </c>
      <c r="B1086" t="s">
        <v>79</v>
      </c>
      <c r="C1086" t="s">
        <v>2806</v>
      </c>
      <c r="D1086" t="s">
        <v>81</v>
      </c>
      <c r="E1086" s="2" t="str">
        <f>HYPERLINK("capsilon://?command=openfolder&amp;siteaddress=FAM.docvelocity-na8.net&amp;folderid=FX7BA4328A-E834-647F-9A8F-CC70CBC8D26D","FX21016851")</f>
        <v>FX21016851</v>
      </c>
      <c r="F1086" t="s">
        <v>19</v>
      </c>
      <c r="G1086" t="s">
        <v>19</v>
      </c>
      <c r="H1086" t="s">
        <v>82</v>
      </c>
      <c r="I1086" t="s">
        <v>2807</v>
      </c>
      <c r="J1086">
        <v>239</v>
      </c>
      <c r="K1086" t="s">
        <v>84</v>
      </c>
      <c r="L1086" t="s">
        <v>85</v>
      </c>
      <c r="M1086" t="s">
        <v>86</v>
      </c>
      <c r="N1086">
        <v>3</v>
      </c>
      <c r="O1086" s="1">
        <v>44209.590243055558</v>
      </c>
      <c r="P1086" s="1">
        <v>44209.640648148146</v>
      </c>
      <c r="Q1086">
        <v>1124</v>
      </c>
      <c r="R1086">
        <v>3231</v>
      </c>
      <c r="S1086" t="b">
        <v>0</v>
      </c>
      <c r="T1086" t="s">
        <v>87</v>
      </c>
      <c r="U1086" t="b">
        <v>0</v>
      </c>
      <c r="V1086" t="s">
        <v>142</v>
      </c>
      <c r="W1086" s="1">
        <v>44209.614641203705</v>
      </c>
      <c r="X1086">
        <v>2105</v>
      </c>
      <c r="Y1086">
        <v>279</v>
      </c>
      <c r="Z1086">
        <v>0</v>
      </c>
      <c r="AA1086">
        <v>279</v>
      </c>
      <c r="AB1086">
        <v>0</v>
      </c>
      <c r="AC1086">
        <v>168</v>
      </c>
      <c r="AD1086">
        <v>-40</v>
      </c>
      <c r="AE1086">
        <v>0</v>
      </c>
      <c r="AF1086">
        <v>0</v>
      </c>
      <c r="AG1086">
        <v>0</v>
      </c>
      <c r="AH1086" t="s">
        <v>128</v>
      </c>
      <c r="AI1086" s="1">
        <v>44209.635833333334</v>
      </c>
      <c r="AJ1086">
        <v>1022</v>
      </c>
      <c r="AK1086">
        <v>21</v>
      </c>
      <c r="AL1086">
        <v>0</v>
      </c>
      <c r="AM1086">
        <v>21</v>
      </c>
      <c r="AN1086">
        <v>0</v>
      </c>
      <c r="AO1086">
        <v>21</v>
      </c>
      <c r="AP1086">
        <v>-61</v>
      </c>
      <c r="AQ1086">
        <v>0</v>
      </c>
      <c r="AR1086">
        <v>0</v>
      </c>
      <c r="AS1086">
        <v>0</v>
      </c>
      <c r="AT1086" t="s">
        <v>90</v>
      </c>
      <c r="AU1086" s="1">
        <v>44209.640648148146</v>
      </c>
      <c r="AV1086">
        <v>104</v>
      </c>
      <c r="AW1086">
        <v>2</v>
      </c>
      <c r="AX1086">
        <v>0</v>
      </c>
      <c r="AY1086">
        <v>2</v>
      </c>
      <c r="AZ1086">
        <v>0</v>
      </c>
      <c r="BA1086">
        <v>2</v>
      </c>
      <c r="BB1086">
        <v>-63</v>
      </c>
      <c r="BC1086">
        <v>0</v>
      </c>
      <c r="BD1086">
        <v>0</v>
      </c>
      <c r="BE1086">
        <v>0</v>
      </c>
    </row>
    <row r="1087" spans="1:57" x14ac:dyDescent="0.45">
      <c r="A1087" t="s">
        <v>2808</v>
      </c>
      <c r="B1087" t="s">
        <v>79</v>
      </c>
      <c r="C1087" t="s">
        <v>2809</v>
      </c>
      <c r="D1087" t="s">
        <v>81</v>
      </c>
      <c r="E1087" s="2" t="str">
        <f>HYPERLINK("capsilon://?command=openfolder&amp;siteaddress=FAM.docvelocity-na8.net&amp;folderid=FX49AC262F-A3E9-1154-923A-E472D0908358","FX201228935")</f>
        <v>FX201228935</v>
      </c>
      <c r="F1087" t="s">
        <v>19</v>
      </c>
      <c r="G1087" t="s">
        <v>19</v>
      </c>
      <c r="H1087" t="s">
        <v>82</v>
      </c>
      <c r="I1087" t="s">
        <v>2810</v>
      </c>
      <c r="J1087">
        <v>238</v>
      </c>
      <c r="K1087" t="s">
        <v>84</v>
      </c>
      <c r="L1087" t="s">
        <v>85</v>
      </c>
      <c r="M1087" t="s">
        <v>86</v>
      </c>
      <c r="N1087">
        <v>3</v>
      </c>
      <c r="O1087" s="1">
        <v>44200.660162037035</v>
      </c>
      <c r="P1087" s="1">
        <v>44201.392222222225</v>
      </c>
      <c r="Q1087">
        <v>60960</v>
      </c>
      <c r="R1087">
        <v>2290</v>
      </c>
      <c r="S1087" t="b">
        <v>0</v>
      </c>
      <c r="T1087" t="s">
        <v>87</v>
      </c>
      <c r="U1087" t="b">
        <v>0</v>
      </c>
      <c r="V1087" t="s">
        <v>736</v>
      </c>
      <c r="W1087" s="1">
        <v>44200.788969907408</v>
      </c>
      <c r="X1087">
        <v>1757</v>
      </c>
      <c r="Y1087">
        <v>154</v>
      </c>
      <c r="Z1087">
        <v>0</v>
      </c>
      <c r="AA1087">
        <v>154</v>
      </c>
      <c r="AB1087">
        <v>37</v>
      </c>
      <c r="AC1087">
        <v>52</v>
      </c>
      <c r="AD1087">
        <v>84</v>
      </c>
      <c r="AE1087">
        <v>0</v>
      </c>
      <c r="AF1087">
        <v>0</v>
      </c>
      <c r="AG1087">
        <v>0</v>
      </c>
      <c r="AH1087" t="s">
        <v>267</v>
      </c>
      <c r="AI1087" s="1">
        <v>44200.821238425924</v>
      </c>
      <c r="AJ1087">
        <v>409</v>
      </c>
      <c r="AK1087">
        <v>0</v>
      </c>
      <c r="AL1087">
        <v>0</v>
      </c>
      <c r="AM1087">
        <v>0</v>
      </c>
      <c r="AN1087">
        <v>37</v>
      </c>
      <c r="AO1087">
        <v>0</v>
      </c>
      <c r="AP1087">
        <v>84</v>
      </c>
      <c r="AQ1087">
        <v>0</v>
      </c>
      <c r="AR1087">
        <v>0</v>
      </c>
      <c r="AS1087">
        <v>0</v>
      </c>
      <c r="AT1087" t="s">
        <v>90</v>
      </c>
      <c r="AU1087" s="1">
        <v>44201.392222222225</v>
      </c>
      <c r="AV1087">
        <v>124</v>
      </c>
      <c r="AW1087">
        <v>0</v>
      </c>
      <c r="AX1087">
        <v>0</v>
      </c>
      <c r="AY1087">
        <v>0</v>
      </c>
      <c r="AZ1087">
        <v>37</v>
      </c>
      <c r="BA1087">
        <v>0</v>
      </c>
      <c r="BB1087">
        <v>84</v>
      </c>
      <c r="BC1087">
        <v>0</v>
      </c>
      <c r="BD1087">
        <v>0</v>
      </c>
      <c r="BE1087">
        <v>0</v>
      </c>
    </row>
    <row r="1088" spans="1:57" x14ac:dyDescent="0.45">
      <c r="A1088" t="s">
        <v>2811</v>
      </c>
      <c r="B1088" t="s">
        <v>79</v>
      </c>
      <c r="C1088" t="s">
        <v>2744</v>
      </c>
      <c r="D1088" t="s">
        <v>81</v>
      </c>
      <c r="E1088" s="2" t="str">
        <f>HYPERLINK("capsilon://?command=openfolder&amp;siteaddress=FAM.docvelocity-na8.net&amp;folderid=FXF693C463-4173-8D9A-05D3-17DC11917528","FX20123126")</f>
        <v>FX20123126</v>
      </c>
      <c r="F1088" t="s">
        <v>19</v>
      </c>
      <c r="G1088" t="s">
        <v>19</v>
      </c>
      <c r="H1088" t="s">
        <v>82</v>
      </c>
      <c r="I1088" t="s">
        <v>2812</v>
      </c>
      <c r="J1088">
        <v>46</v>
      </c>
      <c r="K1088" t="s">
        <v>84</v>
      </c>
      <c r="L1088" t="s">
        <v>85</v>
      </c>
      <c r="M1088" t="s">
        <v>86</v>
      </c>
      <c r="N1088">
        <v>3</v>
      </c>
      <c r="O1088" s="1">
        <v>44209.598715277774</v>
      </c>
      <c r="P1088" s="1">
        <v>44209.64099537037</v>
      </c>
      <c r="Q1088">
        <v>2755</v>
      </c>
      <c r="R1088">
        <v>898</v>
      </c>
      <c r="S1088" t="b">
        <v>0</v>
      </c>
      <c r="T1088" t="s">
        <v>87</v>
      </c>
      <c r="U1088" t="b">
        <v>0</v>
      </c>
      <c r="V1088" t="s">
        <v>171</v>
      </c>
      <c r="W1088" s="1">
        <v>44209.606307870374</v>
      </c>
      <c r="X1088">
        <v>655</v>
      </c>
      <c r="Y1088">
        <v>42</v>
      </c>
      <c r="Z1088">
        <v>0</v>
      </c>
      <c r="AA1088">
        <v>42</v>
      </c>
      <c r="AB1088">
        <v>0</v>
      </c>
      <c r="AC1088">
        <v>19</v>
      </c>
      <c r="AD1088">
        <v>4</v>
      </c>
      <c r="AE1088">
        <v>0</v>
      </c>
      <c r="AF1088">
        <v>0</v>
      </c>
      <c r="AG1088">
        <v>0</v>
      </c>
      <c r="AH1088" t="s">
        <v>94</v>
      </c>
      <c r="AI1088" s="1">
        <v>44209.631168981483</v>
      </c>
      <c r="AJ1088">
        <v>213</v>
      </c>
      <c r="AK1088">
        <v>5</v>
      </c>
      <c r="AL1088">
        <v>0</v>
      </c>
      <c r="AM1088">
        <v>5</v>
      </c>
      <c r="AN1088">
        <v>0</v>
      </c>
      <c r="AO1088">
        <v>4</v>
      </c>
      <c r="AP1088">
        <v>-1</v>
      </c>
      <c r="AQ1088">
        <v>0</v>
      </c>
      <c r="AR1088">
        <v>0</v>
      </c>
      <c r="AS1088">
        <v>0</v>
      </c>
      <c r="AT1088" t="s">
        <v>90</v>
      </c>
      <c r="AU1088" s="1">
        <v>44209.64099537037</v>
      </c>
      <c r="AV1088">
        <v>30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-1</v>
      </c>
      <c r="BC1088">
        <v>0</v>
      </c>
      <c r="BD1088">
        <v>0</v>
      </c>
      <c r="BE1088">
        <v>0</v>
      </c>
    </row>
    <row r="1089" spans="1:57" x14ac:dyDescent="0.45">
      <c r="A1089" t="s">
        <v>2813</v>
      </c>
      <c r="B1089" t="s">
        <v>79</v>
      </c>
      <c r="C1089" t="s">
        <v>2744</v>
      </c>
      <c r="D1089" t="s">
        <v>81</v>
      </c>
      <c r="E1089" s="2" t="str">
        <f>HYPERLINK("capsilon://?command=openfolder&amp;siteaddress=FAM.docvelocity-na8.net&amp;folderid=FXF693C463-4173-8D9A-05D3-17DC11917528","FX20123126")</f>
        <v>FX20123126</v>
      </c>
      <c r="F1089" t="s">
        <v>19</v>
      </c>
      <c r="G1089" t="s">
        <v>19</v>
      </c>
      <c r="H1089" t="s">
        <v>82</v>
      </c>
      <c r="I1089" t="s">
        <v>2814</v>
      </c>
      <c r="J1089">
        <v>46</v>
      </c>
      <c r="K1089" t="s">
        <v>84</v>
      </c>
      <c r="L1089" t="s">
        <v>85</v>
      </c>
      <c r="M1089" t="s">
        <v>86</v>
      </c>
      <c r="N1089">
        <v>3</v>
      </c>
      <c r="O1089" s="1">
        <v>44209.601643518516</v>
      </c>
      <c r="P1089" s="1">
        <v>44209.641064814816</v>
      </c>
      <c r="Q1089">
        <v>2086</v>
      </c>
      <c r="R1089">
        <v>1320</v>
      </c>
      <c r="S1089" t="b">
        <v>0</v>
      </c>
      <c r="T1089" t="s">
        <v>87</v>
      </c>
      <c r="U1089" t="b">
        <v>0</v>
      </c>
      <c r="V1089" t="s">
        <v>168</v>
      </c>
      <c r="W1089" s="1">
        <v>44209.61314814815</v>
      </c>
      <c r="X1089">
        <v>992</v>
      </c>
      <c r="Y1089">
        <v>39</v>
      </c>
      <c r="Z1089">
        <v>0</v>
      </c>
      <c r="AA1089">
        <v>39</v>
      </c>
      <c r="AB1089">
        <v>0</v>
      </c>
      <c r="AC1089">
        <v>17</v>
      </c>
      <c r="AD1089">
        <v>7</v>
      </c>
      <c r="AE1089">
        <v>0</v>
      </c>
      <c r="AF1089">
        <v>0</v>
      </c>
      <c r="AG1089">
        <v>0</v>
      </c>
      <c r="AH1089" t="s">
        <v>94</v>
      </c>
      <c r="AI1089" s="1">
        <v>44209.634918981479</v>
      </c>
      <c r="AJ1089">
        <v>323</v>
      </c>
      <c r="AK1089">
        <v>2</v>
      </c>
      <c r="AL1089">
        <v>0</v>
      </c>
      <c r="AM1089">
        <v>2</v>
      </c>
      <c r="AN1089">
        <v>0</v>
      </c>
      <c r="AO1089">
        <v>1</v>
      </c>
      <c r="AP1089">
        <v>5</v>
      </c>
      <c r="AQ1089">
        <v>0</v>
      </c>
      <c r="AR1089">
        <v>0</v>
      </c>
      <c r="AS1089">
        <v>0</v>
      </c>
      <c r="AT1089" t="s">
        <v>90</v>
      </c>
      <c r="AU1089" s="1">
        <v>44209.641064814816</v>
      </c>
      <c r="AV1089">
        <v>5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5</v>
      </c>
      <c r="BC1089">
        <v>0</v>
      </c>
      <c r="BD1089">
        <v>0</v>
      </c>
      <c r="BE1089">
        <v>0</v>
      </c>
    </row>
    <row r="1090" spans="1:57" hidden="1" x14ac:dyDescent="0.45">
      <c r="A1090" t="s">
        <v>2815</v>
      </c>
      <c r="B1090" t="s">
        <v>79</v>
      </c>
      <c r="C1090" t="s">
        <v>2816</v>
      </c>
      <c r="D1090" t="s">
        <v>81</v>
      </c>
      <c r="E1090" s="2" t="str">
        <f>HYPERLINK("capsilon://?command=openfolder&amp;siteaddress=FAM.docvelocity-na8.net&amp;folderid=FX672373A6-312E-34C7-66AE-B28921FFE6D9","FX20128557")</f>
        <v>FX20128557</v>
      </c>
      <c r="F1090" t="s">
        <v>19</v>
      </c>
      <c r="G1090" t="s">
        <v>19</v>
      </c>
      <c r="H1090" t="s">
        <v>82</v>
      </c>
      <c r="I1090" t="s">
        <v>2817</v>
      </c>
      <c r="J1090">
        <v>66</v>
      </c>
      <c r="K1090" t="s">
        <v>84</v>
      </c>
      <c r="L1090" t="s">
        <v>85</v>
      </c>
      <c r="M1090" t="s">
        <v>86</v>
      </c>
      <c r="N1090">
        <v>1</v>
      </c>
      <c r="O1090" s="1">
        <v>44209.604907407411</v>
      </c>
      <c r="P1090" s="1">
        <v>44209.605914351851</v>
      </c>
      <c r="Q1090">
        <v>16</v>
      </c>
      <c r="R1090">
        <v>71</v>
      </c>
      <c r="S1090" t="b">
        <v>0</v>
      </c>
      <c r="T1090" t="s">
        <v>87</v>
      </c>
      <c r="U1090" t="b">
        <v>0</v>
      </c>
      <c r="V1090" t="s">
        <v>255</v>
      </c>
      <c r="W1090" s="1">
        <v>44209.605914351851</v>
      </c>
      <c r="X1090">
        <v>71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66</v>
      </c>
      <c r="AE1090">
        <v>52</v>
      </c>
      <c r="AF1090">
        <v>0</v>
      </c>
      <c r="AG1090">
        <v>1</v>
      </c>
      <c r="AH1090" t="s">
        <v>87</v>
      </c>
      <c r="AI1090" t="s">
        <v>87</v>
      </c>
      <c r="AJ1090" t="s">
        <v>87</v>
      </c>
      <c r="AK1090" t="s">
        <v>87</v>
      </c>
      <c r="AL1090" t="s">
        <v>87</v>
      </c>
      <c r="AM1090" t="s">
        <v>87</v>
      </c>
      <c r="AN1090" t="s">
        <v>87</v>
      </c>
      <c r="AO1090" t="s">
        <v>87</v>
      </c>
      <c r="AP1090" t="s">
        <v>87</v>
      </c>
      <c r="AQ1090" t="s">
        <v>87</v>
      </c>
      <c r="AR1090" t="s">
        <v>87</v>
      </c>
      <c r="AS1090" t="s">
        <v>87</v>
      </c>
      <c r="AT1090" t="s">
        <v>87</v>
      </c>
      <c r="AU1090" t="s">
        <v>87</v>
      </c>
      <c r="AV1090" t="s">
        <v>87</v>
      </c>
      <c r="AW1090" t="s">
        <v>87</v>
      </c>
      <c r="AX1090" t="s">
        <v>87</v>
      </c>
      <c r="AY1090" t="s">
        <v>87</v>
      </c>
      <c r="AZ1090" t="s">
        <v>87</v>
      </c>
      <c r="BA1090" t="s">
        <v>87</v>
      </c>
      <c r="BB1090" t="s">
        <v>87</v>
      </c>
      <c r="BC1090" t="s">
        <v>87</v>
      </c>
      <c r="BD1090" t="s">
        <v>87</v>
      </c>
      <c r="BE1090" t="s">
        <v>87</v>
      </c>
    </row>
    <row r="1091" spans="1:57" hidden="1" x14ac:dyDescent="0.45">
      <c r="A1091" t="s">
        <v>2818</v>
      </c>
      <c r="B1091" t="s">
        <v>79</v>
      </c>
      <c r="C1091" t="s">
        <v>2819</v>
      </c>
      <c r="D1091" t="s">
        <v>81</v>
      </c>
      <c r="E1091" s="2" t="str">
        <f>HYPERLINK("capsilon://?command=openfolder&amp;siteaddress=FAM.docvelocity-na8.net&amp;folderid=FXE7988302-073E-4343-0276-B169DB5CA72B","FX200112223")</f>
        <v>FX200112223</v>
      </c>
      <c r="F1091" t="s">
        <v>19</v>
      </c>
      <c r="G1091" t="s">
        <v>19</v>
      </c>
      <c r="H1091" t="s">
        <v>82</v>
      </c>
      <c r="I1091" t="s">
        <v>2820</v>
      </c>
      <c r="J1091">
        <v>493</v>
      </c>
      <c r="K1091" t="s">
        <v>84</v>
      </c>
      <c r="L1091" t="s">
        <v>85</v>
      </c>
      <c r="M1091" t="s">
        <v>81</v>
      </c>
      <c r="N1091">
        <v>2</v>
      </c>
      <c r="O1091" s="1">
        <v>44209.606493055559</v>
      </c>
      <c r="P1091" s="1">
        <v>44209.610185185185</v>
      </c>
      <c r="Q1091">
        <v>256</v>
      </c>
      <c r="R1091">
        <v>63</v>
      </c>
      <c r="S1091" t="b">
        <v>0</v>
      </c>
      <c r="T1091" t="s">
        <v>1797</v>
      </c>
      <c r="U1091" t="b">
        <v>0</v>
      </c>
      <c r="V1091" t="s">
        <v>255</v>
      </c>
      <c r="W1091" s="1">
        <v>44209.607372685183</v>
      </c>
      <c r="X1091">
        <v>58</v>
      </c>
      <c r="Y1091">
        <v>0</v>
      </c>
      <c r="Z1091">
        <v>0</v>
      </c>
      <c r="AA1091">
        <v>0</v>
      </c>
      <c r="AB1091">
        <v>98</v>
      </c>
      <c r="AC1091">
        <v>0</v>
      </c>
      <c r="AD1091">
        <v>493</v>
      </c>
      <c r="AE1091">
        <v>0</v>
      </c>
      <c r="AF1091">
        <v>0</v>
      </c>
      <c r="AG1091">
        <v>0</v>
      </c>
      <c r="AH1091" t="s">
        <v>1797</v>
      </c>
      <c r="AI1091" s="1">
        <v>44209.610185185185</v>
      </c>
      <c r="AJ1091">
        <v>5</v>
      </c>
      <c r="AK1091">
        <v>0</v>
      </c>
      <c r="AL1091">
        <v>0</v>
      </c>
      <c r="AM1091">
        <v>0</v>
      </c>
      <c r="AN1091">
        <v>98</v>
      </c>
      <c r="AO1091">
        <v>0</v>
      </c>
      <c r="AP1091">
        <v>493</v>
      </c>
      <c r="AQ1091">
        <v>0</v>
      </c>
      <c r="AR1091">
        <v>0</v>
      </c>
      <c r="AS1091">
        <v>0</v>
      </c>
      <c r="AT1091" t="s">
        <v>87</v>
      </c>
      <c r="AU1091" t="s">
        <v>87</v>
      </c>
      <c r="AV1091" t="s">
        <v>87</v>
      </c>
      <c r="AW1091" t="s">
        <v>87</v>
      </c>
      <c r="AX1091" t="s">
        <v>87</v>
      </c>
      <c r="AY1091" t="s">
        <v>87</v>
      </c>
      <c r="AZ1091" t="s">
        <v>87</v>
      </c>
      <c r="BA1091" t="s">
        <v>87</v>
      </c>
      <c r="BB1091" t="s">
        <v>87</v>
      </c>
      <c r="BC1091" t="s">
        <v>87</v>
      </c>
      <c r="BD1091" t="s">
        <v>87</v>
      </c>
      <c r="BE1091" t="s">
        <v>87</v>
      </c>
    </row>
    <row r="1092" spans="1:57" x14ac:dyDescent="0.45">
      <c r="A1092" t="s">
        <v>2821</v>
      </c>
      <c r="B1092" t="s">
        <v>79</v>
      </c>
      <c r="C1092" t="s">
        <v>2822</v>
      </c>
      <c r="D1092" t="s">
        <v>81</v>
      </c>
      <c r="E1092" s="2" t="str">
        <f>HYPERLINK("capsilon://?command=openfolder&amp;siteaddress=FAM.docvelocity-na8.net&amp;folderid=FX1FEBA49D-523B-CF7D-6837-5E2FA79C5EE8","FX20127860")</f>
        <v>FX20127860</v>
      </c>
      <c r="F1092" t="s">
        <v>19</v>
      </c>
      <c r="G1092" t="s">
        <v>19</v>
      </c>
      <c r="H1092" t="s">
        <v>82</v>
      </c>
      <c r="I1092" t="s">
        <v>2823</v>
      </c>
      <c r="J1092">
        <v>87</v>
      </c>
      <c r="K1092" t="s">
        <v>84</v>
      </c>
      <c r="L1092" t="s">
        <v>85</v>
      </c>
      <c r="M1092" t="s">
        <v>86</v>
      </c>
      <c r="N1092">
        <v>3</v>
      </c>
      <c r="O1092" s="1">
        <v>44209.606666666667</v>
      </c>
      <c r="P1092" s="1">
        <v>44209.642106481479</v>
      </c>
      <c r="Q1092">
        <v>2611</v>
      </c>
      <c r="R1092">
        <v>451</v>
      </c>
      <c r="S1092" t="b">
        <v>0</v>
      </c>
      <c r="T1092" t="s">
        <v>87</v>
      </c>
      <c r="U1092" t="b">
        <v>0</v>
      </c>
      <c r="V1092" t="s">
        <v>242</v>
      </c>
      <c r="W1092" s="1">
        <v>44209.608912037038</v>
      </c>
      <c r="X1092">
        <v>183</v>
      </c>
      <c r="Y1092">
        <v>51</v>
      </c>
      <c r="Z1092">
        <v>0</v>
      </c>
      <c r="AA1092">
        <v>51</v>
      </c>
      <c r="AB1092">
        <v>0</v>
      </c>
      <c r="AC1092">
        <v>8</v>
      </c>
      <c r="AD1092">
        <v>36</v>
      </c>
      <c r="AE1092">
        <v>0</v>
      </c>
      <c r="AF1092">
        <v>0</v>
      </c>
      <c r="AG1092">
        <v>0</v>
      </c>
      <c r="AH1092" t="s">
        <v>94</v>
      </c>
      <c r="AI1092" s="1">
        <v>44209.637002314812</v>
      </c>
      <c r="AJ1092">
        <v>179</v>
      </c>
      <c r="AK1092">
        <v>0</v>
      </c>
      <c r="AL1092">
        <v>0</v>
      </c>
      <c r="AM1092">
        <v>0</v>
      </c>
      <c r="AN1092">
        <v>0</v>
      </c>
      <c r="AO1092">
        <v>3</v>
      </c>
      <c r="AP1092">
        <v>36</v>
      </c>
      <c r="AQ1092">
        <v>0</v>
      </c>
      <c r="AR1092">
        <v>0</v>
      </c>
      <c r="AS1092">
        <v>0</v>
      </c>
      <c r="AT1092" t="s">
        <v>90</v>
      </c>
      <c r="AU1092" s="1">
        <v>44209.642106481479</v>
      </c>
      <c r="AV1092">
        <v>89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36</v>
      </c>
      <c r="BC1092">
        <v>0</v>
      </c>
      <c r="BD1092">
        <v>0</v>
      </c>
      <c r="BE1092">
        <v>0</v>
      </c>
    </row>
    <row r="1093" spans="1:57" x14ac:dyDescent="0.45">
      <c r="A1093" t="s">
        <v>2824</v>
      </c>
      <c r="B1093" t="s">
        <v>79</v>
      </c>
      <c r="C1093" t="s">
        <v>2822</v>
      </c>
      <c r="D1093" t="s">
        <v>81</v>
      </c>
      <c r="E1093" s="2" t="str">
        <f>HYPERLINK("capsilon://?command=openfolder&amp;siteaddress=FAM.docvelocity-na8.net&amp;folderid=FX1FEBA49D-523B-CF7D-6837-5E2FA79C5EE8","FX20127860")</f>
        <v>FX20127860</v>
      </c>
      <c r="F1093" t="s">
        <v>19</v>
      </c>
      <c r="G1093" t="s">
        <v>19</v>
      </c>
      <c r="H1093" t="s">
        <v>82</v>
      </c>
      <c r="I1093" t="s">
        <v>2825</v>
      </c>
      <c r="J1093">
        <v>107</v>
      </c>
      <c r="K1093" t="s">
        <v>84</v>
      </c>
      <c r="L1093" t="s">
        <v>85</v>
      </c>
      <c r="M1093" t="s">
        <v>86</v>
      </c>
      <c r="N1093">
        <v>3</v>
      </c>
      <c r="O1093" s="1">
        <v>44209.607187499998</v>
      </c>
      <c r="P1093" s="1">
        <v>44209.642164351855</v>
      </c>
      <c r="Q1093">
        <v>2435</v>
      </c>
      <c r="R1093">
        <v>587</v>
      </c>
      <c r="S1093" t="b">
        <v>0</v>
      </c>
      <c r="T1093" t="s">
        <v>87</v>
      </c>
      <c r="U1093" t="b">
        <v>0</v>
      </c>
      <c r="V1093" t="s">
        <v>255</v>
      </c>
      <c r="W1093" s="1">
        <v>44209.611446759256</v>
      </c>
      <c r="X1093">
        <v>351</v>
      </c>
      <c r="Y1093">
        <v>74</v>
      </c>
      <c r="Z1093">
        <v>0</v>
      </c>
      <c r="AA1093">
        <v>74</v>
      </c>
      <c r="AB1093">
        <v>0</v>
      </c>
      <c r="AC1093">
        <v>20</v>
      </c>
      <c r="AD1093">
        <v>33</v>
      </c>
      <c r="AE1093">
        <v>0</v>
      </c>
      <c r="AF1093">
        <v>0</v>
      </c>
      <c r="AG1093">
        <v>0</v>
      </c>
      <c r="AH1093" t="s">
        <v>128</v>
      </c>
      <c r="AI1093" s="1">
        <v>44209.638518518521</v>
      </c>
      <c r="AJ1093">
        <v>231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33</v>
      </c>
      <c r="AQ1093">
        <v>0</v>
      </c>
      <c r="AR1093">
        <v>0</v>
      </c>
      <c r="AS1093">
        <v>0</v>
      </c>
      <c r="AT1093" t="s">
        <v>90</v>
      </c>
      <c r="AU1093" s="1">
        <v>44209.642164351855</v>
      </c>
      <c r="AV1093">
        <v>5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33</v>
      </c>
      <c r="BC1093">
        <v>0</v>
      </c>
      <c r="BD1093">
        <v>0</v>
      </c>
      <c r="BE1093">
        <v>0</v>
      </c>
    </row>
    <row r="1094" spans="1:57" x14ac:dyDescent="0.45">
      <c r="A1094" t="s">
        <v>2826</v>
      </c>
      <c r="B1094" t="s">
        <v>79</v>
      </c>
      <c r="C1094" t="s">
        <v>2816</v>
      </c>
      <c r="D1094" t="s">
        <v>81</v>
      </c>
      <c r="E1094" s="2" t="str">
        <f>HYPERLINK("capsilon://?command=openfolder&amp;siteaddress=FAM.docvelocity-na8.net&amp;folderid=FX672373A6-312E-34C7-66AE-B28921FFE6D9","FX20128557")</f>
        <v>FX20128557</v>
      </c>
      <c r="F1094" t="s">
        <v>19</v>
      </c>
      <c r="G1094" t="s">
        <v>19</v>
      </c>
      <c r="H1094" t="s">
        <v>82</v>
      </c>
      <c r="I1094" t="s">
        <v>2817</v>
      </c>
      <c r="J1094">
        <v>38</v>
      </c>
      <c r="K1094" t="s">
        <v>84</v>
      </c>
      <c r="L1094" t="s">
        <v>85</v>
      </c>
      <c r="M1094" t="s">
        <v>86</v>
      </c>
      <c r="N1094">
        <v>3</v>
      </c>
      <c r="O1094" s="1">
        <v>44209.607407407406</v>
      </c>
      <c r="P1094" s="1">
        <v>44209.631111111114</v>
      </c>
      <c r="Q1094">
        <v>1314</v>
      </c>
      <c r="R1094">
        <v>734</v>
      </c>
      <c r="S1094" t="b">
        <v>0</v>
      </c>
      <c r="T1094" t="s">
        <v>87</v>
      </c>
      <c r="U1094" t="b">
        <v>1</v>
      </c>
      <c r="V1094" t="s">
        <v>160</v>
      </c>
      <c r="W1094" s="1">
        <v>44209.615208333336</v>
      </c>
      <c r="X1094">
        <v>596</v>
      </c>
      <c r="Y1094">
        <v>37</v>
      </c>
      <c r="Z1094">
        <v>0</v>
      </c>
      <c r="AA1094">
        <v>37</v>
      </c>
      <c r="AB1094">
        <v>0</v>
      </c>
      <c r="AC1094">
        <v>13</v>
      </c>
      <c r="AD1094">
        <v>1</v>
      </c>
      <c r="AE1094">
        <v>0</v>
      </c>
      <c r="AF1094">
        <v>0</v>
      </c>
      <c r="AG1094">
        <v>0</v>
      </c>
      <c r="AH1094" t="s">
        <v>128</v>
      </c>
      <c r="AI1094" s="1">
        <v>44209.618796296294</v>
      </c>
      <c r="AJ1094">
        <v>131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 t="s">
        <v>90</v>
      </c>
      <c r="AU1094" s="1">
        <v>44209.631111111114</v>
      </c>
      <c r="AV1094">
        <v>7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</row>
    <row r="1095" spans="1:57" x14ac:dyDescent="0.45">
      <c r="A1095" t="s">
        <v>2827</v>
      </c>
      <c r="B1095" t="s">
        <v>79</v>
      </c>
      <c r="C1095" t="s">
        <v>2822</v>
      </c>
      <c r="D1095" t="s">
        <v>81</v>
      </c>
      <c r="E1095" s="2" t="str">
        <f>HYPERLINK("capsilon://?command=openfolder&amp;siteaddress=FAM.docvelocity-na8.net&amp;folderid=FX1FEBA49D-523B-CF7D-6837-5E2FA79C5EE8","FX20127860")</f>
        <v>FX20127860</v>
      </c>
      <c r="F1095" t="s">
        <v>19</v>
      </c>
      <c r="G1095" t="s">
        <v>19</v>
      </c>
      <c r="H1095" t="s">
        <v>82</v>
      </c>
      <c r="I1095" t="s">
        <v>2828</v>
      </c>
      <c r="J1095">
        <v>102</v>
      </c>
      <c r="K1095" t="s">
        <v>84</v>
      </c>
      <c r="L1095" t="s">
        <v>85</v>
      </c>
      <c r="M1095" t="s">
        <v>86</v>
      </c>
      <c r="N1095">
        <v>3</v>
      </c>
      <c r="O1095" s="1">
        <v>44209.607719907406</v>
      </c>
      <c r="P1095" s="1">
        <v>44209.642800925925</v>
      </c>
      <c r="Q1095">
        <v>1693</v>
      </c>
      <c r="R1095">
        <v>1338</v>
      </c>
      <c r="S1095" t="b">
        <v>0</v>
      </c>
      <c r="T1095" t="s">
        <v>87</v>
      </c>
      <c r="U1095" t="b">
        <v>0</v>
      </c>
      <c r="V1095" t="s">
        <v>343</v>
      </c>
      <c r="W1095" s="1">
        <v>44209.618460648147</v>
      </c>
      <c r="X1095">
        <v>856</v>
      </c>
      <c r="Y1095">
        <v>74</v>
      </c>
      <c r="Z1095">
        <v>0</v>
      </c>
      <c r="AA1095">
        <v>74</v>
      </c>
      <c r="AB1095">
        <v>0</v>
      </c>
      <c r="AC1095">
        <v>23</v>
      </c>
      <c r="AD1095">
        <v>28</v>
      </c>
      <c r="AE1095">
        <v>0</v>
      </c>
      <c r="AF1095">
        <v>0</v>
      </c>
      <c r="AG1095">
        <v>0</v>
      </c>
      <c r="AH1095" t="s">
        <v>94</v>
      </c>
      <c r="AI1095" s="1">
        <v>44209.642546296294</v>
      </c>
      <c r="AJ1095">
        <v>478</v>
      </c>
      <c r="AK1095">
        <v>2</v>
      </c>
      <c r="AL1095">
        <v>0</v>
      </c>
      <c r="AM1095">
        <v>2</v>
      </c>
      <c r="AN1095">
        <v>0</v>
      </c>
      <c r="AO1095">
        <v>6</v>
      </c>
      <c r="AP1095">
        <v>26</v>
      </c>
      <c r="AQ1095">
        <v>0</v>
      </c>
      <c r="AR1095">
        <v>0</v>
      </c>
      <c r="AS1095">
        <v>0</v>
      </c>
      <c r="AT1095" t="s">
        <v>90</v>
      </c>
      <c r="AU1095" s="1">
        <v>44209.642800925925</v>
      </c>
      <c r="AV1095">
        <v>4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26</v>
      </c>
      <c r="BC1095">
        <v>0</v>
      </c>
      <c r="BD1095">
        <v>0</v>
      </c>
      <c r="BE1095">
        <v>0</v>
      </c>
    </row>
    <row r="1096" spans="1:57" hidden="1" x14ac:dyDescent="0.45">
      <c r="A1096" t="s">
        <v>2829</v>
      </c>
      <c r="B1096" t="s">
        <v>79</v>
      </c>
      <c r="C1096" t="s">
        <v>2830</v>
      </c>
      <c r="D1096" t="s">
        <v>81</v>
      </c>
      <c r="E1096" s="2" t="str">
        <f>HYPERLINK("capsilon://?command=openfolder&amp;siteaddress=FAM.docvelocity-na8.net&amp;folderid=FXD52D349E-0B97-E5F1-225A-67CB088D7381","FX201116691")</f>
        <v>FX201116691</v>
      </c>
      <c r="F1096" t="s">
        <v>19</v>
      </c>
      <c r="G1096" t="s">
        <v>19</v>
      </c>
      <c r="H1096" t="s">
        <v>82</v>
      </c>
      <c r="I1096" t="s">
        <v>2831</v>
      </c>
      <c r="J1096">
        <v>66</v>
      </c>
      <c r="K1096" t="s">
        <v>84</v>
      </c>
      <c r="L1096" t="s">
        <v>85</v>
      </c>
      <c r="M1096" t="s">
        <v>86</v>
      </c>
      <c r="N1096">
        <v>3</v>
      </c>
      <c r="O1096" s="1">
        <v>44209.607731481483</v>
      </c>
      <c r="P1096" s="1">
        <v>44209.642847222225</v>
      </c>
      <c r="Q1096">
        <v>2769</v>
      </c>
      <c r="R1096">
        <v>265</v>
      </c>
      <c r="S1096" t="b">
        <v>0</v>
      </c>
      <c r="T1096" t="s">
        <v>87</v>
      </c>
      <c r="U1096" t="b">
        <v>0</v>
      </c>
      <c r="V1096" t="s">
        <v>179</v>
      </c>
      <c r="W1096" s="1">
        <v>44209.612997685188</v>
      </c>
      <c r="X1096">
        <v>166</v>
      </c>
      <c r="Y1096">
        <v>0</v>
      </c>
      <c r="Z1096">
        <v>0</v>
      </c>
      <c r="AA1096">
        <v>0</v>
      </c>
      <c r="AB1096">
        <v>52</v>
      </c>
      <c r="AC1096">
        <v>0</v>
      </c>
      <c r="AD1096">
        <v>66</v>
      </c>
      <c r="AE1096">
        <v>0</v>
      </c>
      <c r="AF1096">
        <v>0</v>
      </c>
      <c r="AG1096">
        <v>0</v>
      </c>
      <c r="AH1096" t="s">
        <v>128</v>
      </c>
      <c r="AI1096" s="1">
        <v>44209.639027777775</v>
      </c>
      <c r="AJ1096">
        <v>43</v>
      </c>
      <c r="AK1096">
        <v>0</v>
      </c>
      <c r="AL1096">
        <v>0</v>
      </c>
      <c r="AM1096">
        <v>0</v>
      </c>
      <c r="AN1096">
        <v>52</v>
      </c>
      <c r="AO1096">
        <v>0</v>
      </c>
      <c r="AP1096">
        <v>66</v>
      </c>
      <c r="AQ1096">
        <v>0</v>
      </c>
      <c r="AR1096">
        <v>0</v>
      </c>
      <c r="AS1096">
        <v>0</v>
      </c>
      <c r="AT1096" t="s">
        <v>90</v>
      </c>
      <c r="AU1096" s="1">
        <v>44209.642847222225</v>
      </c>
      <c r="AV1096">
        <v>3</v>
      </c>
      <c r="AW1096">
        <v>0</v>
      </c>
      <c r="AX1096">
        <v>0</v>
      </c>
      <c r="AY1096">
        <v>0</v>
      </c>
      <c r="AZ1096">
        <v>52</v>
      </c>
      <c r="BA1096">
        <v>0</v>
      </c>
      <c r="BB1096">
        <v>66</v>
      </c>
      <c r="BC1096">
        <v>0</v>
      </c>
      <c r="BD1096">
        <v>0</v>
      </c>
      <c r="BE1096">
        <v>0</v>
      </c>
    </row>
    <row r="1097" spans="1:57" hidden="1" x14ac:dyDescent="0.45">
      <c r="A1097" t="s">
        <v>2832</v>
      </c>
      <c r="B1097" t="s">
        <v>79</v>
      </c>
      <c r="C1097" t="s">
        <v>2833</v>
      </c>
      <c r="D1097" t="s">
        <v>81</v>
      </c>
      <c r="E1097" s="2" t="str">
        <f>HYPERLINK("capsilon://?command=openfolder&amp;siteaddress=FAM.docvelocity-na8.net&amp;folderid=FX49632337-1D40-B10E-C791-BEFB50AABB1F","FX201112129")</f>
        <v>FX201112129</v>
      </c>
      <c r="F1097" t="s">
        <v>19</v>
      </c>
      <c r="G1097" t="s">
        <v>19</v>
      </c>
      <c r="H1097" t="s">
        <v>82</v>
      </c>
      <c r="I1097" t="s">
        <v>2834</v>
      </c>
      <c r="J1097">
        <v>486</v>
      </c>
      <c r="K1097" t="s">
        <v>84</v>
      </c>
      <c r="L1097" t="s">
        <v>85</v>
      </c>
      <c r="M1097" t="s">
        <v>81</v>
      </c>
      <c r="N1097">
        <v>2</v>
      </c>
      <c r="O1097" s="1">
        <v>44209.610543981478</v>
      </c>
      <c r="P1097" s="1">
        <v>44209.615902777776</v>
      </c>
      <c r="Q1097">
        <v>378</v>
      </c>
      <c r="R1097">
        <v>85</v>
      </c>
      <c r="S1097" t="b">
        <v>0</v>
      </c>
      <c r="T1097" t="s">
        <v>1797</v>
      </c>
      <c r="U1097" t="b">
        <v>0</v>
      </c>
      <c r="V1097" t="s">
        <v>255</v>
      </c>
      <c r="W1097" s="1">
        <v>44209.612384259257</v>
      </c>
      <c r="X1097">
        <v>80</v>
      </c>
      <c r="Y1097">
        <v>0</v>
      </c>
      <c r="Z1097">
        <v>0</v>
      </c>
      <c r="AA1097">
        <v>0</v>
      </c>
      <c r="AB1097">
        <v>98</v>
      </c>
      <c r="AC1097">
        <v>0</v>
      </c>
      <c r="AD1097">
        <v>486</v>
      </c>
      <c r="AE1097">
        <v>0</v>
      </c>
      <c r="AF1097">
        <v>0</v>
      </c>
      <c r="AG1097">
        <v>0</v>
      </c>
      <c r="AH1097" t="s">
        <v>1797</v>
      </c>
      <c r="AI1097" s="1">
        <v>44209.615902777776</v>
      </c>
      <c r="AJ1097">
        <v>5</v>
      </c>
      <c r="AK1097">
        <v>0</v>
      </c>
      <c r="AL1097">
        <v>0</v>
      </c>
      <c r="AM1097">
        <v>0</v>
      </c>
      <c r="AN1097">
        <v>98</v>
      </c>
      <c r="AO1097">
        <v>0</v>
      </c>
      <c r="AP1097">
        <v>486</v>
      </c>
      <c r="AQ1097">
        <v>0</v>
      </c>
      <c r="AR1097">
        <v>0</v>
      </c>
      <c r="AS1097">
        <v>0</v>
      </c>
      <c r="AT1097" t="s">
        <v>87</v>
      </c>
      <c r="AU1097" t="s">
        <v>87</v>
      </c>
      <c r="AV1097" t="s">
        <v>87</v>
      </c>
      <c r="AW1097" t="s">
        <v>87</v>
      </c>
      <c r="AX1097" t="s">
        <v>87</v>
      </c>
      <c r="AY1097" t="s">
        <v>87</v>
      </c>
      <c r="AZ1097" t="s">
        <v>87</v>
      </c>
      <c r="BA1097" t="s">
        <v>87</v>
      </c>
      <c r="BB1097" t="s">
        <v>87</v>
      </c>
      <c r="BC1097" t="s">
        <v>87</v>
      </c>
      <c r="BD1097" t="s">
        <v>87</v>
      </c>
      <c r="BE1097" t="s">
        <v>87</v>
      </c>
    </row>
    <row r="1098" spans="1:57" x14ac:dyDescent="0.45">
      <c r="A1098" t="s">
        <v>2835</v>
      </c>
      <c r="B1098" t="s">
        <v>79</v>
      </c>
      <c r="C1098" t="s">
        <v>2836</v>
      </c>
      <c r="D1098" t="s">
        <v>81</v>
      </c>
      <c r="E1098" s="2" t="str">
        <f>HYPERLINK("capsilon://?command=openfolder&amp;siteaddress=FAM.docvelocity-na8.net&amp;folderid=FXEE3BBCEF-9502-62F9-B98D-E024EF500043","FX201222239")</f>
        <v>FX201222239</v>
      </c>
      <c r="F1098" t="s">
        <v>19</v>
      </c>
      <c r="G1098" t="s">
        <v>19</v>
      </c>
      <c r="H1098" t="s">
        <v>82</v>
      </c>
      <c r="I1098" t="s">
        <v>2837</v>
      </c>
      <c r="J1098">
        <v>66</v>
      </c>
      <c r="K1098" t="s">
        <v>84</v>
      </c>
      <c r="L1098" t="s">
        <v>85</v>
      </c>
      <c r="M1098" t="s">
        <v>86</v>
      </c>
      <c r="N1098">
        <v>3</v>
      </c>
      <c r="O1098" s="1">
        <v>44209.614664351851</v>
      </c>
      <c r="P1098" s="1">
        <v>44209.643819444442</v>
      </c>
      <c r="Q1098">
        <v>1462</v>
      </c>
      <c r="R1098">
        <v>1057</v>
      </c>
      <c r="S1098" t="b">
        <v>0</v>
      </c>
      <c r="T1098" t="s">
        <v>87</v>
      </c>
      <c r="U1098" t="b">
        <v>0</v>
      </c>
      <c r="V1098" t="s">
        <v>255</v>
      </c>
      <c r="W1098" s="1">
        <v>44209.623437499999</v>
      </c>
      <c r="X1098">
        <v>550</v>
      </c>
      <c r="Y1098">
        <v>52</v>
      </c>
      <c r="Z1098">
        <v>0</v>
      </c>
      <c r="AA1098">
        <v>52</v>
      </c>
      <c r="AB1098">
        <v>0</v>
      </c>
      <c r="AC1098">
        <v>43</v>
      </c>
      <c r="AD1098">
        <v>14</v>
      </c>
      <c r="AE1098">
        <v>0</v>
      </c>
      <c r="AF1098">
        <v>0</v>
      </c>
      <c r="AG1098">
        <v>0</v>
      </c>
      <c r="AH1098" t="s">
        <v>128</v>
      </c>
      <c r="AI1098" s="1">
        <v>44209.643495370372</v>
      </c>
      <c r="AJ1098">
        <v>385</v>
      </c>
      <c r="AK1098">
        <v>5</v>
      </c>
      <c r="AL1098">
        <v>0</v>
      </c>
      <c r="AM1098">
        <v>5</v>
      </c>
      <c r="AN1098">
        <v>0</v>
      </c>
      <c r="AO1098">
        <v>5</v>
      </c>
      <c r="AP1098">
        <v>9</v>
      </c>
      <c r="AQ1098">
        <v>0</v>
      </c>
      <c r="AR1098">
        <v>0</v>
      </c>
      <c r="AS1098">
        <v>0</v>
      </c>
      <c r="AT1098" t="s">
        <v>90</v>
      </c>
      <c r="AU1098" s="1">
        <v>44209.643819444442</v>
      </c>
      <c r="AV1098">
        <v>7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9</v>
      </c>
      <c r="BC1098">
        <v>0</v>
      </c>
      <c r="BD1098">
        <v>0</v>
      </c>
      <c r="BE1098">
        <v>0</v>
      </c>
    </row>
    <row r="1099" spans="1:57" hidden="1" x14ac:dyDescent="0.45">
      <c r="A1099" t="s">
        <v>2838</v>
      </c>
      <c r="B1099" t="s">
        <v>79</v>
      </c>
      <c r="C1099" t="s">
        <v>2839</v>
      </c>
      <c r="D1099" t="s">
        <v>81</v>
      </c>
      <c r="E1099" s="2" t="str">
        <f>HYPERLINK("capsilon://?command=openfolder&amp;siteaddress=FAM.docvelocity-na8.net&amp;folderid=FXCE14A4F2-A2B0-4EC6-8CE2-24A3400D27DD","FX201111849")</f>
        <v>FX201111849</v>
      </c>
      <c r="F1099" t="s">
        <v>19</v>
      </c>
      <c r="G1099" t="s">
        <v>19</v>
      </c>
      <c r="H1099" t="s">
        <v>82</v>
      </c>
      <c r="I1099" t="s">
        <v>2840</v>
      </c>
      <c r="J1099">
        <v>66</v>
      </c>
      <c r="K1099" t="s">
        <v>84</v>
      </c>
      <c r="L1099" t="s">
        <v>85</v>
      </c>
      <c r="M1099" t="s">
        <v>86</v>
      </c>
      <c r="N1099">
        <v>3</v>
      </c>
      <c r="O1099" s="1">
        <v>44209.616030092591</v>
      </c>
      <c r="P1099" s="1">
        <v>44209.643865740742</v>
      </c>
      <c r="Q1099">
        <v>1930</v>
      </c>
      <c r="R1099">
        <v>475</v>
      </c>
      <c r="S1099" t="b">
        <v>0</v>
      </c>
      <c r="T1099" t="s">
        <v>87</v>
      </c>
      <c r="U1099" t="b">
        <v>0</v>
      </c>
      <c r="V1099" t="s">
        <v>259</v>
      </c>
      <c r="W1099" s="1">
        <v>44209.62599537037</v>
      </c>
      <c r="X1099">
        <v>276</v>
      </c>
      <c r="Y1099">
        <v>0</v>
      </c>
      <c r="Z1099">
        <v>0</v>
      </c>
      <c r="AA1099">
        <v>0</v>
      </c>
      <c r="AB1099">
        <v>52</v>
      </c>
      <c r="AC1099">
        <v>0</v>
      </c>
      <c r="AD1099">
        <v>66</v>
      </c>
      <c r="AE1099">
        <v>0</v>
      </c>
      <c r="AF1099">
        <v>0</v>
      </c>
      <c r="AG1099">
        <v>0</v>
      </c>
      <c r="AH1099" t="s">
        <v>267</v>
      </c>
      <c r="AI1099" s="1">
        <v>44209.643472222226</v>
      </c>
      <c r="AJ1099">
        <v>116</v>
      </c>
      <c r="AK1099">
        <v>0</v>
      </c>
      <c r="AL1099">
        <v>0</v>
      </c>
      <c r="AM1099">
        <v>0</v>
      </c>
      <c r="AN1099">
        <v>52</v>
      </c>
      <c r="AO1099">
        <v>0</v>
      </c>
      <c r="AP1099">
        <v>66</v>
      </c>
      <c r="AQ1099">
        <v>0</v>
      </c>
      <c r="AR1099">
        <v>0</v>
      </c>
      <c r="AS1099">
        <v>0</v>
      </c>
      <c r="AT1099" t="s">
        <v>90</v>
      </c>
      <c r="AU1099" s="1">
        <v>44209.643865740742</v>
      </c>
      <c r="AV1099">
        <v>4</v>
      </c>
      <c r="AW1099">
        <v>0</v>
      </c>
      <c r="AX1099">
        <v>0</v>
      </c>
      <c r="AY1099">
        <v>0</v>
      </c>
      <c r="AZ1099">
        <v>52</v>
      </c>
      <c r="BA1099">
        <v>0</v>
      </c>
      <c r="BB1099">
        <v>66</v>
      </c>
      <c r="BC1099">
        <v>0</v>
      </c>
      <c r="BD1099">
        <v>0</v>
      </c>
      <c r="BE1099">
        <v>0</v>
      </c>
    </row>
    <row r="1100" spans="1:57" x14ac:dyDescent="0.45">
      <c r="A1100" t="s">
        <v>2841</v>
      </c>
      <c r="B1100" t="s">
        <v>79</v>
      </c>
      <c r="C1100" t="s">
        <v>2842</v>
      </c>
      <c r="D1100" t="s">
        <v>81</v>
      </c>
      <c r="E1100" s="2" t="str">
        <f>HYPERLINK("capsilon://?command=openfolder&amp;siteaddress=FAM.docvelocity-na8.net&amp;folderid=FX35783406-A0AF-D6AE-0B6B-6A52121524DB","FX21016255")</f>
        <v>FX21016255</v>
      </c>
      <c r="F1100" t="s">
        <v>19</v>
      </c>
      <c r="G1100" t="s">
        <v>19</v>
      </c>
      <c r="H1100" t="s">
        <v>82</v>
      </c>
      <c r="I1100" t="s">
        <v>2843</v>
      </c>
      <c r="J1100">
        <v>114</v>
      </c>
      <c r="K1100" t="s">
        <v>84</v>
      </c>
      <c r="L1100" t="s">
        <v>85</v>
      </c>
      <c r="M1100" t="s">
        <v>86</v>
      </c>
      <c r="N1100">
        <v>3</v>
      </c>
      <c r="O1100" s="1">
        <v>44209.616157407407</v>
      </c>
      <c r="P1100" s="1">
        <v>44210.337905092594</v>
      </c>
      <c r="Q1100">
        <v>60317</v>
      </c>
      <c r="R1100">
        <v>2042</v>
      </c>
      <c r="S1100" t="b">
        <v>0</v>
      </c>
      <c r="T1100" t="s">
        <v>87</v>
      </c>
      <c r="U1100" t="b">
        <v>0</v>
      </c>
      <c r="V1100" t="s">
        <v>242</v>
      </c>
      <c r="W1100" s="1">
        <v>44209.627939814818</v>
      </c>
      <c r="X1100">
        <v>816</v>
      </c>
      <c r="Y1100">
        <v>157</v>
      </c>
      <c r="Z1100">
        <v>0</v>
      </c>
      <c r="AA1100">
        <v>157</v>
      </c>
      <c r="AB1100">
        <v>0</v>
      </c>
      <c r="AC1100">
        <v>105</v>
      </c>
      <c r="AD1100">
        <v>-43</v>
      </c>
      <c r="AE1100">
        <v>0</v>
      </c>
      <c r="AF1100">
        <v>0</v>
      </c>
      <c r="AG1100">
        <v>0</v>
      </c>
      <c r="AH1100" t="s">
        <v>94</v>
      </c>
      <c r="AI1100" s="1">
        <v>44209.653831018521</v>
      </c>
      <c r="AJ1100">
        <v>974</v>
      </c>
      <c r="AK1100">
        <v>0</v>
      </c>
      <c r="AL1100">
        <v>0</v>
      </c>
      <c r="AM1100">
        <v>0</v>
      </c>
      <c r="AN1100">
        <v>0</v>
      </c>
      <c r="AO1100">
        <v>12</v>
      </c>
      <c r="AP1100">
        <v>-43</v>
      </c>
      <c r="AQ1100">
        <v>0</v>
      </c>
      <c r="AR1100">
        <v>0</v>
      </c>
      <c r="AS1100">
        <v>0</v>
      </c>
      <c r="AT1100" t="s">
        <v>90</v>
      </c>
      <c r="AU1100" s="1">
        <v>44210.337905092594</v>
      </c>
      <c r="AV1100">
        <v>139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-43</v>
      </c>
      <c r="BC1100">
        <v>0</v>
      </c>
      <c r="BD1100">
        <v>0</v>
      </c>
      <c r="BE1100">
        <v>0</v>
      </c>
    </row>
    <row r="1101" spans="1:57" x14ac:dyDescent="0.45">
      <c r="A1101" t="s">
        <v>2844</v>
      </c>
      <c r="B1101" t="s">
        <v>79</v>
      </c>
      <c r="C1101" t="s">
        <v>2845</v>
      </c>
      <c r="D1101" t="s">
        <v>81</v>
      </c>
      <c r="E1101" s="2" t="str">
        <f>HYPERLINK("capsilon://?command=openfolder&amp;siteaddress=FAM.docvelocity-na8.net&amp;folderid=FXDF59D329-7E99-CBD7-175B-3A125AE7478B","FX21016083")</f>
        <v>FX21016083</v>
      </c>
      <c r="F1101" t="s">
        <v>19</v>
      </c>
      <c r="G1101" t="s">
        <v>19</v>
      </c>
      <c r="H1101" t="s">
        <v>82</v>
      </c>
      <c r="I1101" t="s">
        <v>2846</v>
      </c>
      <c r="J1101">
        <v>120</v>
      </c>
      <c r="K1101" t="s">
        <v>84</v>
      </c>
      <c r="L1101" t="s">
        <v>85</v>
      </c>
      <c r="M1101" t="s">
        <v>86</v>
      </c>
      <c r="N1101">
        <v>3</v>
      </c>
      <c r="O1101" s="1">
        <v>44209.618692129632</v>
      </c>
      <c r="P1101" s="1">
        <v>44209.650300925925</v>
      </c>
      <c r="Q1101">
        <v>1739</v>
      </c>
      <c r="R1101">
        <v>992</v>
      </c>
      <c r="S1101" t="b">
        <v>0</v>
      </c>
      <c r="T1101" t="s">
        <v>87</v>
      </c>
      <c r="U1101" t="b">
        <v>0</v>
      </c>
      <c r="V1101" t="s">
        <v>343</v>
      </c>
      <c r="W1101" s="1">
        <v>44209.627465277779</v>
      </c>
      <c r="X1101">
        <v>570</v>
      </c>
      <c r="Y1101">
        <v>108</v>
      </c>
      <c r="Z1101">
        <v>0</v>
      </c>
      <c r="AA1101">
        <v>108</v>
      </c>
      <c r="AB1101">
        <v>0</v>
      </c>
      <c r="AC1101">
        <v>22</v>
      </c>
      <c r="AD1101">
        <v>12</v>
      </c>
      <c r="AE1101">
        <v>0</v>
      </c>
      <c r="AF1101">
        <v>0</v>
      </c>
      <c r="AG1101">
        <v>0</v>
      </c>
      <c r="AH1101" t="s">
        <v>267</v>
      </c>
      <c r="AI1101" s="1">
        <v>44209.647962962961</v>
      </c>
      <c r="AJ1101">
        <v>387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12</v>
      </c>
      <c r="AQ1101">
        <v>0</v>
      </c>
      <c r="AR1101">
        <v>0</v>
      </c>
      <c r="AS1101">
        <v>0</v>
      </c>
      <c r="AT1101" t="s">
        <v>90</v>
      </c>
      <c r="AU1101" s="1">
        <v>44209.650300925925</v>
      </c>
      <c r="AV1101">
        <v>35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12</v>
      </c>
      <c r="BC1101">
        <v>0</v>
      </c>
      <c r="BD1101">
        <v>0</v>
      </c>
      <c r="BE1101">
        <v>0</v>
      </c>
    </row>
    <row r="1102" spans="1:57" x14ac:dyDescent="0.45">
      <c r="A1102" t="s">
        <v>2847</v>
      </c>
      <c r="B1102" t="s">
        <v>79</v>
      </c>
      <c r="C1102" t="s">
        <v>2848</v>
      </c>
      <c r="D1102" t="s">
        <v>81</v>
      </c>
      <c r="E1102" s="2" t="str">
        <f>HYPERLINK("capsilon://?command=openfolder&amp;siteaddress=FAM.docvelocity-na8.net&amp;folderid=FX6F4860BE-D5E7-FCAE-6CDF-9951333B1026","FX21014745")</f>
        <v>FX21014745</v>
      </c>
      <c r="F1102" t="s">
        <v>19</v>
      </c>
      <c r="G1102" t="s">
        <v>19</v>
      </c>
      <c r="H1102" t="s">
        <v>82</v>
      </c>
      <c r="I1102" t="s">
        <v>2849</v>
      </c>
      <c r="J1102">
        <v>503</v>
      </c>
      <c r="K1102" t="s">
        <v>84</v>
      </c>
      <c r="L1102" t="s">
        <v>85</v>
      </c>
      <c r="M1102" t="s">
        <v>86</v>
      </c>
      <c r="N1102">
        <v>3</v>
      </c>
      <c r="O1102" s="1">
        <v>44209.62195601852</v>
      </c>
      <c r="P1102" s="1">
        <v>44210.340127314812</v>
      </c>
      <c r="Q1102">
        <v>57554</v>
      </c>
      <c r="R1102">
        <v>4496</v>
      </c>
      <c r="S1102" t="b">
        <v>0</v>
      </c>
      <c r="T1102" t="s">
        <v>87</v>
      </c>
      <c r="U1102" t="b">
        <v>0</v>
      </c>
      <c r="V1102" t="s">
        <v>255</v>
      </c>
      <c r="W1102" s="1">
        <v>44209.646921296298</v>
      </c>
      <c r="X1102">
        <v>1990</v>
      </c>
      <c r="Y1102">
        <v>492</v>
      </c>
      <c r="Z1102">
        <v>0</v>
      </c>
      <c r="AA1102">
        <v>492</v>
      </c>
      <c r="AB1102">
        <v>0</v>
      </c>
      <c r="AC1102">
        <v>296</v>
      </c>
      <c r="AD1102">
        <v>11</v>
      </c>
      <c r="AE1102">
        <v>0</v>
      </c>
      <c r="AF1102">
        <v>0</v>
      </c>
      <c r="AG1102">
        <v>0</v>
      </c>
      <c r="AH1102" t="s">
        <v>267</v>
      </c>
      <c r="AI1102" s="1">
        <v>44209.674629629626</v>
      </c>
      <c r="AJ1102">
        <v>2303</v>
      </c>
      <c r="AK1102">
        <v>2</v>
      </c>
      <c r="AL1102">
        <v>0</v>
      </c>
      <c r="AM1102">
        <v>2</v>
      </c>
      <c r="AN1102">
        <v>0</v>
      </c>
      <c r="AO1102">
        <v>2</v>
      </c>
      <c r="AP1102">
        <v>9</v>
      </c>
      <c r="AQ1102">
        <v>0</v>
      </c>
      <c r="AR1102">
        <v>0</v>
      </c>
      <c r="AS1102">
        <v>0</v>
      </c>
      <c r="AT1102" t="s">
        <v>90</v>
      </c>
      <c r="AU1102" s="1">
        <v>44210.340127314812</v>
      </c>
      <c r="AV1102">
        <v>191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9</v>
      </c>
      <c r="BC1102">
        <v>0</v>
      </c>
      <c r="BD1102">
        <v>0</v>
      </c>
      <c r="BE1102">
        <v>0</v>
      </c>
    </row>
    <row r="1103" spans="1:57" x14ac:dyDescent="0.45">
      <c r="A1103" t="s">
        <v>2850</v>
      </c>
      <c r="B1103" t="s">
        <v>79</v>
      </c>
      <c r="C1103" t="s">
        <v>2851</v>
      </c>
      <c r="D1103" t="s">
        <v>81</v>
      </c>
      <c r="E1103" s="2" t="str">
        <f>HYPERLINK("capsilon://?command=openfolder&amp;siteaddress=FAM.docvelocity-na8.net&amp;folderid=FX890CEE32-2B17-BA19-7574-F8273E8EB947","FX201225562")</f>
        <v>FX201225562</v>
      </c>
      <c r="F1103" t="s">
        <v>19</v>
      </c>
      <c r="G1103" t="s">
        <v>19</v>
      </c>
      <c r="H1103" t="s">
        <v>82</v>
      </c>
      <c r="I1103" t="s">
        <v>2852</v>
      </c>
      <c r="J1103">
        <v>38</v>
      </c>
      <c r="K1103" t="s">
        <v>84</v>
      </c>
      <c r="L1103" t="s">
        <v>85</v>
      </c>
      <c r="M1103" t="s">
        <v>86</v>
      </c>
      <c r="N1103">
        <v>3</v>
      </c>
      <c r="O1103" s="1">
        <v>44200.663680555554</v>
      </c>
      <c r="P1103" s="1">
        <v>44201.393449074072</v>
      </c>
      <c r="Q1103">
        <v>62685</v>
      </c>
      <c r="R1103">
        <v>367</v>
      </c>
      <c r="S1103" t="b">
        <v>0</v>
      </c>
      <c r="T1103" t="s">
        <v>87</v>
      </c>
      <c r="U1103" t="b">
        <v>0</v>
      </c>
      <c r="V1103" t="s">
        <v>242</v>
      </c>
      <c r="W1103" s="1">
        <v>44200.771377314813</v>
      </c>
      <c r="X1103">
        <v>166</v>
      </c>
      <c r="Y1103">
        <v>37</v>
      </c>
      <c r="Z1103">
        <v>0</v>
      </c>
      <c r="AA1103">
        <v>37</v>
      </c>
      <c r="AB1103">
        <v>0</v>
      </c>
      <c r="AC1103">
        <v>13</v>
      </c>
      <c r="AD1103">
        <v>1</v>
      </c>
      <c r="AE1103">
        <v>0</v>
      </c>
      <c r="AF1103">
        <v>0</v>
      </c>
      <c r="AG1103">
        <v>0</v>
      </c>
      <c r="AH1103" t="s">
        <v>267</v>
      </c>
      <c r="AI1103" s="1">
        <v>44200.82234953704</v>
      </c>
      <c r="AJ1103">
        <v>96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 t="s">
        <v>90</v>
      </c>
      <c r="AU1103" s="1">
        <v>44201.393449074072</v>
      </c>
      <c r="AV1103">
        <v>105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</row>
    <row r="1104" spans="1:57" x14ac:dyDescent="0.45">
      <c r="A1104" t="s">
        <v>2853</v>
      </c>
      <c r="B1104" t="s">
        <v>79</v>
      </c>
      <c r="C1104" t="s">
        <v>1220</v>
      </c>
      <c r="D1104" t="s">
        <v>81</v>
      </c>
      <c r="E1104" s="2" t="str">
        <f>HYPERLINK("capsilon://?command=openfolder&amp;siteaddress=FAM.docvelocity-na8.net&amp;folderid=FX68476497-1A07-2542-3773-3C7E47CB44FA","FX201111788")</f>
        <v>FX201111788</v>
      </c>
      <c r="F1104" t="s">
        <v>19</v>
      </c>
      <c r="G1104" t="s">
        <v>19</v>
      </c>
      <c r="H1104" t="s">
        <v>82</v>
      </c>
      <c r="I1104" t="s">
        <v>2854</v>
      </c>
      <c r="J1104">
        <v>237</v>
      </c>
      <c r="K1104" t="s">
        <v>84</v>
      </c>
      <c r="L1104" t="s">
        <v>85</v>
      </c>
      <c r="M1104" t="s">
        <v>81</v>
      </c>
      <c r="N1104">
        <v>2</v>
      </c>
      <c r="O1104" s="1">
        <v>44209.622384259259</v>
      </c>
      <c r="P1104" s="1">
        <v>44209.654618055552</v>
      </c>
      <c r="Q1104">
        <v>836</v>
      </c>
      <c r="R1104">
        <v>1949</v>
      </c>
      <c r="S1104" t="b">
        <v>0</v>
      </c>
      <c r="T1104" t="s">
        <v>259</v>
      </c>
      <c r="U1104" t="b">
        <v>0</v>
      </c>
      <c r="V1104" t="s">
        <v>259</v>
      </c>
      <c r="W1104" s="1">
        <v>44209.639490740738</v>
      </c>
      <c r="X1104">
        <v>1165</v>
      </c>
      <c r="Y1104">
        <v>165</v>
      </c>
      <c r="Z1104">
        <v>0</v>
      </c>
      <c r="AA1104">
        <v>165</v>
      </c>
      <c r="AB1104">
        <v>0</v>
      </c>
      <c r="AC1104">
        <v>46</v>
      </c>
      <c r="AD1104">
        <v>72</v>
      </c>
      <c r="AE1104">
        <v>0</v>
      </c>
      <c r="AF1104">
        <v>0</v>
      </c>
      <c r="AG1104">
        <v>0</v>
      </c>
      <c r="AH1104" t="s">
        <v>259</v>
      </c>
      <c r="AI1104" s="1">
        <v>44209.654618055552</v>
      </c>
      <c r="AJ1104">
        <v>233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72</v>
      </c>
      <c r="AQ1104">
        <v>64</v>
      </c>
      <c r="AR1104">
        <v>0</v>
      </c>
      <c r="AS1104">
        <v>3</v>
      </c>
      <c r="AT1104" t="s">
        <v>87</v>
      </c>
      <c r="AU1104" t="s">
        <v>87</v>
      </c>
      <c r="AV1104" t="s">
        <v>87</v>
      </c>
      <c r="AW1104" t="s">
        <v>87</v>
      </c>
      <c r="AX1104" t="s">
        <v>87</v>
      </c>
      <c r="AY1104" t="s">
        <v>87</v>
      </c>
      <c r="AZ1104" t="s">
        <v>87</v>
      </c>
      <c r="BA1104" t="s">
        <v>87</v>
      </c>
      <c r="BB1104" t="s">
        <v>87</v>
      </c>
      <c r="BC1104" t="s">
        <v>87</v>
      </c>
      <c r="BD1104" t="s">
        <v>87</v>
      </c>
      <c r="BE1104" t="s">
        <v>87</v>
      </c>
    </row>
    <row r="1105" spans="1:57" x14ac:dyDescent="0.45">
      <c r="A1105" t="s">
        <v>2855</v>
      </c>
      <c r="B1105" t="s">
        <v>79</v>
      </c>
      <c r="C1105" t="s">
        <v>2856</v>
      </c>
      <c r="D1105" t="s">
        <v>81</v>
      </c>
      <c r="E1105" s="2" t="str">
        <f>HYPERLINK("capsilon://?command=openfolder&amp;siteaddress=FAM.docvelocity-na8.net&amp;folderid=FXA4710D95-4176-C587-14E3-235D428F2B0C","FX20125194")</f>
        <v>FX20125194</v>
      </c>
      <c r="F1105" t="s">
        <v>19</v>
      </c>
      <c r="G1105" t="s">
        <v>19</v>
      </c>
      <c r="H1105" t="s">
        <v>82</v>
      </c>
      <c r="I1105" t="s">
        <v>2857</v>
      </c>
      <c r="J1105">
        <v>66</v>
      </c>
      <c r="K1105" t="s">
        <v>84</v>
      </c>
      <c r="L1105" t="s">
        <v>85</v>
      </c>
      <c r="M1105" t="s">
        <v>86</v>
      </c>
      <c r="N1105">
        <v>3</v>
      </c>
      <c r="O1105" s="1">
        <v>44209.626203703701</v>
      </c>
      <c r="P1105" s="1">
        <v>44210.340254629627</v>
      </c>
      <c r="Q1105">
        <v>60837</v>
      </c>
      <c r="R1105">
        <v>857</v>
      </c>
      <c r="S1105" t="b">
        <v>0</v>
      </c>
      <c r="T1105" t="s">
        <v>87</v>
      </c>
      <c r="U1105" t="b">
        <v>0</v>
      </c>
      <c r="V1105" t="s">
        <v>343</v>
      </c>
      <c r="W1105" s="1">
        <v>44209.63386574074</v>
      </c>
      <c r="X1105">
        <v>548</v>
      </c>
      <c r="Y1105">
        <v>52</v>
      </c>
      <c r="Z1105">
        <v>0</v>
      </c>
      <c r="AA1105">
        <v>52</v>
      </c>
      <c r="AB1105">
        <v>0</v>
      </c>
      <c r="AC1105">
        <v>31</v>
      </c>
      <c r="AD1105">
        <v>14</v>
      </c>
      <c r="AE1105">
        <v>0</v>
      </c>
      <c r="AF1105">
        <v>0</v>
      </c>
      <c r="AG1105">
        <v>0</v>
      </c>
      <c r="AH1105" t="s">
        <v>128</v>
      </c>
      <c r="AI1105" s="1">
        <v>44209.655451388891</v>
      </c>
      <c r="AJ1105">
        <v>299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14</v>
      </c>
      <c r="AQ1105">
        <v>0</v>
      </c>
      <c r="AR1105">
        <v>0</v>
      </c>
      <c r="AS1105">
        <v>0</v>
      </c>
      <c r="AT1105" t="s">
        <v>90</v>
      </c>
      <c r="AU1105" s="1">
        <v>44210.340254629627</v>
      </c>
      <c r="AV1105">
        <v>10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14</v>
      </c>
      <c r="BC1105">
        <v>0</v>
      </c>
      <c r="BD1105">
        <v>0</v>
      </c>
      <c r="BE1105">
        <v>0</v>
      </c>
    </row>
    <row r="1106" spans="1:57" x14ac:dyDescent="0.45">
      <c r="A1106" t="s">
        <v>2858</v>
      </c>
      <c r="B1106" t="s">
        <v>79</v>
      </c>
      <c r="C1106" t="s">
        <v>1140</v>
      </c>
      <c r="D1106" t="s">
        <v>81</v>
      </c>
      <c r="E1106" s="2" t="str">
        <f>HYPERLINK("capsilon://?command=openfolder&amp;siteaddress=FAM.docvelocity-na8.net&amp;folderid=FX36E5F7FA-7B78-D282-0822-5C67BE5D7822","FX2101527")</f>
        <v>FX2101527</v>
      </c>
      <c r="F1106" t="s">
        <v>19</v>
      </c>
      <c r="G1106" t="s">
        <v>19</v>
      </c>
      <c r="H1106" t="s">
        <v>82</v>
      </c>
      <c r="I1106" t="s">
        <v>2859</v>
      </c>
      <c r="J1106">
        <v>66</v>
      </c>
      <c r="K1106" t="s">
        <v>84</v>
      </c>
      <c r="L1106" t="s">
        <v>85</v>
      </c>
      <c r="M1106" t="s">
        <v>86</v>
      </c>
      <c r="N1106">
        <v>3</v>
      </c>
      <c r="O1106" s="1">
        <v>44209.633240740739</v>
      </c>
      <c r="P1106" s="1">
        <v>44210.340555555558</v>
      </c>
      <c r="Q1106">
        <v>60257</v>
      </c>
      <c r="R1106">
        <v>855</v>
      </c>
      <c r="S1106" t="b">
        <v>0</v>
      </c>
      <c r="T1106" t="s">
        <v>87</v>
      </c>
      <c r="U1106" t="b">
        <v>0</v>
      </c>
      <c r="V1106" t="s">
        <v>242</v>
      </c>
      <c r="W1106" s="1">
        <v>44209.63925925926</v>
      </c>
      <c r="X1106">
        <v>479</v>
      </c>
      <c r="Y1106">
        <v>52</v>
      </c>
      <c r="Z1106">
        <v>0</v>
      </c>
      <c r="AA1106">
        <v>52</v>
      </c>
      <c r="AB1106">
        <v>0</v>
      </c>
      <c r="AC1106">
        <v>24</v>
      </c>
      <c r="AD1106">
        <v>14</v>
      </c>
      <c r="AE1106">
        <v>0</v>
      </c>
      <c r="AF1106">
        <v>0</v>
      </c>
      <c r="AG1106">
        <v>0</v>
      </c>
      <c r="AH1106" t="s">
        <v>94</v>
      </c>
      <c r="AI1106" s="1">
        <v>44209.657905092594</v>
      </c>
      <c r="AJ1106">
        <v>351</v>
      </c>
      <c r="AK1106">
        <v>4</v>
      </c>
      <c r="AL1106">
        <v>0</v>
      </c>
      <c r="AM1106">
        <v>4</v>
      </c>
      <c r="AN1106">
        <v>0</v>
      </c>
      <c r="AO1106">
        <v>4</v>
      </c>
      <c r="AP1106">
        <v>10</v>
      </c>
      <c r="AQ1106">
        <v>0</v>
      </c>
      <c r="AR1106">
        <v>0</v>
      </c>
      <c r="AS1106">
        <v>0</v>
      </c>
      <c r="AT1106" t="s">
        <v>90</v>
      </c>
      <c r="AU1106" s="1">
        <v>44210.340555555558</v>
      </c>
      <c r="AV1106">
        <v>25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10</v>
      </c>
      <c r="BC1106">
        <v>0</v>
      </c>
      <c r="BD1106">
        <v>0</v>
      </c>
      <c r="BE1106">
        <v>0</v>
      </c>
    </row>
    <row r="1107" spans="1:57" x14ac:dyDescent="0.45">
      <c r="A1107" t="s">
        <v>2860</v>
      </c>
      <c r="B1107" t="s">
        <v>79</v>
      </c>
      <c r="C1107" t="s">
        <v>1480</v>
      </c>
      <c r="D1107" t="s">
        <v>81</v>
      </c>
      <c r="E1107" s="2" t="str">
        <f>HYPERLINK("capsilon://?command=openfolder&amp;siteaddress=FAM.docvelocity-na8.net&amp;folderid=FX83E03E44-6524-9CED-D944-15CD8B02583A","FX21013533")</f>
        <v>FX21013533</v>
      </c>
      <c r="F1107" t="s">
        <v>19</v>
      </c>
      <c r="G1107" t="s">
        <v>19</v>
      </c>
      <c r="H1107" t="s">
        <v>82</v>
      </c>
      <c r="I1107" t="s">
        <v>2861</v>
      </c>
      <c r="J1107">
        <v>66</v>
      </c>
      <c r="K1107" t="s">
        <v>84</v>
      </c>
      <c r="L1107" t="s">
        <v>85</v>
      </c>
      <c r="M1107" t="s">
        <v>86</v>
      </c>
      <c r="N1107">
        <v>3</v>
      </c>
      <c r="O1107" s="1">
        <v>44209.636759259258</v>
      </c>
      <c r="P1107" s="1">
        <v>44210.340682870374</v>
      </c>
      <c r="Q1107">
        <v>59940</v>
      </c>
      <c r="R1107">
        <v>879</v>
      </c>
      <c r="S1107" t="b">
        <v>0</v>
      </c>
      <c r="T1107" t="s">
        <v>87</v>
      </c>
      <c r="U1107" t="b">
        <v>0</v>
      </c>
      <c r="V1107" t="s">
        <v>343</v>
      </c>
      <c r="W1107" s="1">
        <v>44209.645104166666</v>
      </c>
      <c r="X1107">
        <v>679</v>
      </c>
      <c r="Y1107">
        <v>52</v>
      </c>
      <c r="Z1107">
        <v>0</v>
      </c>
      <c r="AA1107">
        <v>52</v>
      </c>
      <c r="AB1107">
        <v>0</v>
      </c>
      <c r="AC1107">
        <v>33</v>
      </c>
      <c r="AD1107">
        <v>14</v>
      </c>
      <c r="AE1107">
        <v>0</v>
      </c>
      <c r="AF1107">
        <v>0</v>
      </c>
      <c r="AG1107">
        <v>0</v>
      </c>
      <c r="AH1107" t="s">
        <v>128</v>
      </c>
      <c r="AI1107" s="1">
        <v>44209.65766203704</v>
      </c>
      <c r="AJ1107">
        <v>190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14</v>
      </c>
      <c r="AQ1107">
        <v>0</v>
      </c>
      <c r="AR1107">
        <v>0</v>
      </c>
      <c r="AS1107">
        <v>0</v>
      </c>
      <c r="AT1107" t="s">
        <v>90</v>
      </c>
      <c r="AU1107" s="1">
        <v>44210.340682870374</v>
      </c>
      <c r="AV1107">
        <v>10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14</v>
      </c>
      <c r="BC1107">
        <v>0</v>
      </c>
      <c r="BD1107">
        <v>0</v>
      </c>
      <c r="BE1107">
        <v>0</v>
      </c>
    </row>
    <row r="1108" spans="1:57" x14ac:dyDescent="0.45">
      <c r="A1108" t="s">
        <v>2862</v>
      </c>
      <c r="B1108" t="s">
        <v>79</v>
      </c>
      <c r="C1108" t="s">
        <v>2863</v>
      </c>
      <c r="D1108" t="s">
        <v>81</v>
      </c>
      <c r="E1108" s="2" t="str">
        <f>HYPERLINK("capsilon://?command=openfolder&amp;siteaddress=FAM.docvelocity-na8.net&amp;folderid=FX13647EEC-6C73-C303-9C31-08B5B0F8181E","FX21014568")</f>
        <v>FX21014568</v>
      </c>
      <c r="F1108" t="s">
        <v>19</v>
      </c>
      <c r="G1108" t="s">
        <v>19</v>
      </c>
      <c r="H1108" t="s">
        <v>82</v>
      </c>
      <c r="I1108" t="s">
        <v>2864</v>
      </c>
      <c r="J1108">
        <v>187</v>
      </c>
      <c r="K1108" t="s">
        <v>84</v>
      </c>
      <c r="L1108" t="s">
        <v>85</v>
      </c>
      <c r="M1108" t="s">
        <v>86</v>
      </c>
      <c r="N1108">
        <v>3</v>
      </c>
      <c r="O1108" s="1">
        <v>44209.640717592592</v>
      </c>
      <c r="P1108" s="1">
        <v>44210.342256944445</v>
      </c>
      <c r="Q1108">
        <v>57666</v>
      </c>
      <c r="R1108">
        <v>2947</v>
      </c>
      <c r="S1108" t="b">
        <v>0</v>
      </c>
      <c r="T1108" t="s">
        <v>87</v>
      </c>
      <c r="U1108" t="b">
        <v>0</v>
      </c>
      <c r="V1108" t="s">
        <v>179</v>
      </c>
      <c r="W1108" s="1">
        <v>44209.665844907409</v>
      </c>
      <c r="X1108">
        <v>2167</v>
      </c>
      <c r="Y1108">
        <v>134</v>
      </c>
      <c r="Z1108">
        <v>0</v>
      </c>
      <c r="AA1108">
        <v>134</v>
      </c>
      <c r="AB1108">
        <v>0</v>
      </c>
      <c r="AC1108">
        <v>67</v>
      </c>
      <c r="AD1108">
        <v>53</v>
      </c>
      <c r="AE1108">
        <v>0</v>
      </c>
      <c r="AF1108">
        <v>0</v>
      </c>
      <c r="AG1108">
        <v>0</v>
      </c>
      <c r="AH1108" t="s">
        <v>267</v>
      </c>
      <c r="AI1108" s="1">
        <v>44209.682083333333</v>
      </c>
      <c r="AJ1108">
        <v>644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53</v>
      </c>
      <c r="AQ1108">
        <v>0</v>
      </c>
      <c r="AR1108">
        <v>0</v>
      </c>
      <c r="AS1108">
        <v>0</v>
      </c>
      <c r="AT1108" t="s">
        <v>90</v>
      </c>
      <c r="AU1108" s="1">
        <v>44210.342256944445</v>
      </c>
      <c r="AV1108">
        <v>136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53</v>
      </c>
      <c r="BC1108">
        <v>0</v>
      </c>
      <c r="BD1108">
        <v>0</v>
      </c>
      <c r="BE1108">
        <v>0</v>
      </c>
    </row>
    <row r="1109" spans="1:57" hidden="1" x14ac:dyDescent="0.45">
      <c r="A1109" t="s">
        <v>2865</v>
      </c>
      <c r="B1109" t="s">
        <v>79</v>
      </c>
      <c r="C1109" t="s">
        <v>2866</v>
      </c>
      <c r="D1109" t="s">
        <v>81</v>
      </c>
      <c r="E1109" s="2" t="str">
        <f>HYPERLINK("capsilon://?command=openfolder&amp;siteaddress=FAM.docvelocity-na8.net&amp;folderid=FXC19A9C3D-E85E-150E-6CA9-10B32A383177","FX20122709")</f>
        <v>FX20122709</v>
      </c>
      <c r="F1109" t="s">
        <v>19</v>
      </c>
      <c r="G1109" t="s">
        <v>19</v>
      </c>
      <c r="H1109" t="s">
        <v>82</v>
      </c>
      <c r="I1109" t="s">
        <v>2867</v>
      </c>
      <c r="J1109">
        <v>38</v>
      </c>
      <c r="K1109" t="s">
        <v>84</v>
      </c>
      <c r="L1109" t="s">
        <v>85</v>
      </c>
      <c r="M1109" t="s">
        <v>86</v>
      </c>
      <c r="N1109">
        <v>3</v>
      </c>
      <c r="O1109" s="1">
        <v>44209.644386574073</v>
      </c>
      <c r="P1109" s="1">
        <v>44210.342291666668</v>
      </c>
      <c r="Q1109">
        <v>60153</v>
      </c>
      <c r="R1109">
        <v>146</v>
      </c>
      <c r="S1109" t="b">
        <v>0</v>
      </c>
      <c r="T1109" t="s">
        <v>87</v>
      </c>
      <c r="U1109" t="b">
        <v>0</v>
      </c>
      <c r="V1109" t="s">
        <v>242</v>
      </c>
      <c r="W1109" s="1">
        <v>44209.645578703705</v>
      </c>
      <c r="X1109">
        <v>99</v>
      </c>
      <c r="Y1109">
        <v>0</v>
      </c>
      <c r="Z1109">
        <v>0</v>
      </c>
      <c r="AA1109">
        <v>0</v>
      </c>
      <c r="AB1109">
        <v>37</v>
      </c>
      <c r="AC1109">
        <v>0</v>
      </c>
      <c r="AD1109">
        <v>38</v>
      </c>
      <c r="AE1109">
        <v>0</v>
      </c>
      <c r="AF1109">
        <v>0</v>
      </c>
      <c r="AG1109">
        <v>0</v>
      </c>
      <c r="AH1109" t="s">
        <v>128</v>
      </c>
      <c r="AI1109" s="1">
        <v>44209.658182870371</v>
      </c>
      <c r="AJ1109">
        <v>44</v>
      </c>
      <c r="AK1109">
        <v>0</v>
      </c>
      <c r="AL1109">
        <v>0</v>
      </c>
      <c r="AM1109">
        <v>0</v>
      </c>
      <c r="AN1109">
        <v>37</v>
      </c>
      <c r="AO1109">
        <v>0</v>
      </c>
      <c r="AP1109">
        <v>38</v>
      </c>
      <c r="AQ1109">
        <v>0</v>
      </c>
      <c r="AR1109">
        <v>0</v>
      </c>
      <c r="AS1109">
        <v>0</v>
      </c>
      <c r="AT1109" t="s">
        <v>90</v>
      </c>
      <c r="AU1109" s="1">
        <v>44210.342291666668</v>
      </c>
      <c r="AV1109">
        <v>3</v>
      </c>
      <c r="AW1109">
        <v>0</v>
      </c>
      <c r="AX1109">
        <v>0</v>
      </c>
      <c r="AY1109">
        <v>0</v>
      </c>
      <c r="AZ1109">
        <v>37</v>
      </c>
      <c r="BA1109">
        <v>0</v>
      </c>
      <c r="BB1109">
        <v>38</v>
      </c>
      <c r="BC1109">
        <v>0</v>
      </c>
      <c r="BD1109">
        <v>0</v>
      </c>
      <c r="BE1109">
        <v>0</v>
      </c>
    </row>
    <row r="1110" spans="1:57" hidden="1" x14ac:dyDescent="0.45">
      <c r="A1110" t="s">
        <v>2868</v>
      </c>
      <c r="B1110" t="s">
        <v>79</v>
      </c>
      <c r="C1110" t="s">
        <v>2869</v>
      </c>
      <c r="D1110" t="s">
        <v>81</v>
      </c>
      <c r="E1110" s="2" t="str">
        <f>HYPERLINK("capsilon://?command=openfolder&amp;siteaddress=FAM.docvelocity-na8.net&amp;folderid=FX1167FDC8-828E-EEBF-396E-B361700318EA","FX21015559")</f>
        <v>FX21015559</v>
      </c>
      <c r="F1110" t="s">
        <v>19</v>
      </c>
      <c r="G1110" t="s">
        <v>19</v>
      </c>
      <c r="H1110" t="s">
        <v>82</v>
      </c>
      <c r="I1110" t="s">
        <v>2870</v>
      </c>
      <c r="J1110">
        <v>288</v>
      </c>
      <c r="K1110" t="s">
        <v>84</v>
      </c>
      <c r="L1110" t="s">
        <v>85</v>
      </c>
      <c r="M1110" t="s">
        <v>86</v>
      </c>
      <c r="N1110">
        <v>1</v>
      </c>
      <c r="O1110" s="1">
        <v>44209.650208333333</v>
      </c>
      <c r="P1110" s="1">
        <v>44209.652337962965</v>
      </c>
      <c r="Q1110">
        <v>12</v>
      </c>
      <c r="R1110">
        <v>172</v>
      </c>
      <c r="S1110" t="b">
        <v>0</v>
      </c>
      <c r="T1110" t="s">
        <v>87</v>
      </c>
      <c r="U1110" t="b">
        <v>0</v>
      </c>
      <c r="V1110" t="s">
        <v>242</v>
      </c>
      <c r="W1110" s="1">
        <v>44209.652337962965</v>
      </c>
      <c r="X1110">
        <v>172</v>
      </c>
      <c r="Y1110">
        <v>241</v>
      </c>
      <c r="Z1110">
        <v>0</v>
      </c>
      <c r="AA1110">
        <v>241</v>
      </c>
      <c r="AB1110">
        <v>0</v>
      </c>
      <c r="AC1110">
        <v>0</v>
      </c>
      <c r="AD1110">
        <v>47</v>
      </c>
      <c r="AE1110">
        <v>21</v>
      </c>
      <c r="AF1110">
        <v>0</v>
      </c>
      <c r="AG1110">
        <v>1</v>
      </c>
      <c r="AH1110" t="s">
        <v>87</v>
      </c>
      <c r="AI1110" t="s">
        <v>87</v>
      </c>
      <c r="AJ1110" t="s">
        <v>87</v>
      </c>
      <c r="AK1110" t="s">
        <v>87</v>
      </c>
      <c r="AL1110" t="s">
        <v>87</v>
      </c>
      <c r="AM1110" t="s">
        <v>87</v>
      </c>
      <c r="AN1110" t="s">
        <v>87</v>
      </c>
      <c r="AO1110" t="s">
        <v>87</v>
      </c>
      <c r="AP1110" t="s">
        <v>87</v>
      </c>
      <c r="AQ1110" t="s">
        <v>87</v>
      </c>
      <c r="AR1110" t="s">
        <v>87</v>
      </c>
      <c r="AS1110" t="s">
        <v>87</v>
      </c>
      <c r="AT1110" t="s">
        <v>87</v>
      </c>
      <c r="AU1110" t="s">
        <v>87</v>
      </c>
      <c r="AV1110" t="s">
        <v>87</v>
      </c>
      <c r="AW1110" t="s">
        <v>87</v>
      </c>
      <c r="AX1110" t="s">
        <v>87</v>
      </c>
      <c r="AY1110" t="s">
        <v>87</v>
      </c>
      <c r="AZ1110" t="s">
        <v>87</v>
      </c>
      <c r="BA1110" t="s">
        <v>87</v>
      </c>
      <c r="BB1110" t="s">
        <v>87</v>
      </c>
      <c r="BC1110" t="s">
        <v>87</v>
      </c>
      <c r="BD1110" t="s">
        <v>87</v>
      </c>
      <c r="BE1110" t="s">
        <v>87</v>
      </c>
    </row>
    <row r="1111" spans="1:57" hidden="1" x14ac:dyDescent="0.45">
      <c r="A1111" t="s">
        <v>2871</v>
      </c>
      <c r="B1111" t="s">
        <v>79</v>
      </c>
      <c r="C1111" t="s">
        <v>2872</v>
      </c>
      <c r="D1111" t="s">
        <v>81</v>
      </c>
      <c r="E1111" s="2" t="str">
        <f>HYPERLINK("capsilon://?command=openfolder&amp;siteaddress=FAM.docvelocity-na8.net&amp;folderid=FXB2956453-2B80-097C-DFCB-AC27A0A7CBED","FX21017147")</f>
        <v>FX21017147</v>
      </c>
      <c r="F1111" t="s">
        <v>19</v>
      </c>
      <c r="G1111" t="s">
        <v>19</v>
      </c>
      <c r="H1111" t="s">
        <v>82</v>
      </c>
      <c r="I1111" t="s">
        <v>2873</v>
      </c>
      <c r="J1111">
        <v>718</v>
      </c>
      <c r="K1111" t="s">
        <v>84</v>
      </c>
      <c r="L1111" t="s">
        <v>85</v>
      </c>
      <c r="M1111" t="s">
        <v>86</v>
      </c>
      <c r="N1111">
        <v>1</v>
      </c>
      <c r="O1111" s="1">
        <v>44209.651261574072</v>
      </c>
      <c r="P1111" s="1">
        <v>44209.656539351854</v>
      </c>
      <c r="Q1111">
        <v>83</v>
      </c>
      <c r="R1111">
        <v>373</v>
      </c>
      <c r="S1111" t="b">
        <v>0</v>
      </c>
      <c r="T1111" t="s">
        <v>87</v>
      </c>
      <c r="U1111" t="b">
        <v>0</v>
      </c>
      <c r="V1111" t="s">
        <v>160</v>
      </c>
      <c r="W1111" s="1">
        <v>44209.656539351854</v>
      </c>
      <c r="X1111">
        <v>373</v>
      </c>
      <c r="Y1111">
        <v>614</v>
      </c>
      <c r="Z1111">
        <v>0</v>
      </c>
      <c r="AA1111">
        <v>614</v>
      </c>
      <c r="AB1111">
        <v>74</v>
      </c>
      <c r="AC1111">
        <v>0</v>
      </c>
      <c r="AD1111">
        <v>104</v>
      </c>
      <c r="AE1111">
        <v>21</v>
      </c>
      <c r="AF1111">
        <v>0</v>
      </c>
      <c r="AG1111">
        <v>2</v>
      </c>
      <c r="AH1111" t="s">
        <v>87</v>
      </c>
      <c r="AI1111" t="s">
        <v>87</v>
      </c>
      <c r="AJ1111" t="s">
        <v>87</v>
      </c>
      <c r="AK1111" t="s">
        <v>87</v>
      </c>
      <c r="AL1111" t="s">
        <v>87</v>
      </c>
      <c r="AM1111" t="s">
        <v>87</v>
      </c>
      <c r="AN1111" t="s">
        <v>87</v>
      </c>
      <c r="AO1111" t="s">
        <v>87</v>
      </c>
      <c r="AP1111" t="s">
        <v>87</v>
      </c>
      <c r="AQ1111" t="s">
        <v>87</v>
      </c>
      <c r="AR1111" t="s">
        <v>87</v>
      </c>
      <c r="AS1111" t="s">
        <v>87</v>
      </c>
      <c r="AT1111" t="s">
        <v>87</v>
      </c>
      <c r="AU1111" t="s">
        <v>87</v>
      </c>
      <c r="AV1111" t="s">
        <v>87</v>
      </c>
      <c r="AW1111" t="s">
        <v>87</v>
      </c>
      <c r="AX1111" t="s">
        <v>87</v>
      </c>
      <c r="AY1111" t="s">
        <v>87</v>
      </c>
      <c r="AZ1111" t="s">
        <v>87</v>
      </c>
      <c r="BA1111" t="s">
        <v>87</v>
      </c>
      <c r="BB1111" t="s">
        <v>87</v>
      </c>
      <c r="BC1111" t="s">
        <v>87</v>
      </c>
      <c r="BD1111" t="s">
        <v>87</v>
      </c>
      <c r="BE1111" t="s">
        <v>87</v>
      </c>
    </row>
    <row r="1112" spans="1:57" x14ac:dyDescent="0.45">
      <c r="A1112" t="s">
        <v>2874</v>
      </c>
      <c r="B1112" t="s">
        <v>79</v>
      </c>
      <c r="C1112" t="s">
        <v>2619</v>
      </c>
      <c r="D1112" t="s">
        <v>81</v>
      </c>
      <c r="E1112" s="2" t="str">
        <f>HYPERLINK("capsilon://?command=openfolder&amp;siteaddress=FAM.docvelocity-na8.net&amp;folderid=FX042F67B8-29F3-DCFC-913A-BE2927ACFA42","FX21014524")</f>
        <v>FX21014524</v>
      </c>
      <c r="F1112" t="s">
        <v>19</v>
      </c>
      <c r="G1112" t="s">
        <v>19</v>
      </c>
      <c r="H1112" t="s">
        <v>82</v>
      </c>
      <c r="I1112" t="s">
        <v>2875</v>
      </c>
      <c r="J1112">
        <v>66</v>
      </c>
      <c r="K1112" t="s">
        <v>84</v>
      </c>
      <c r="L1112" t="s">
        <v>85</v>
      </c>
      <c r="M1112" t="s">
        <v>86</v>
      </c>
      <c r="N1112">
        <v>3</v>
      </c>
      <c r="O1112" s="1">
        <v>44209.652187500003</v>
      </c>
      <c r="P1112" s="1">
        <v>44210.342627314814</v>
      </c>
      <c r="Q1112">
        <v>58844</v>
      </c>
      <c r="R1112">
        <v>810</v>
      </c>
      <c r="S1112" t="b">
        <v>0</v>
      </c>
      <c r="T1112" t="s">
        <v>87</v>
      </c>
      <c r="U1112" t="b">
        <v>0</v>
      </c>
      <c r="V1112" t="s">
        <v>242</v>
      </c>
      <c r="W1112" s="1">
        <v>44209.658831018518</v>
      </c>
      <c r="X1112">
        <v>560</v>
      </c>
      <c r="Y1112">
        <v>52</v>
      </c>
      <c r="Z1112">
        <v>0</v>
      </c>
      <c r="AA1112">
        <v>52</v>
      </c>
      <c r="AB1112">
        <v>0</v>
      </c>
      <c r="AC1112">
        <v>38</v>
      </c>
      <c r="AD1112">
        <v>14</v>
      </c>
      <c r="AE1112">
        <v>0</v>
      </c>
      <c r="AF1112">
        <v>0</v>
      </c>
      <c r="AG1112">
        <v>0</v>
      </c>
      <c r="AH1112" t="s">
        <v>128</v>
      </c>
      <c r="AI1112" s="1">
        <v>44209.664803240739</v>
      </c>
      <c r="AJ1112">
        <v>222</v>
      </c>
      <c r="AK1112">
        <v>1</v>
      </c>
      <c r="AL1112">
        <v>0</v>
      </c>
      <c r="AM1112">
        <v>1</v>
      </c>
      <c r="AN1112">
        <v>0</v>
      </c>
      <c r="AO1112">
        <v>1</v>
      </c>
      <c r="AP1112">
        <v>13</v>
      </c>
      <c r="AQ1112">
        <v>0</v>
      </c>
      <c r="AR1112">
        <v>0</v>
      </c>
      <c r="AS1112">
        <v>0</v>
      </c>
      <c r="AT1112" t="s">
        <v>90</v>
      </c>
      <c r="AU1112" s="1">
        <v>44210.342627314814</v>
      </c>
      <c r="AV1112">
        <v>28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13</v>
      </c>
      <c r="BC1112">
        <v>0</v>
      </c>
      <c r="BD1112">
        <v>0</v>
      </c>
      <c r="BE1112">
        <v>0</v>
      </c>
    </row>
    <row r="1113" spans="1:57" x14ac:dyDescent="0.45">
      <c r="A1113" t="s">
        <v>2876</v>
      </c>
      <c r="B1113" t="s">
        <v>79</v>
      </c>
      <c r="C1113" t="s">
        <v>2869</v>
      </c>
      <c r="D1113" t="s">
        <v>81</v>
      </c>
      <c r="E1113" s="2" t="str">
        <f>HYPERLINK("capsilon://?command=openfolder&amp;siteaddress=FAM.docvelocity-na8.net&amp;folderid=FX1167FDC8-828E-EEBF-396E-B361700318EA","FX21015559")</f>
        <v>FX21015559</v>
      </c>
      <c r="F1113" t="s">
        <v>19</v>
      </c>
      <c r="G1113" t="s">
        <v>19</v>
      </c>
      <c r="H1113" t="s">
        <v>82</v>
      </c>
      <c r="I1113" t="s">
        <v>2870</v>
      </c>
      <c r="J1113">
        <v>26</v>
      </c>
      <c r="K1113" t="s">
        <v>84</v>
      </c>
      <c r="L1113" t="s">
        <v>85</v>
      </c>
      <c r="M1113" t="s">
        <v>86</v>
      </c>
      <c r="N1113">
        <v>3</v>
      </c>
      <c r="O1113" s="1">
        <v>44209.652766203704</v>
      </c>
      <c r="P1113" s="1">
        <v>44210.33258101852</v>
      </c>
      <c r="Q1113">
        <v>54673</v>
      </c>
      <c r="R1113">
        <v>4063</v>
      </c>
      <c r="S1113" t="b">
        <v>0</v>
      </c>
      <c r="T1113" t="s">
        <v>87</v>
      </c>
      <c r="U1113" t="b">
        <v>1</v>
      </c>
      <c r="V1113" t="s">
        <v>259</v>
      </c>
      <c r="W1113" s="1">
        <v>44209.686759259261</v>
      </c>
      <c r="X1113">
        <v>2768</v>
      </c>
      <c r="Y1113">
        <v>241</v>
      </c>
      <c r="Z1113">
        <v>0</v>
      </c>
      <c r="AA1113">
        <v>241</v>
      </c>
      <c r="AB1113">
        <v>0</v>
      </c>
      <c r="AC1113">
        <v>107</v>
      </c>
      <c r="AD1113">
        <v>-215</v>
      </c>
      <c r="AE1113">
        <v>0</v>
      </c>
      <c r="AF1113">
        <v>0</v>
      </c>
      <c r="AG1113">
        <v>0</v>
      </c>
      <c r="AH1113" t="s">
        <v>267</v>
      </c>
      <c r="AI1113" s="1">
        <v>44209.703981481478</v>
      </c>
      <c r="AJ1113">
        <v>1255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-215</v>
      </c>
      <c r="AQ1113">
        <v>0</v>
      </c>
      <c r="AR1113">
        <v>0</v>
      </c>
      <c r="AS1113">
        <v>0</v>
      </c>
      <c r="AT1113" t="s">
        <v>90</v>
      </c>
      <c r="AU1113" s="1">
        <v>44210.33258101852</v>
      </c>
      <c r="AV1113">
        <v>40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-215</v>
      </c>
      <c r="BC1113">
        <v>0</v>
      </c>
      <c r="BD1113">
        <v>0</v>
      </c>
      <c r="BE1113">
        <v>0</v>
      </c>
    </row>
    <row r="1114" spans="1:57" x14ac:dyDescent="0.45">
      <c r="A1114" t="s">
        <v>2877</v>
      </c>
      <c r="B1114" t="s">
        <v>79</v>
      </c>
      <c r="C1114" t="s">
        <v>1220</v>
      </c>
      <c r="D1114" t="s">
        <v>81</v>
      </c>
      <c r="E1114" s="2" t="str">
        <f>HYPERLINK("capsilon://?command=openfolder&amp;siteaddress=FAM.docvelocity-na8.net&amp;folderid=FX68476497-1A07-2542-3773-3C7E47CB44FA","FX201111788")</f>
        <v>FX201111788</v>
      </c>
      <c r="F1114" t="s">
        <v>19</v>
      </c>
      <c r="G1114" t="s">
        <v>19</v>
      </c>
      <c r="H1114" t="s">
        <v>82</v>
      </c>
      <c r="I1114" t="s">
        <v>2854</v>
      </c>
      <c r="J1114">
        <v>275</v>
      </c>
      <c r="K1114" t="s">
        <v>84</v>
      </c>
      <c r="L1114" t="s">
        <v>85</v>
      </c>
      <c r="M1114" t="s">
        <v>86</v>
      </c>
      <c r="N1114">
        <v>3</v>
      </c>
      <c r="O1114" s="1">
        <v>44209.656307870369</v>
      </c>
      <c r="P1114" s="1">
        <v>44210.333599537036</v>
      </c>
      <c r="Q1114">
        <v>53662</v>
      </c>
      <c r="R1114">
        <v>4856</v>
      </c>
      <c r="S1114" t="b">
        <v>0</v>
      </c>
      <c r="T1114" t="s">
        <v>87</v>
      </c>
      <c r="U1114" t="b">
        <v>1</v>
      </c>
      <c r="V1114" t="s">
        <v>160</v>
      </c>
      <c r="W1114" s="1">
        <v>44209.701296296298</v>
      </c>
      <c r="X1114">
        <v>3837</v>
      </c>
      <c r="Y1114">
        <v>188</v>
      </c>
      <c r="Z1114">
        <v>0</v>
      </c>
      <c r="AA1114">
        <v>188</v>
      </c>
      <c r="AB1114">
        <v>0</v>
      </c>
      <c r="AC1114">
        <v>69</v>
      </c>
      <c r="AD1114">
        <v>87</v>
      </c>
      <c r="AE1114">
        <v>0</v>
      </c>
      <c r="AF1114">
        <v>0</v>
      </c>
      <c r="AG1114">
        <v>0</v>
      </c>
      <c r="AH1114" t="s">
        <v>267</v>
      </c>
      <c r="AI1114" s="1">
        <v>44209.714502314811</v>
      </c>
      <c r="AJ1114">
        <v>908</v>
      </c>
      <c r="AK1114">
        <v>1</v>
      </c>
      <c r="AL1114">
        <v>0</v>
      </c>
      <c r="AM1114">
        <v>1</v>
      </c>
      <c r="AN1114">
        <v>0</v>
      </c>
      <c r="AO1114">
        <v>1</v>
      </c>
      <c r="AP1114">
        <v>86</v>
      </c>
      <c r="AQ1114">
        <v>0</v>
      </c>
      <c r="AR1114">
        <v>0</v>
      </c>
      <c r="AS1114">
        <v>0</v>
      </c>
      <c r="AT1114" t="s">
        <v>90</v>
      </c>
      <c r="AU1114" s="1">
        <v>44210.333599537036</v>
      </c>
      <c r="AV1114">
        <v>88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86</v>
      </c>
      <c r="BC1114">
        <v>0</v>
      </c>
      <c r="BD1114">
        <v>0</v>
      </c>
      <c r="BE1114">
        <v>0</v>
      </c>
    </row>
    <row r="1115" spans="1:57" x14ac:dyDescent="0.45">
      <c r="A1115" t="s">
        <v>2878</v>
      </c>
      <c r="B1115" t="s">
        <v>79</v>
      </c>
      <c r="C1115" t="s">
        <v>2872</v>
      </c>
      <c r="D1115" t="s">
        <v>81</v>
      </c>
      <c r="E1115" s="2" t="str">
        <f>HYPERLINK("capsilon://?command=openfolder&amp;siteaddress=FAM.docvelocity-na8.net&amp;folderid=FXB2956453-2B80-097C-DFCB-AC27A0A7CBED","FX21017147")</f>
        <v>FX21017147</v>
      </c>
      <c r="F1115" t="s">
        <v>19</v>
      </c>
      <c r="G1115" t="s">
        <v>19</v>
      </c>
      <c r="H1115" t="s">
        <v>82</v>
      </c>
      <c r="I1115" t="s">
        <v>2873</v>
      </c>
      <c r="J1115">
        <v>52</v>
      </c>
      <c r="K1115" t="s">
        <v>84</v>
      </c>
      <c r="L1115" t="s">
        <v>85</v>
      </c>
      <c r="M1115" t="s">
        <v>86</v>
      </c>
      <c r="N1115">
        <v>3</v>
      </c>
      <c r="O1115" s="1">
        <v>44209.657025462962</v>
      </c>
      <c r="P1115" s="1">
        <v>44210.334027777775</v>
      </c>
      <c r="Q1115">
        <v>54962</v>
      </c>
      <c r="R1115">
        <v>3531</v>
      </c>
      <c r="S1115" t="b">
        <v>0</v>
      </c>
      <c r="T1115" t="s">
        <v>87</v>
      </c>
      <c r="U1115" t="b">
        <v>1</v>
      </c>
      <c r="V1115" t="s">
        <v>255</v>
      </c>
      <c r="W1115" s="1">
        <v>44209.70480324074</v>
      </c>
      <c r="X1115">
        <v>2314</v>
      </c>
      <c r="Y1115">
        <v>283</v>
      </c>
      <c r="Z1115">
        <v>0</v>
      </c>
      <c r="AA1115">
        <v>283</v>
      </c>
      <c r="AB1115">
        <v>111</v>
      </c>
      <c r="AC1115">
        <v>251</v>
      </c>
      <c r="AD1115">
        <v>-231</v>
      </c>
      <c r="AE1115">
        <v>0</v>
      </c>
      <c r="AF1115">
        <v>0</v>
      </c>
      <c r="AG1115">
        <v>0</v>
      </c>
      <c r="AH1115" t="s">
        <v>128</v>
      </c>
      <c r="AI1115" s="1">
        <v>44209.719814814816</v>
      </c>
      <c r="AJ1115">
        <v>1181</v>
      </c>
      <c r="AK1115">
        <v>0</v>
      </c>
      <c r="AL1115">
        <v>0</v>
      </c>
      <c r="AM1115">
        <v>0</v>
      </c>
      <c r="AN1115">
        <v>37</v>
      </c>
      <c r="AO1115">
        <v>0</v>
      </c>
      <c r="AP1115">
        <v>-231</v>
      </c>
      <c r="AQ1115">
        <v>0</v>
      </c>
      <c r="AR1115">
        <v>0</v>
      </c>
      <c r="AS1115">
        <v>0</v>
      </c>
      <c r="AT1115" t="s">
        <v>90</v>
      </c>
      <c r="AU1115" s="1">
        <v>44210.334027777775</v>
      </c>
      <c r="AV1115">
        <v>36</v>
      </c>
      <c r="AW1115">
        <v>0</v>
      </c>
      <c r="AX1115">
        <v>0</v>
      </c>
      <c r="AY1115">
        <v>0</v>
      </c>
      <c r="AZ1115">
        <v>37</v>
      </c>
      <c r="BA1115">
        <v>0</v>
      </c>
      <c r="BB1115">
        <v>-231</v>
      </c>
      <c r="BC1115">
        <v>0</v>
      </c>
      <c r="BD1115">
        <v>0</v>
      </c>
      <c r="BE1115">
        <v>0</v>
      </c>
    </row>
    <row r="1116" spans="1:57" x14ac:dyDescent="0.45">
      <c r="A1116" t="s">
        <v>2879</v>
      </c>
      <c r="B1116" t="s">
        <v>79</v>
      </c>
      <c r="C1116" t="s">
        <v>442</v>
      </c>
      <c r="D1116" t="s">
        <v>81</v>
      </c>
      <c r="E1116" s="2" t="str">
        <f>HYPERLINK("capsilon://?command=openfolder&amp;siteaddress=FAM.docvelocity-na8.net&amp;folderid=FX4A1920FC-25A5-7C14-09FE-D4F5CF9E70C3","FX201225769")</f>
        <v>FX201225769</v>
      </c>
      <c r="F1116" t="s">
        <v>19</v>
      </c>
      <c r="G1116" t="s">
        <v>19</v>
      </c>
      <c r="H1116" t="s">
        <v>82</v>
      </c>
      <c r="I1116" t="s">
        <v>2880</v>
      </c>
      <c r="J1116">
        <v>486</v>
      </c>
      <c r="K1116" t="s">
        <v>84</v>
      </c>
      <c r="L1116" t="s">
        <v>85</v>
      </c>
      <c r="M1116" t="s">
        <v>86</v>
      </c>
      <c r="N1116">
        <v>3</v>
      </c>
      <c r="O1116" s="1">
        <v>44200.668796296297</v>
      </c>
      <c r="P1116" s="1">
        <v>44201.393912037034</v>
      </c>
      <c r="Q1116">
        <v>57715</v>
      </c>
      <c r="R1116">
        <v>4935</v>
      </c>
      <c r="S1116" t="b">
        <v>0</v>
      </c>
      <c r="T1116" t="s">
        <v>87</v>
      </c>
      <c r="U1116" t="b">
        <v>0</v>
      </c>
      <c r="V1116" t="s">
        <v>242</v>
      </c>
      <c r="W1116" s="1">
        <v>44200.818368055552</v>
      </c>
      <c r="X1116">
        <v>4059</v>
      </c>
      <c r="Y1116">
        <v>396</v>
      </c>
      <c r="Z1116">
        <v>0</v>
      </c>
      <c r="AA1116">
        <v>396</v>
      </c>
      <c r="AB1116">
        <v>37</v>
      </c>
      <c r="AC1116">
        <v>97</v>
      </c>
      <c r="AD1116">
        <v>90</v>
      </c>
      <c r="AE1116">
        <v>0</v>
      </c>
      <c r="AF1116">
        <v>0</v>
      </c>
      <c r="AG1116">
        <v>0</v>
      </c>
      <c r="AH1116" t="s">
        <v>94</v>
      </c>
      <c r="AI1116" s="1">
        <v>44200.833275462966</v>
      </c>
      <c r="AJ1116">
        <v>822</v>
      </c>
      <c r="AK1116">
        <v>2</v>
      </c>
      <c r="AL1116">
        <v>0</v>
      </c>
      <c r="AM1116">
        <v>2</v>
      </c>
      <c r="AN1116">
        <v>37</v>
      </c>
      <c r="AO1116">
        <v>1</v>
      </c>
      <c r="AP1116">
        <v>88</v>
      </c>
      <c r="AQ1116">
        <v>0</v>
      </c>
      <c r="AR1116">
        <v>0</v>
      </c>
      <c r="AS1116">
        <v>0</v>
      </c>
      <c r="AT1116" t="s">
        <v>90</v>
      </c>
      <c r="AU1116" s="1">
        <v>44201.393912037034</v>
      </c>
      <c r="AV1116">
        <v>39</v>
      </c>
      <c r="AW1116">
        <v>0</v>
      </c>
      <c r="AX1116">
        <v>0</v>
      </c>
      <c r="AY1116">
        <v>0</v>
      </c>
      <c r="AZ1116">
        <v>37</v>
      </c>
      <c r="BA1116">
        <v>0</v>
      </c>
      <c r="BB1116">
        <v>88</v>
      </c>
      <c r="BC1116">
        <v>0</v>
      </c>
      <c r="BD1116">
        <v>0</v>
      </c>
      <c r="BE1116">
        <v>0</v>
      </c>
    </row>
    <row r="1117" spans="1:57" x14ac:dyDescent="0.45">
      <c r="A1117" t="s">
        <v>2881</v>
      </c>
      <c r="B1117" t="s">
        <v>79</v>
      </c>
      <c r="C1117" t="s">
        <v>2882</v>
      </c>
      <c r="D1117" t="s">
        <v>81</v>
      </c>
      <c r="E1117" s="2" t="str">
        <f>HYPERLINK("capsilon://?command=openfolder&amp;siteaddress=FAM.docvelocity-na8.net&amp;folderid=FXC9769D95-F2B7-E14F-60C9-C8ED0DA5BBB8","FX20116137")</f>
        <v>FX20116137</v>
      </c>
      <c r="F1117" t="s">
        <v>19</v>
      </c>
      <c r="G1117" t="s">
        <v>19</v>
      </c>
      <c r="H1117" t="s">
        <v>82</v>
      </c>
      <c r="I1117" t="s">
        <v>2883</v>
      </c>
      <c r="J1117">
        <v>31</v>
      </c>
      <c r="K1117" t="s">
        <v>84</v>
      </c>
      <c r="L1117" t="s">
        <v>85</v>
      </c>
      <c r="M1117" t="s">
        <v>86</v>
      </c>
      <c r="N1117">
        <v>3</v>
      </c>
      <c r="O1117" s="1">
        <v>44209.667824074073</v>
      </c>
      <c r="P1117" s="1">
        <v>44210.343425925923</v>
      </c>
      <c r="Q1117">
        <v>55813</v>
      </c>
      <c r="R1117">
        <v>2559</v>
      </c>
      <c r="S1117" t="b">
        <v>0</v>
      </c>
      <c r="T1117" t="s">
        <v>87</v>
      </c>
      <c r="U1117" t="b">
        <v>0</v>
      </c>
      <c r="V1117" t="s">
        <v>171</v>
      </c>
      <c r="W1117" s="1">
        <v>44209.694143518522</v>
      </c>
      <c r="X1117">
        <v>2273</v>
      </c>
      <c r="Y1117">
        <v>82</v>
      </c>
      <c r="Z1117">
        <v>0</v>
      </c>
      <c r="AA1117">
        <v>82</v>
      </c>
      <c r="AB1117">
        <v>0</v>
      </c>
      <c r="AC1117">
        <v>73</v>
      </c>
      <c r="AD1117">
        <v>-51</v>
      </c>
      <c r="AE1117">
        <v>0</v>
      </c>
      <c r="AF1117">
        <v>0</v>
      </c>
      <c r="AG1117">
        <v>0</v>
      </c>
      <c r="AH1117" t="s">
        <v>267</v>
      </c>
      <c r="AI1117" s="1">
        <v>44209.72</v>
      </c>
      <c r="AJ1117">
        <v>217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-51</v>
      </c>
      <c r="AQ1117">
        <v>0</v>
      </c>
      <c r="AR1117">
        <v>0</v>
      </c>
      <c r="AS1117">
        <v>0</v>
      </c>
      <c r="AT1117" t="s">
        <v>90</v>
      </c>
      <c r="AU1117" s="1">
        <v>44210.343425925923</v>
      </c>
      <c r="AV1117">
        <v>69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-51</v>
      </c>
      <c r="BC1117">
        <v>0</v>
      </c>
      <c r="BD1117">
        <v>0</v>
      </c>
      <c r="BE1117">
        <v>0</v>
      </c>
    </row>
    <row r="1118" spans="1:57" x14ac:dyDescent="0.45">
      <c r="A1118" t="s">
        <v>2884</v>
      </c>
      <c r="B1118" t="s">
        <v>79</v>
      </c>
      <c r="C1118" t="s">
        <v>2885</v>
      </c>
      <c r="D1118" t="s">
        <v>81</v>
      </c>
      <c r="E1118" s="2" t="str">
        <f>HYPERLINK("capsilon://?command=openfolder&amp;siteaddress=FAM.docvelocity-na8.net&amp;folderid=FX7A1DEE5D-8757-06BD-A283-CF1CAF6068E8","FX21017668")</f>
        <v>FX21017668</v>
      </c>
      <c r="F1118" t="s">
        <v>19</v>
      </c>
      <c r="G1118" t="s">
        <v>19</v>
      </c>
      <c r="H1118" t="s">
        <v>82</v>
      </c>
      <c r="I1118" t="s">
        <v>2886</v>
      </c>
      <c r="J1118">
        <v>214</v>
      </c>
      <c r="K1118" t="s">
        <v>84</v>
      </c>
      <c r="L1118" t="s">
        <v>85</v>
      </c>
      <c r="M1118" t="s">
        <v>86</v>
      </c>
      <c r="N1118">
        <v>3</v>
      </c>
      <c r="O1118" s="1">
        <v>44209.667881944442</v>
      </c>
      <c r="P1118" s="1">
        <v>44210.343819444446</v>
      </c>
      <c r="Q1118">
        <v>53874</v>
      </c>
      <c r="R1118">
        <v>4527</v>
      </c>
      <c r="S1118" t="b">
        <v>0</v>
      </c>
      <c r="T1118" t="s">
        <v>87</v>
      </c>
      <c r="U1118" t="b">
        <v>0</v>
      </c>
      <c r="V1118" t="s">
        <v>179</v>
      </c>
      <c r="W1118" s="1">
        <v>44209.714988425927</v>
      </c>
      <c r="X1118">
        <v>4069</v>
      </c>
      <c r="Y1118">
        <v>204</v>
      </c>
      <c r="Z1118">
        <v>0</v>
      </c>
      <c r="AA1118">
        <v>204</v>
      </c>
      <c r="AB1118">
        <v>0</v>
      </c>
      <c r="AC1118">
        <v>136</v>
      </c>
      <c r="AD1118">
        <v>10</v>
      </c>
      <c r="AE1118">
        <v>0</v>
      </c>
      <c r="AF1118">
        <v>0</v>
      </c>
      <c r="AG1118">
        <v>0</v>
      </c>
      <c r="AH1118" t="s">
        <v>128</v>
      </c>
      <c r="AI1118" s="1">
        <v>44209.724733796298</v>
      </c>
      <c r="AJ1118">
        <v>424</v>
      </c>
      <c r="AK1118">
        <v>2</v>
      </c>
      <c r="AL1118">
        <v>0</v>
      </c>
      <c r="AM1118">
        <v>2</v>
      </c>
      <c r="AN1118">
        <v>0</v>
      </c>
      <c r="AO1118">
        <v>2</v>
      </c>
      <c r="AP1118">
        <v>8</v>
      </c>
      <c r="AQ1118">
        <v>0</v>
      </c>
      <c r="AR1118">
        <v>0</v>
      </c>
      <c r="AS1118">
        <v>0</v>
      </c>
      <c r="AT1118" t="s">
        <v>90</v>
      </c>
      <c r="AU1118" s="1">
        <v>44210.343819444446</v>
      </c>
      <c r="AV1118">
        <v>34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8</v>
      </c>
      <c r="BC1118">
        <v>0</v>
      </c>
      <c r="BD1118">
        <v>0</v>
      </c>
      <c r="BE1118">
        <v>0</v>
      </c>
    </row>
    <row r="1119" spans="1:57" x14ac:dyDescent="0.45">
      <c r="A1119" t="s">
        <v>2887</v>
      </c>
      <c r="B1119" t="s">
        <v>79</v>
      </c>
      <c r="C1119" t="s">
        <v>2882</v>
      </c>
      <c r="D1119" t="s">
        <v>81</v>
      </c>
      <c r="E1119" s="2" t="str">
        <f>HYPERLINK("capsilon://?command=openfolder&amp;siteaddress=FAM.docvelocity-na8.net&amp;folderid=FXC9769D95-F2B7-E14F-60C9-C8ED0DA5BBB8","FX20116137")</f>
        <v>FX20116137</v>
      </c>
      <c r="F1119" t="s">
        <v>19</v>
      </c>
      <c r="G1119" t="s">
        <v>19</v>
      </c>
      <c r="H1119" t="s">
        <v>82</v>
      </c>
      <c r="I1119" t="s">
        <v>2888</v>
      </c>
      <c r="J1119">
        <v>31</v>
      </c>
      <c r="K1119" t="s">
        <v>84</v>
      </c>
      <c r="L1119" t="s">
        <v>85</v>
      </c>
      <c r="M1119" t="s">
        <v>86</v>
      </c>
      <c r="N1119">
        <v>3</v>
      </c>
      <c r="O1119" s="1">
        <v>44209.668402777781</v>
      </c>
      <c r="P1119" s="1">
        <v>44210.344421296293</v>
      </c>
      <c r="Q1119">
        <v>56062</v>
      </c>
      <c r="R1119">
        <v>2346</v>
      </c>
      <c r="S1119" t="b">
        <v>0</v>
      </c>
      <c r="T1119" t="s">
        <v>87</v>
      </c>
      <c r="U1119" t="b">
        <v>0</v>
      </c>
      <c r="V1119" t="s">
        <v>146</v>
      </c>
      <c r="W1119" s="1">
        <v>44209.69259259259</v>
      </c>
      <c r="X1119">
        <v>2089</v>
      </c>
      <c r="Y1119">
        <v>82</v>
      </c>
      <c r="Z1119">
        <v>0</v>
      </c>
      <c r="AA1119">
        <v>82</v>
      </c>
      <c r="AB1119">
        <v>0</v>
      </c>
      <c r="AC1119">
        <v>75</v>
      </c>
      <c r="AD1119">
        <v>-51</v>
      </c>
      <c r="AE1119">
        <v>0</v>
      </c>
      <c r="AF1119">
        <v>0</v>
      </c>
      <c r="AG1119">
        <v>0</v>
      </c>
      <c r="AH1119" t="s">
        <v>267</v>
      </c>
      <c r="AI1119" s="1">
        <v>44209.722395833334</v>
      </c>
      <c r="AJ1119">
        <v>206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-51</v>
      </c>
      <c r="AQ1119">
        <v>0</v>
      </c>
      <c r="AR1119">
        <v>0</v>
      </c>
      <c r="AS1119">
        <v>0</v>
      </c>
      <c r="AT1119" t="s">
        <v>90</v>
      </c>
      <c r="AU1119" s="1">
        <v>44210.344421296293</v>
      </c>
      <c r="AV1119">
        <v>51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-51</v>
      </c>
      <c r="BC1119">
        <v>0</v>
      </c>
      <c r="BD1119">
        <v>0</v>
      </c>
      <c r="BE1119">
        <v>0</v>
      </c>
    </row>
    <row r="1120" spans="1:57" x14ac:dyDescent="0.45">
      <c r="A1120" t="s">
        <v>2889</v>
      </c>
      <c r="B1120" t="s">
        <v>79</v>
      </c>
      <c r="C1120" t="s">
        <v>2882</v>
      </c>
      <c r="D1120" t="s">
        <v>81</v>
      </c>
      <c r="E1120" s="2" t="str">
        <f>HYPERLINK("capsilon://?command=openfolder&amp;siteaddress=FAM.docvelocity-na8.net&amp;folderid=FXC9769D95-F2B7-E14F-60C9-C8ED0DA5BBB8","FX20116137")</f>
        <v>FX20116137</v>
      </c>
      <c r="F1120" t="s">
        <v>19</v>
      </c>
      <c r="G1120" t="s">
        <v>19</v>
      </c>
      <c r="H1120" t="s">
        <v>82</v>
      </c>
      <c r="I1120" t="s">
        <v>2890</v>
      </c>
      <c r="J1120">
        <v>31</v>
      </c>
      <c r="K1120" t="s">
        <v>84</v>
      </c>
      <c r="L1120" t="s">
        <v>85</v>
      </c>
      <c r="M1120" t="s">
        <v>86</v>
      </c>
      <c r="N1120">
        <v>3</v>
      </c>
      <c r="O1120" s="1">
        <v>44209.668715277781</v>
      </c>
      <c r="P1120" s="1">
        <v>44210.34447916667</v>
      </c>
      <c r="Q1120">
        <v>56272</v>
      </c>
      <c r="R1120">
        <v>2114</v>
      </c>
      <c r="S1120" t="b">
        <v>0</v>
      </c>
      <c r="T1120" t="s">
        <v>87</v>
      </c>
      <c r="U1120" t="b">
        <v>0</v>
      </c>
      <c r="V1120" t="s">
        <v>168</v>
      </c>
      <c r="W1120" s="1">
        <v>44209.689560185187</v>
      </c>
      <c r="X1120">
        <v>1800</v>
      </c>
      <c r="Y1120">
        <v>79</v>
      </c>
      <c r="Z1120">
        <v>0</v>
      </c>
      <c r="AA1120">
        <v>79</v>
      </c>
      <c r="AB1120">
        <v>0</v>
      </c>
      <c r="AC1120">
        <v>67</v>
      </c>
      <c r="AD1120">
        <v>-48</v>
      </c>
      <c r="AE1120">
        <v>0</v>
      </c>
      <c r="AF1120">
        <v>0</v>
      </c>
      <c r="AG1120">
        <v>0</v>
      </c>
      <c r="AH1120" t="s">
        <v>128</v>
      </c>
      <c r="AI1120" s="1">
        <v>44209.729722222219</v>
      </c>
      <c r="AJ1120">
        <v>302</v>
      </c>
      <c r="AK1120">
        <v>2</v>
      </c>
      <c r="AL1120">
        <v>0</v>
      </c>
      <c r="AM1120">
        <v>2</v>
      </c>
      <c r="AN1120">
        <v>0</v>
      </c>
      <c r="AO1120">
        <v>2</v>
      </c>
      <c r="AP1120">
        <v>-50</v>
      </c>
      <c r="AQ1120">
        <v>0</v>
      </c>
      <c r="AR1120">
        <v>0</v>
      </c>
      <c r="AS1120">
        <v>0</v>
      </c>
      <c r="AT1120" t="s">
        <v>90</v>
      </c>
      <c r="AU1120" s="1">
        <v>44210.34447916667</v>
      </c>
      <c r="AV1120">
        <v>4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-50</v>
      </c>
      <c r="BC1120">
        <v>0</v>
      </c>
      <c r="BD1120">
        <v>0</v>
      </c>
      <c r="BE1120">
        <v>0</v>
      </c>
    </row>
    <row r="1121" spans="1:57" x14ac:dyDescent="0.45">
      <c r="A1121" t="s">
        <v>2891</v>
      </c>
      <c r="B1121" t="s">
        <v>79</v>
      </c>
      <c r="C1121" t="s">
        <v>2882</v>
      </c>
      <c r="D1121" t="s">
        <v>81</v>
      </c>
      <c r="E1121" s="2" t="str">
        <f>HYPERLINK("capsilon://?command=openfolder&amp;siteaddress=FAM.docvelocity-na8.net&amp;folderid=FXC9769D95-F2B7-E14F-60C9-C8ED0DA5BBB8","FX20116137")</f>
        <v>FX20116137</v>
      </c>
      <c r="F1121" t="s">
        <v>19</v>
      </c>
      <c r="G1121" t="s">
        <v>19</v>
      </c>
      <c r="H1121" t="s">
        <v>82</v>
      </c>
      <c r="I1121" t="s">
        <v>2892</v>
      </c>
      <c r="J1121">
        <v>31</v>
      </c>
      <c r="K1121" t="s">
        <v>84</v>
      </c>
      <c r="L1121" t="s">
        <v>85</v>
      </c>
      <c r="M1121" t="s">
        <v>86</v>
      </c>
      <c r="N1121">
        <v>3</v>
      </c>
      <c r="O1121" s="1">
        <v>44209.668981481482</v>
      </c>
      <c r="P1121" s="1">
        <v>44210.344513888886</v>
      </c>
      <c r="Q1121">
        <v>57714</v>
      </c>
      <c r="R1121">
        <v>652</v>
      </c>
      <c r="S1121" t="b">
        <v>0</v>
      </c>
      <c r="T1121" t="s">
        <v>87</v>
      </c>
      <c r="U1121" t="b">
        <v>0</v>
      </c>
      <c r="V1121" t="s">
        <v>242</v>
      </c>
      <c r="W1121" s="1">
        <v>44209.673368055555</v>
      </c>
      <c r="X1121">
        <v>368</v>
      </c>
      <c r="Y1121">
        <v>69</v>
      </c>
      <c r="Z1121">
        <v>0</v>
      </c>
      <c r="AA1121">
        <v>69</v>
      </c>
      <c r="AB1121">
        <v>0</v>
      </c>
      <c r="AC1121">
        <v>59</v>
      </c>
      <c r="AD1121">
        <v>-38</v>
      </c>
      <c r="AE1121">
        <v>0</v>
      </c>
      <c r="AF1121">
        <v>0</v>
      </c>
      <c r="AG1121">
        <v>0</v>
      </c>
      <c r="AH1121" t="s">
        <v>267</v>
      </c>
      <c r="AI1121" s="1">
        <v>44209.685347222221</v>
      </c>
      <c r="AJ1121">
        <v>281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-38</v>
      </c>
      <c r="AQ1121">
        <v>0</v>
      </c>
      <c r="AR1121">
        <v>0</v>
      </c>
      <c r="AS1121">
        <v>0</v>
      </c>
      <c r="AT1121" t="s">
        <v>90</v>
      </c>
      <c r="AU1121" s="1">
        <v>44210.344513888886</v>
      </c>
      <c r="AV1121">
        <v>3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-38</v>
      </c>
      <c r="BC1121">
        <v>0</v>
      </c>
      <c r="BD1121">
        <v>0</v>
      </c>
      <c r="BE1121">
        <v>0</v>
      </c>
    </row>
    <row r="1122" spans="1:57" x14ac:dyDescent="0.45">
      <c r="A1122" t="s">
        <v>2893</v>
      </c>
      <c r="B1122" t="s">
        <v>79</v>
      </c>
      <c r="C1122" t="s">
        <v>2882</v>
      </c>
      <c r="D1122" t="s">
        <v>81</v>
      </c>
      <c r="E1122" s="2" t="str">
        <f>HYPERLINK("capsilon://?command=openfolder&amp;siteaddress=FAM.docvelocity-na8.net&amp;folderid=FXC9769D95-F2B7-E14F-60C9-C8ED0DA5BBB8","FX20116137")</f>
        <v>FX20116137</v>
      </c>
      <c r="F1122" t="s">
        <v>19</v>
      </c>
      <c r="G1122" t="s">
        <v>19</v>
      </c>
      <c r="H1122" t="s">
        <v>82</v>
      </c>
      <c r="I1122" t="s">
        <v>2894</v>
      </c>
      <c r="J1122">
        <v>31</v>
      </c>
      <c r="K1122" t="s">
        <v>84</v>
      </c>
      <c r="L1122" t="s">
        <v>85</v>
      </c>
      <c r="M1122" t="s">
        <v>86</v>
      </c>
      <c r="N1122">
        <v>3</v>
      </c>
      <c r="O1122" s="1">
        <v>44209.669340277775</v>
      </c>
      <c r="P1122" s="1">
        <v>44210.344571759262</v>
      </c>
      <c r="Q1122">
        <v>57190</v>
      </c>
      <c r="R1122">
        <v>1150</v>
      </c>
      <c r="S1122" t="b">
        <v>0</v>
      </c>
      <c r="T1122" t="s">
        <v>87</v>
      </c>
      <c r="U1122" t="b">
        <v>0</v>
      </c>
      <c r="V1122" t="s">
        <v>255</v>
      </c>
      <c r="W1122" s="1">
        <v>44209.678726851853</v>
      </c>
      <c r="X1122">
        <v>792</v>
      </c>
      <c r="Y1122">
        <v>79</v>
      </c>
      <c r="Z1122">
        <v>0</v>
      </c>
      <c r="AA1122">
        <v>79</v>
      </c>
      <c r="AB1122">
        <v>0</v>
      </c>
      <c r="AC1122">
        <v>69</v>
      </c>
      <c r="AD1122">
        <v>-48</v>
      </c>
      <c r="AE1122">
        <v>0</v>
      </c>
      <c r="AF1122">
        <v>0</v>
      </c>
      <c r="AG1122">
        <v>0</v>
      </c>
      <c r="AH1122" t="s">
        <v>267</v>
      </c>
      <c r="AI1122" s="1">
        <v>44209.689444444448</v>
      </c>
      <c r="AJ1122">
        <v>354</v>
      </c>
      <c r="AK1122">
        <v>2</v>
      </c>
      <c r="AL1122">
        <v>0</v>
      </c>
      <c r="AM1122">
        <v>2</v>
      </c>
      <c r="AN1122">
        <v>0</v>
      </c>
      <c r="AO1122">
        <v>2</v>
      </c>
      <c r="AP1122">
        <v>-50</v>
      </c>
      <c r="AQ1122">
        <v>0</v>
      </c>
      <c r="AR1122">
        <v>0</v>
      </c>
      <c r="AS1122">
        <v>0</v>
      </c>
      <c r="AT1122" t="s">
        <v>90</v>
      </c>
      <c r="AU1122" s="1">
        <v>44210.344571759262</v>
      </c>
      <c r="AV1122">
        <v>4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-50</v>
      </c>
      <c r="BC1122">
        <v>0</v>
      </c>
      <c r="BD1122">
        <v>0</v>
      </c>
      <c r="BE1122">
        <v>0</v>
      </c>
    </row>
    <row r="1123" spans="1:57" x14ac:dyDescent="0.45">
      <c r="A1123" t="s">
        <v>2895</v>
      </c>
      <c r="B1123" t="s">
        <v>79</v>
      </c>
      <c r="C1123" t="s">
        <v>2882</v>
      </c>
      <c r="D1123" t="s">
        <v>81</v>
      </c>
      <c r="E1123" s="2" t="str">
        <f>HYPERLINK("capsilon://?command=openfolder&amp;siteaddress=FAM.docvelocity-na8.net&amp;folderid=FXC9769D95-F2B7-E14F-60C9-C8ED0DA5BBB8","FX20116137")</f>
        <v>FX20116137</v>
      </c>
      <c r="F1123" t="s">
        <v>19</v>
      </c>
      <c r="G1123" t="s">
        <v>19</v>
      </c>
      <c r="H1123" t="s">
        <v>82</v>
      </c>
      <c r="I1123" t="s">
        <v>2896</v>
      </c>
      <c r="J1123">
        <v>31</v>
      </c>
      <c r="K1123" t="s">
        <v>84</v>
      </c>
      <c r="L1123" t="s">
        <v>85</v>
      </c>
      <c r="M1123" t="s">
        <v>86</v>
      </c>
      <c r="N1123">
        <v>3</v>
      </c>
      <c r="O1123" s="1">
        <v>44209.669560185182</v>
      </c>
      <c r="P1123" s="1">
        <v>44210.344664351855</v>
      </c>
      <c r="Q1123">
        <v>57334</v>
      </c>
      <c r="R1123">
        <v>995</v>
      </c>
      <c r="S1123" t="b">
        <v>0</v>
      </c>
      <c r="T1123" t="s">
        <v>87</v>
      </c>
      <c r="U1123" t="b">
        <v>0</v>
      </c>
      <c r="V1123" t="s">
        <v>242</v>
      </c>
      <c r="W1123" s="1">
        <v>44209.682581018518</v>
      </c>
      <c r="X1123">
        <v>795</v>
      </c>
      <c r="Y1123">
        <v>69</v>
      </c>
      <c r="Z1123">
        <v>0</v>
      </c>
      <c r="AA1123">
        <v>69</v>
      </c>
      <c r="AB1123">
        <v>0</v>
      </c>
      <c r="AC1123">
        <v>59</v>
      </c>
      <c r="AD1123">
        <v>-38</v>
      </c>
      <c r="AE1123">
        <v>0</v>
      </c>
      <c r="AF1123">
        <v>0</v>
      </c>
      <c r="AG1123">
        <v>0</v>
      </c>
      <c r="AH1123" t="s">
        <v>267</v>
      </c>
      <c r="AI1123" s="1">
        <v>44209.729224537034</v>
      </c>
      <c r="AJ1123">
        <v>192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-38</v>
      </c>
      <c r="AQ1123">
        <v>0</v>
      </c>
      <c r="AR1123">
        <v>0</v>
      </c>
      <c r="AS1123">
        <v>0</v>
      </c>
      <c r="AT1123" t="s">
        <v>90</v>
      </c>
      <c r="AU1123" s="1">
        <v>44210.344664351855</v>
      </c>
      <c r="AV1123">
        <v>8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-38</v>
      </c>
      <c r="BC1123">
        <v>0</v>
      </c>
      <c r="BD1123">
        <v>0</v>
      </c>
      <c r="BE1123">
        <v>0</v>
      </c>
    </row>
    <row r="1124" spans="1:57" x14ac:dyDescent="0.45">
      <c r="A1124" t="s">
        <v>2897</v>
      </c>
      <c r="B1124" t="s">
        <v>79</v>
      </c>
      <c r="C1124" t="s">
        <v>967</v>
      </c>
      <c r="D1124" t="s">
        <v>81</v>
      </c>
      <c r="E1124" s="2" t="str">
        <f>HYPERLINK("capsilon://?command=openfolder&amp;siteaddress=FAM.docvelocity-na8.net&amp;folderid=FX77916BE9-19BC-80D2-4FA2-1AA7EF6AC0E5","FX201228437")</f>
        <v>FX201228437</v>
      </c>
      <c r="F1124" t="s">
        <v>19</v>
      </c>
      <c r="G1124" t="s">
        <v>19</v>
      </c>
      <c r="H1124" t="s">
        <v>82</v>
      </c>
      <c r="I1124" t="s">
        <v>2898</v>
      </c>
      <c r="J1124">
        <v>26</v>
      </c>
      <c r="K1124" t="s">
        <v>84</v>
      </c>
      <c r="L1124" t="s">
        <v>85</v>
      </c>
      <c r="M1124" t="s">
        <v>86</v>
      </c>
      <c r="N1124">
        <v>3</v>
      </c>
      <c r="O1124" s="1">
        <v>44209.669594907406</v>
      </c>
      <c r="P1124" s="1">
        <v>44210.345081018517</v>
      </c>
      <c r="Q1124">
        <v>57829</v>
      </c>
      <c r="R1124">
        <v>533</v>
      </c>
      <c r="S1124" t="b">
        <v>0</v>
      </c>
      <c r="T1124" t="s">
        <v>87</v>
      </c>
      <c r="U1124" t="b">
        <v>0</v>
      </c>
      <c r="V1124" t="s">
        <v>242</v>
      </c>
      <c r="W1124" s="1">
        <v>44209.686967592592</v>
      </c>
      <c r="X1124">
        <v>378</v>
      </c>
      <c r="Y1124">
        <v>21</v>
      </c>
      <c r="Z1124">
        <v>0</v>
      </c>
      <c r="AA1124">
        <v>21</v>
      </c>
      <c r="AB1124">
        <v>0</v>
      </c>
      <c r="AC1124">
        <v>19</v>
      </c>
      <c r="AD1124">
        <v>5</v>
      </c>
      <c r="AE1124">
        <v>0</v>
      </c>
      <c r="AF1124">
        <v>0</v>
      </c>
      <c r="AG1124">
        <v>0</v>
      </c>
      <c r="AH1124" t="s">
        <v>128</v>
      </c>
      <c r="AI1124" s="1">
        <v>44209.731122685182</v>
      </c>
      <c r="AJ1124">
        <v>120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5</v>
      </c>
      <c r="AQ1124">
        <v>0</v>
      </c>
      <c r="AR1124">
        <v>0</v>
      </c>
      <c r="AS1124">
        <v>0</v>
      </c>
      <c r="AT1124" t="s">
        <v>90</v>
      </c>
      <c r="AU1124" s="1">
        <v>44210.345081018517</v>
      </c>
      <c r="AV1124">
        <v>35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5</v>
      </c>
      <c r="BC1124">
        <v>0</v>
      </c>
      <c r="BD1124">
        <v>0</v>
      </c>
      <c r="BE1124">
        <v>0</v>
      </c>
    </row>
    <row r="1125" spans="1:57" x14ac:dyDescent="0.45">
      <c r="A1125" t="s">
        <v>2899</v>
      </c>
      <c r="B1125" t="s">
        <v>79</v>
      </c>
      <c r="C1125" t="s">
        <v>2494</v>
      </c>
      <c r="D1125" t="s">
        <v>81</v>
      </c>
      <c r="E1125" s="2" t="str">
        <f>HYPERLINK("capsilon://?command=openfolder&amp;siteaddress=FAM.docvelocity-na8.net&amp;folderid=FX53B9094E-B2C7-A670-7382-762D9F06C029","FX21016207")</f>
        <v>FX21016207</v>
      </c>
      <c r="F1125" t="s">
        <v>19</v>
      </c>
      <c r="G1125" t="s">
        <v>19</v>
      </c>
      <c r="H1125" t="s">
        <v>82</v>
      </c>
      <c r="I1125" t="s">
        <v>2900</v>
      </c>
      <c r="J1125">
        <v>66</v>
      </c>
      <c r="K1125" t="s">
        <v>84</v>
      </c>
      <c r="L1125" t="s">
        <v>85</v>
      </c>
      <c r="M1125" t="s">
        <v>86</v>
      </c>
      <c r="N1125">
        <v>3</v>
      </c>
      <c r="O1125" s="1">
        <v>44209.669872685183</v>
      </c>
      <c r="P1125" s="1">
        <v>44210.345347222225</v>
      </c>
      <c r="Q1125">
        <v>57790</v>
      </c>
      <c r="R1125">
        <v>571</v>
      </c>
      <c r="S1125" t="b">
        <v>0</v>
      </c>
      <c r="T1125" t="s">
        <v>87</v>
      </c>
      <c r="U1125" t="b">
        <v>0</v>
      </c>
      <c r="V1125" t="s">
        <v>343</v>
      </c>
      <c r="W1125" s="1">
        <v>44209.690011574072</v>
      </c>
      <c r="X1125">
        <v>448</v>
      </c>
      <c r="Y1125">
        <v>52</v>
      </c>
      <c r="Z1125">
        <v>0</v>
      </c>
      <c r="AA1125">
        <v>52</v>
      </c>
      <c r="AB1125">
        <v>0</v>
      </c>
      <c r="AC1125">
        <v>23</v>
      </c>
      <c r="AD1125">
        <v>14</v>
      </c>
      <c r="AE1125">
        <v>0</v>
      </c>
      <c r="AF1125">
        <v>0</v>
      </c>
      <c r="AG1125">
        <v>0</v>
      </c>
      <c r="AH1125" t="s">
        <v>128</v>
      </c>
      <c r="AI1125" s="1">
        <v>44209.732291666667</v>
      </c>
      <c r="AJ1125">
        <v>101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14</v>
      </c>
      <c r="AQ1125">
        <v>0</v>
      </c>
      <c r="AR1125">
        <v>0</v>
      </c>
      <c r="AS1125">
        <v>0</v>
      </c>
      <c r="AT1125" t="s">
        <v>90</v>
      </c>
      <c r="AU1125" s="1">
        <v>44210.345347222225</v>
      </c>
      <c r="AV1125">
        <v>22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14</v>
      </c>
      <c r="BC1125">
        <v>0</v>
      </c>
      <c r="BD1125">
        <v>0</v>
      </c>
      <c r="BE1125">
        <v>0</v>
      </c>
    </row>
    <row r="1126" spans="1:57" x14ac:dyDescent="0.45">
      <c r="A1126" t="s">
        <v>2901</v>
      </c>
      <c r="B1126" t="s">
        <v>79</v>
      </c>
      <c r="C1126" t="s">
        <v>2902</v>
      </c>
      <c r="D1126" t="s">
        <v>81</v>
      </c>
      <c r="E1126" s="2" t="str">
        <f>HYPERLINK("capsilon://?command=openfolder&amp;siteaddress=FAM.docvelocity-na8.net&amp;folderid=FX281DA6E9-D862-7F86-FB3F-0B58F0BA727F","FX21014136")</f>
        <v>FX21014136</v>
      </c>
      <c r="F1126" t="s">
        <v>19</v>
      </c>
      <c r="G1126" t="s">
        <v>19</v>
      </c>
      <c r="H1126" t="s">
        <v>82</v>
      </c>
      <c r="I1126" t="s">
        <v>2903</v>
      </c>
      <c r="J1126">
        <v>155</v>
      </c>
      <c r="K1126" t="s">
        <v>84</v>
      </c>
      <c r="L1126" t="s">
        <v>85</v>
      </c>
      <c r="M1126" t="s">
        <v>86</v>
      </c>
      <c r="N1126">
        <v>3</v>
      </c>
      <c r="O1126" s="1">
        <v>44209.671030092592</v>
      </c>
      <c r="P1126" s="1">
        <v>44210.345833333333</v>
      </c>
      <c r="Q1126">
        <v>56425</v>
      </c>
      <c r="R1126">
        <v>1878</v>
      </c>
      <c r="S1126" t="b">
        <v>0</v>
      </c>
      <c r="T1126" t="s">
        <v>87</v>
      </c>
      <c r="U1126" t="b">
        <v>0</v>
      </c>
      <c r="V1126" t="s">
        <v>259</v>
      </c>
      <c r="W1126" s="1">
        <v>44209.704479166663</v>
      </c>
      <c r="X1126">
        <v>1530</v>
      </c>
      <c r="Y1126">
        <v>141</v>
      </c>
      <c r="Z1126">
        <v>0</v>
      </c>
      <c r="AA1126">
        <v>141</v>
      </c>
      <c r="AB1126">
        <v>0</v>
      </c>
      <c r="AC1126">
        <v>61</v>
      </c>
      <c r="AD1126">
        <v>14</v>
      </c>
      <c r="AE1126">
        <v>0</v>
      </c>
      <c r="AF1126">
        <v>0</v>
      </c>
      <c r="AG1126">
        <v>0</v>
      </c>
      <c r="AH1126" t="s">
        <v>128</v>
      </c>
      <c r="AI1126" s="1">
        <v>44209.735682870371</v>
      </c>
      <c r="AJ1126">
        <v>292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14</v>
      </c>
      <c r="AQ1126">
        <v>0</v>
      </c>
      <c r="AR1126">
        <v>0</v>
      </c>
      <c r="AS1126">
        <v>0</v>
      </c>
      <c r="AT1126" t="s">
        <v>90</v>
      </c>
      <c r="AU1126" s="1">
        <v>44210.345833333333</v>
      </c>
      <c r="AV1126">
        <v>41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14</v>
      </c>
      <c r="BC1126">
        <v>0</v>
      </c>
      <c r="BD1126">
        <v>0</v>
      </c>
      <c r="BE1126">
        <v>0</v>
      </c>
    </row>
    <row r="1127" spans="1:57" x14ac:dyDescent="0.45">
      <c r="A1127" t="s">
        <v>2904</v>
      </c>
      <c r="B1127" t="s">
        <v>79</v>
      </c>
      <c r="C1127" t="s">
        <v>2905</v>
      </c>
      <c r="D1127" t="s">
        <v>81</v>
      </c>
      <c r="E1127" s="2" t="str">
        <f>HYPERLINK("capsilon://?command=openfolder&amp;siteaddress=FAM.docvelocity-na8.net&amp;folderid=FX3EC03454-FB9E-CC8F-8B5D-31EF58E2DF55","FX21016785")</f>
        <v>FX21016785</v>
      </c>
      <c r="F1127" t="s">
        <v>19</v>
      </c>
      <c r="G1127" t="s">
        <v>19</v>
      </c>
      <c r="H1127" t="s">
        <v>82</v>
      </c>
      <c r="I1127" t="s">
        <v>2906</v>
      </c>
      <c r="J1127">
        <v>279</v>
      </c>
      <c r="K1127" t="s">
        <v>84</v>
      </c>
      <c r="L1127" t="s">
        <v>85</v>
      </c>
      <c r="M1127" t="s">
        <v>86</v>
      </c>
      <c r="N1127">
        <v>3</v>
      </c>
      <c r="O1127" s="1">
        <v>44209.677766203706</v>
      </c>
      <c r="P1127" s="1">
        <v>44210.347384259258</v>
      </c>
      <c r="Q1127">
        <v>56146</v>
      </c>
      <c r="R1127">
        <v>1709</v>
      </c>
      <c r="S1127" t="b">
        <v>0</v>
      </c>
      <c r="T1127" t="s">
        <v>87</v>
      </c>
      <c r="U1127" t="b">
        <v>0</v>
      </c>
      <c r="V1127" t="s">
        <v>242</v>
      </c>
      <c r="W1127" s="1">
        <v>44209.699374999997</v>
      </c>
      <c r="X1127">
        <v>1071</v>
      </c>
      <c r="Y1127">
        <v>214</v>
      </c>
      <c r="Z1127">
        <v>0</v>
      </c>
      <c r="AA1127">
        <v>214</v>
      </c>
      <c r="AB1127">
        <v>37</v>
      </c>
      <c r="AC1127">
        <v>67</v>
      </c>
      <c r="AD1127">
        <v>65</v>
      </c>
      <c r="AE1127">
        <v>0</v>
      </c>
      <c r="AF1127">
        <v>0</v>
      </c>
      <c r="AG1127">
        <v>0</v>
      </c>
      <c r="AH1127" t="s">
        <v>128</v>
      </c>
      <c r="AI1127" s="1">
        <v>44209.741539351853</v>
      </c>
      <c r="AJ1127">
        <v>505</v>
      </c>
      <c r="AK1127">
        <v>0</v>
      </c>
      <c r="AL1127">
        <v>0</v>
      </c>
      <c r="AM1127">
        <v>0</v>
      </c>
      <c r="AN1127">
        <v>37</v>
      </c>
      <c r="AO1127">
        <v>0</v>
      </c>
      <c r="AP1127">
        <v>65</v>
      </c>
      <c r="AQ1127">
        <v>0</v>
      </c>
      <c r="AR1127">
        <v>0</v>
      </c>
      <c r="AS1127">
        <v>0</v>
      </c>
      <c r="AT1127" t="s">
        <v>90</v>
      </c>
      <c r="AU1127" s="1">
        <v>44210.347384259258</v>
      </c>
      <c r="AV1127">
        <v>133</v>
      </c>
      <c r="AW1127">
        <v>0</v>
      </c>
      <c r="AX1127">
        <v>0</v>
      </c>
      <c r="AY1127">
        <v>0</v>
      </c>
      <c r="AZ1127">
        <v>91</v>
      </c>
      <c r="BA1127">
        <v>0</v>
      </c>
      <c r="BB1127">
        <v>65</v>
      </c>
      <c r="BC1127">
        <v>0</v>
      </c>
      <c r="BD1127">
        <v>0</v>
      </c>
      <c r="BE1127">
        <v>0</v>
      </c>
    </row>
    <row r="1128" spans="1:57" x14ac:dyDescent="0.45">
      <c r="A1128" t="s">
        <v>2907</v>
      </c>
      <c r="B1128" t="s">
        <v>79</v>
      </c>
      <c r="C1128" t="s">
        <v>2908</v>
      </c>
      <c r="D1128" t="s">
        <v>81</v>
      </c>
      <c r="E1128" s="2" t="str">
        <f>HYPERLINK("capsilon://?command=openfolder&amp;siteaddress=FAM.docvelocity-na8.net&amp;folderid=FXB6E38B94-6BEB-7929-EE5A-40541DF3F4EE","FX201227909")</f>
        <v>FX201227909</v>
      </c>
      <c r="F1128" t="s">
        <v>19</v>
      </c>
      <c r="G1128" t="s">
        <v>19</v>
      </c>
      <c r="H1128" t="s">
        <v>82</v>
      </c>
      <c r="I1128" t="s">
        <v>2909</v>
      </c>
      <c r="J1128">
        <v>66</v>
      </c>
      <c r="K1128" t="s">
        <v>84</v>
      </c>
      <c r="L1128" t="s">
        <v>85</v>
      </c>
      <c r="M1128" t="s">
        <v>86</v>
      </c>
      <c r="N1128">
        <v>3</v>
      </c>
      <c r="O1128" s="1">
        <v>44209.682222222225</v>
      </c>
      <c r="P1128" s="1">
        <v>44210.347604166665</v>
      </c>
      <c r="Q1128">
        <v>56523</v>
      </c>
      <c r="R1128">
        <v>966</v>
      </c>
      <c r="S1128" t="b">
        <v>0</v>
      </c>
      <c r="T1128" t="s">
        <v>87</v>
      </c>
      <c r="U1128" t="b">
        <v>0</v>
      </c>
      <c r="V1128" t="s">
        <v>168</v>
      </c>
      <c r="W1128" s="1">
        <v>44209.69667824074</v>
      </c>
      <c r="X1128">
        <v>614</v>
      </c>
      <c r="Y1128">
        <v>52</v>
      </c>
      <c r="Z1128">
        <v>0</v>
      </c>
      <c r="AA1128">
        <v>52</v>
      </c>
      <c r="AB1128">
        <v>0</v>
      </c>
      <c r="AC1128">
        <v>30</v>
      </c>
      <c r="AD1128">
        <v>14</v>
      </c>
      <c r="AE1128">
        <v>0</v>
      </c>
      <c r="AF1128">
        <v>0</v>
      </c>
      <c r="AG1128">
        <v>0</v>
      </c>
      <c r="AH1128" t="s">
        <v>267</v>
      </c>
      <c r="AI1128" s="1">
        <v>44209.740081018521</v>
      </c>
      <c r="AJ1128">
        <v>334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14</v>
      </c>
      <c r="AQ1128">
        <v>0</v>
      </c>
      <c r="AR1128">
        <v>0</v>
      </c>
      <c r="AS1128">
        <v>0</v>
      </c>
      <c r="AT1128" t="s">
        <v>90</v>
      </c>
      <c r="AU1128" s="1">
        <v>44210.347604166665</v>
      </c>
      <c r="AV1128">
        <v>18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14</v>
      </c>
      <c r="BC1128">
        <v>0</v>
      </c>
      <c r="BD1128">
        <v>0</v>
      </c>
      <c r="BE1128">
        <v>0</v>
      </c>
    </row>
    <row r="1129" spans="1:57" x14ac:dyDescent="0.45">
      <c r="A1129" t="s">
        <v>2910</v>
      </c>
      <c r="B1129" t="s">
        <v>79</v>
      </c>
      <c r="C1129" t="s">
        <v>2911</v>
      </c>
      <c r="D1129" t="s">
        <v>81</v>
      </c>
      <c r="E1129" s="2" t="str">
        <f>HYPERLINK("capsilon://?command=openfolder&amp;siteaddress=FAM.docvelocity-na8.net&amp;folderid=FX6DC256AE-1FD5-0E4E-F0A7-04055D38A6FD","FX201220558")</f>
        <v>FX201220558</v>
      </c>
      <c r="F1129" t="s">
        <v>19</v>
      </c>
      <c r="G1129" t="s">
        <v>19</v>
      </c>
      <c r="H1129" t="s">
        <v>82</v>
      </c>
      <c r="I1129" t="s">
        <v>2912</v>
      </c>
      <c r="J1129">
        <v>240</v>
      </c>
      <c r="K1129" t="s">
        <v>84</v>
      </c>
      <c r="L1129" t="s">
        <v>85</v>
      </c>
      <c r="M1129" t="s">
        <v>86</v>
      </c>
      <c r="N1129">
        <v>3</v>
      </c>
      <c r="O1129" s="1">
        <v>44209.685983796298</v>
      </c>
      <c r="P1129" s="1">
        <v>44210.348182870373</v>
      </c>
      <c r="Q1129">
        <v>53595</v>
      </c>
      <c r="R1129">
        <v>3619</v>
      </c>
      <c r="S1129" t="b">
        <v>0</v>
      </c>
      <c r="T1129" t="s">
        <v>87</v>
      </c>
      <c r="U1129" t="b">
        <v>0</v>
      </c>
      <c r="V1129" t="s">
        <v>146</v>
      </c>
      <c r="W1129" s="1">
        <v>44209.726724537039</v>
      </c>
      <c r="X1129">
        <v>2948</v>
      </c>
      <c r="Y1129">
        <v>204</v>
      </c>
      <c r="Z1129">
        <v>0</v>
      </c>
      <c r="AA1129">
        <v>204</v>
      </c>
      <c r="AB1129">
        <v>0</v>
      </c>
      <c r="AC1129">
        <v>52</v>
      </c>
      <c r="AD1129">
        <v>36</v>
      </c>
      <c r="AE1129">
        <v>0</v>
      </c>
      <c r="AF1129">
        <v>0</v>
      </c>
      <c r="AG1129">
        <v>0</v>
      </c>
      <c r="AH1129" t="s">
        <v>267</v>
      </c>
      <c r="AI1129" s="1">
        <v>44209.746747685182</v>
      </c>
      <c r="AJ1129">
        <v>575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36</v>
      </c>
      <c r="AQ1129">
        <v>0</v>
      </c>
      <c r="AR1129">
        <v>0</v>
      </c>
      <c r="AS1129">
        <v>0</v>
      </c>
      <c r="AT1129" t="s">
        <v>90</v>
      </c>
      <c r="AU1129" s="1">
        <v>44210.348182870373</v>
      </c>
      <c r="AV1129">
        <v>49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36</v>
      </c>
      <c r="BC1129">
        <v>0</v>
      </c>
      <c r="BD1129">
        <v>0</v>
      </c>
      <c r="BE1129">
        <v>0</v>
      </c>
    </row>
    <row r="1130" spans="1:57" hidden="1" x14ac:dyDescent="0.45">
      <c r="A1130" t="s">
        <v>2913</v>
      </c>
      <c r="B1130" t="s">
        <v>79</v>
      </c>
      <c r="C1130" t="s">
        <v>2914</v>
      </c>
      <c r="D1130" t="s">
        <v>81</v>
      </c>
      <c r="E1130" s="2" t="str">
        <f>HYPERLINK("capsilon://?command=openfolder&amp;siteaddress=FAM.docvelocity-na8.net&amp;folderid=FX4AFA1650-2937-1A09-3489-321C8363AB76","FX2012775")</f>
        <v>FX2012775</v>
      </c>
      <c r="F1130" t="s">
        <v>19</v>
      </c>
      <c r="G1130" t="s">
        <v>19</v>
      </c>
      <c r="H1130" t="s">
        <v>82</v>
      </c>
      <c r="I1130" t="s">
        <v>2915</v>
      </c>
      <c r="J1130">
        <v>66</v>
      </c>
      <c r="K1130" t="s">
        <v>84</v>
      </c>
      <c r="L1130" t="s">
        <v>85</v>
      </c>
      <c r="M1130" t="s">
        <v>86</v>
      </c>
      <c r="N1130">
        <v>1</v>
      </c>
      <c r="O1130" s="1">
        <v>44209.687395833331</v>
      </c>
      <c r="P1130" s="1">
        <v>44209.694953703707</v>
      </c>
      <c r="Q1130">
        <v>584</v>
      </c>
      <c r="R1130">
        <v>69</v>
      </c>
      <c r="S1130" t="b">
        <v>0</v>
      </c>
      <c r="T1130" t="s">
        <v>87</v>
      </c>
      <c r="U1130" t="b">
        <v>0</v>
      </c>
      <c r="V1130" t="s">
        <v>171</v>
      </c>
      <c r="W1130" s="1">
        <v>44209.694953703707</v>
      </c>
      <c r="X1130">
        <v>69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66</v>
      </c>
      <c r="AE1130">
        <v>52</v>
      </c>
      <c r="AF1130">
        <v>0</v>
      </c>
      <c r="AG1130">
        <v>1</v>
      </c>
      <c r="AH1130" t="s">
        <v>87</v>
      </c>
      <c r="AI1130" t="s">
        <v>87</v>
      </c>
      <c r="AJ1130" t="s">
        <v>87</v>
      </c>
      <c r="AK1130" t="s">
        <v>87</v>
      </c>
      <c r="AL1130" t="s">
        <v>87</v>
      </c>
      <c r="AM1130" t="s">
        <v>87</v>
      </c>
      <c r="AN1130" t="s">
        <v>87</v>
      </c>
      <c r="AO1130" t="s">
        <v>87</v>
      </c>
      <c r="AP1130" t="s">
        <v>87</v>
      </c>
      <c r="AQ1130" t="s">
        <v>87</v>
      </c>
      <c r="AR1130" t="s">
        <v>87</v>
      </c>
      <c r="AS1130" t="s">
        <v>87</v>
      </c>
      <c r="AT1130" t="s">
        <v>87</v>
      </c>
      <c r="AU1130" t="s">
        <v>87</v>
      </c>
      <c r="AV1130" t="s">
        <v>87</v>
      </c>
      <c r="AW1130" t="s">
        <v>87</v>
      </c>
      <c r="AX1130" t="s">
        <v>87</v>
      </c>
      <c r="AY1130" t="s">
        <v>87</v>
      </c>
      <c r="AZ1130" t="s">
        <v>87</v>
      </c>
      <c r="BA1130" t="s">
        <v>87</v>
      </c>
      <c r="BB1130" t="s">
        <v>87</v>
      </c>
      <c r="BC1130" t="s">
        <v>87</v>
      </c>
      <c r="BD1130" t="s">
        <v>87</v>
      </c>
      <c r="BE1130" t="s">
        <v>87</v>
      </c>
    </row>
    <row r="1131" spans="1:57" x14ac:dyDescent="0.45">
      <c r="A1131" t="s">
        <v>2916</v>
      </c>
      <c r="B1131" t="s">
        <v>79</v>
      </c>
      <c r="C1131" t="s">
        <v>1871</v>
      </c>
      <c r="D1131" t="s">
        <v>81</v>
      </c>
      <c r="E1131" s="2" t="str">
        <f>HYPERLINK("capsilon://?command=openfolder&amp;siteaddress=FAM.docvelocity-na8.net&amp;folderid=FX6DBE14CA-DEA6-20CC-74B5-14F9BDEFDAA1","FX20125296")</f>
        <v>FX20125296</v>
      </c>
      <c r="F1131" t="s">
        <v>19</v>
      </c>
      <c r="G1131" t="s">
        <v>19</v>
      </c>
      <c r="H1131" t="s">
        <v>82</v>
      </c>
      <c r="I1131" t="s">
        <v>1872</v>
      </c>
      <c r="J1131">
        <v>62</v>
      </c>
      <c r="K1131" t="s">
        <v>84</v>
      </c>
      <c r="L1131" t="s">
        <v>85</v>
      </c>
      <c r="M1131" t="s">
        <v>86</v>
      </c>
      <c r="N1131">
        <v>3</v>
      </c>
      <c r="O1131" s="1">
        <v>44200.671967592592</v>
      </c>
      <c r="P1131" s="1">
        <v>44201.337025462963</v>
      </c>
      <c r="Q1131">
        <v>54762</v>
      </c>
      <c r="R1131">
        <v>2699</v>
      </c>
      <c r="S1131" t="b">
        <v>0</v>
      </c>
      <c r="T1131" t="s">
        <v>87</v>
      </c>
      <c r="U1131" t="b">
        <v>1</v>
      </c>
      <c r="V1131" t="s">
        <v>266</v>
      </c>
      <c r="W1131" s="1">
        <v>44200.687696759262</v>
      </c>
      <c r="X1131">
        <v>1089</v>
      </c>
      <c r="Y1131">
        <v>72</v>
      </c>
      <c r="Z1131">
        <v>0</v>
      </c>
      <c r="AA1131">
        <v>72</v>
      </c>
      <c r="AB1131">
        <v>0</v>
      </c>
      <c r="AC1131">
        <v>54</v>
      </c>
      <c r="AD1131">
        <v>-10</v>
      </c>
      <c r="AE1131">
        <v>0</v>
      </c>
      <c r="AF1131">
        <v>0</v>
      </c>
      <c r="AG1131">
        <v>0</v>
      </c>
      <c r="AH1131" t="s">
        <v>128</v>
      </c>
      <c r="AI1131" s="1">
        <v>44200.711712962962</v>
      </c>
      <c r="AJ1131">
        <v>1474</v>
      </c>
      <c r="AK1131">
        <v>9</v>
      </c>
      <c r="AL1131">
        <v>0</v>
      </c>
      <c r="AM1131">
        <v>9</v>
      </c>
      <c r="AN1131">
        <v>0</v>
      </c>
      <c r="AO1131">
        <v>10</v>
      </c>
      <c r="AP1131">
        <v>-19</v>
      </c>
      <c r="AQ1131">
        <v>0</v>
      </c>
      <c r="AR1131">
        <v>0</v>
      </c>
      <c r="AS1131">
        <v>0</v>
      </c>
      <c r="AT1131" t="s">
        <v>90</v>
      </c>
      <c r="AU1131" s="1">
        <v>44201.337025462963</v>
      </c>
      <c r="AV1131">
        <v>83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-19</v>
      </c>
      <c r="BC1131">
        <v>0</v>
      </c>
      <c r="BD1131">
        <v>0</v>
      </c>
      <c r="BE1131">
        <v>0</v>
      </c>
    </row>
    <row r="1132" spans="1:57" x14ac:dyDescent="0.45">
      <c r="A1132" t="s">
        <v>2917</v>
      </c>
      <c r="B1132" t="s">
        <v>79</v>
      </c>
      <c r="C1132" t="s">
        <v>2488</v>
      </c>
      <c r="D1132" t="s">
        <v>81</v>
      </c>
      <c r="E1132" s="2" t="str">
        <f>HYPERLINK("capsilon://?command=openfolder&amp;siteaddress=FAM.docvelocity-na8.net&amp;folderid=FXC5E7FCCC-70AF-AD18-3567-5C1BFA76537D","FX21015548")</f>
        <v>FX21015548</v>
      </c>
      <c r="F1132" t="s">
        <v>19</v>
      </c>
      <c r="G1132" t="s">
        <v>19</v>
      </c>
      <c r="H1132" t="s">
        <v>82</v>
      </c>
      <c r="I1132" t="s">
        <v>2918</v>
      </c>
      <c r="J1132">
        <v>66</v>
      </c>
      <c r="K1132" t="s">
        <v>84</v>
      </c>
      <c r="L1132" t="s">
        <v>85</v>
      </c>
      <c r="M1132" t="s">
        <v>86</v>
      </c>
      <c r="N1132">
        <v>3</v>
      </c>
      <c r="O1132" s="1">
        <v>44209.695254629631</v>
      </c>
      <c r="P1132" s="1">
        <v>44210.348402777781</v>
      </c>
      <c r="Q1132">
        <v>54338</v>
      </c>
      <c r="R1132">
        <v>2094</v>
      </c>
      <c r="S1132" t="b">
        <v>0</v>
      </c>
      <c r="T1132" t="s">
        <v>87</v>
      </c>
      <c r="U1132" t="b">
        <v>0</v>
      </c>
      <c r="V1132" t="s">
        <v>171</v>
      </c>
      <c r="W1132" s="1">
        <v>44209.717881944445</v>
      </c>
      <c r="X1132">
        <v>1954</v>
      </c>
      <c r="Y1132">
        <v>52</v>
      </c>
      <c r="Z1132">
        <v>0</v>
      </c>
      <c r="AA1132">
        <v>52</v>
      </c>
      <c r="AB1132">
        <v>0</v>
      </c>
      <c r="AC1132">
        <v>40</v>
      </c>
      <c r="AD1132">
        <v>14</v>
      </c>
      <c r="AE1132">
        <v>0</v>
      </c>
      <c r="AF1132">
        <v>0</v>
      </c>
      <c r="AG1132">
        <v>0</v>
      </c>
      <c r="AH1132" t="s">
        <v>128</v>
      </c>
      <c r="AI1132" s="1">
        <v>44209.742951388886</v>
      </c>
      <c r="AJ1132">
        <v>121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14</v>
      </c>
      <c r="AQ1132">
        <v>0</v>
      </c>
      <c r="AR1132">
        <v>0</v>
      </c>
      <c r="AS1132">
        <v>0</v>
      </c>
      <c r="AT1132" t="s">
        <v>90</v>
      </c>
      <c r="AU1132" s="1">
        <v>44210.348402777781</v>
      </c>
      <c r="AV1132">
        <v>19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14</v>
      </c>
      <c r="BC1132">
        <v>0</v>
      </c>
      <c r="BD1132">
        <v>0</v>
      </c>
      <c r="BE1132">
        <v>0</v>
      </c>
    </row>
    <row r="1133" spans="1:57" x14ac:dyDescent="0.45">
      <c r="A1133" t="s">
        <v>2919</v>
      </c>
      <c r="B1133" t="s">
        <v>79</v>
      </c>
      <c r="C1133" t="s">
        <v>2914</v>
      </c>
      <c r="D1133" t="s">
        <v>81</v>
      </c>
      <c r="E1133" s="2" t="str">
        <f>HYPERLINK("capsilon://?command=openfolder&amp;siteaddress=FAM.docvelocity-na8.net&amp;folderid=FX4AFA1650-2937-1A09-3489-321C8363AB76","FX2012775")</f>
        <v>FX2012775</v>
      </c>
      <c r="F1133" t="s">
        <v>19</v>
      </c>
      <c r="G1133" t="s">
        <v>19</v>
      </c>
      <c r="H1133" t="s">
        <v>82</v>
      </c>
      <c r="I1133" t="s">
        <v>2915</v>
      </c>
      <c r="J1133">
        <v>38</v>
      </c>
      <c r="K1133" t="s">
        <v>84</v>
      </c>
      <c r="L1133" t="s">
        <v>85</v>
      </c>
      <c r="M1133" t="s">
        <v>86</v>
      </c>
      <c r="N1133">
        <v>3</v>
      </c>
      <c r="O1133" s="1">
        <v>44209.695636574077</v>
      </c>
      <c r="P1133" s="1">
        <v>44210.334097222221</v>
      </c>
      <c r="Q1133">
        <v>54397</v>
      </c>
      <c r="R1133">
        <v>766</v>
      </c>
      <c r="S1133" t="b">
        <v>0</v>
      </c>
      <c r="T1133" t="s">
        <v>87</v>
      </c>
      <c r="U1133" t="b">
        <v>1</v>
      </c>
      <c r="V1133" t="s">
        <v>168</v>
      </c>
      <c r="W1133" s="1">
        <v>44209.702523148146</v>
      </c>
      <c r="X1133">
        <v>504</v>
      </c>
      <c r="Y1133">
        <v>37</v>
      </c>
      <c r="Z1133">
        <v>0</v>
      </c>
      <c r="AA1133">
        <v>37</v>
      </c>
      <c r="AB1133">
        <v>0</v>
      </c>
      <c r="AC1133">
        <v>34</v>
      </c>
      <c r="AD1133">
        <v>1</v>
      </c>
      <c r="AE1133">
        <v>0</v>
      </c>
      <c r="AF1133">
        <v>0</v>
      </c>
      <c r="AG1133">
        <v>0</v>
      </c>
      <c r="AH1133" t="s">
        <v>267</v>
      </c>
      <c r="AI1133" s="1">
        <v>44209.717476851853</v>
      </c>
      <c r="AJ1133">
        <v>257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 t="s">
        <v>90</v>
      </c>
      <c r="AU1133" s="1">
        <v>44210.334097222221</v>
      </c>
      <c r="AV1133">
        <v>5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</row>
    <row r="1134" spans="1:57" x14ac:dyDescent="0.45">
      <c r="A1134" t="s">
        <v>2920</v>
      </c>
      <c r="B1134" t="s">
        <v>79</v>
      </c>
      <c r="C1134" t="s">
        <v>2394</v>
      </c>
      <c r="D1134" t="s">
        <v>81</v>
      </c>
      <c r="E1134" s="2" t="str">
        <f>HYPERLINK("capsilon://?command=openfolder&amp;siteaddress=FAM.docvelocity-na8.net&amp;folderid=FX20F9F097-AAD2-069A-DBE1-F86323B353B1","FX21015541")</f>
        <v>FX21015541</v>
      </c>
      <c r="F1134" t="s">
        <v>19</v>
      </c>
      <c r="G1134" t="s">
        <v>19</v>
      </c>
      <c r="H1134" t="s">
        <v>82</v>
      </c>
      <c r="I1134" t="s">
        <v>2921</v>
      </c>
      <c r="J1134">
        <v>66</v>
      </c>
      <c r="K1134" t="s">
        <v>84</v>
      </c>
      <c r="L1134" t="s">
        <v>85</v>
      </c>
      <c r="M1134" t="s">
        <v>86</v>
      </c>
      <c r="N1134">
        <v>3</v>
      </c>
      <c r="O1134" s="1">
        <v>44209.697164351855</v>
      </c>
      <c r="P1134" s="1">
        <v>44210.348495370374</v>
      </c>
      <c r="Q1134">
        <v>55542</v>
      </c>
      <c r="R1134">
        <v>733</v>
      </c>
      <c r="S1134" t="b">
        <v>0</v>
      </c>
      <c r="T1134" t="s">
        <v>87</v>
      </c>
      <c r="U1134" t="b">
        <v>0</v>
      </c>
      <c r="V1134" t="s">
        <v>343</v>
      </c>
      <c r="W1134" s="1">
        <v>44209.705555555556</v>
      </c>
      <c r="X1134">
        <v>609</v>
      </c>
      <c r="Y1134">
        <v>52</v>
      </c>
      <c r="Z1134">
        <v>0</v>
      </c>
      <c r="AA1134">
        <v>52</v>
      </c>
      <c r="AB1134">
        <v>0</v>
      </c>
      <c r="AC1134">
        <v>28</v>
      </c>
      <c r="AD1134">
        <v>14</v>
      </c>
      <c r="AE1134">
        <v>0</v>
      </c>
      <c r="AF1134">
        <v>0</v>
      </c>
      <c r="AG1134">
        <v>0</v>
      </c>
      <c r="AH1134" t="s">
        <v>128</v>
      </c>
      <c r="AI1134" s="1">
        <v>44209.744317129633</v>
      </c>
      <c r="AJ1134">
        <v>117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14</v>
      </c>
      <c r="AQ1134">
        <v>0</v>
      </c>
      <c r="AR1134">
        <v>0</v>
      </c>
      <c r="AS1134">
        <v>0</v>
      </c>
      <c r="AT1134" t="s">
        <v>90</v>
      </c>
      <c r="AU1134" s="1">
        <v>44210.348495370374</v>
      </c>
      <c r="AV1134">
        <v>7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14</v>
      </c>
      <c r="BC1134">
        <v>0</v>
      </c>
      <c r="BD1134">
        <v>0</v>
      </c>
      <c r="BE1134">
        <v>0</v>
      </c>
    </row>
    <row r="1135" spans="1:57" x14ac:dyDescent="0.45">
      <c r="A1135" t="s">
        <v>2922</v>
      </c>
      <c r="B1135" t="s">
        <v>79</v>
      </c>
      <c r="C1135" t="s">
        <v>2923</v>
      </c>
      <c r="D1135" t="s">
        <v>81</v>
      </c>
      <c r="E1135" s="2" t="str">
        <f t="shared" ref="E1135:E1140" si="0">HYPERLINK("capsilon://?command=openfolder&amp;siteaddress=FAM.docvelocity-na8.net&amp;folderid=FX997F63B9-2B55-2DDF-395D-6A7D2BCD85D0","FX21016549")</f>
        <v>FX21016549</v>
      </c>
      <c r="F1135" t="s">
        <v>19</v>
      </c>
      <c r="G1135" t="s">
        <v>19</v>
      </c>
      <c r="H1135" t="s">
        <v>82</v>
      </c>
      <c r="I1135" t="s">
        <v>2924</v>
      </c>
      <c r="J1135">
        <v>40</v>
      </c>
      <c r="K1135" t="s">
        <v>84</v>
      </c>
      <c r="L1135" t="s">
        <v>85</v>
      </c>
      <c r="M1135" t="s">
        <v>86</v>
      </c>
      <c r="N1135">
        <v>3</v>
      </c>
      <c r="O1135" s="1">
        <v>44209.699780092589</v>
      </c>
      <c r="P1135" s="1">
        <v>44210.349490740744</v>
      </c>
      <c r="Q1135">
        <v>55703</v>
      </c>
      <c r="R1135">
        <v>432</v>
      </c>
      <c r="S1135" t="b">
        <v>0</v>
      </c>
      <c r="T1135" t="s">
        <v>87</v>
      </c>
      <c r="U1135" t="b">
        <v>0</v>
      </c>
      <c r="V1135" t="s">
        <v>242</v>
      </c>
      <c r="W1135" s="1">
        <v>44209.702673611115</v>
      </c>
      <c r="X1135">
        <v>221</v>
      </c>
      <c r="Y1135">
        <v>48</v>
      </c>
      <c r="Z1135">
        <v>0</v>
      </c>
      <c r="AA1135">
        <v>48</v>
      </c>
      <c r="AB1135">
        <v>0</v>
      </c>
      <c r="AC1135">
        <v>25</v>
      </c>
      <c r="AD1135">
        <v>-8</v>
      </c>
      <c r="AE1135">
        <v>0</v>
      </c>
      <c r="AF1135">
        <v>0</v>
      </c>
      <c r="AG1135">
        <v>0</v>
      </c>
      <c r="AH1135" t="s">
        <v>128</v>
      </c>
      <c r="AI1135" s="1">
        <v>44209.745775462965</v>
      </c>
      <c r="AJ1135">
        <v>125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-8</v>
      </c>
      <c r="AQ1135">
        <v>0</v>
      </c>
      <c r="AR1135">
        <v>0</v>
      </c>
      <c r="AS1135">
        <v>0</v>
      </c>
      <c r="AT1135" t="s">
        <v>90</v>
      </c>
      <c r="AU1135" s="1">
        <v>44210.349490740744</v>
      </c>
      <c r="AV1135">
        <v>86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-8</v>
      </c>
      <c r="BC1135">
        <v>0</v>
      </c>
      <c r="BD1135">
        <v>0</v>
      </c>
      <c r="BE1135">
        <v>0</v>
      </c>
    </row>
    <row r="1136" spans="1:57" x14ac:dyDescent="0.45">
      <c r="A1136" t="s">
        <v>2925</v>
      </c>
      <c r="B1136" t="s">
        <v>79</v>
      </c>
      <c r="C1136" t="s">
        <v>2923</v>
      </c>
      <c r="D1136" t="s">
        <v>81</v>
      </c>
      <c r="E1136" s="2" t="str">
        <f t="shared" si="0"/>
        <v>FX21016549</v>
      </c>
      <c r="F1136" t="s">
        <v>19</v>
      </c>
      <c r="G1136" t="s">
        <v>19</v>
      </c>
      <c r="H1136" t="s">
        <v>82</v>
      </c>
      <c r="I1136" t="s">
        <v>2926</v>
      </c>
      <c r="J1136">
        <v>40</v>
      </c>
      <c r="K1136" t="s">
        <v>84</v>
      </c>
      <c r="L1136" t="s">
        <v>85</v>
      </c>
      <c r="M1136" t="s">
        <v>86</v>
      </c>
      <c r="N1136">
        <v>3</v>
      </c>
      <c r="O1136" s="1">
        <v>44209.700358796297</v>
      </c>
      <c r="P1136" s="1">
        <v>44210.349537037036</v>
      </c>
      <c r="Q1136">
        <v>54410</v>
      </c>
      <c r="R1136">
        <v>1679</v>
      </c>
      <c r="S1136" t="b">
        <v>0</v>
      </c>
      <c r="T1136" t="s">
        <v>87</v>
      </c>
      <c r="U1136" t="b">
        <v>0</v>
      </c>
      <c r="V1136" t="s">
        <v>160</v>
      </c>
      <c r="W1136" s="1">
        <v>44209.719259259262</v>
      </c>
      <c r="X1136">
        <v>1551</v>
      </c>
      <c r="Y1136">
        <v>54</v>
      </c>
      <c r="Z1136">
        <v>0</v>
      </c>
      <c r="AA1136">
        <v>54</v>
      </c>
      <c r="AB1136">
        <v>0</v>
      </c>
      <c r="AC1136">
        <v>37</v>
      </c>
      <c r="AD1136">
        <v>-14</v>
      </c>
      <c r="AE1136">
        <v>0</v>
      </c>
      <c r="AF1136">
        <v>0</v>
      </c>
      <c r="AG1136">
        <v>0</v>
      </c>
      <c r="AH1136" t="s">
        <v>128</v>
      </c>
      <c r="AI1136" s="1">
        <v>44209.747233796297</v>
      </c>
      <c r="AJ1136">
        <v>125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-14</v>
      </c>
      <c r="AQ1136">
        <v>0</v>
      </c>
      <c r="AR1136">
        <v>0</v>
      </c>
      <c r="AS1136">
        <v>0</v>
      </c>
      <c r="AT1136" t="s">
        <v>90</v>
      </c>
      <c r="AU1136" s="1">
        <v>44210.349537037036</v>
      </c>
      <c r="AV1136">
        <v>3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-14</v>
      </c>
      <c r="BC1136">
        <v>0</v>
      </c>
      <c r="BD1136">
        <v>0</v>
      </c>
      <c r="BE1136">
        <v>0</v>
      </c>
    </row>
    <row r="1137" spans="1:57" x14ac:dyDescent="0.45">
      <c r="A1137" t="s">
        <v>2927</v>
      </c>
      <c r="B1137" t="s">
        <v>79</v>
      </c>
      <c r="C1137" t="s">
        <v>2923</v>
      </c>
      <c r="D1137" t="s">
        <v>81</v>
      </c>
      <c r="E1137" s="2" t="str">
        <f t="shared" si="0"/>
        <v>FX21016549</v>
      </c>
      <c r="F1137" t="s">
        <v>19</v>
      </c>
      <c r="G1137" t="s">
        <v>19</v>
      </c>
      <c r="H1137" t="s">
        <v>82</v>
      </c>
      <c r="I1137" t="s">
        <v>2928</v>
      </c>
      <c r="J1137">
        <v>26</v>
      </c>
      <c r="K1137" t="s">
        <v>84</v>
      </c>
      <c r="L1137" t="s">
        <v>85</v>
      </c>
      <c r="M1137" t="s">
        <v>86</v>
      </c>
      <c r="N1137">
        <v>3</v>
      </c>
      <c r="O1137" s="1">
        <v>44209.700370370374</v>
      </c>
      <c r="P1137" s="1">
        <v>44210.349583333336</v>
      </c>
      <c r="Q1137">
        <v>55551</v>
      </c>
      <c r="R1137">
        <v>541</v>
      </c>
      <c r="S1137" t="b">
        <v>0</v>
      </c>
      <c r="T1137" t="s">
        <v>87</v>
      </c>
      <c r="U1137" t="b">
        <v>0</v>
      </c>
      <c r="V1137" t="s">
        <v>168</v>
      </c>
      <c r="W1137" s="1">
        <v>44209.707013888888</v>
      </c>
      <c r="X1137">
        <v>387</v>
      </c>
      <c r="Y1137">
        <v>21</v>
      </c>
      <c r="Z1137">
        <v>0</v>
      </c>
      <c r="AA1137">
        <v>21</v>
      </c>
      <c r="AB1137">
        <v>0</v>
      </c>
      <c r="AC1137">
        <v>9</v>
      </c>
      <c r="AD1137">
        <v>5</v>
      </c>
      <c r="AE1137">
        <v>0</v>
      </c>
      <c r="AF1137">
        <v>0</v>
      </c>
      <c r="AG1137">
        <v>0</v>
      </c>
      <c r="AH1137" t="s">
        <v>94</v>
      </c>
      <c r="AI1137" s="1">
        <v>44209.748101851852</v>
      </c>
      <c r="AJ1137">
        <v>151</v>
      </c>
      <c r="AK1137">
        <v>1</v>
      </c>
      <c r="AL1137">
        <v>0</v>
      </c>
      <c r="AM1137">
        <v>1</v>
      </c>
      <c r="AN1137">
        <v>0</v>
      </c>
      <c r="AO1137">
        <v>1</v>
      </c>
      <c r="AP1137">
        <v>4</v>
      </c>
      <c r="AQ1137">
        <v>0</v>
      </c>
      <c r="AR1137">
        <v>0</v>
      </c>
      <c r="AS1137">
        <v>0</v>
      </c>
      <c r="AT1137" t="s">
        <v>90</v>
      </c>
      <c r="AU1137" s="1">
        <v>44210.349583333336</v>
      </c>
      <c r="AV1137">
        <v>3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4</v>
      </c>
      <c r="BC1137">
        <v>0</v>
      </c>
      <c r="BD1137">
        <v>0</v>
      </c>
      <c r="BE1137">
        <v>0</v>
      </c>
    </row>
    <row r="1138" spans="1:57" x14ac:dyDescent="0.45">
      <c r="A1138" t="s">
        <v>2929</v>
      </c>
      <c r="B1138" t="s">
        <v>79</v>
      </c>
      <c r="C1138" t="s">
        <v>2923</v>
      </c>
      <c r="D1138" t="s">
        <v>81</v>
      </c>
      <c r="E1138" s="2" t="str">
        <f t="shared" si="0"/>
        <v>FX21016549</v>
      </c>
      <c r="F1138" t="s">
        <v>19</v>
      </c>
      <c r="G1138" t="s">
        <v>19</v>
      </c>
      <c r="H1138" t="s">
        <v>82</v>
      </c>
      <c r="I1138" t="s">
        <v>2930</v>
      </c>
      <c r="J1138">
        <v>40</v>
      </c>
      <c r="K1138" t="s">
        <v>84</v>
      </c>
      <c r="L1138" t="s">
        <v>85</v>
      </c>
      <c r="M1138" t="s">
        <v>86</v>
      </c>
      <c r="N1138">
        <v>3</v>
      </c>
      <c r="O1138" s="1">
        <v>44209.70103009259</v>
      </c>
      <c r="P1138" s="1">
        <v>44210.349641203706</v>
      </c>
      <c r="Q1138">
        <v>55586</v>
      </c>
      <c r="R1138">
        <v>454</v>
      </c>
      <c r="S1138" t="b">
        <v>0</v>
      </c>
      <c r="T1138" t="s">
        <v>87</v>
      </c>
      <c r="U1138" t="b">
        <v>0</v>
      </c>
      <c r="V1138" t="s">
        <v>242</v>
      </c>
      <c r="W1138" s="1">
        <v>44209.704618055555</v>
      </c>
      <c r="X1138">
        <v>167</v>
      </c>
      <c r="Y1138">
        <v>38</v>
      </c>
      <c r="Z1138">
        <v>0</v>
      </c>
      <c r="AA1138">
        <v>38</v>
      </c>
      <c r="AB1138">
        <v>0</v>
      </c>
      <c r="AC1138">
        <v>19</v>
      </c>
      <c r="AD1138">
        <v>2</v>
      </c>
      <c r="AE1138">
        <v>0</v>
      </c>
      <c r="AF1138">
        <v>0</v>
      </c>
      <c r="AG1138">
        <v>0</v>
      </c>
      <c r="AH1138" t="s">
        <v>267</v>
      </c>
      <c r="AI1138" s="1">
        <v>44209.750034722223</v>
      </c>
      <c r="AJ1138">
        <v>283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2</v>
      </c>
      <c r="AQ1138">
        <v>0</v>
      </c>
      <c r="AR1138">
        <v>0</v>
      </c>
      <c r="AS1138">
        <v>0</v>
      </c>
      <c r="AT1138" t="s">
        <v>90</v>
      </c>
      <c r="AU1138" s="1">
        <v>44210.349641203706</v>
      </c>
      <c r="AV1138">
        <v>4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2</v>
      </c>
      <c r="BC1138">
        <v>0</v>
      </c>
      <c r="BD1138">
        <v>0</v>
      </c>
      <c r="BE1138">
        <v>0</v>
      </c>
    </row>
    <row r="1139" spans="1:57" x14ac:dyDescent="0.45">
      <c r="A1139" t="s">
        <v>2931</v>
      </c>
      <c r="B1139" t="s">
        <v>79</v>
      </c>
      <c r="C1139" t="s">
        <v>2923</v>
      </c>
      <c r="D1139" t="s">
        <v>81</v>
      </c>
      <c r="E1139" s="2" t="str">
        <f t="shared" si="0"/>
        <v>FX21016549</v>
      </c>
      <c r="F1139" t="s">
        <v>19</v>
      </c>
      <c r="G1139" t="s">
        <v>19</v>
      </c>
      <c r="H1139" t="s">
        <v>82</v>
      </c>
      <c r="I1139" t="s">
        <v>2932</v>
      </c>
      <c r="J1139">
        <v>40</v>
      </c>
      <c r="K1139" t="s">
        <v>84</v>
      </c>
      <c r="L1139" t="s">
        <v>85</v>
      </c>
      <c r="M1139" t="s">
        <v>86</v>
      </c>
      <c r="N1139">
        <v>3</v>
      </c>
      <c r="O1139" s="1">
        <v>44209.701435185183</v>
      </c>
      <c r="P1139" s="1">
        <v>44210.349687499998</v>
      </c>
      <c r="Q1139">
        <v>55193</v>
      </c>
      <c r="R1139">
        <v>816</v>
      </c>
      <c r="S1139" t="b">
        <v>0</v>
      </c>
      <c r="T1139" t="s">
        <v>87</v>
      </c>
      <c r="U1139" t="b">
        <v>0</v>
      </c>
      <c r="V1139" t="s">
        <v>259</v>
      </c>
      <c r="W1139" s="1">
        <v>44209.709490740737</v>
      </c>
      <c r="X1139">
        <v>432</v>
      </c>
      <c r="Y1139">
        <v>57</v>
      </c>
      <c r="Z1139">
        <v>0</v>
      </c>
      <c r="AA1139">
        <v>57</v>
      </c>
      <c r="AB1139">
        <v>0</v>
      </c>
      <c r="AC1139">
        <v>28</v>
      </c>
      <c r="AD1139">
        <v>-17</v>
      </c>
      <c r="AE1139">
        <v>0</v>
      </c>
      <c r="AF1139">
        <v>0</v>
      </c>
      <c r="AG1139">
        <v>0</v>
      </c>
      <c r="AH1139" t="s">
        <v>128</v>
      </c>
      <c r="AI1139" s="1">
        <v>44209.751643518517</v>
      </c>
      <c r="AJ1139">
        <v>381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-17</v>
      </c>
      <c r="AQ1139">
        <v>0</v>
      </c>
      <c r="AR1139">
        <v>0</v>
      </c>
      <c r="AS1139">
        <v>0</v>
      </c>
      <c r="AT1139" t="s">
        <v>90</v>
      </c>
      <c r="AU1139" s="1">
        <v>44210.349687499998</v>
      </c>
      <c r="AV1139">
        <v>3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-17</v>
      </c>
      <c r="BC1139">
        <v>0</v>
      </c>
      <c r="BD1139">
        <v>0</v>
      </c>
      <c r="BE1139">
        <v>0</v>
      </c>
    </row>
    <row r="1140" spans="1:57" x14ac:dyDescent="0.45">
      <c r="A1140" t="s">
        <v>2933</v>
      </c>
      <c r="B1140" t="s">
        <v>79</v>
      </c>
      <c r="C1140" t="s">
        <v>2923</v>
      </c>
      <c r="D1140" t="s">
        <v>81</v>
      </c>
      <c r="E1140" s="2" t="str">
        <f t="shared" si="0"/>
        <v>FX21016549</v>
      </c>
      <c r="F1140" t="s">
        <v>19</v>
      </c>
      <c r="G1140" t="s">
        <v>19</v>
      </c>
      <c r="H1140" t="s">
        <v>82</v>
      </c>
      <c r="I1140" t="s">
        <v>2934</v>
      </c>
      <c r="J1140">
        <v>43</v>
      </c>
      <c r="K1140" t="s">
        <v>84</v>
      </c>
      <c r="L1140" t="s">
        <v>85</v>
      </c>
      <c r="M1140" t="s">
        <v>86</v>
      </c>
      <c r="N1140">
        <v>3</v>
      </c>
      <c r="O1140" s="1">
        <v>44209.701874999999</v>
      </c>
      <c r="P1140" s="1">
        <v>44210.349733796298</v>
      </c>
      <c r="Q1140">
        <v>55478</v>
      </c>
      <c r="R1140">
        <v>497</v>
      </c>
      <c r="S1140" t="b">
        <v>0</v>
      </c>
      <c r="T1140" t="s">
        <v>87</v>
      </c>
      <c r="U1140" t="b">
        <v>0</v>
      </c>
      <c r="V1140" t="s">
        <v>242</v>
      </c>
      <c r="W1140" s="1">
        <v>44209.707141203704</v>
      </c>
      <c r="X1140">
        <v>217</v>
      </c>
      <c r="Y1140">
        <v>53</v>
      </c>
      <c r="Z1140">
        <v>0</v>
      </c>
      <c r="AA1140">
        <v>53</v>
      </c>
      <c r="AB1140">
        <v>0</v>
      </c>
      <c r="AC1140">
        <v>31</v>
      </c>
      <c r="AD1140">
        <v>-10</v>
      </c>
      <c r="AE1140">
        <v>0</v>
      </c>
      <c r="AF1140">
        <v>0</v>
      </c>
      <c r="AG1140">
        <v>0</v>
      </c>
      <c r="AH1140" t="s">
        <v>94</v>
      </c>
      <c r="AI1140" s="1">
        <v>44209.751319444447</v>
      </c>
      <c r="AJ1140">
        <v>277</v>
      </c>
      <c r="AK1140">
        <v>2</v>
      </c>
      <c r="AL1140">
        <v>0</v>
      </c>
      <c r="AM1140">
        <v>2</v>
      </c>
      <c r="AN1140">
        <v>0</v>
      </c>
      <c r="AO1140">
        <v>1</v>
      </c>
      <c r="AP1140">
        <v>-12</v>
      </c>
      <c r="AQ1140">
        <v>0</v>
      </c>
      <c r="AR1140">
        <v>0</v>
      </c>
      <c r="AS1140">
        <v>0</v>
      </c>
      <c r="AT1140" t="s">
        <v>90</v>
      </c>
      <c r="AU1140" s="1">
        <v>44210.349733796298</v>
      </c>
      <c r="AV1140">
        <v>3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-12</v>
      </c>
      <c r="BC1140">
        <v>0</v>
      </c>
      <c r="BD1140">
        <v>0</v>
      </c>
      <c r="BE1140">
        <v>0</v>
      </c>
    </row>
    <row r="1141" spans="1:57" x14ac:dyDescent="0.45">
      <c r="A1141" t="s">
        <v>2935</v>
      </c>
      <c r="B1141" t="s">
        <v>79</v>
      </c>
      <c r="C1141" t="s">
        <v>2482</v>
      </c>
      <c r="D1141" t="s">
        <v>81</v>
      </c>
      <c r="E1141" s="2" t="str">
        <f>HYPERLINK("capsilon://?command=openfolder&amp;siteaddress=FAM.docvelocity-na8.net&amp;folderid=FX40AD6B0A-B656-750C-AAC1-A20D1F182B8C","FX21016431")</f>
        <v>FX21016431</v>
      </c>
      <c r="F1141" t="s">
        <v>19</v>
      </c>
      <c r="G1141" t="s">
        <v>19</v>
      </c>
      <c r="H1141" t="s">
        <v>82</v>
      </c>
      <c r="I1141" t="s">
        <v>2936</v>
      </c>
      <c r="J1141">
        <v>66</v>
      </c>
      <c r="K1141" t="s">
        <v>84</v>
      </c>
      <c r="L1141" t="s">
        <v>85</v>
      </c>
      <c r="M1141" t="s">
        <v>86</v>
      </c>
      <c r="N1141">
        <v>3</v>
      </c>
      <c r="O1141" s="1">
        <v>44209.703761574077</v>
      </c>
      <c r="P1141" s="1">
        <v>44210.350324074076</v>
      </c>
      <c r="Q1141">
        <v>55433</v>
      </c>
      <c r="R1141">
        <v>430</v>
      </c>
      <c r="S1141" t="b">
        <v>0</v>
      </c>
      <c r="T1141" t="s">
        <v>87</v>
      </c>
      <c r="U1141" t="b">
        <v>0</v>
      </c>
      <c r="V1141" t="s">
        <v>255</v>
      </c>
      <c r="W1141" s="1">
        <v>44209.707291666666</v>
      </c>
      <c r="X1141">
        <v>214</v>
      </c>
      <c r="Y1141">
        <v>52</v>
      </c>
      <c r="Z1141">
        <v>0</v>
      </c>
      <c r="AA1141">
        <v>52</v>
      </c>
      <c r="AB1141">
        <v>0</v>
      </c>
      <c r="AC1141">
        <v>34</v>
      </c>
      <c r="AD1141">
        <v>14</v>
      </c>
      <c r="AE1141">
        <v>0</v>
      </c>
      <c r="AF1141">
        <v>0</v>
      </c>
      <c r="AG1141">
        <v>0</v>
      </c>
      <c r="AH1141" t="s">
        <v>267</v>
      </c>
      <c r="AI1141" s="1">
        <v>44209.751967592594</v>
      </c>
      <c r="AJ1141">
        <v>166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14</v>
      </c>
      <c r="AQ1141">
        <v>0</v>
      </c>
      <c r="AR1141">
        <v>0</v>
      </c>
      <c r="AS1141">
        <v>0</v>
      </c>
      <c r="AT1141" t="s">
        <v>90</v>
      </c>
      <c r="AU1141" s="1">
        <v>44210.350324074076</v>
      </c>
      <c r="AV1141">
        <v>50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14</v>
      </c>
      <c r="BC1141">
        <v>0</v>
      </c>
      <c r="BD1141">
        <v>0</v>
      </c>
      <c r="BE1141">
        <v>0</v>
      </c>
    </row>
    <row r="1142" spans="1:57" x14ac:dyDescent="0.45">
      <c r="A1142" t="s">
        <v>2937</v>
      </c>
      <c r="B1142" t="s">
        <v>79</v>
      </c>
      <c r="C1142" t="s">
        <v>2630</v>
      </c>
      <c r="D1142" t="s">
        <v>81</v>
      </c>
      <c r="E1142" s="2" t="str">
        <f>HYPERLINK("capsilon://?command=openfolder&amp;siteaddress=FAM.docvelocity-na8.net&amp;folderid=FXE5B12633-0F61-0A92-F2CE-A51C35575274","FX21014620")</f>
        <v>FX21014620</v>
      </c>
      <c r="F1142" t="s">
        <v>19</v>
      </c>
      <c r="G1142" t="s">
        <v>19</v>
      </c>
      <c r="H1142" t="s">
        <v>82</v>
      </c>
      <c r="I1142" t="s">
        <v>2938</v>
      </c>
      <c r="J1142">
        <v>26</v>
      </c>
      <c r="K1142" t="s">
        <v>84</v>
      </c>
      <c r="L1142" t="s">
        <v>85</v>
      </c>
      <c r="M1142" t="s">
        <v>86</v>
      </c>
      <c r="N1142">
        <v>3</v>
      </c>
      <c r="O1142" s="1">
        <v>44209.707430555558</v>
      </c>
      <c r="P1142" s="1">
        <v>44210.350370370368</v>
      </c>
      <c r="Q1142">
        <v>54211</v>
      </c>
      <c r="R1142">
        <v>1339</v>
      </c>
      <c r="S1142" t="b">
        <v>0</v>
      </c>
      <c r="T1142" t="s">
        <v>87</v>
      </c>
      <c r="U1142" t="b">
        <v>0</v>
      </c>
      <c r="V1142" t="s">
        <v>168</v>
      </c>
      <c r="W1142" s="1">
        <v>44209.721076388887</v>
      </c>
      <c r="X1142">
        <v>1167</v>
      </c>
      <c r="Y1142">
        <v>21</v>
      </c>
      <c r="Z1142">
        <v>0</v>
      </c>
      <c r="AA1142">
        <v>21</v>
      </c>
      <c r="AB1142">
        <v>0</v>
      </c>
      <c r="AC1142">
        <v>6</v>
      </c>
      <c r="AD1142">
        <v>5</v>
      </c>
      <c r="AE1142">
        <v>0</v>
      </c>
      <c r="AF1142">
        <v>0</v>
      </c>
      <c r="AG1142">
        <v>0</v>
      </c>
      <c r="AH1142" t="s">
        <v>94</v>
      </c>
      <c r="AI1142" s="1">
        <v>44209.753287037034</v>
      </c>
      <c r="AJ1142">
        <v>169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5</v>
      </c>
      <c r="AQ1142">
        <v>0</v>
      </c>
      <c r="AR1142">
        <v>0</v>
      </c>
      <c r="AS1142">
        <v>0</v>
      </c>
      <c r="AT1142" t="s">
        <v>90</v>
      </c>
      <c r="AU1142" s="1">
        <v>44210.350370370368</v>
      </c>
      <c r="AV1142">
        <v>3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5</v>
      </c>
      <c r="BC1142">
        <v>0</v>
      </c>
      <c r="BD1142">
        <v>0</v>
      </c>
      <c r="BE1142">
        <v>0</v>
      </c>
    </row>
    <row r="1143" spans="1:57" x14ac:dyDescent="0.45">
      <c r="A1143" t="s">
        <v>2939</v>
      </c>
      <c r="B1143" t="s">
        <v>79</v>
      </c>
      <c r="C1143" t="s">
        <v>2630</v>
      </c>
      <c r="D1143" t="s">
        <v>81</v>
      </c>
      <c r="E1143" s="2" t="str">
        <f>HYPERLINK("capsilon://?command=openfolder&amp;siteaddress=FAM.docvelocity-na8.net&amp;folderid=FXE5B12633-0F61-0A92-F2CE-A51C35575274","FX21014620")</f>
        <v>FX21014620</v>
      </c>
      <c r="F1143" t="s">
        <v>19</v>
      </c>
      <c r="G1143" t="s">
        <v>19</v>
      </c>
      <c r="H1143" t="s">
        <v>82</v>
      </c>
      <c r="I1143" t="s">
        <v>2940</v>
      </c>
      <c r="J1143">
        <v>126</v>
      </c>
      <c r="K1143" t="s">
        <v>84</v>
      </c>
      <c r="L1143" t="s">
        <v>85</v>
      </c>
      <c r="M1143" t="s">
        <v>86</v>
      </c>
      <c r="N1143">
        <v>3</v>
      </c>
      <c r="O1143" s="1">
        <v>44209.708738425928</v>
      </c>
      <c r="P1143" s="1">
        <v>44210.350752314815</v>
      </c>
      <c r="Q1143">
        <v>53907</v>
      </c>
      <c r="R1143">
        <v>1563</v>
      </c>
      <c r="S1143" t="b">
        <v>0</v>
      </c>
      <c r="T1143" t="s">
        <v>87</v>
      </c>
      <c r="U1143" t="b">
        <v>0</v>
      </c>
      <c r="V1143" t="s">
        <v>343</v>
      </c>
      <c r="W1143" s="1">
        <v>44209.72142361111</v>
      </c>
      <c r="X1143">
        <v>1084</v>
      </c>
      <c r="Y1143">
        <v>129</v>
      </c>
      <c r="Z1143">
        <v>0</v>
      </c>
      <c r="AA1143">
        <v>129</v>
      </c>
      <c r="AB1143">
        <v>0</v>
      </c>
      <c r="AC1143">
        <v>65</v>
      </c>
      <c r="AD1143">
        <v>-3</v>
      </c>
      <c r="AE1143">
        <v>0</v>
      </c>
      <c r="AF1143">
        <v>0</v>
      </c>
      <c r="AG1143">
        <v>0</v>
      </c>
      <c r="AH1143" t="s">
        <v>128</v>
      </c>
      <c r="AI1143" s="1">
        <v>44209.756828703707</v>
      </c>
      <c r="AJ1143">
        <v>447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-3</v>
      </c>
      <c r="AQ1143">
        <v>0</v>
      </c>
      <c r="AR1143">
        <v>0</v>
      </c>
      <c r="AS1143">
        <v>0</v>
      </c>
      <c r="AT1143" t="s">
        <v>90</v>
      </c>
      <c r="AU1143" s="1">
        <v>44210.350752314815</v>
      </c>
      <c r="AV1143">
        <v>32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-3</v>
      </c>
      <c r="BC1143">
        <v>0</v>
      </c>
      <c r="BD1143">
        <v>0</v>
      </c>
      <c r="BE1143">
        <v>0</v>
      </c>
    </row>
    <row r="1144" spans="1:57" x14ac:dyDescent="0.45">
      <c r="A1144" t="s">
        <v>2941</v>
      </c>
      <c r="B1144" t="s">
        <v>79</v>
      </c>
      <c r="C1144" t="s">
        <v>2630</v>
      </c>
      <c r="D1144" t="s">
        <v>81</v>
      </c>
      <c r="E1144" s="2" t="str">
        <f>HYPERLINK("capsilon://?command=openfolder&amp;siteaddress=FAM.docvelocity-na8.net&amp;folderid=FXE5B12633-0F61-0A92-F2CE-A51C35575274","FX21014620")</f>
        <v>FX21014620</v>
      </c>
      <c r="F1144" t="s">
        <v>19</v>
      </c>
      <c r="G1144" t="s">
        <v>19</v>
      </c>
      <c r="H1144" t="s">
        <v>82</v>
      </c>
      <c r="I1144" t="s">
        <v>2942</v>
      </c>
      <c r="J1144">
        <v>47</v>
      </c>
      <c r="K1144" t="s">
        <v>84</v>
      </c>
      <c r="L1144" t="s">
        <v>85</v>
      </c>
      <c r="M1144" t="s">
        <v>86</v>
      </c>
      <c r="N1144">
        <v>3</v>
      </c>
      <c r="O1144" s="1">
        <v>44209.70894675926</v>
      </c>
      <c r="P1144" s="1">
        <v>44210.351030092592</v>
      </c>
      <c r="Q1144">
        <v>55065</v>
      </c>
      <c r="R1144">
        <v>411</v>
      </c>
      <c r="S1144" t="b">
        <v>0</v>
      </c>
      <c r="T1144" t="s">
        <v>87</v>
      </c>
      <c r="U1144" t="b">
        <v>0</v>
      </c>
      <c r="V1144" t="s">
        <v>242</v>
      </c>
      <c r="W1144" s="1">
        <v>44209.711956018517</v>
      </c>
      <c r="X1144">
        <v>214</v>
      </c>
      <c r="Y1144">
        <v>43</v>
      </c>
      <c r="Z1144">
        <v>0</v>
      </c>
      <c r="AA1144">
        <v>43</v>
      </c>
      <c r="AB1144">
        <v>0</v>
      </c>
      <c r="AC1144">
        <v>26</v>
      </c>
      <c r="AD1144">
        <v>4</v>
      </c>
      <c r="AE1144">
        <v>0</v>
      </c>
      <c r="AF1144">
        <v>0</v>
      </c>
      <c r="AG1144">
        <v>0</v>
      </c>
      <c r="AH1144" t="s">
        <v>267</v>
      </c>
      <c r="AI1144" s="1">
        <v>44209.753993055558</v>
      </c>
      <c r="AJ1144">
        <v>174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4</v>
      </c>
      <c r="AQ1144">
        <v>0</v>
      </c>
      <c r="AR1144">
        <v>0</v>
      </c>
      <c r="AS1144">
        <v>0</v>
      </c>
      <c r="AT1144" t="s">
        <v>90</v>
      </c>
      <c r="AU1144" s="1">
        <v>44210.351030092592</v>
      </c>
      <c r="AV1144">
        <v>23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4</v>
      </c>
      <c r="BC1144">
        <v>0</v>
      </c>
      <c r="BD1144">
        <v>0</v>
      </c>
      <c r="BE1144">
        <v>0</v>
      </c>
    </row>
    <row r="1145" spans="1:57" x14ac:dyDescent="0.45">
      <c r="A1145" t="s">
        <v>2943</v>
      </c>
      <c r="B1145" t="s">
        <v>79</v>
      </c>
      <c r="C1145" t="s">
        <v>2630</v>
      </c>
      <c r="D1145" t="s">
        <v>81</v>
      </c>
      <c r="E1145" s="2" t="str">
        <f>HYPERLINK("capsilon://?command=openfolder&amp;siteaddress=FAM.docvelocity-na8.net&amp;folderid=FXE5B12633-0F61-0A92-F2CE-A51C35575274","FX21014620")</f>
        <v>FX21014620</v>
      </c>
      <c r="F1145" t="s">
        <v>19</v>
      </c>
      <c r="G1145" t="s">
        <v>19</v>
      </c>
      <c r="H1145" t="s">
        <v>82</v>
      </c>
      <c r="I1145" t="s">
        <v>2944</v>
      </c>
      <c r="J1145">
        <v>26</v>
      </c>
      <c r="K1145" t="s">
        <v>84</v>
      </c>
      <c r="L1145" t="s">
        <v>85</v>
      </c>
      <c r="M1145" t="s">
        <v>86</v>
      </c>
      <c r="N1145">
        <v>3</v>
      </c>
      <c r="O1145" s="1">
        <v>44209.709456018521</v>
      </c>
      <c r="P1145" s="1">
        <v>44210.351076388892</v>
      </c>
      <c r="Q1145">
        <v>54924</v>
      </c>
      <c r="R1145">
        <v>512</v>
      </c>
      <c r="S1145" t="b">
        <v>0</v>
      </c>
      <c r="T1145" t="s">
        <v>87</v>
      </c>
      <c r="U1145" t="b">
        <v>0</v>
      </c>
      <c r="V1145" t="s">
        <v>259</v>
      </c>
      <c r="W1145" s="1">
        <v>44209.713275462964</v>
      </c>
      <c r="X1145">
        <v>326</v>
      </c>
      <c r="Y1145">
        <v>21</v>
      </c>
      <c r="Z1145">
        <v>0</v>
      </c>
      <c r="AA1145">
        <v>21</v>
      </c>
      <c r="AB1145">
        <v>0</v>
      </c>
      <c r="AC1145">
        <v>7</v>
      </c>
      <c r="AD1145">
        <v>5</v>
      </c>
      <c r="AE1145">
        <v>0</v>
      </c>
      <c r="AF1145">
        <v>0</v>
      </c>
      <c r="AG1145">
        <v>0</v>
      </c>
      <c r="AH1145" t="s">
        <v>94</v>
      </c>
      <c r="AI1145" s="1">
        <v>44209.755416666667</v>
      </c>
      <c r="AJ1145">
        <v>183</v>
      </c>
      <c r="AK1145">
        <v>2</v>
      </c>
      <c r="AL1145">
        <v>0</v>
      </c>
      <c r="AM1145">
        <v>2</v>
      </c>
      <c r="AN1145">
        <v>0</v>
      </c>
      <c r="AO1145">
        <v>3</v>
      </c>
      <c r="AP1145">
        <v>3</v>
      </c>
      <c r="AQ1145">
        <v>0</v>
      </c>
      <c r="AR1145">
        <v>0</v>
      </c>
      <c r="AS1145">
        <v>0</v>
      </c>
      <c r="AT1145" t="s">
        <v>90</v>
      </c>
      <c r="AU1145" s="1">
        <v>44210.351076388892</v>
      </c>
      <c r="AV1145">
        <v>3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3</v>
      </c>
      <c r="BC1145">
        <v>0</v>
      </c>
      <c r="BD1145">
        <v>0</v>
      </c>
      <c r="BE1145">
        <v>0</v>
      </c>
    </row>
    <row r="1146" spans="1:57" x14ac:dyDescent="0.45">
      <c r="A1146" t="s">
        <v>2945</v>
      </c>
      <c r="B1146" t="s">
        <v>79</v>
      </c>
      <c r="C1146" t="s">
        <v>2630</v>
      </c>
      <c r="D1146" t="s">
        <v>81</v>
      </c>
      <c r="E1146" s="2" t="str">
        <f>HYPERLINK("capsilon://?command=openfolder&amp;siteaddress=FAM.docvelocity-na8.net&amp;folderid=FXE5B12633-0F61-0A92-F2CE-A51C35575274","FX21014620")</f>
        <v>FX21014620</v>
      </c>
      <c r="F1146" t="s">
        <v>19</v>
      </c>
      <c r="G1146" t="s">
        <v>19</v>
      </c>
      <c r="H1146" t="s">
        <v>82</v>
      </c>
      <c r="I1146" t="s">
        <v>2946</v>
      </c>
      <c r="J1146">
        <v>62</v>
      </c>
      <c r="K1146" t="s">
        <v>84</v>
      </c>
      <c r="L1146" t="s">
        <v>85</v>
      </c>
      <c r="M1146" t="s">
        <v>86</v>
      </c>
      <c r="N1146">
        <v>3</v>
      </c>
      <c r="O1146" s="1">
        <v>44209.709629629629</v>
      </c>
      <c r="P1146" s="1">
        <v>44210.351134259261</v>
      </c>
      <c r="Q1146">
        <v>54915</v>
      </c>
      <c r="R1146">
        <v>511</v>
      </c>
      <c r="S1146" t="b">
        <v>0</v>
      </c>
      <c r="T1146" t="s">
        <v>87</v>
      </c>
      <c r="U1146" t="b">
        <v>0</v>
      </c>
      <c r="V1146" t="s">
        <v>242</v>
      </c>
      <c r="W1146" s="1">
        <v>44209.714131944442</v>
      </c>
      <c r="X1146">
        <v>188</v>
      </c>
      <c r="Y1146">
        <v>58</v>
      </c>
      <c r="Z1146">
        <v>0</v>
      </c>
      <c r="AA1146">
        <v>58</v>
      </c>
      <c r="AB1146">
        <v>0</v>
      </c>
      <c r="AC1146">
        <v>33</v>
      </c>
      <c r="AD1146">
        <v>4</v>
      </c>
      <c r="AE1146">
        <v>0</v>
      </c>
      <c r="AF1146">
        <v>0</v>
      </c>
      <c r="AG1146">
        <v>0</v>
      </c>
      <c r="AH1146" t="s">
        <v>267</v>
      </c>
      <c r="AI1146" s="1">
        <v>44209.757685185185</v>
      </c>
      <c r="AJ1146">
        <v>318</v>
      </c>
      <c r="AK1146">
        <v>1</v>
      </c>
      <c r="AL1146">
        <v>0</v>
      </c>
      <c r="AM1146">
        <v>1</v>
      </c>
      <c r="AN1146">
        <v>0</v>
      </c>
      <c r="AO1146">
        <v>1</v>
      </c>
      <c r="AP1146">
        <v>3</v>
      </c>
      <c r="AQ1146">
        <v>0</v>
      </c>
      <c r="AR1146">
        <v>0</v>
      </c>
      <c r="AS1146">
        <v>0</v>
      </c>
      <c r="AT1146" t="s">
        <v>90</v>
      </c>
      <c r="AU1146" s="1">
        <v>44210.351134259261</v>
      </c>
      <c r="AV1146">
        <v>5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3</v>
      </c>
      <c r="BC1146">
        <v>0</v>
      </c>
      <c r="BD1146">
        <v>0</v>
      </c>
      <c r="BE1146">
        <v>0</v>
      </c>
    </row>
    <row r="1147" spans="1:57" hidden="1" x14ac:dyDescent="0.45">
      <c r="A1147" t="s">
        <v>2947</v>
      </c>
      <c r="B1147" t="s">
        <v>79</v>
      </c>
      <c r="C1147" t="s">
        <v>2948</v>
      </c>
      <c r="D1147" t="s">
        <v>81</v>
      </c>
      <c r="E1147" s="2" t="str">
        <f>HYPERLINK("capsilon://?command=openfolder&amp;siteaddress=FAM.docvelocity-na8.net&amp;folderid=FX32377AC8-A9D1-101B-F9F3-FBA38B2A9693","FX20126532")</f>
        <v>FX20126532</v>
      </c>
      <c r="F1147" t="s">
        <v>19</v>
      </c>
      <c r="G1147" t="s">
        <v>19</v>
      </c>
      <c r="H1147" t="s">
        <v>82</v>
      </c>
      <c r="I1147" t="s">
        <v>2949</v>
      </c>
      <c r="J1147">
        <v>66</v>
      </c>
      <c r="K1147" t="s">
        <v>84</v>
      </c>
      <c r="L1147" t="s">
        <v>85</v>
      </c>
      <c r="M1147" t="s">
        <v>86</v>
      </c>
      <c r="N1147">
        <v>1</v>
      </c>
      <c r="O1147" s="1">
        <v>44200.674178240741</v>
      </c>
      <c r="P1147" s="1">
        <v>44200.781122685185</v>
      </c>
      <c r="Q1147">
        <v>8729</v>
      </c>
      <c r="R1147">
        <v>511</v>
      </c>
      <c r="S1147" t="b">
        <v>0</v>
      </c>
      <c r="T1147" t="s">
        <v>87</v>
      </c>
      <c r="U1147" t="b">
        <v>0</v>
      </c>
      <c r="V1147" t="s">
        <v>266</v>
      </c>
      <c r="W1147" s="1">
        <v>44200.781122685185</v>
      </c>
      <c r="X1147">
        <v>511</v>
      </c>
      <c r="Y1147">
        <v>6</v>
      </c>
      <c r="Z1147">
        <v>0</v>
      </c>
      <c r="AA1147">
        <v>6</v>
      </c>
      <c r="AB1147">
        <v>0</v>
      </c>
      <c r="AC1147">
        <v>9</v>
      </c>
      <c r="AD1147">
        <v>60</v>
      </c>
      <c r="AE1147">
        <v>52</v>
      </c>
      <c r="AF1147">
        <v>0</v>
      </c>
      <c r="AG1147">
        <v>1</v>
      </c>
      <c r="AH1147" t="s">
        <v>87</v>
      </c>
      <c r="AI1147" t="s">
        <v>87</v>
      </c>
      <c r="AJ1147" t="s">
        <v>87</v>
      </c>
      <c r="AK1147" t="s">
        <v>87</v>
      </c>
      <c r="AL1147" t="s">
        <v>87</v>
      </c>
      <c r="AM1147" t="s">
        <v>87</v>
      </c>
      <c r="AN1147" t="s">
        <v>87</v>
      </c>
      <c r="AO1147" t="s">
        <v>87</v>
      </c>
      <c r="AP1147" t="s">
        <v>87</v>
      </c>
      <c r="AQ1147" t="s">
        <v>87</v>
      </c>
      <c r="AR1147" t="s">
        <v>87</v>
      </c>
      <c r="AS1147" t="s">
        <v>87</v>
      </c>
      <c r="AT1147" t="s">
        <v>87</v>
      </c>
      <c r="AU1147" t="s">
        <v>87</v>
      </c>
      <c r="AV1147" t="s">
        <v>87</v>
      </c>
      <c r="AW1147" t="s">
        <v>87</v>
      </c>
      <c r="AX1147" t="s">
        <v>87</v>
      </c>
      <c r="AY1147" t="s">
        <v>87</v>
      </c>
      <c r="AZ1147" t="s">
        <v>87</v>
      </c>
      <c r="BA1147" t="s">
        <v>87</v>
      </c>
      <c r="BB1147" t="s">
        <v>87</v>
      </c>
      <c r="BC1147" t="s">
        <v>87</v>
      </c>
      <c r="BD1147" t="s">
        <v>87</v>
      </c>
      <c r="BE1147" t="s">
        <v>87</v>
      </c>
    </row>
    <row r="1148" spans="1:57" x14ac:dyDescent="0.45">
      <c r="A1148" t="s">
        <v>2950</v>
      </c>
      <c r="B1148" t="s">
        <v>79</v>
      </c>
      <c r="C1148" t="s">
        <v>2630</v>
      </c>
      <c r="D1148" t="s">
        <v>81</v>
      </c>
      <c r="E1148" s="2" t="str">
        <f>HYPERLINK("capsilon://?command=openfolder&amp;siteaddress=FAM.docvelocity-na8.net&amp;folderid=FXE5B12633-0F61-0A92-F2CE-A51C35575274","FX21014620")</f>
        <v>FX21014620</v>
      </c>
      <c r="F1148" t="s">
        <v>19</v>
      </c>
      <c r="G1148" t="s">
        <v>19</v>
      </c>
      <c r="H1148" t="s">
        <v>82</v>
      </c>
      <c r="I1148" t="s">
        <v>2951</v>
      </c>
      <c r="J1148">
        <v>119</v>
      </c>
      <c r="K1148" t="s">
        <v>84</v>
      </c>
      <c r="L1148" t="s">
        <v>85</v>
      </c>
      <c r="M1148" t="s">
        <v>86</v>
      </c>
      <c r="N1148">
        <v>3</v>
      </c>
      <c r="O1148" s="1">
        <v>44209.711053240739</v>
      </c>
      <c r="P1148" s="1">
        <v>44210.35119212963</v>
      </c>
      <c r="Q1148">
        <v>54402</v>
      </c>
      <c r="R1148">
        <v>906</v>
      </c>
      <c r="S1148" t="b">
        <v>0</v>
      </c>
      <c r="T1148" t="s">
        <v>87</v>
      </c>
      <c r="U1148" t="b">
        <v>0</v>
      </c>
      <c r="V1148" t="s">
        <v>255</v>
      </c>
      <c r="W1148" s="1">
        <v>44209.717592592591</v>
      </c>
      <c r="X1148">
        <v>380</v>
      </c>
      <c r="Y1148">
        <v>110</v>
      </c>
      <c r="Z1148">
        <v>0</v>
      </c>
      <c r="AA1148">
        <v>110</v>
      </c>
      <c r="AB1148">
        <v>0</v>
      </c>
      <c r="AC1148">
        <v>43</v>
      </c>
      <c r="AD1148">
        <v>9</v>
      </c>
      <c r="AE1148">
        <v>0</v>
      </c>
      <c r="AF1148">
        <v>0</v>
      </c>
      <c r="AG1148">
        <v>0</v>
      </c>
      <c r="AH1148" t="s">
        <v>94</v>
      </c>
      <c r="AI1148" s="1">
        <v>44209.761458333334</v>
      </c>
      <c r="AJ1148">
        <v>521</v>
      </c>
      <c r="AK1148">
        <v>4</v>
      </c>
      <c r="AL1148">
        <v>0</v>
      </c>
      <c r="AM1148">
        <v>4</v>
      </c>
      <c r="AN1148">
        <v>0</v>
      </c>
      <c r="AO1148">
        <v>4</v>
      </c>
      <c r="AP1148">
        <v>5</v>
      </c>
      <c r="AQ1148">
        <v>0</v>
      </c>
      <c r="AR1148">
        <v>0</v>
      </c>
      <c r="AS1148">
        <v>0</v>
      </c>
      <c r="AT1148" t="s">
        <v>90</v>
      </c>
      <c r="AU1148" s="1">
        <v>44210.35119212963</v>
      </c>
      <c r="AV1148">
        <v>5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5</v>
      </c>
      <c r="BC1148">
        <v>0</v>
      </c>
      <c r="BD1148">
        <v>0</v>
      </c>
      <c r="BE1148">
        <v>0</v>
      </c>
    </row>
    <row r="1149" spans="1:57" x14ac:dyDescent="0.45">
      <c r="A1149" t="s">
        <v>2952</v>
      </c>
      <c r="B1149" t="s">
        <v>79</v>
      </c>
      <c r="C1149" t="s">
        <v>2630</v>
      </c>
      <c r="D1149" t="s">
        <v>81</v>
      </c>
      <c r="E1149" s="2" t="str">
        <f>HYPERLINK("capsilon://?command=openfolder&amp;siteaddress=FAM.docvelocity-na8.net&amp;folderid=FXE5B12633-0F61-0A92-F2CE-A51C35575274","FX21014620")</f>
        <v>FX21014620</v>
      </c>
      <c r="F1149" t="s">
        <v>19</v>
      </c>
      <c r="G1149" t="s">
        <v>19</v>
      </c>
      <c r="H1149" t="s">
        <v>82</v>
      </c>
      <c r="I1149" t="s">
        <v>2953</v>
      </c>
      <c r="J1149">
        <v>52</v>
      </c>
      <c r="K1149" t="s">
        <v>84</v>
      </c>
      <c r="L1149" t="s">
        <v>85</v>
      </c>
      <c r="M1149" t="s">
        <v>86</v>
      </c>
      <c r="N1149">
        <v>3</v>
      </c>
      <c r="O1149" s="1">
        <v>44209.711064814815</v>
      </c>
      <c r="P1149" s="1">
        <v>44210.35125</v>
      </c>
      <c r="Q1149">
        <v>54656</v>
      </c>
      <c r="R1149">
        <v>656</v>
      </c>
      <c r="S1149" t="b">
        <v>0</v>
      </c>
      <c r="T1149" t="s">
        <v>87</v>
      </c>
      <c r="U1149" t="b">
        <v>0</v>
      </c>
      <c r="V1149" t="s">
        <v>259</v>
      </c>
      <c r="W1149" s="1">
        <v>44209.718784722223</v>
      </c>
      <c r="X1149">
        <v>475</v>
      </c>
      <c r="Y1149">
        <v>48</v>
      </c>
      <c r="Z1149">
        <v>0</v>
      </c>
      <c r="AA1149">
        <v>48</v>
      </c>
      <c r="AB1149">
        <v>0</v>
      </c>
      <c r="AC1149">
        <v>31</v>
      </c>
      <c r="AD1149">
        <v>4</v>
      </c>
      <c r="AE1149">
        <v>0</v>
      </c>
      <c r="AF1149">
        <v>0</v>
      </c>
      <c r="AG1149">
        <v>0</v>
      </c>
      <c r="AH1149" t="s">
        <v>128</v>
      </c>
      <c r="AI1149" s="1">
        <v>44209.758888888886</v>
      </c>
      <c r="AJ1149">
        <v>177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4</v>
      </c>
      <c r="AQ1149">
        <v>0</v>
      </c>
      <c r="AR1149">
        <v>0</v>
      </c>
      <c r="AS1149">
        <v>0</v>
      </c>
      <c r="AT1149" t="s">
        <v>90</v>
      </c>
      <c r="AU1149" s="1">
        <v>44210.35125</v>
      </c>
      <c r="AV1149">
        <v>4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4</v>
      </c>
      <c r="BC1149">
        <v>0</v>
      </c>
      <c r="BD1149">
        <v>0</v>
      </c>
      <c r="BE1149">
        <v>0</v>
      </c>
    </row>
    <row r="1150" spans="1:57" x14ac:dyDescent="0.45">
      <c r="A1150" t="s">
        <v>2954</v>
      </c>
      <c r="B1150" t="s">
        <v>79</v>
      </c>
      <c r="C1150" t="s">
        <v>2630</v>
      </c>
      <c r="D1150" t="s">
        <v>81</v>
      </c>
      <c r="E1150" s="2" t="str">
        <f>HYPERLINK("capsilon://?command=openfolder&amp;siteaddress=FAM.docvelocity-na8.net&amp;folderid=FXE5B12633-0F61-0A92-F2CE-A51C35575274","FX21014620")</f>
        <v>FX21014620</v>
      </c>
      <c r="F1150" t="s">
        <v>19</v>
      </c>
      <c r="G1150" t="s">
        <v>19</v>
      </c>
      <c r="H1150" t="s">
        <v>82</v>
      </c>
      <c r="I1150" t="s">
        <v>2955</v>
      </c>
      <c r="J1150">
        <v>26</v>
      </c>
      <c r="K1150" t="s">
        <v>84</v>
      </c>
      <c r="L1150" t="s">
        <v>85</v>
      </c>
      <c r="M1150" t="s">
        <v>86</v>
      </c>
      <c r="N1150">
        <v>3</v>
      </c>
      <c r="O1150" s="1">
        <v>44209.711192129631</v>
      </c>
      <c r="P1150" s="1">
        <v>44210.351342592592</v>
      </c>
      <c r="Q1150">
        <v>54704</v>
      </c>
      <c r="R1150">
        <v>605</v>
      </c>
      <c r="S1150" t="b">
        <v>0</v>
      </c>
      <c r="T1150" t="s">
        <v>87</v>
      </c>
      <c r="U1150" t="b">
        <v>0</v>
      </c>
      <c r="V1150" t="s">
        <v>242</v>
      </c>
      <c r="W1150" s="1">
        <v>44209.718668981484</v>
      </c>
      <c r="X1150">
        <v>391</v>
      </c>
      <c r="Y1150">
        <v>21</v>
      </c>
      <c r="Z1150">
        <v>0</v>
      </c>
      <c r="AA1150">
        <v>21</v>
      </c>
      <c r="AB1150">
        <v>0</v>
      </c>
      <c r="AC1150">
        <v>15</v>
      </c>
      <c r="AD1150">
        <v>5</v>
      </c>
      <c r="AE1150">
        <v>0</v>
      </c>
      <c r="AF1150">
        <v>0</v>
      </c>
      <c r="AG1150">
        <v>0</v>
      </c>
      <c r="AH1150" t="s">
        <v>267</v>
      </c>
      <c r="AI1150" s="1">
        <v>44209.760069444441</v>
      </c>
      <c r="AJ1150">
        <v>206</v>
      </c>
      <c r="AK1150">
        <v>1</v>
      </c>
      <c r="AL1150">
        <v>0</v>
      </c>
      <c r="AM1150">
        <v>1</v>
      </c>
      <c r="AN1150">
        <v>0</v>
      </c>
      <c r="AO1150">
        <v>1</v>
      </c>
      <c r="AP1150">
        <v>4</v>
      </c>
      <c r="AQ1150">
        <v>0</v>
      </c>
      <c r="AR1150">
        <v>0</v>
      </c>
      <c r="AS1150">
        <v>0</v>
      </c>
      <c r="AT1150" t="s">
        <v>90</v>
      </c>
      <c r="AU1150" s="1">
        <v>44210.351342592592</v>
      </c>
      <c r="AV1150">
        <v>8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4</v>
      </c>
      <c r="BC1150">
        <v>0</v>
      </c>
      <c r="BD1150">
        <v>0</v>
      </c>
      <c r="BE1150">
        <v>0</v>
      </c>
    </row>
    <row r="1151" spans="1:57" hidden="1" x14ac:dyDescent="0.45">
      <c r="A1151" t="s">
        <v>2956</v>
      </c>
      <c r="B1151" t="s">
        <v>79</v>
      </c>
      <c r="C1151" t="s">
        <v>2340</v>
      </c>
      <c r="D1151" t="s">
        <v>81</v>
      </c>
      <c r="E1151" s="2" t="str">
        <f>HYPERLINK("capsilon://?command=openfolder&amp;siteaddress=FAM.docvelocity-na8.net&amp;folderid=FX2AF0915C-E94A-1865-B21C-D7B39D194C36","FX20122352")</f>
        <v>FX20122352</v>
      </c>
      <c r="F1151" t="s">
        <v>19</v>
      </c>
      <c r="G1151" t="s">
        <v>19</v>
      </c>
      <c r="H1151" t="s">
        <v>82</v>
      </c>
      <c r="I1151" t="s">
        <v>2957</v>
      </c>
      <c r="J1151">
        <v>66</v>
      </c>
      <c r="K1151" t="s">
        <v>84</v>
      </c>
      <c r="L1151" t="s">
        <v>85</v>
      </c>
      <c r="M1151" t="s">
        <v>86</v>
      </c>
      <c r="N1151">
        <v>1</v>
      </c>
      <c r="O1151" s="1">
        <v>44209.711354166669</v>
      </c>
      <c r="P1151" s="1">
        <v>44209.717118055552</v>
      </c>
      <c r="Q1151">
        <v>314</v>
      </c>
      <c r="R1151">
        <v>184</v>
      </c>
      <c r="S1151" t="b">
        <v>0</v>
      </c>
      <c r="T1151" t="s">
        <v>87</v>
      </c>
      <c r="U1151" t="b">
        <v>0</v>
      </c>
      <c r="V1151" t="s">
        <v>179</v>
      </c>
      <c r="W1151" s="1">
        <v>44209.717118055552</v>
      </c>
      <c r="X1151">
        <v>184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66</v>
      </c>
      <c r="AE1151">
        <v>52</v>
      </c>
      <c r="AF1151">
        <v>0</v>
      </c>
      <c r="AG1151">
        <v>1</v>
      </c>
      <c r="AH1151" t="s">
        <v>87</v>
      </c>
      <c r="AI1151" t="s">
        <v>87</v>
      </c>
      <c r="AJ1151" t="s">
        <v>87</v>
      </c>
      <c r="AK1151" t="s">
        <v>87</v>
      </c>
      <c r="AL1151" t="s">
        <v>87</v>
      </c>
      <c r="AM1151" t="s">
        <v>87</v>
      </c>
      <c r="AN1151" t="s">
        <v>87</v>
      </c>
      <c r="AO1151" t="s">
        <v>87</v>
      </c>
      <c r="AP1151" t="s">
        <v>87</v>
      </c>
      <c r="AQ1151" t="s">
        <v>87</v>
      </c>
      <c r="AR1151" t="s">
        <v>87</v>
      </c>
      <c r="AS1151" t="s">
        <v>87</v>
      </c>
      <c r="AT1151" t="s">
        <v>87</v>
      </c>
      <c r="AU1151" t="s">
        <v>87</v>
      </c>
      <c r="AV1151" t="s">
        <v>87</v>
      </c>
      <c r="AW1151" t="s">
        <v>87</v>
      </c>
      <c r="AX1151" t="s">
        <v>87</v>
      </c>
      <c r="AY1151" t="s">
        <v>87</v>
      </c>
      <c r="AZ1151" t="s">
        <v>87</v>
      </c>
      <c r="BA1151" t="s">
        <v>87</v>
      </c>
      <c r="BB1151" t="s">
        <v>87</v>
      </c>
      <c r="BC1151" t="s">
        <v>87</v>
      </c>
      <c r="BD1151" t="s">
        <v>87</v>
      </c>
      <c r="BE1151" t="s">
        <v>87</v>
      </c>
    </row>
    <row r="1152" spans="1:57" x14ac:dyDescent="0.45">
      <c r="A1152" t="s">
        <v>2958</v>
      </c>
      <c r="B1152" t="s">
        <v>79</v>
      </c>
      <c r="C1152" t="s">
        <v>2630</v>
      </c>
      <c r="D1152" t="s">
        <v>81</v>
      </c>
      <c r="E1152" s="2" t="str">
        <f>HYPERLINK("capsilon://?command=openfolder&amp;siteaddress=FAM.docvelocity-na8.net&amp;folderid=FXE5B12633-0F61-0A92-F2CE-A51C35575274","FX21014620")</f>
        <v>FX21014620</v>
      </c>
      <c r="F1152" t="s">
        <v>19</v>
      </c>
      <c r="G1152" t="s">
        <v>19</v>
      </c>
      <c r="H1152" t="s">
        <v>82</v>
      </c>
      <c r="I1152" t="s">
        <v>2959</v>
      </c>
      <c r="J1152">
        <v>26</v>
      </c>
      <c r="K1152" t="s">
        <v>84</v>
      </c>
      <c r="L1152" t="s">
        <v>85</v>
      </c>
      <c r="M1152" t="s">
        <v>86</v>
      </c>
      <c r="N1152">
        <v>3</v>
      </c>
      <c r="O1152" s="1">
        <v>44209.711435185185</v>
      </c>
      <c r="P1152" s="1">
        <v>44210.351388888892</v>
      </c>
      <c r="Q1152">
        <v>54283</v>
      </c>
      <c r="R1152">
        <v>1009</v>
      </c>
      <c r="S1152" t="b">
        <v>0</v>
      </c>
      <c r="T1152" t="s">
        <v>87</v>
      </c>
      <c r="U1152" t="b">
        <v>0</v>
      </c>
      <c r="V1152" t="s">
        <v>179</v>
      </c>
      <c r="W1152" s="1">
        <v>44209.72729166667</v>
      </c>
      <c r="X1152">
        <v>878</v>
      </c>
      <c r="Y1152">
        <v>21</v>
      </c>
      <c r="Z1152">
        <v>0</v>
      </c>
      <c r="AA1152">
        <v>21</v>
      </c>
      <c r="AB1152">
        <v>0</v>
      </c>
      <c r="AC1152">
        <v>13</v>
      </c>
      <c r="AD1152">
        <v>5</v>
      </c>
      <c r="AE1152">
        <v>0</v>
      </c>
      <c r="AF1152">
        <v>0</v>
      </c>
      <c r="AG1152">
        <v>0</v>
      </c>
      <c r="AH1152" t="s">
        <v>128</v>
      </c>
      <c r="AI1152" s="1">
        <v>44209.760370370372</v>
      </c>
      <c r="AJ1152">
        <v>128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5</v>
      </c>
      <c r="AQ1152">
        <v>0</v>
      </c>
      <c r="AR1152">
        <v>0</v>
      </c>
      <c r="AS1152">
        <v>0</v>
      </c>
      <c r="AT1152" t="s">
        <v>90</v>
      </c>
      <c r="AU1152" s="1">
        <v>44210.351388888892</v>
      </c>
      <c r="AV1152">
        <v>3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5</v>
      </c>
      <c r="BC1152">
        <v>0</v>
      </c>
      <c r="BD1152">
        <v>0</v>
      </c>
      <c r="BE1152">
        <v>0</v>
      </c>
    </row>
    <row r="1153" spans="1:57" hidden="1" x14ac:dyDescent="0.45">
      <c r="A1153" t="s">
        <v>2960</v>
      </c>
      <c r="B1153" t="s">
        <v>79</v>
      </c>
      <c r="C1153" t="s">
        <v>2340</v>
      </c>
      <c r="D1153" t="s">
        <v>81</v>
      </c>
      <c r="E1153" s="2" t="str">
        <f>HYPERLINK("capsilon://?command=openfolder&amp;siteaddress=FAM.docvelocity-na8.net&amp;folderid=FX2AF0915C-E94A-1865-B21C-D7B39D194C36","FX20122352")</f>
        <v>FX20122352</v>
      </c>
      <c r="F1153" t="s">
        <v>19</v>
      </c>
      <c r="G1153" t="s">
        <v>19</v>
      </c>
      <c r="H1153" t="s">
        <v>82</v>
      </c>
      <c r="I1153" t="s">
        <v>2961</v>
      </c>
      <c r="J1153">
        <v>66</v>
      </c>
      <c r="K1153" t="s">
        <v>84</v>
      </c>
      <c r="L1153" t="s">
        <v>85</v>
      </c>
      <c r="M1153" t="s">
        <v>86</v>
      </c>
      <c r="N1153">
        <v>1</v>
      </c>
      <c r="O1153" s="1">
        <v>44209.712685185186</v>
      </c>
      <c r="P1153" s="1">
        <v>44209.719351851854</v>
      </c>
      <c r="Q1153">
        <v>450</v>
      </c>
      <c r="R1153">
        <v>126</v>
      </c>
      <c r="S1153" t="b">
        <v>0</v>
      </c>
      <c r="T1153" t="s">
        <v>87</v>
      </c>
      <c r="U1153" t="b">
        <v>0</v>
      </c>
      <c r="V1153" t="s">
        <v>171</v>
      </c>
      <c r="W1153" s="1">
        <v>44209.719351851854</v>
      </c>
      <c r="X1153">
        <v>126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66</v>
      </c>
      <c r="AE1153">
        <v>52</v>
      </c>
      <c r="AF1153">
        <v>0</v>
      </c>
      <c r="AG1153">
        <v>1</v>
      </c>
      <c r="AH1153" t="s">
        <v>87</v>
      </c>
      <c r="AI1153" t="s">
        <v>87</v>
      </c>
      <c r="AJ1153" t="s">
        <v>87</v>
      </c>
      <c r="AK1153" t="s">
        <v>87</v>
      </c>
      <c r="AL1153" t="s">
        <v>87</v>
      </c>
      <c r="AM1153" t="s">
        <v>87</v>
      </c>
      <c r="AN1153" t="s">
        <v>87</v>
      </c>
      <c r="AO1153" t="s">
        <v>87</v>
      </c>
      <c r="AP1153" t="s">
        <v>87</v>
      </c>
      <c r="AQ1153" t="s">
        <v>87</v>
      </c>
      <c r="AR1153" t="s">
        <v>87</v>
      </c>
      <c r="AS1153" t="s">
        <v>87</v>
      </c>
      <c r="AT1153" t="s">
        <v>87</v>
      </c>
      <c r="AU1153" t="s">
        <v>87</v>
      </c>
      <c r="AV1153" t="s">
        <v>87</v>
      </c>
      <c r="AW1153" t="s">
        <v>87</v>
      </c>
      <c r="AX1153" t="s">
        <v>87</v>
      </c>
      <c r="AY1153" t="s">
        <v>87</v>
      </c>
      <c r="AZ1153" t="s">
        <v>87</v>
      </c>
      <c r="BA1153" t="s">
        <v>87</v>
      </c>
      <c r="BB1153" t="s">
        <v>87</v>
      </c>
      <c r="BC1153" t="s">
        <v>87</v>
      </c>
      <c r="BD1153" t="s">
        <v>87</v>
      </c>
      <c r="BE1153" t="s">
        <v>87</v>
      </c>
    </row>
    <row r="1154" spans="1:57" x14ac:dyDescent="0.45">
      <c r="A1154" t="s">
        <v>2962</v>
      </c>
      <c r="B1154" t="s">
        <v>79</v>
      </c>
      <c r="C1154" t="s">
        <v>2739</v>
      </c>
      <c r="D1154" t="s">
        <v>81</v>
      </c>
      <c r="E1154" s="2" t="str">
        <f>HYPERLINK("capsilon://?command=openfolder&amp;siteaddress=FAM.docvelocity-na8.net&amp;folderid=FX6342D1C9-92EA-E660-9DD5-16D1080C0C00","FX21015487")</f>
        <v>FX21015487</v>
      </c>
      <c r="F1154" t="s">
        <v>19</v>
      </c>
      <c r="G1154" t="s">
        <v>19</v>
      </c>
      <c r="H1154" t="s">
        <v>82</v>
      </c>
      <c r="I1154" t="s">
        <v>2963</v>
      </c>
      <c r="J1154">
        <v>38</v>
      </c>
      <c r="K1154" t="s">
        <v>84</v>
      </c>
      <c r="L1154" t="s">
        <v>85</v>
      </c>
      <c r="M1154" t="s">
        <v>86</v>
      </c>
      <c r="N1154">
        <v>3</v>
      </c>
      <c r="O1154" s="1">
        <v>44209.716296296298</v>
      </c>
      <c r="P1154" s="1">
        <v>44210.351458333331</v>
      </c>
      <c r="Q1154">
        <v>54465</v>
      </c>
      <c r="R1154">
        <v>413</v>
      </c>
      <c r="S1154" t="b">
        <v>0</v>
      </c>
      <c r="T1154" t="s">
        <v>87</v>
      </c>
      <c r="U1154" t="b">
        <v>0</v>
      </c>
      <c r="V1154" t="s">
        <v>242</v>
      </c>
      <c r="W1154" s="1">
        <v>44209.72184027778</v>
      </c>
      <c r="X1154">
        <v>273</v>
      </c>
      <c r="Y1154">
        <v>37</v>
      </c>
      <c r="Z1154">
        <v>0</v>
      </c>
      <c r="AA1154">
        <v>37</v>
      </c>
      <c r="AB1154">
        <v>0</v>
      </c>
      <c r="AC1154">
        <v>34</v>
      </c>
      <c r="AD1154">
        <v>1</v>
      </c>
      <c r="AE1154">
        <v>0</v>
      </c>
      <c r="AF1154">
        <v>0</v>
      </c>
      <c r="AG1154">
        <v>0</v>
      </c>
      <c r="AH1154" t="s">
        <v>267</v>
      </c>
      <c r="AI1154" s="1">
        <v>44209.761643518519</v>
      </c>
      <c r="AJ1154">
        <v>135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 t="s">
        <v>90</v>
      </c>
      <c r="AU1154" s="1">
        <v>44210.351458333331</v>
      </c>
      <c r="AV1154">
        <v>5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</row>
    <row r="1155" spans="1:57" x14ac:dyDescent="0.45">
      <c r="A1155" t="s">
        <v>2964</v>
      </c>
      <c r="B1155" t="s">
        <v>79</v>
      </c>
      <c r="C1155" t="s">
        <v>2340</v>
      </c>
      <c r="D1155" t="s">
        <v>81</v>
      </c>
      <c r="E1155" s="2" t="str">
        <f>HYPERLINK("capsilon://?command=openfolder&amp;siteaddress=FAM.docvelocity-na8.net&amp;folderid=FX2AF0915C-E94A-1865-B21C-D7B39D194C36","FX20122352")</f>
        <v>FX20122352</v>
      </c>
      <c r="F1155" t="s">
        <v>19</v>
      </c>
      <c r="G1155" t="s">
        <v>19</v>
      </c>
      <c r="H1155" t="s">
        <v>82</v>
      </c>
      <c r="I1155" t="s">
        <v>2957</v>
      </c>
      <c r="J1155">
        <v>38</v>
      </c>
      <c r="K1155" t="s">
        <v>84</v>
      </c>
      <c r="L1155" t="s">
        <v>85</v>
      </c>
      <c r="M1155" t="s">
        <v>86</v>
      </c>
      <c r="N1155">
        <v>3</v>
      </c>
      <c r="O1155" s="1">
        <v>44209.717395833337</v>
      </c>
      <c r="P1155" s="1">
        <v>44210.334155092591</v>
      </c>
      <c r="Q1155">
        <v>52646</v>
      </c>
      <c r="R1155">
        <v>642</v>
      </c>
      <c r="S1155" t="b">
        <v>0</v>
      </c>
      <c r="T1155" t="s">
        <v>87</v>
      </c>
      <c r="U1155" t="b">
        <v>1</v>
      </c>
      <c r="V1155" t="s">
        <v>255</v>
      </c>
      <c r="W1155" s="1">
        <v>44209.720416666663</v>
      </c>
      <c r="X1155">
        <v>243</v>
      </c>
      <c r="Y1155">
        <v>37</v>
      </c>
      <c r="Z1155">
        <v>0</v>
      </c>
      <c r="AA1155">
        <v>37</v>
      </c>
      <c r="AB1155">
        <v>0</v>
      </c>
      <c r="AC1155">
        <v>35</v>
      </c>
      <c r="AD1155">
        <v>1</v>
      </c>
      <c r="AE1155">
        <v>0</v>
      </c>
      <c r="AF1155">
        <v>0</v>
      </c>
      <c r="AG1155">
        <v>0</v>
      </c>
      <c r="AH1155" t="s">
        <v>267</v>
      </c>
      <c r="AI1155" s="1">
        <v>44209.726990740739</v>
      </c>
      <c r="AJ1155">
        <v>395</v>
      </c>
      <c r="AK1155">
        <v>2</v>
      </c>
      <c r="AL1155">
        <v>0</v>
      </c>
      <c r="AM1155">
        <v>2</v>
      </c>
      <c r="AN1155">
        <v>0</v>
      </c>
      <c r="AO1155">
        <v>2</v>
      </c>
      <c r="AP1155">
        <v>-1</v>
      </c>
      <c r="AQ1155">
        <v>0</v>
      </c>
      <c r="AR1155">
        <v>0</v>
      </c>
      <c r="AS1155">
        <v>0</v>
      </c>
      <c r="AT1155" t="s">
        <v>90</v>
      </c>
      <c r="AU1155" s="1">
        <v>44210.334155092591</v>
      </c>
      <c r="AV1155">
        <v>4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-1</v>
      </c>
      <c r="BC1155">
        <v>0</v>
      </c>
      <c r="BD1155">
        <v>0</v>
      </c>
      <c r="BE1155">
        <v>0</v>
      </c>
    </row>
    <row r="1156" spans="1:57" x14ac:dyDescent="0.45">
      <c r="A1156" t="s">
        <v>2965</v>
      </c>
      <c r="B1156" t="s">
        <v>79</v>
      </c>
      <c r="C1156" t="s">
        <v>2340</v>
      </c>
      <c r="D1156" t="s">
        <v>81</v>
      </c>
      <c r="E1156" s="2" t="str">
        <f>HYPERLINK("capsilon://?command=openfolder&amp;siteaddress=FAM.docvelocity-na8.net&amp;folderid=FX2AF0915C-E94A-1865-B21C-D7B39D194C36","FX20122352")</f>
        <v>FX20122352</v>
      </c>
      <c r="F1156" t="s">
        <v>19</v>
      </c>
      <c r="G1156" t="s">
        <v>19</v>
      </c>
      <c r="H1156" t="s">
        <v>82</v>
      </c>
      <c r="I1156" t="s">
        <v>2961</v>
      </c>
      <c r="J1156">
        <v>38</v>
      </c>
      <c r="K1156" t="s">
        <v>84</v>
      </c>
      <c r="L1156" t="s">
        <v>85</v>
      </c>
      <c r="M1156" t="s">
        <v>86</v>
      </c>
      <c r="N1156">
        <v>3</v>
      </c>
      <c r="O1156" s="1">
        <v>44209.71979166667</v>
      </c>
      <c r="P1156" s="1">
        <v>44210.334224537037</v>
      </c>
      <c r="Q1156">
        <v>52110</v>
      </c>
      <c r="R1156">
        <v>977</v>
      </c>
      <c r="S1156" t="b">
        <v>0</v>
      </c>
      <c r="T1156" t="s">
        <v>87</v>
      </c>
      <c r="U1156" t="b">
        <v>1</v>
      </c>
      <c r="V1156" t="s">
        <v>171</v>
      </c>
      <c r="W1156" s="1">
        <v>44209.728750000002</v>
      </c>
      <c r="X1156">
        <v>773</v>
      </c>
      <c r="Y1156">
        <v>37</v>
      </c>
      <c r="Z1156">
        <v>0</v>
      </c>
      <c r="AA1156">
        <v>37</v>
      </c>
      <c r="AB1156">
        <v>0</v>
      </c>
      <c r="AC1156">
        <v>33</v>
      </c>
      <c r="AD1156">
        <v>1</v>
      </c>
      <c r="AE1156">
        <v>0</v>
      </c>
      <c r="AF1156">
        <v>0</v>
      </c>
      <c r="AG1156">
        <v>0</v>
      </c>
      <c r="AH1156" t="s">
        <v>267</v>
      </c>
      <c r="AI1156" s="1">
        <v>44209.731539351851</v>
      </c>
      <c r="AJ1156">
        <v>199</v>
      </c>
      <c r="AK1156">
        <v>1</v>
      </c>
      <c r="AL1156">
        <v>0</v>
      </c>
      <c r="AM1156">
        <v>1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 t="s">
        <v>90</v>
      </c>
      <c r="AU1156" s="1">
        <v>44210.334224537037</v>
      </c>
      <c r="AV1156">
        <v>5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57" hidden="1" x14ac:dyDescent="0.45">
      <c r="A1157" t="s">
        <v>2966</v>
      </c>
      <c r="B1157" t="s">
        <v>79</v>
      </c>
      <c r="C1157" t="s">
        <v>1109</v>
      </c>
      <c r="D1157" t="s">
        <v>81</v>
      </c>
      <c r="E1157" s="2" t="str">
        <f>HYPERLINK("capsilon://?command=openfolder&amp;siteaddress=FAM.docvelocity-na8.net&amp;folderid=FX752C2642-5ECF-773B-8E65-695284F4786D","FX201017101")</f>
        <v>FX201017101</v>
      </c>
      <c r="F1157" t="s">
        <v>19</v>
      </c>
      <c r="G1157" t="s">
        <v>19</v>
      </c>
      <c r="H1157" t="s">
        <v>82</v>
      </c>
      <c r="I1157" t="s">
        <v>2967</v>
      </c>
      <c r="J1157">
        <v>66</v>
      </c>
      <c r="K1157" t="s">
        <v>84</v>
      </c>
      <c r="L1157" t="s">
        <v>85</v>
      </c>
      <c r="M1157" t="s">
        <v>86</v>
      </c>
      <c r="N1157">
        <v>1</v>
      </c>
      <c r="O1157" s="1">
        <v>44209.722349537034</v>
      </c>
      <c r="P1157" s="1">
        <v>44209.723530092589</v>
      </c>
      <c r="Q1157">
        <v>1</v>
      </c>
      <c r="R1157">
        <v>101</v>
      </c>
      <c r="S1157" t="b">
        <v>0</v>
      </c>
      <c r="T1157" t="s">
        <v>87</v>
      </c>
      <c r="U1157" t="b">
        <v>0</v>
      </c>
      <c r="V1157" t="s">
        <v>168</v>
      </c>
      <c r="W1157" s="1">
        <v>44209.723530092589</v>
      </c>
      <c r="X1157">
        <v>101</v>
      </c>
      <c r="Y1157">
        <v>0</v>
      </c>
      <c r="Z1157">
        <v>0</v>
      </c>
      <c r="AA1157">
        <v>0</v>
      </c>
      <c r="AB1157">
        <v>0</v>
      </c>
      <c r="AC1157">
        <v>2</v>
      </c>
      <c r="AD1157">
        <v>66</v>
      </c>
      <c r="AE1157">
        <v>52</v>
      </c>
      <c r="AF1157">
        <v>0</v>
      </c>
      <c r="AG1157">
        <v>1</v>
      </c>
      <c r="AH1157" t="s">
        <v>87</v>
      </c>
      <c r="AI1157" t="s">
        <v>87</v>
      </c>
      <c r="AJ1157" t="s">
        <v>87</v>
      </c>
      <c r="AK1157" t="s">
        <v>87</v>
      </c>
      <c r="AL1157" t="s">
        <v>87</v>
      </c>
      <c r="AM1157" t="s">
        <v>87</v>
      </c>
      <c r="AN1157" t="s">
        <v>87</v>
      </c>
      <c r="AO1157" t="s">
        <v>87</v>
      </c>
      <c r="AP1157" t="s">
        <v>87</v>
      </c>
      <c r="AQ1157" t="s">
        <v>87</v>
      </c>
      <c r="AR1157" t="s">
        <v>87</v>
      </c>
      <c r="AS1157" t="s">
        <v>87</v>
      </c>
      <c r="AT1157" t="s">
        <v>87</v>
      </c>
      <c r="AU1157" t="s">
        <v>87</v>
      </c>
      <c r="AV1157" t="s">
        <v>87</v>
      </c>
      <c r="AW1157" t="s">
        <v>87</v>
      </c>
      <c r="AX1157" t="s">
        <v>87</v>
      </c>
      <c r="AY1157" t="s">
        <v>87</v>
      </c>
      <c r="AZ1157" t="s">
        <v>87</v>
      </c>
      <c r="BA1157" t="s">
        <v>87</v>
      </c>
      <c r="BB1157" t="s">
        <v>87</v>
      </c>
      <c r="BC1157" t="s">
        <v>87</v>
      </c>
      <c r="BD1157" t="s">
        <v>87</v>
      </c>
      <c r="BE1157" t="s">
        <v>87</v>
      </c>
    </row>
    <row r="1158" spans="1:57" x14ac:dyDescent="0.45">
      <c r="A1158" t="s">
        <v>2968</v>
      </c>
      <c r="B1158" t="s">
        <v>79</v>
      </c>
      <c r="C1158" t="s">
        <v>1109</v>
      </c>
      <c r="D1158" t="s">
        <v>81</v>
      </c>
      <c r="E1158" s="2" t="str">
        <f>HYPERLINK("capsilon://?command=openfolder&amp;siteaddress=FAM.docvelocity-na8.net&amp;folderid=FX752C2642-5ECF-773B-8E65-695284F4786D","FX201017101")</f>
        <v>FX201017101</v>
      </c>
      <c r="F1158" t="s">
        <v>19</v>
      </c>
      <c r="G1158" t="s">
        <v>19</v>
      </c>
      <c r="H1158" t="s">
        <v>82</v>
      </c>
      <c r="I1158" t="s">
        <v>2967</v>
      </c>
      <c r="J1158">
        <v>38</v>
      </c>
      <c r="K1158" t="s">
        <v>84</v>
      </c>
      <c r="L1158" t="s">
        <v>85</v>
      </c>
      <c r="M1158" t="s">
        <v>86</v>
      </c>
      <c r="N1158">
        <v>3</v>
      </c>
      <c r="O1158" s="1">
        <v>44209.723854166667</v>
      </c>
      <c r="P1158" s="1">
        <v>44210.33452546296</v>
      </c>
      <c r="Q1158">
        <v>51725</v>
      </c>
      <c r="R1158">
        <v>1037</v>
      </c>
      <c r="S1158" t="b">
        <v>0</v>
      </c>
      <c r="T1158" t="s">
        <v>87</v>
      </c>
      <c r="U1158" t="b">
        <v>1</v>
      </c>
      <c r="V1158" t="s">
        <v>146</v>
      </c>
      <c r="W1158" s="1">
        <v>44209.733425925922</v>
      </c>
      <c r="X1158">
        <v>826</v>
      </c>
      <c r="Y1158">
        <v>73</v>
      </c>
      <c r="Z1158">
        <v>0</v>
      </c>
      <c r="AA1158">
        <v>73</v>
      </c>
      <c r="AB1158">
        <v>0</v>
      </c>
      <c r="AC1158">
        <v>37</v>
      </c>
      <c r="AD1158">
        <v>-35</v>
      </c>
      <c r="AE1158">
        <v>0</v>
      </c>
      <c r="AF1158">
        <v>0</v>
      </c>
      <c r="AG1158">
        <v>0</v>
      </c>
      <c r="AH1158" t="s">
        <v>267</v>
      </c>
      <c r="AI1158" s="1">
        <v>44209.736203703702</v>
      </c>
      <c r="AJ1158">
        <v>186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-35</v>
      </c>
      <c r="AQ1158">
        <v>0</v>
      </c>
      <c r="AR1158">
        <v>0</v>
      </c>
      <c r="AS1158">
        <v>0</v>
      </c>
      <c r="AT1158" t="s">
        <v>90</v>
      </c>
      <c r="AU1158" s="1">
        <v>44210.33452546296</v>
      </c>
      <c r="AV1158">
        <v>25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-35</v>
      </c>
      <c r="BC1158">
        <v>0</v>
      </c>
      <c r="BD1158">
        <v>0</v>
      </c>
      <c r="BE1158">
        <v>0</v>
      </c>
    </row>
    <row r="1159" spans="1:57" x14ac:dyDescent="0.45">
      <c r="A1159" t="s">
        <v>2969</v>
      </c>
      <c r="B1159" t="s">
        <v>79</v>
      </c>
      <c r="C1159" t="s">
        <v>1871</v>
      </c>
      <c r="D1159" t="s">
        <v>81</v>
      </c>
      <c r="E1159" s="2" t="str">
        <f>HYPERLINK("capsilon://?command=openfolder&amp;siteaddress=FAM.docvelocity-na8.net&amp;folderid=FX6DBE14CA-DEA6-20CC-74B5-14F9BDEFDAA1","FX20125296")</f>
        <v>FX20125296</v>
      </c>
      <c r="F1159" t="s">
        <v>19</v>
      </c>
      <c r="G1159" t="s">
        <v>19</v>
      </c>
      <c r="H1159" t="s">
        <v>82</v>
      </c>
      <c r="I1159" t="s">
        <v>1874</v>
      </c>
      <c r="J1159">
        <v>93</v>
      </c>
      <c r="K1159" t="s">
        <v>84</v>
      </c>
      <c r="L1159" t="s">
        <v>85</v>
      </c>
      <c r="M1159" t="s">
        <v>86</v>
      </c>
      <c r="N1159">
        <v>3</v>
      </c>
      <c r="O1159" s="1">
        <v>44200.675671296296</v>
      </c>
      <c r="P1159" s="1">
        <v>44201.337129629632</v>
      </c>
      <c r="Q1159">
        <v>54832</v>
      </c>
      <c r="R1159">
        <v>2318</v>
      </c>
      <c r="S1159" t="b">
        <v>0</v>
      </c>
      <c r="T1159" t="s">
        <v>87</v>
      </c>
      <c r="U1159" t="b">
        <v>1</v>
      </c>
      <c r="V1159" t="s">
        <v>255</v>
      </c>
      <c r="W1159" s="1">
        <v>44200.701909722222</v>
      </c>
      <c r="X1159">
        <v>1667</v>
      </c>
      <c r="Y1159">
        <v>117</v>
      </c>
      <c r="Z1159">
        <v>0</v>
      </c>
      <c r="AA1159">
        <v>117</v>
      </c>
      <c r="AB1159">
        <v>0</v>
      </c>
      <c r="AC1159">
        <v>91</v>
      </c>
      <c r="AD1159">
        <v>-24</v>
      </c>
      <c r="AE1159">
        <v>0</v>
      </c>
      <c r="AF1159">
        <v>0</v>
      </c>
      <c r="AG1159">
        <v>0</v>
      </c>
      <c r="AH1159" t="s">
        <v>128</v>
      </c>
      <c r="AI1159" s="1">
        <v>44200.717951388891</v>
      </c>
      <c r="AJ1159">
        <v>538</v>
      </c>
      <c r="AK1159">
        <v>1</v>
      </c>
      <c r="AL1159">
        <v>0</v>
      </c>
      <c r="AM1159">
        <v>1</v>
      </c>
      <c r="AN1159">
        <v>0</v>
      </c>
      <c r="AO1159">
        <v>1</v>
      </c>
      <c r="AP1159">
        <v>-25</v>
      </c>
      <c r="AQ1159">
        <v>0</v>
      </c>
      <c r="AR1159">
        <v>0</v>
      </c>
      <c r="AS1159">
        <v>0</v>
      </c>
      <c r="AT1159" t="s">
        <v>90</v>
      </c>
      <c r="AU1159" s="1">
        <v>44201.337129629632</v>
      </c>
      <c r="AV1159">
        <v>8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-25</v>
      </c>
      <c r="BC1159">
        <v>0</v>
      </c>
      <c r="BD1159">
        <v>0</v>
      </c>
      <c r="BE1159">
        <v>0</v>
      </c>
    </row>
    <row r="1160" spans="1:57" x14ac:dyDescent="0.45">
      <c r="A1160" t="s">
        <v>2970</v>
      </c>
      <c r="B1160" t="s">
        <v>79</v>
      </c>
      <c r="C1160" t="s">
        <v>1871</v>
      </c>
      <c r="D1160" t="s">
        <v>81</v>
      </c>
      <c r="E1160" s="2" t="str">
        <f>HYPERLINK("capsilon://?command=openfolder&amp;siteaddress=FAM.docvelocity-na8.net&amp;folderid=FX6DBE14CA-DEA6-20CC-74B5-14F9BDEFDAA1","FX20125296")</f>
        <v>FX20125296</v>
      </c>
      <c r="F1160" t="s">
        <v>19</v>
      </c>
      <c r="G1160" t="s">
        <v>19</v>
      </c>
      <c r="H1160" t="s">
        <v>82</v>
      </c>
      <c r="I1160" t="s">
        <v>1923</v>
      </c>
      <c r="J1160">
        <v>26</v>
      </c>
      <c r="K1160" t="s">
        <v>84</v>
      </c>
      <c r="L1160" t="s">
        <v>85</v>
      </c>
      <c r="M1160" t="s">
        <v>86</v>
      </c>
      <c r="N1160">
        <v>3</v>
      </c>
      <c r="O1160" s="1">
        <v>44200.67633101852</v>
      </c>
      <c r="P1160" s="1">
        <v>44201.337222222224</v>
      </c>
      <c r="Q1160">
        <v>56315</v>
      </c>
      <c r="R1160">
        <v>786</v>
      </c>
      <c r="S1160" t="b">
        <v>0</v>
      </c>
      <c r="T1160" t="s">
        <v>87</v>
      </c>
      <c r="U1160" t="b">
        <v>1</v>
      </c>
      <c r="V1160" t="s">
        <v>242</v>
      </c>
      <c r="W1160" s="1">
        <v>44200.682025462964</v>
      </c>
      <c r="X1160">
        <v>357</v>
      </c>
      <c r="Y1160">
        <v>21</v>
      </c>
      <c r="Z1160">
        <v>0</v>
      </c>
      <c r="AA1160">
        <v>21</v>
      </c>
      <c r="AB1160">
        <v>0</v>
      </c>
      <c r="AC1160">
        <v>18</v>
      </c>
      <c r="AD1160">
        <v>5</v>
      </c>
      <c r="AE1160">
        <v>0</v>
      </c>
      <c r="AF1160">
        <v>0</v>
      </c>
      <c r="AG1160">
        <v>0</v>
      </c>
      <c r="AH1160" t="s">
        <v>128</v>
      </c>
      <c r="AI1160" s="1">
        <v>44200.694641203707</v>
      </c>
      <c r="AJ1160">
        <v>422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5</v>
      </c>
      <c r="AQ1160">
        <v>0</v>
      </c>
      <c r="AR1160">
        <v>0</v>
      </c>
      <c r="AS1160">
        <v>0</v>
      </c>
      <c r="AT1160" t="s">
        <v>90</v>
      </c>
      <c r="AU1160" s="1">
        <v>44201.337222222224</v>
      </c>
      <c r="AV1160">
        <v>7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5</v>
      </c>
      <c r="BC1160">
        <v>0</v>
      </c>
      <c r="BD1160">
        <v>0</v>
      </c>
      <c r="BE1160">
        <v>0</v>
      </c>
    </row>
    <row r="1161" spans="1:57" x14ac:dyDescent="0.45">
      <c r="A1161" t="s">
        <v>2971</v>
      </c>
      <c r="B1161" t="s">
        <v>79</v>
      </c>
      <c r="C1161" t="s">
        <v>1040</v>
      </c>
      <c r="D1161" t="s">
        <v>81</v>
      </c>
      <c r="E1161" s="2" t="str">
        <f>HYPERLINK("capsilon://?command=openfolder&amp;siteaddress=FAM.docvelocity-na8.net&amp;folderid=FX25AE985D-5D36-7BC0-0903-FF17BD3F5E9E","FX201113035")</f>
        <v>FX201113035</v>
      </c>
      <c r="F1161" t="s">
        <v>19</v>
      </c>
      <c r="G1161" t="s">
        <v>19</v>
      </c>
      <c r="H1161" t="s">
        <v>82</v>
      </c>
      <c r="I1161" t="s">
        <v>2972</v>
      </c>
      <c r="J1161">
        <v>45</v>
      </c>
      <c r="K1161" t="s">
        <v>84</v>
      </c>
      <c r="L1161" t="s">
        <v>85</v>
      </c>
      <c r="M1161" t="s">
        <v>86</v>
      </c>
      <c r="N1161">
        <v>3</v>
      </c>
      <c r="O1161" s="1">
        <v>44209.737592592595</v>
      </c>
      <c r="P1161" s="1">
        <v>44210.351793981485</v>
      </c>
      <c r="Q1161">
        <v>52526</v>
      </c>
      <c r="R1161">
        <v>541</v>
      </c>
      <c r="S1161" t="b">
        <v>0</v>
      </c>
      <c r="T1161" t="s">
        <v>87</v>
      </c>
      <c r="U1161" t="b">
        <v>0</v>
      </c>
      <c r="V1161" t="s">
        <v>171</v>
      </c>
      <c r="W1161" s="1">
        <v>44209.76054398148</v>
      </c>
      <c r="X1161">
        <v>404</v>
      </c>
      <c r="Y1161">
        <v>41</v>
      </c>
      <c r="Z1161">
        <v>0</v>
      </c>
      <c r="AA1161">
        <v>41</v>
      </c>
      <c r="AB1161">
        <v>0</v>
      </c>
      <c r="AC1161">
        <v>10</v>
      </c>
      <c r="AD1161">
        <v>4</v>
      </c>
      <c r="AE1161">
        <v>0</v>
      </c>
      <c r="AF1161">
        <v>0</v>
      </c>
      <c r="AG1161">
        <v>0</v>
      </c>
      <c r="AH1161" t="s">
        <v>128</v>
      </c>
      <c r="AI1161" s="1">
        <v>44209.762372685182</v>
      </c>
      <c r="AJ1161">
        <v>109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4</v>
      </c>
      <c r="AQ1161">
        <v>0</v>
      </c>
      <c r="AR1161">
        <v>0</v>
      </c>
      <c r="AS1161">
        <v>0</v>
      </c>
      <c r="AT1161" t="s">
        <v>90</v>
      </c>
      <c r="AU1161" s="1">
        <v>44210.351793981485</v>
      </c>
      <c r="AV1161">
        <v>28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4</v>
      </c>
      <c r="BC1161">
        <v>0</v>
      </c>
      <c r="BD1161">
        <v>0</v>
      </c>
      <c r="BE1161">
        <v>0</v>
      </c>
    </row>
    <row r="1162" spans="1:57" x14ac:dyDescent="0.45">
      <c r="A1162" t="s">
        <v>2973</v>
      </c>
      <c r="B1162" t="s">
        <v>79</v>
      </c>
      <c r="C1162" t="s">
        <v>2736</v>
      </c>
      <c r="D1162" t="s">
        <v>81</v>
      </c>
      <c r="E1162" s="2" t="str">
        <f>HYPERLINK("capsilon://?command=openfolder&amp;siteaddress=FAM.docvelocity-na8.net&amp;folderid=FX673EDBDA-7480-73B3-CF03-42C44A27F561","FX20127687")</f>
        <v>FX20127687</v>
      </c>
      <c r="F1162" t="s">
        <v>19</v>
      </c>
      <c r="G1162" t="s">
        <v>19</v>
      </c>
      <c r="H1162" t="s">
        <v>82</v>
      </c>
      <c r="I1162" t="s">
        <v>2974</v>
      </c>
      <c r="J1162">
        <v>66</v>
      </c>
      <c r="K1162" t="s">
        <v>84</v>
      </c>
      <c r="L1162" t="s">
        <v>85</v>
      </c>
      <c r="M1162" t="s">
        <v>86</v>
      </c>
      <c r="N1162">
        <v>3</v>
      </c>
      <c r="O1162" s="1">
        <v>44209.73814814815</v>
      </c>
      <c r="P1162" s="1">
        <v>44210.3518287037</v>
      </c>
      <c r="Q1162">
        <v>52759</v>
      </c>
      <c r="R1162">
        <v>263</v>
      </c>
      <c r="S1162" t="b">
        <v>0</v>
      </c>
      <c r="T1162" t="s">
        <v>87</v>
      </c>
      <c r="U1162" t="b">
        <v>0</v>
      </c>
      <c r="V1162" t="s">
        <v>255</v>
      </c>
      <c r="W1162" s="1">
        <v>44209.758356481485</v>
      </c>
      <c r="X1162">
        <v>197</v>
      </c>
      <c r="Y1162">
        <v>16</v>
      </c>
      <c r="Z1162">
        <v>0</v>
      </c>
      <c r="AA1162">
        <v>16</v>
      </c>
      <c r="AB1162">
        <v>52</v>
      </c>
      <c r="AC1162">
        <v>13</v>
      </c>
      <c r="AD1162">
        <v>50</v>
      </c>
      <c r="AE1162">
        <v>0</v>
      </c>
      <c r="AF1162">
        <v>0</v>
      </c>
      <c r="AG1162">
        <v>0</v>
      </c>
      <c r="AH1162" t="s">
        <v>128</v>
      </c>
      <c r="AI1162" s="1">
        <v>44209.761099537034</v>
      </c>
      <c r="AJ1162">
        <v>63</v>
      </c>
      <c r="AK1162">
        <v>0</v>
      </c>
      <c r="AL1162">
        <v>0</v>
      </c>
      <c r="AM1162">
        <v>0</v>
      </c>
      <c r="AN1162">
        <v>52</v>
      </c>
      <c r="AO1162">
        <v>0</v>
      </c>
      <c r="AP1162">
        <v>50</v>
      </c>
      <c r="AQ1162">
        <v>0</v>
      </c>
      <c r="AR1162">
        <v>0</v>
      </c>
      <c r="AS1162">
        <v>0</v>
      </c>
      <c r="AT1162" t="s">
        <v>90</v>
      </c>
      <c r="AU1162" s="1">
        <v>44210.3518287037</v>
      </c>
      <c r="AV1162">
        <v>3</v>
      </c>
      <c r="AW1162">
        <v>0</v>
      </c>
      <c r="AX1162">
        <v>0</v>
      </c>
      <c r="AY1162">
        <v>0</v>
      </c>
      <c r="AZ1162">
        <v>52</v>
      </c>
      <c r="BA1162">
        <v>0</v>
      </c>
      <c r="BB1162">
        <v>50</v>
      </c>
      <c r="BC1162">
        <v>0</v>
      </c>
      <c r="BD1162">
        <v>0</v>
      </c>
      <c r="BE1162">
        <v>0</v>
      </c>
    </row>
    <row r="1163" spans="1:57" x14ac:dyDescent="0.45">
      <c r="A1163" t="s">
        <v>2975</v>
      </c>
      <c r="B1163" t="s">
        <v>79</v>
      </c>
      <c r="C1163" t="s">
        <v>1040</v>
      </c>
      <c r="D1163" t="s">
        <v>81</v>
      </c>
      <c r="E1163" s="2" t="str">
        <f>HYPERLINK("capsilon://?command=openfolder&amp;siteaddress=FAM.docvelocity-na8.net&amp;folderid=FX25AE985D-5D36-7BC0-0903-FF17BD3F5E9E","FX201113035")</f>
        <v>FX201113035</v>
      </c>
      <c r="F1163" t="s">
        <v>19</v>
      </c>
      <c r="G1163" t="s">
        <v>19</v>
      </c>
      <c r="H1163" t="s">
        <v>82</v>
      </c>
      <c r="I1163" t="s">
        <v>2976</v>
      </c>
      <c r="J1163">
        <v>31</v>
      </c>
      <c r="K1163" t="s">
        <v>84</v>
      </c>
      <c r="L1163" t="s">
        <v>85</v>
      </c>
      <c r="M1163" t="s">
        <v>86</v>
      </c>
      <c r="N1163">
        <v>3</v>
      </c>
      <c r="O1163" s="1">
        <v>44209.741446759261</v>
      </c>
      <c r="P1163" s="1">
        <v>44210.352152777778</v>
      </c>
      <c r="Q1163">
        <v>51964</v>
      </c>
      <c r="R1163">
        <v>801</v>
      </c>
      <c r="S1163" t="b">
        <v>0</v>
      </c>
      <c r="T1163" t="s">
        <v>87</v>
      </c>
      <c r="U1163" t="b">
        <v>0</v>
      </c>
      <c r="V1163" t="s">
        <v>179</v>
      </c>
      <c r="W1163" s="1">
        <v>44209.763738425929</v>
      </c>
      <c r="X1163">
        <v>566</v>
      </c>
      <c r="Y1163">
        <v>36</v>
      </c>
      <c r="Z1163">
        <v>0</v>
      </c>
      <c r="AA1163">
        <v>36</v>
      </c>
      <c r="AB1163">
        <v>0</v>
      </c>
      <c r="AC1163">
        <v>20</v>
      </c>
      <c r="AD1163">
        <v>-5</v>
      </c>
      <c r="AE1163">
        <v>0</v>
      </c>
      <c r="AF1163">
        <v>0</v>
      </c>
      <c r="AG1163">
        <v>0</v>
      </c>
      <c r="AH1163" t="s">
        <v>94</v>
      </c>
      <c r="AI1163" s="1">
        <v>44209.766342592593</v>
      </c>
      <c r="AJ1163">
        <v>207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-5</v>
      </c>
      <c r="AQ1163">
        <v>0</v>
      </c>
      <c r="AR1163">
        <v>0</v>
      </c>
      <c r="AS1163">
        <v>0</v>
      </c>
      <c r="AT1163" t="s">
        <v>90</v>
      </c>
      <c r="AU1163" s="1">
        <v>44210.352152777778</v>
      </c>
      <c r="AV1163">
        <v>28</v>
      </c>
      <c r="AW1163">
        <v>1</v>
      </c>
      <c r="AX1163">
        <v>0</v>
      </c>
      <c r="AY1163">
        <v>1</v>
      </c>
      <c r="AZ1163">
        <v>0</v>
      </c>
      <c r="BA1163">
        <v>1</v>
      </c>
      <c r="BB1163">
        <v>-6</v>
      </c>
      <c r="BC1163">
        <v>0</v>
      </c>
      <c r="BD1163">
        <v>0</v>
      </c>
      <c r="BE1163">
        <v>0</v>
      </c>
    </row>
    <row r="1164" spans="1:57" x14ac:dyDescent="0.45">
      <c r="A1164" t="s">
        <v>2977</v>
      </c>
      <c r="B1164" t="s">
        <v>79</v>
      </c>
      <c r="C1164" t="s">
        <v>2277</v>
      </c>
      <c r="D1164" t="s">
        <v>81</v>
      </c>
      <c r="E1164" s="2" t="str">
        <f>HYPERLINK("capsilon://?command=openfolder&amp;siteaddress=FAM.docvelocity-na8.net&amp;folderid=FX75E5B3FB-B179-806A-D012-377E07D9E09F","FX21015621")</f>
        <v>FX21015621</v>
      </c>
      <c r="F1164" t="s">
        <v>19</v>
      </c>
      <c r="G1164" t="s">
        <v>19</v>
      </c>
      <c r="H1164" t="s">
        <v>82</v>
      </c>
      <c r="I1164" t="s">
        <v>2978</v>
      </c>
      <c r="J1164">
        <v>26</v>
      </c>
      <c r="K1164" t="s">
        <v>84</v>
      </c>
      <c r="L1164" t="s">
        <v>85</v>
      </c>
      <c r="M1164" t="s">
        <v>86</v>
      </c>
      <c r="N1164">
        <v>3</v>
      </c>
      <c r="O1164" s="1">
        <v>44209.742800925924</v>
      </c>
      <c r="P1164" s="1">
        <v>44210.352210648147</v>
      </c>
      <c r="Q1164">
        <v>52378</v>
      </c>
      <c r="R1164">
        <v>275</v>
      </c>
      <c r="S1164" t="b">
        <v>0</v>
      </c>
      <c r="T1164" t="s">
        <v>87</v>
      </c>
      <c r="U1164" t="b">
        <v>0</v>
      </c>
      <c r="V1164" t="s">
        <v>255</v>
      </c>
      <c r="W1164" s="1">
        <v>44209.760034722225</v>
      </c>
      <c r="X1164">
        <v>144</v>
      </c>
      <c r="Y1164">
        <v>21</v>
      </c>
      <c r="Z1164">
        <v>0</v>
      </c>
      <c r="AA1164">
        <v>21</v>
      </c>
      <c r="AB1164">
        <v>0</v>
      </c>
      <c r="AC1164">
        <v>4</v>
      </c>
      <c r="AD1164">
        <v>5</v>
      </c>
      <c r="AE1164">
        <v>0</v>
      </c>
      <c r="AF1164">
        <v>0</v>
      </c>
      <c r="AG1164">
        <v>0</v>
      </c>
      <c r="AH1164" t="s">
        <v>94</v>
      </c>
      <c r="AI1164" s="1">
        <v>44209.762928240743</v>
      </c>
      <c r="AJ1164">
        <v>126</v>
      </c>
      <c r="AK1164">
        <v>2</v>
      </c>
      <c r="AL1164">
        <v>0</v>
      </c>
      <c r="AM1164">
        <v>2</v>
      </c>
      <c r="AN1164">
        <v>0</v>
      </c>
      <c r="AO1164">
        <v>1</v>
      </c>
      <c r="AP1164">
        <v>3</v>
      </c>
      <c r="AQ1164">
        <v>0</v>
      </c>
      <c r="AR1164">
        <v>0</v>
      </c>
      <c r="AS1164">
        <v>0</v>
      </c>
      <c r="AT1164" t="s">
        <v>90</v>
      </c>
      <c r="AU1164" s="1">
        <v>44210.352210648147</v>
      </c>
      <c r="AV1164">
        <v>5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3</v>
      </c>
      <c r="BC1164">
        <v>0</v>
      </c>
      <c r="BD1164">
        <v>0</v>
      </c>
      <c r="BE1164">
        <v>0</v>
      </c>
    </row>
    <row r="1165" spans="1:57" x14ac:dyDescent="0.45">
      <c r="A1165" t="s">
        <v>2979</v>
      </c>
      <c r="B1165" t="s">
        <v>79</v>
      </c>
      <c r="C1165" t="s">
        <v>2277</v>
      </c>
      <c r="D1165" t="s">
        <v>81</v>
      </c>
      <c r="E1165" s="2" t="str">
        <f>HYPERLINK("capsilon://?command=openfolder&amp;siteaddress=FAM.docvelocity-na8.net&amp;folderid=FX75E5B3FB-B179-806A-D012-377E07D9E09F","FX21015621")</f>
        <v>FX21015621</v>
      </c>
      <c r="F1165" t="s">
        <v>19</v>
      </c>
      <c r="G1165" t="s">
        <v>19</v>
      </c>
      <c r="H1165" t="s">
        <v>82</v>
      </c>
      <c r="I1165" t="s">
        <v>2980</v>
      </c>
      <c r="J1165">
        <v>26</v>
      </c>
      <c r="K1165" t="s">
        <v>84</v>
      </c>
      <c r="L1165" t="s">
        <v>85</v>
      </c>
      <c r="M1165" t="s">
        <v>86</v>
      </c>
      <c r="N1165">
        <v>3</v>
      </c>
      <c r="O1165" s="1">
        <v>44209.743009259262</v>
      </c>
      <c r="P1165" s="1">
        <v>44210.352256944447</v>
      </c>
      <c r="Q1165">
        <v>52354</v>
      </c>
      <c r="R1165">
        <v>285</v>
      </c>
      <c r="S1165" t="b">
        <v>0</v>
      </c>
      <c r="T1165" t="s">
        <v>87</v>
      </c>
      <c r="U1165" t="b">
        <v>0</v>
      </c>
      <c r="V1165" t="s">
        <v>255</v>
      </c>
      <c r="W1165" s="1">
        <v>44209.76185185185</v>
      </c>
      <c r="X1165">
        <v>156</v>
      </c>
      <c r="Y1165">
        <v>21</v>
      </c>
      <c r="Z1165">
        <v>0</v>
      </c>
      <c r="AA1165">
        <v>21</v>
      </c>
      <c r="AB1165">
        <v>0</v>
      </c>
      <c r="AC1165">
        <v>6</v>
      </c>
      <c r="AD1165">
        <v>5</v>
      </c>
      <c r="AE1165">
        <v>0</v>
      </c>
      <c r="AF1165">
        <v>0</v>
      </c>
      <c r="AG1165">
        <v>0</v>
      </c>
      <c r="AH1165" t="s">
        <v>267</v>
      </c>
      <c r="AI1165" s="1">
        <v>44209.763460648152</v>
      </c>
      <c r="AJ1165">
        <v>125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5</v>
      </c>
      <c r="AQ1165">
        <v>0</v>
      </c>
      <c r="AR1165">
        <v>0</v>
      </c>
      <c r="AS1165">
        <v>0</v>
      </c>
      <c r="AT1165" t="s">
        <v>90</v>
      </c>
      <c r="AU1165" s="1">
        <v>44210.352256944447</v>
      </c>
      <c r="AV1165">
        <v>4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5</v>
      </c>
      <c r="BC1165">
        <v>0</v>
      </c>
      <c r="BD1165">
        <v>0</v>
      </c>
      <c r="BE1165">
        <v>0</v>
      </c>
    </row>
    <row r="1166" spans="1:57" x14ac:dyDescent="0.45">
      <c r="A1166" t="s">
        <v>2981</v>
      </c>
      <c r="B1166" t="s">
        <v>79</v>
      </c>
      <c r="C1166" t="s">
        <v>1904</v>
      </c>
      <c r="D1166" t="s">
        <v>81</v>
      </c>
      <c r="E1166" s="2" t="str">
        <f>HYPERLINK("capsilon://?command=openfolder&amp;siteaddress=FAM.docvelocity-na8.net&amp;folderid=FX04E65871-9792-89EC-D3A6-1A022FF69598","FX21012565")</f>
        <v>FX21012565</v>
      </c>
      <c r="F1166" t="s">
        <v>19</v>
      </c>
      <c r="G1166" t="s">
        <v>19</v>
      </c>
      <c r="H1166" t="s">
        <v>82</v>
      </c>
      <c r="I1166" t="s">
        <v>2982</v>
      </c>
      <c r="J1166">
        <v>66</v>
      </c>
      <c r="K1166" t="s">
        <v>84</v>
      </c>
      <c r="L1166" t="s">
        <v>85</v>
      </c>
      <c r="M1166" t="s">
        <v>86</v>
      </c>
      <c r="N1166">
        <v>3</v>
      </c>
      <c r="O1166" s="1">
        <v>44209.753946759258</v>
      </c>
      <c r="P1166" s="1">
        <v>44210.353680555556</v>
      </c>
      <c r="Q1166">
        <v>49503</v>
      </c>
      <c r="R1166">
        <v>2314</v>
      </c>
      <c r="S1166" t="b">
        <v>0</v>
      </c>
      <c r="T1166" t="s">
        <v>87</v>
      </c>
      <c r="U1166" t="b">
        <v>0</v>
      </c>
      <c r="V1166" t="s">
        <v>171</v>
      </c>
      <c r="W1166" s="1">
        <v>44209.781041666669</v>
      </c>
      <c r="X1166">
        <v>1770</v>
      </c>
      <c r="Y1166">
        <v>52</v>
      </c>
      <c r="Z1166">
        <v>0</v>
      </c>
      <c r="AA1166">
        <v>52</v>
      </c>
      <c r="AB1166">
        <v>0</v>
      </c>
      <c r="AC1166">
        <v>41</v>
      </c>
      <c r="AD1166">
        <v>14</v>
      </c>
      <c r="AE1166">
        <v>0</v>
      </c>
      <c r="AF1166">
        <v>0</v>
      </c>
      <c r="AG1166">
        <v>0</v>
      </c>
      <c r="AH1166" t="s">
        <v>128</v>
      </c>
      <c r="AI1166" s="1">
        <v>44209.786585648151</v>
      </c>
      <c r="AJ1166">
        <v>422</v>
      </c>
      <c r="AK1166">
        <v>4</v>
      </c>
      <c r="AL1166">
        <v>0</v>
      </c>
      <c r="AM1166">
        <v>4</v>
      </c>
      <c r="AN1166">
        <v>0</v>
      </c>
      <c r="AO1166">
        <v>4</v>
      </c>
      <c r="AP1166">
        <v>10</v>
      </c>
      <c r="AQ1166">
        <v>0</v>
      </c>
      <c r="AR1166">
        <v>0</v>
      </c>
      <c r="AS1166">
        <v>0</v>
      </c>
      <c r="AT1166" t="s">
        <v>90</v>
      </c>
      <c r="AU1166" s="1">
        <v>44210.353680555556</v>
      </c>
      <c r="AV1166">
        <v>122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10</v>
      </c>
      <c r="BC1166">
        <v>0</v>
      </c>
      <c r="BD1166">
        <v>0</v>
      </c>
      <c r="BE1166">
        <v>0</v>
      </c>
    </row>
    <row r="1167" spans="1:57" hidden="1" x14ac:dyDescent="0.45">
      <c r="A1167" t="s">
        <v>2983</v>
      </c>
      <c r="B1167" t="s">
        <v>79</v>
      </c>
      <c r="C1167" t="s">
        <v>2984</v>
      </c>
      <c r="D1167" t="s">
        <v>81</v>
      </c>
      <c r="E1167" s="2" t="str">
        <f>HYPERLINK("capsilon://?command=openfolder&amp;siteaddress=FAM.docvelocity-na8.net&amp;folderid=FX8663CB77-EA9D-13EC-0902-BACA042A4A10","FX201222653")</f>
        <v>FX201222653</v>
      </c>
      <c r="F1167" t="s">
        <v>19</v>
      </c>
      <c r="G1167" t="s">
        <v>19</v>
      </c>
      <c r="H1167" t="s">
        <v>82</v>
      </c>
      <c r="I1167" t="s">
        <v>2985</v>
      </c>
      <c r="J1167">
        <v>66</v>
      </c>
      <c r="K1167" t="s">
        <v>84</v>
      </c>
      <c r="L1167" t="s">
        <v>85</v>
      </c>
      <c r="M1167" t="s">
        <v>86</v>
      </c>
      <c r="N1167">
        <v>1</v>
      </c>
      <c r="O1167" s="1">
        <v>44209.755381944444</v>
      </c>
      <c r="P1167" s="1">
        <v>44209.763101851851</v>
      </c>
      <c r="Q1167">
        <v>486</v>
      </c>
      <c r="R1167">
        <v>181</v>
      </c>
      <c r="S1167" t="b">
        <v>0</v>
      </c>
      <c r="T1167" t="s">
        <v>87</v>
      </c>
      <c r="U1167" t="b">
        <v>0</v>
      </c>
      <c r="V1167" t="s">
        <v>160</v>
      </c>
      <c r="W1167" s="1">
        <v>44209.763101851851</v>
      </c>
      <c r="X1167">
        <v>181</v>
      </c>
      <c r="Y1167">
        <v>5</v>
      </c>
      <c r="Z1167">
        <v>0</v>
      </c>
      <c r="AA1167">
        <v>5</v>
      </c>
      <c r="AB1167">
        <v>0</v>
      </c>
      <c r="AC1167">
        <v>5</v>
      </c>
      <c r="AD1167">
        <v>61</v>
      </c>
      <c r="AE1167">
        <v>52</v>
      </c>
      <c r="AF1167">
        <v>0</v>
      </c>
      <c r="AG1167">
        <v>1</v>
      </c>
      <c r="AH1167" t="s">
        <v>87</v>
      </c>
      <c r="AI1167" t="s">
        <v>87</v>
      </c>
      <c r="AJ1167" t="s">
        <v>87</v>
      </c>
      <c r="AK1167" t="s">
        <v>87</v>
      </c>
      <c r="AL1167" t="s">
        <v>87</v>
      </c>
      <c r="AM1167" t="s">
        <v>87</v>
      </c>
      <c r="AN1167" t="s">
        <v>87</v>
      </c>
      <c r="AO1167" t="s">
        <v>87</v>
      </c>
      <c r="AP1167" t="s">
        <v>87</v>
      </c>
      <c r="AQ1167" t="s">
        <v>87</v>
      </c>
      <c r="AR1167" t="s">
        <v>87</v>
      </c>
      <c r="AS1167" t="s">
        <v>87</v>
      </c>
      <c r="AT1167" t="s">
        <v>87</v>
      </c>
      <c r="AU1167" t="s">
        <v>87</v>
      </c>
      <c r="AV1167" t="s">
        <v>87</v>
      </c>
      <c r="AW1167" t="s">
        <v>87</v>
      </c>
      <c r="AX1167" t="s">
        <v>87</v>
      </c>
      <c r="AY1167" t="s">
        <v>87</v>
      </c>
      <c r="AZ1167" t="s">
        <v>87</v>
      </c>
      <c r="BA1167" t="s">
        <v>87</v>
      </c>
      <c r="BB1167" t="s">
        <v>87</v>
      </c>
      <c r="BC1167" t="s">
        <v>87</v>
      </c>
      <c r="BD1167" t="s">
        <v>87</v>
      </c>
      <c r="BE1167" t="s">
        <v>87</v>
      </c>
    </row>
    <row r="1168" spans="1:57" x14ac:dyDescent="0.45">
      <c r="A1168" t="s">
        <v>2986</v>
      </c>
      <c r="B1168" t="s">
        <v>79</v>
      </c>
      <c r="C1168" t="s">
        <v>2984</v>
      </c>
      <c r="D1168" t="s">
        <v>81</v>
      </c>
      <c r="E1168" s="2" t="str">
        <f>HYPERLINK("capsilon://?command=openfolder&amp;siteaddress=FAM.docvelocity-na8.net&amp;folderid=FX8663CB77-EA9D-13EC-0902-BACA042A4A10","FX201222653")</f>
        <v>FX201222653</v>
      </c>
      <c r="F1168" t="s">
        <v>19</v>
      </c>
      <c r="G1168" t="s">
        <v>19</v>
      </c>
      <c r="H1168" t="s">
        <v>82</v>
      </c>
      <c r="I1168" t="s">
        <v>2985</v>
      </c>
      <c r="J1168">
        <v>38</v>
      </c>
      <c r="K1168" t="s">
        <v>84</v>
      </c>
      <c r="L1168" t="s">
        <v>85</v>
      </c>
      <c r="M1168" t="s">
        <v>86</v>
      </c>
      <c r="N1168">
        <v>3</v>
      </c>
      <c r="O1168" s="1">
        <v>44209.763449074075</v>
      </c>
      <c r="P1168" s="1">
        <v>44210.334594907406</v>
      </c>
      <c r="Q1168">
        <v>48387</v>
      </c>
      <c r="R1168">
        <v>960</v>
      </c>
      <c r="S1168" t="b">
        <v>0</v>
      </c>
      <c r="T1168" t="s">
        <v>87</v>
      </c>
      <c r="U1168" t="b">
        <v>1</v>
      </c>
      <c r="V1168" t="s">
        <v>160</v>
      </c>
      <c r="W1168" s="1">
        <v>44209.772951388892</v>
      </c>
      <c r="X1168">
        <v>820</v>
      </c>
      <c r="Y1168">
        <v>37</v>
      </c>
      <c r="Z1168">
        <v>0</v>
      </c>
      <c r="AA1168">
        <v>37</v>
      </c>
      <c r="AB1168">
        <v>0</v>
      </c>
      <c r="AC1168">
        <v>35</v>
      </c>
      <c r="AD1168">
        <v>1</v>
      </c>
      <c r="AE1168">
        <v>0</v>
      </c>
      <c r="AF1168">
        <v>0</v>
      </c>
      <c r="AG1168">
        <v>0</v>
      </c>
      <c r="AH1168" t="s">
        <v>128</v>
      </c>
      <c r="AI1168" s="1">
        <v>44209.779456018521</v>
      </c>
      <c r="AJ1168">
        <v>135</v>
      </c>
      <c r="AK1168">
        <v>1</v>
      </c>
      <c r="AL1168">
        <v>0</v>
      </c>
      <c r="AM1168">
        <v>1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 t="s">
        <v>90</v>
      </c>
      <c r="AU1168" s="1">
        <v>44210.334594907406</v>
      </c>
      <c r="AV1168">
        <v>5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</row>
    <row r="1169" spans="1:57" x14ac:dyDescent="0.45">
      <c r="A1169" t="s">
        <v>2987</v>
      </c>
      <c r="B1169" t="s">
        <v>79</v>
      </c>
      <c r="C1169" t="s">
        <v>2988</v>
      </c>
      <c r="D1169" t="s">
        <v>81</v>
      </c>
      <c r="E1169" s="2" t="str">
        <f>HYPERLINK("capsilon://?command=openfolder&amp;siteaddress=FAM.docvelocity-na8.net&amp;folderid=FXFB98C11D-2D64-017C-52DA-45504BAB168A","FX201111797")</f>
        <v>FX201111797</v>
      </c>
      <c r="F1169" t="s">
        <v>19</v>
      </c>
      <c r="G1169" t="s">
        <v>19</v>
      </c>
      <c r="H1169" t="s">
        <v>82</v>
      </c>
      <c r="I1169" t="s">
        <v>2989</v>
      </c>
      <c r="J1169">
        <v>66</v>
      </c>
      <c r="K1169" t="s">
        <v>84</v>
      </c>
      <c r="L1169" t="s">
        <v>85</v>
      </c>
      <c r="M1169" t="s">
        <v>86</v>
      </c>
      <c r="N1169">
        <v>3</v>
      </c>
      <c r="O1169" s="1">
        <v>44209.767453703702</v>
      </c>
      <c r="P1169" s="1">
        <v>44210.353761574072</v>
      </c>
      <c r="Q1169">
        <v>50420</v>
      </c>
      <c r="R1169">
        <v>237</v>
      </c>
      <c r="S1169" t="b">
        <v>0</v>
      </c>
      <c r="T1169" t="s">
        <v>87</v>
      </c>
      <c r="U1169" t="b">
        <v>0</v>
      </c>
      <c r="V1169" t="s">
        <v>179</v>
      </c>
      <c r="W1169" s="1">
        <v>44209.769548611112</v>
      </c>
      <c r="X1169">
        <v>180</v>
      </c>
      <c r="Y1169">
        <v>47</v>
      </c>
      <c r="Z1169">
        <v>0</v>
      </c>
      <c r="AA1169">
        <v>47</v>
      </c>
      <c r="AB1169">
        <v>52</v>
      </c>
      <c r="AC1169">
        <v>0</v>
      </c>
      <c r="AD1169">
        <v>19</v>
      </c>
      <c r="AE1169">
        <v>0</v>
      </c>
      <c r="AF1169">
        <v>0</v>
      </c>
      <c r="AG1169">
        <v>0</v>
      </c>
      <c r="AH1169" t="s">
        <v>94</v>
      </c>
      <c r="AI1169" s="1">
        <v>44209.77065972222</v>
      </c>
      <c r="AJ1169">
        <v>50</v>
      </c>
      <c r="AK1169">
        <v>0</v>
      </c>
      <c r="AL1169">
        <v>0</v>
      </c>
      <c r="AM1169">
        <v>0</v>
      </c>
      <c r="AN1169">
        <v>52</v>
      </c>
      <c r="AO1169">
        <v>0</v>
      </c>
      <c r="AP1169">
        <v>19</v>
      </c>
      <c r="AQ1169">
        <v>0</v>
      </c>
      <c r="AR1169">
        <v>0</v>
      </c>
      <c r="AS1169">
        <v>0</v>
      </c>
      <c r="AT1169" t="s">
        <v>90</v>
      </c>
      <c r="AU1169" s="1">
        <v>44210.353761574072</v>
      </c>
      <c r="AV1169">
        <v>7</v>
      </c>
      <c r="AW1169">
        <v>0</v>
      </c>
      <c r="AX1169">
        <v>0</v>
      </c>
      <c r="AY1169">
        <v>0</v>
      </c>
      <c r="AZ1169">
        <v>52</v>
      </c>
      <c r="BA1169">
        <v>0</v>
      </c>
      <c r="BB1169">
        <v>19</v>
      </c>
      <c r="BC1169">
        <v>0</v>
      </c>
      <c r="BD1169">
        <v>0</v>
      </c>
      <c r="BE1169">
        <v>0</v>
      </c>
    </row>
    <row r="1170" spans="1:57" hidden="1" x14ac:dyDescent="0.45">
      <c r="A1170" t="s">
        <v>2990</v>
      </c>
      <c r="B1170" t="s">
        <v>79</v>
      </c>
      <c r="C1170" t="s">
        <v>2274</v>
      </c>
      <c r="D1170" t="s">
        <v>81</v>
      </c>
      <c r="E1170" s="2" t="str">
        <f>HYPERLINK("capsilon://?command=openfolder&amp;siteaddress=FAM.docvelocity-na8.net&amp;folderid=FX3D938018-DFA4-E673-B423-F4FDE548B063","FX201225439")</f>
        <v>FX201225439</v>
      </c>
      <c r="F1170" t="s">
        <v>19</v>
      </c>
      <c r="G1170" t="s">
        <v>19</v>
      </c>
      <c r="H1170" t="s">
        <v>82</v>
      </c>
      <c r="I1170" t="s">
        <v>2991</v>
      </c>
      <c r="J1170">
        <v>66</v>
      </c>
      <c r="K1170" t="s">
        <v>84</v>
      </c>
      <c r="L1170" t="s">
        <v>85</v>
      </c>
      <c r="M1170" t="s">
        <v>86</v>
      </c>
      <c r="N1170">
        <v>1</v>
      </c>
      <c r="O1170" s="1">
        <v>44209.77615740741</v>
      </c>
      <c r="P1170" s="1">
        <v>44209.777037037034</v>
      </c>
      <c r="Q1170">
        <v>62</v>
      </c>
      <c r="R1170">
        <v>14</v>
      </c>
      <c r="S1170" t="b">
        <v>0</v>
      </c>
      <c r="T1170" t="s">
        <v>87</v>
      </c>
      <c r="U1170" t="b">
        <v>0</v>
      </c>
      <c r="V1170" t="s">
        <v>160</v>
      </c>
      <c r="W1170" s="1">
        <v>44209.777037037034</v>
      </c>
      <c r="X1170">
        <v>14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66</v>
      </c>
      <c r="AE1170">
        <v>0</v>
      </c>
      <c r="AF1170">
        <v>0</v>
      </c>
      <c r="AG1170">
        <v>1</v>
      </c>
      <c r="AH1170" t="s">
        <v>87</v>
      </c>
      <c r="AI1170" t="s">
        <v>87</v>
      </c>
      <c r="AJ1170" t="s">
        <v>87</v>
      </c>
      <c r="AK1170" t="s">
        <v>87</v>
      </c>
      <c r="AL1170" t="s">
        <v>87</v>
      </c>
      <c r="AM1170" t="s">
        <v>87</v>
      </c>
      <c r="AN1170" t="s">
        <v>87</v>
      </c>
      <c r="AO1170" t="s">
        <v>87</v>
      </c>
      <c r="AP1170" t="s">
        <v>87</v>
      </c>
      <c r="AQ1170" t="s">
        <v>87</v>
      </c>
      <c r="AR1170" t="s">
        <v>87</v>
      </c>
      <c r="AS1170" t="s">
        <v>87</v>
      </c>
      <c r="AT1170" t="s">
        <v>87</v>
      </c>
      <c r="AU1170" t="s">
        <v>87</v>
      </c>
      <c r="AV1170" t="s">
        <v>87</v>
      </c>
      <c r="AW1170" t="s">
        <v>87</v>
      </c>
      <c r="AX1170" t="s">
        <v>87</v>
      </c>
      <c r="AY1170" t="s">
        <v>87</v>
      </c>
      <c r="AZ1170" t="s">
        <v>87</v>
      </c>
      <c r="BA1170" t="s">
        <v>87</v>
      </c>
      <c r="BB1170" t="s">
        <v>87</v>
      </c>
      <c r="BC1170" t="s">
        <v>87</v>
      </c>
      <c r="BD1170" t="s">
        <v>87</v>
      </c>
      <c r="BE1170" t="s">
        <v>87</v>
      </c>
    </row>
    <row r="1171" spans="1:57" x14ac:dyDescent="0.45">
      <c r="A1171" t="s">
        <v>2992</v>
      </c>
      <c r="B1171" t="s">
        <v>79</v>
      </c>
      <c r="C1171" t="s">
        <v>2274</v>
      </c>
      <c r="D1171" t="s">
        <v>81</v>
      </c>
      <c r="E1171" s="2" t="str">
        <f>HYPERLINK("capsilon://?command=openfolder&amp;siteaddress=FAM.docvelocity-na8.net&amp;folderid=FX3D938018-DFA4-E673-B423-F4FDE548B063","FX201225439")</f>
        <v>FX201225439</v>
      </c>
      <c r="F1171" t="s">
        <v>19</v>
      </c>
      <c r="G1171" t="s">
        <v>19</v>
      </c>
      <c r="H1171" t="s">
        <v>82</v>
      </c>
      <c r="I1171" t="s">
        <v>2991</v>
      </c>
      <c r="J1171">
        <v>38</v>
      </c>
      <c r="K1171" t="s">
        <v>84</v>
      </c>
      <c r="L1171" t="s">
        <v>85</v>
      </c>
      <c r="M1171" t="s">
        <v>86</v>
      </c>
      <c r="N1171">
        <v>3</v>
      </c>
      <c r="O1171" s="1">
        <v>44209.777303240742</v>
      </c>
      <c r="P1171" s="1">
        <v>44210.334652777776</v>
      </c>
      <c r="Q1171">
        <v>47357</v>
      </c>
      <c r="R1171">
        <v>798</v>
      </c>
      <c r="S1171" t="b">
        <v>0</v>
      </c>
      <c r="T1171" t="s">
        <v>87</v>
      </c>
      <c r="U1171" t="b">
        <v>1</v>
      </c>
      <c r="V1171" t="s">
        <v>146</v>
      </c>
      <c r="W1171" s="1">
        <v>44209.785243055558</v>
      </c>
      <c r="X1171">
        <v>685</v>
      </c>
      <c r="Y1171">
        <v>37</v>
      </c>
      <c r="Z1171">
        <v>0</v>
      </c>
      <c r="AA1171">
        <v>37</v>
      </c>
      <c r="AB1171">
        <v>0</v>
      </c>
      <c r="AC1171">
        <v>35</v>
      </c>
      <c r="AD1171">
        <v>1</v>
      </c>
      <c r="AE1171">
        <v>0</v>
      </c>
      <c r="AF1171">
        <v>0</v>
      </c>
      <c r="AG1171">
        <v>0</v>
      </c>
      <c r="AH1171" t="s">
        <v>128</v>
      </c>
      <c r="AI1171" s="1">
        <v>44209.787858796299</v>
      </c>
      <c r="AJ1171">
        <v>109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 t="s">
        <v>90</v>
      </c>
      <c r="AU1171" s="1">
        <v>44210.334652777776</v>
      </c>
      <c r="AV1171">
        <v>4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</row>
    <row r="1172" spans="1:57" x14ac:dyDescent="0.45">
      <c r="A1172" t="s">
        <v>2993</v>
      </c>
      <c r="B1172" t="s">
        <v>79</v>
      </c>
      <c r="C1172" t="s">
        <v>1995</v>
      </c>
      <c r="D1172" t="s">
        <v>81</v>
      </c>
      <c r="E1172" s="2" t="str">
        <f>HYPERLINK("capsilon://?command=openfolder&amp;siteaddress=FAM.docvelocity-na8.net&amp;folderid=FX68BFF421-0534-3C65-E596-2E2BD1ABB6D9","FX20119880")</f>
        <v>FX20119880</v>
      </c>
      <c r="F1172" t="s">
        <v>19</v>
      </c>
      <c r="G1172" t="s">
        <v>19</v>
      </c>
      <c r="H1172" t="s">
        <v>82</v>
      </c>
      <c r="I1172" t="s">
        <v>2994</v>
      </c>
      <c r="J1172">
        <v>54</v>
      </c>
      <c r="K1172" t="s">
        <v>84</v>
      </c>
      <c r="L1172" t="s">
        <v>85</v>
      </c>
      <c r="M1172" t="s">
        <v>86</v>
      </c>
      <c r="N1172">
        <v>3</v>
      </c>
      <c r="O1172" s="1">
        <v>44200.680405092593</v>
      </c>
      <c r="P1172" s="1">
        <v>44201.394953703704</v>
      </c>
      <c r="Q1172">
        <v>60607</v>
      </c>
      <c r="R1172">
        <v>1130</v>
      </c>
      <c r="S1172" t="b">
        <v>0</v>
      </c>
      <c r="T1172" t="s">
        <v>87</v>
      </c>
      <c r="U1172" t="b">
        <v>0</v>
      </c>
      <c r="V1172" t="s">
        <v>262</v>
      </c>
      <c r="W1172" s="1">
        <v>44200.793923611112</v>
      </c>
      <c r="X1172">
        <v>935</v>
      </c>
      <c r="Y1172">
        <v>41</v>
      </c>
      <c r="Z1172">
        <v>0</v>
      </c>
      <c r="AA1172">
        <v>41</v>
      </c>
      <c r="AB1172">
        <v>0</v>
      </c>
      <c r="AC1172">
        <v>13</v>
      </c>
      <c r="AD1172">
        <v>13</v>
      </c>
      <c r="AE1172">
        <v>0</v>
      </c>
      <c r="AF1172">
        <v>0</v>
      </c>
      <c r="AG1172">
        <v>0</v>
      </c>
      <c r="AH1172" t="s">
        <v>267</v>
      </c>
      <c r="AI1172" s="1">
        <v>44200.823425925926</v>
      </c>
      <c r="AJ1172">
        <v>76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13</v>
      </c>
      <c r="AQ1172">
        <v>0</v>
      </c>
      <c r="AR1172">
        <v>0</v>
      </c>
      <c r="AS1172">
        <v>0</v>
      </c>
      <c r="AT1172" t="s">
        <v>90</v>
      </c>
      <c r="AU1172" s="1">
        <v>44201.394953703704</v>
      </c>
      <c r="AV1172">
        <v>90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13</v>
      </c>
      <c r="BC1172">
        <v>0</v>
      </c>
      <c r="BD1172">
        <v>0</v>
      </c>
      <c r="BE1172">
        <v>0</v>
      </c>
    </row>
    <row r="1173" spans="1:57" x14ac:dyDescent="0.45">
      <c r="A1173" t="s">
        <v>2995</v>
      </c>
      <c r="B1173" t="s">
        <v>79</v>
      </c>
      <c r="C1173" t="s">
        <v>1995</v>
      </c>
      <c r="D1173" t="s">
        <v>81</v>
      </c>
      <c r="E1173" s="2" t="str">
        <f>HYPERLINK("capsilon://?command=openfolder&amp;siteaddress=FAM.docvelocity-na8.net&amp;folderid=FX68BFF421-0534-3C65-E596-2E2BD1ABB6D9","FX20119880")</f>
        <v>FX20119880</v>
      </c>
      <c r="F1173" t="s">
        <v>19</v>
      </c>
      <c r="G1173" t="s">
        <v>19</v>
      </c>
      <c r="H1173" t="s">
        <v>82</v>
      </c>
      <c r="I1173" t="s">
        <v>2996</v>
      </c>
      <c r="J1173">
        <v>105</v>
      </c>
      <c r="K1173" t="s">
        <v>84</v>
      </c>
      <c r="L1173" t="s">
        <v>85</v>
      </c>
      <c r="M1173" t="s">
        <v>86</v>
      </c>
      <c r="N1173">
        <v>3</v>
      </c>
      <c r="O1173" s="1">
        <v>44200.680439814816</v>
      </c>
      <c r="P1173" s="1">
        <v>44201.426817129628</v>
      </c>
      <c r="Q1173">
        <v>60564</v>
      </c>
      <c r="R1173">
        <v>3923</v>
      </c>
      <c r="S1173" t="b">
        <v>0</v>
      </c>
      <c r="T1173" t="s">
        <v>87</v>
      </c>
      <c r="U1173" t="b">
        <v>0</v>
      </c>
      <c r="V1173" t="s">
        <v>255</v>
      </c>
      <c r="W1173" s="1">
        <v>44200.796493055554</v>
      </c>
      <c r="X1173">
        <v>870</v>
      </c>
      <c r="Y1173">
        <v>161</v>
      </c>
      <c r="Z1173">
        <v>0</v>
      </c>
      <c r="AA1173">
        <v>161</v>
      </c>
      <c r="AB1173">
        <v>0</v>
      </c>
      <c r="AC1173">
        <v>115</v>
      </c>
      <c r="AD1173">
        <v>-56</v>
      </c>
      <c r="AE1173">
        <v>0</v>
      </c>
      <c r="AF1173">
        <v>0</v>
      </c>
      <c r="AG1173">
        <v>0</v>
      </c>
      <c r="AH1173" t="s">
        <v>267</v>
      </c>
      <c r="AI1173" s="1">
        <v>44200.826099537036</v>
      </c>
      <c r="AJ1173">
        <v>230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-56</v>
      </c>
      <c r="AQ1173">
        <v>0</v>
      </c>
      <c r="AR1173">
        <v>0</v>
      </c>
      <c r="AS1173">
        <v>0</v>
      </c>
      <c r="AT1173" t="s">
        <v>549</v>
      </c>
      <c r="AU1173" s="1">
        <v>44201.426817129628</v>
      </c>
      <c r="AV1173">
        <v>2808</v>
      </c>
      <c r="AW1173">
        <v>1</v>
      </c>
      <c r="AX1173">
        <v>0</v>
      </c>
      <c r="AY1173">
        <v>1</v>
      </c>
      <c r="AZ1173">
        <v>0</v>
      </c>
      <c r="BA1173">
        <v>1</v>
      </c>
      <c r="BB1173">
        <v>-57</v>
      </c>
      <c r="BC1173">
        <v>0</v>
      </c>
      <c r="BD1173">
        <v>0</v>
      </c>
      <c r="BE1173">
        <v>0</v>
      </c>
    </row>
    <row r="1174" spans="1:57" x14ac:dyDescent="0.45">
      <c r="A1174" t="s">
        <v>2997</v>
      </c>
      <c r="B1174" t="s">
        <v>79</v>
      </c>
      <c r="C1174" t="s">
        <v>1995</v>
      </c>
      <c r="D1174" t="s">
        <v>81</v>
      </c>
      <c r="E1174" s="2" t="str">
        <f>HYPERLINK("capsilon://?command=openfolder&amp;siteaddress=FAM.docvelocity-na8.net&amp;folderid=FX68BFF421-0534-3C65-E596-2E2BD1ABB6D9","FX20119880")</f>
        <v>FX20119880</v>
      </c>
      <c r="F1174" t="s">
        <v>19</v>
      </c>
      <c r="G1174" t="s">
        <v>19</v>
      </c>
      <c r="H1174" t="s">
        <v>82</v>
      </c>
      <c r="I1174" t="s">
        <v>2998</v>
      </c>
      <c r="J1174">
        <v>49</v>
      </c>
      <c r="K1174" t="s">
        <v>84</v>
      </c>
      <c r="L1174" t="s">
        <v>85</v>
      </c>
      <c r="M1174" t="s">
        <v>86</v>
      </c>
      <c r="N1174">
        <v>3</v>
      </c>
      <c r="O1174" s="1">
        <v>44200.681203703702</v>
      </c>
      <c r="P1174" s="1">
        <v>44201.39508101852</v>
      </c>
      <c r="Q1174">
        <v>61324</v>
      </c>
      <c r="R1174">
        <v>355</v>
      </c>
      <c r="S1174" t="b">
        <v>0</v>
      </c>
      <c r="T1174" t="s">
        <v>87</v>
      </c>
      <c r="U1174" t="b">
        <v>0</v>
      </c>
      <c r="V1174" t="s">
        <v>266</v>
      </c>
      <c r="W1174" s="1">
        <v>44200.790393518517</v>
      </c>
      <c r="X1174">
        <v>285</v>
      </c>
      <c r="Y1174">
        <v>36</v>
      </c>
      <c r="Z1174">
        <v>0</v>
      </c>
      <c r="AA1174">
        <v>36</v>
      </c>
      <c r="AB1174">
        <v>0</v>
      </c>
      <c r="AC1174">
        <v>11</v>
      </c>
      <c r="AD1174">
        <v>13</v>
      </c>
      <c r="AE1174">
        <v>0</v>
      </c>
      <c r="AF1174">
        <v>0</v>
      </c>
      <c r="AG1174">
        <v>0</v>
      </c>
      <c r="AH1174" t="s">
        <v>267</v>
      </c>
      <c r="AI1174" s="1">
        <v>44200.826793981483</v>
      </c>
      <c r="AJ1174">
        <v>59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13</v>
      </c>
      <c r="AQ1174">
        <v>0</v>
      </c>
      <c r="AR1174">
        <v>0</v>
      </c>
      <c r="AS1174">
        <v>0</v>
      </c>
      <c r="AT1174" t="s">
        <v>90</v>
      </c>
      <c r="AU1174" s="1">
        <v>44201.39508101852</v>
      </c>
      <c r="AV1174">
        <v>11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13</v>
      </c>
      <c r="BC1174">
        <v>0</v>
      </c>
      <c r="BD1174">
        <v>0</v>
      </c>
      <c r="BE1174">
        <v>0</v>
      </c>
    </row>
    <row r="1175" spans="1:57" hidden="1" x14ac:dyDescent="0.45">
      <c r="A1175" t="s">
        <v>2999</v>
      </c>
      <c r="B1175" t="s">
        <v>79</v>
      </c>
      <c r="C1175" t="s">
        <v>664</v>
      </c>
      <c r="D1175" t="s">
        <v>81</v>
      </c>
      <c r="E1175" s="2" t="str">
        <f>HYPERLINK("capsilon://?command=openfolder&amp;siteaddress=FAM.docvelocity-na8.net&amp;folderid=FX4939BCD1-56B6-E3F2-C139-B9240E65ECAB","FX20124482")</f>
        <v>FX20124482</v>
      </c>
      <c r="F1175" t="s">
        <v>19</v>
      </c>
      <c r="G1175" t="s">
        <v>19</v>
      </c>
      <c r="H1175" t="s">
        <v>82</v>
      </c>
      <c r="I1175" t="s">
        <v>3000</v>
      </c>
      <c r="J1175">
        <v>66</v>
      </c>
      <c r="K1175" t="s">
        <v>84</v>
      </c>
      <c r="L1175" t="s">
        <v>85</v>
      </c>
      <c r="M1175" t="s">
        <v>86</v>
      </c>
      <c r="N1175">
        <v>3</v>
      </c>
      <c r="O1175" s="1">
        <v>44209.799189814818</v>
      </c>
      <c r="P1175" s="1">
        <v>44210.353819444441</v>
      </c>
      <c r="Q1175">
        <v>47769</v>
      </c>
      <c r="R1175">
        <v>151</v>
      </c>
      <c r="S1175" t="b">
        <v>0</v>
      </c>
      <c r="T1175" t="s">
        <v>87</v>
      </c>
      <c r="U1175" t="b">
        <v>0</v>
      </c>
      <c r="V1175" t="s">
        <v>146</v>
      </c>
      <c r="W1175" s="1">
        <v>44209.800370370373</v>
      </c>
      <c r="X1175">
        <v>101</v>
      </c>
      <c r="Y1175">
        <v>0</v>
      </c>
      <c r="Z1175">
        <v>0</v>
      </c>
      <c r="AA1175">
        <v>0</v>
      </c>
      <c r="AB1175">
        <v>52</v>
      </c>
      <c r="AC1175">
        <v>0</v>
      </c>
      <c r="AD1175">
        <v>66</v>
      </c>
      <c r="AE1175">
        <v>0</v>
      </c>
      <c r="AF1175">
        <v>0</v>
      </c>
      <c r="AG1175">
        <v>0</v>
      </c>
      <c r="AH1175" t="s">
        <v>128</v>
      </c>
      <c r="AI1175" s="1">
        <v>44209.802187499998</v>
      </c>
      <c r="AJ1175">
        <v>46</v>
      </c>
      <c r="AK1175">
        <v>0</v>
      </c>
      <c r="AL1175">
        <v>0</v>
      </c>
      <c r="AM1175">
        <v>0</v>
      </c>
      <c r="AN1175">
        <v>52</v>
      </c>
      <c r="AO1175">
        <v>0</v>
      </c>
      <c r="AP1175">
        <v>66</v>
      </c>
      <c r="AQ1175">
        <v>0</v>
      </c>
      <c r="AR1175">
        <v>0</v>
      </c>
      <c r="AS1175">
        <v>0</v>
      </c>
      <c r="AT1175" t="s">
        <v>90</v>
      </c>
      <c r="AU1175" s="1">
        <v>44210.353819444441</v>
      </c>
      <c r="AV1175">
        <v>4</v>
      </c>
      <c r="AW1175">
        <v>0</v>
      </c>
      <c r="AX1175">
        <v>0</v>
      </c>
      <c r="AY1175">
        <v>0</v>
      </c>
      <c r="AZ1175">
        <v>52</v>
      </c>
      <c r="BA1175">
        <v>0</v>
      </c>
      <c r="BB1175">
        <v>66</v>
      </c>
      <c r="BC1175">
        <v>0</v>
      </c>
      <c r="BD1175">
        <v>0</v>
      </c>
      <c r="BE1175">
        <v>0</v>
      </c>
    </row>
    <row r="1176" spans="1:57" x14ac:dyDescent="0.45">
      <c r="A1176" t="s">
        <v>3001</v>
      </c>
      <c r="B1176" t="s">
        <v>79</v>
      </c>
      <c r="C1176" t="s">
        <v>1995</v>
      </c>
      <c r="D1176" t="s">
        <v>81</v>
      </c>
      <c r="E1176" s="2" t="str">
        <f>HYPERLINK("capsilon://?command=openfolder&amp;siteaddress=FAM.docvelocity-na8.net&amp;folderid=FX68BFF421-0534-3C65-E596-2E2BD1ABB6D9","FX20119880")</f>
        <v>FX20119880</v>
      </c>
      <c r="F1176" t="s">
        <v>19</v>
      </c>
      <c r="G1176" t="s">
        <v>19</v>
      </c>
      <c r="H1176" t="s">
        <v>82</v>
      </c>
      <c r="I1176" t="s">
        <v>3002</v>
      </c>
      <c r="J1176">
        <v>105</v>
      </c>
      <c r="K1176" t="s">
        <v>84</v>
      </c>
      <c r="L1176" t="s">
        <v>85</v>
      </c>
      <c r="M1176" t="s">
        <v>86</v>
      </c>
      <c r="N1176">
        <v>3</v>
      </c>
      <c r="O1176" s="1">
        <v>44200.68172453704</v>
      </c>
      <c r="P1176" s="1">
        <v>44201.39534722222</v>
      </c>
      <c r="Q1176">
        <v>59754</v>
      </c>
      <c r="R1176">
        <v>1903</v>
      </c>
      <c r="S1176" t="b">
        <v>0</v>
      </c>
      <c r="T1176" t="s">
        <v>87</v>
      </c>
      <c r="U1176" t="b">
        <v>0</v>
      </c>
      <c r="V1176" t="s">
        <v>736</v>
      </c>
      <c r="W1176" s="1">
        <v>44200.808240740742</v>
      </c>
      <c r="X1176">
        <v>1664</v>
      </c>
      <c r="Y1176">
        <v>166</v>
      </c>
      <c r="Z1176">
        <v>0</v>
      </c>
      <c r="AA1176">
        <v>166</v>
      </c>
      <c r="AB1176">
        <v>0</v>
      </c>
      <c r="AC1176">
        <v>83</v>
      </c>
      <c r="AD1176">
        <v>-61</v>
      </c>
      <c r="AE1176">
        <v>0</v>
      </c>
      <c r="AF1176">
        <v>0</v>
      </c>
      <c r="AG1176">
        <v>0</v>
      </c>
      <c r="AH1176" t="s">
        <v>267</v>
      </c>
      <c r="AI1176" s="1">
        <v>44200.829317129632</v>
      </c>
      <c r="AJ1176">
        <v>217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-61</v>
      </c>
      <c r="AQ1176">
        <v>0</v>
      </c>
      <c r="AR1176">
        <v>0</v>
      </c>
      <c r="AS1176">
        <v>0</v>
      </c>
      <c r="AT1176" t="s">
        <v>90</v>
      </c>
      <c r="AU1176" s="1">
        <v>44201.39534722222</v>
      </c>
      <c r="AV1176">
        <v>22</v>
      </c>
      <c r="AW1176">
        <v>1</v>
      </c>
      <c r="AX1176">
        <v>0</v>
      </c>
      <c r="AY1176">
        <v>1</v>
      </c>
      <c r="AZ1176">
        <v>0</v>
      </c>
      <c r="BA1176">
        <v>1</v>
      </c>
      <c r="BB1176">
        <v>-62</v>
      </c>
      <c r="BC1176">
        <v>0</v>
      </c>
      <c r="BD1176">
        <v>0</v>
      </c>
      <c r="BE1176">
        <v>0</v>
      </c>
    </row>
    <row r="1177" spans="1:57" hidden="1" x14ac:dyDescent="0.45">
      <c r="A1177" t="s">
        <v>3003</v>
      </c>
      <c r="B1177" t="s">
        <v>79</v>
      </c>
      <c r="C1177" t="s">
        <v>664</v>
      </c>
      <c r="D1177" t="s">
        <v>81</v>
      </c>
      <c r="E1177" s="2" t="str">
        <f>HYPERLINK("capsilon://?command=openfolder&amp;siteaddress=FAM.docvelocity-na8.net&amp;folderid=FX4939BCD1-56B6-E3F2-C139-B9240E65ECAB","FX20124482")</f>
        <v>FX20124482</v>
      </c>
      <c r="F1177" t="s">
        <v>19</v>
      </c>
      <c r="G1177" t="s">
        <v>19</v>
      </c>
      <c r="H1177" t="s">
        <v>82</v>
      </c>
      <c r="I1177" t="s">
        <v>3004</v>
      </c>
      <c r="J1177">
        <v>66</v>
      </c>
      <c r="K1177" t="s">
        <v>84</v>
      </c>
      <c r="L1177" t="s">
        <v>85</v>
      </c>
      <c r="M1177" t="s">
        <v>86</v>
      </c>
      <c r="N1177">
        <v>1</v>
      </c>
      <c r="O1177" s="1">
        <v>44209.813935185186</v>
      </c>
      <c r="P1177" s="1">
        <v>44210.149409722224</v>
      </c>
      <c r="Q1177">
        <v>28663</v>
      </c>
      <c r="R1177">
        <v>322</v>
      </c>
      <c r="S1177" t="b">
        <v>0</v>
      </c>
      <c r="T1177" t="s">
        <v>87</v>
      </c>
      <c r="U1177" t="b">
        <v>0</v>
      </c>
      <c r="V1177" t="s">
        <v>419</v>
      </c>
      <c r="W1177" s="1">
        <v>44210.149409722224</v>
      </c>
      <c r="X1177">
        <v>135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66</v>
      </c>
      <c r="AE1177">
        <v>52</v>
      </c>
      <c r="AF1177">
        <v>0</v>
      </c>
      <c r="AG1177">
        <v>1</v>
      </c>
      <c r="AH1177" t="s">
        <v>87</v>
      </c>
      <c r="AI1177" t="s">
        <v>87</v>
      </c>
      <c r="AJ1177" t="s">
        <v>87</v>
      </c>
      <c r="AK1177" t="s">
        <v>87</v>
      </c>
      <c r="AL1177" t="s">
        <v>87</v>
      </c>
      <c r="AM1177" t="s">
        <v>87</v>
      </c>
      <c r="AN1177" t="s">
        <v>87</v>
      </c>
      <c r="AO1177" t="s">
        <v>87</v>
      </c>
      <c r="AP1177" t="s">
        <v>87</v>
      </c>
      <c r="AQ1177" t="s">
        <v>87</v>
      </c>
      <c r="AR1177" t="s">
        <v>87</v>
      </c>
      <c r="AS1177" t="s">
        <v>87</v>
      </c>
      <c r="AT1177" t="s">
        <v>87</v>
      </c>
      <c r="AU1177" t="s">
        <v>87</v>
      </c>
      <c r="AV1177" t="s">
        <v>87</v>
      </c>
      <c r="AW1177" t="s">
        <v>87</v>
      </c>
      <c r="AX1177" t="s">
        <v>87</v>
      </c>
      <c r="AY1177" t="s">
        <v>87</v>
      </c>
      <c r="AZ1177" t="s">
        <v>87</v>
      </c>
      <c r="BA1177" t="s">
        <v>87</v>
      </c>
      <c r="BB1177" t="s">
        <v>87</v>
      </c>
      <c r="BC1177" t="s">
        <v>87</v>
      </c>
      <c r="BD1177" t="s">
        <v>87</v>
      </c>
      <c r="BE1177" t="s">
        <v>87</v>
      </c>
    </row>
    <row r="1178" spans="1:57" x14ac:dyDescent="0.45">
      <c r="A1178" t="s">
        <v>3005</v>
      </c>
      <c r="B1178" t="s">
        <v>79</v>
      </c>
      <c r="C1178" t="s">
        <v>3006</v>
      </c>
      <c r="D1178" t="s">
        <v>81</v>
      </c>
      <c r="E1178" s="2" t="str">
        <f>HYPERLINK("capsilon://?command=openfolder&amp;siteaddress=FAM.docvelocity-na8.net&amp;folderid=FX3F65ABA5-85E5-802E-EE25-6AD99FF0B2C7","FX201111211")</f>
        <v>FX201111211</v>
      </c>
      <c r="F1178" t="s">
        <v>19</v>
      </c>
      <c r="G1178" t="s">
        <v>19</v>
      </c>
      <c r="H1178" t="s">
        <v>82</v>
      </c>
      <c r="I1178" t="s">
        <v>3007</v>
      </c>
      <c r="J1178">
        <v>445</v>
      </c>
      <c r="K1178" t="s">
        <v>84</v>
      </c>
      <c r="L1178" t="s">
        <v>85</v>
      </c>
      <c r="M1178" t="s">
        <v>86</v>
      </c>
      <c r="N1178">
        <v>3</v>
      </c>
      <c r="O1178" s="1">
        <v>44209.815023148149</v>
      </c>
      <c r="P1178" s="1">
        <v>44210.353865740741</v>
      </c>
      <c r="Q1178">
        <v>45856</v>
      </c>
      <c r="R1178">
        <v>700</v>
      </c>
      <c r="S1178" t="b">
        <v>0</v>
      </c>
      <c r="T1178" t="s">
        <v>87</v>
      </c>
      <c r="U1178" t="b">
        <v>0</v>
      </c>
      <c r="V1178" t="s">
        <v>105</v>
      </c>
      <c r="W1178" s="1">
        <v>44210.149976851855</v>
      </c>
      <c r="X1178">
        <v>195</v>
      </c>
      <c r="Y1178">
        <v>98</v>
      </c>
      <c r="Z1178">
        <v>0</v>
      </c>
      <c r="AA1178">
        <v>98</v>
      </c>
      <c r="AB1178">
        <v>0</v>
      </c>
      <c r="AC1178">
        <v>0</v>
      </c>
      <c r="AD1178">
        <v>347</v>
      </c>
      <c r="AE1178">
        <v>0</v>
      </c>
      <c r="AF1178">
        <v>0</v>
      </c>
      <c r="AG1178">
        <v>0</v>
      </c>
      <c r="AH1178" t="s">
        <v>94</v>
      </c>
      <c r="AI1178" s="1">
        <v>44210.19427083333</v>
      </c>
      <c r="AJ1178">
        <v>113</v>
      </c>
      <c r="AK1178">
        <v>0</v>
      </c>
      <c r="AL1178">
        <v>0</v>
      </c>
      <c r="AM1178">
        <v>0</v>
      </c>
      <c r="AN1178">
        <v>98</v>
      </c>
      <c r="AO1178">
        <v>0</v>
      </c>
      <c r="AP1178">
        <v>347</v>
      </c>
      <c r="AQ1178">
        <v>0</v>
      </c>
      <c r="AR1178">
        <v>0</v>
      </c>
      <c r="AS1178">
        <v>0</v>
      </c>
      <c r="AT1178" t="s">
        <v>90</v>
      </c>
      <c r="AU1178" s="1">
        <v>44210.353865740741</v>
      </c>
      <c r="AV1178">
        <v>3</v>
      </c>
      <c r="AW1178">
        <v>0</v>
      </c>
      <c r="AX1178">
        <v>0</v>
      </c>
      <c r="AY1178">
        <v>0</v>
      </c>
      <c r="AZ1178">
        <v>98</v>
      </c>
      <c r="BA1178">
        <v>0</v>
      </c>
      <c r="BB1178">
        <v>347</v>
      </c>
      <c r="BC1178">
        <v>0</v>
      </c>
      <c r="BD1178">
        <v>0</v>
      </c>
      <c r="BE1178">
        <v>0</v>
      </c>
    </row>
    <row r="1179" spans="1:57" x14ac:dyDescent="0.45">
      <c r="A1179" t="s">
        <v>3008</v>
      </c>
      <c r="B1179" t="s">
        <v>79</v>
      </c>
      <c r="C1179" t="s">
        <v>1545</v>
      </c>
      <c r="D1179" t="s">
        <v>81</v>
      </c>
      <c r="E1179" s="2" t="str">
        <f>HYPERLINK("capsilon://?command=openfolder&amp;siteaddress=FAM.docvelocity-na8.net&amp;folderid=FXB655C0A7-C4F1-F455-9384-417FC7B46EDC","FX2012269")</f>
        <v>FX2012269</v>
      </c>
      <c r="F1179" t="s">
        <v>19</v>
      </c>
      <c r="G1179" t="s">
        <v>19</v>
      </c>
      <c r="H1179" t="s">
        <v>82</v>
      </c>
      <c r="I1179" t="s">
        <v>3009</v>
      </c>
      <c r="J1179">
        <v>119</v>
      </c>
      <c r="K1179" t="s">
        <v>84</v>
      </c>
      <c r="L1179" t="s">
        <v>85</v>
      </c>
      <c r="M1179" t="s">
        <v>86</v>
      </c>
      <c r="N1179">
        <v>3</v>
      </c>
      <c r="O1179" s="1">
        <v>44200.68340277778</v>
      </c>
      <c r="P1179" s="1">
        <v>44201.396284722221</v>
      </c>
      <c r="Q1179">
        <v>60907</v>
      </c>
      <c r="R1179">
        <v>686</v>
      </c>
      <c r="S1179" t="b">
        <v>0</v>
      </c>
      <c r="T1179" t="s">
        <v>87</v>
      </c>
      <c r="U1179" t="b">
        <v>0</v>
      </c>
      <c r="V1179" t="s">
        <v>266</v>
      </c>
      <c r="W1179" s="1">
        <v>44200.792986111112</v>
      </c>
      <c r="X1179">
        <v>223</v>
      </c>
      <c r="Y1179">
        <v>58</v>
      </c>
      <c r="Z1179">
        <v>0</v>
      </c>
      <c r="AA1179">
        <v>58</v>
      </c>
      <c r="AB1179">
        <v>0</v>
      </c>
      <c r="AC1179">
        <v>1</v>
      </c>
      <c r="AD1179">
        <v>61</v>
      </c>
      <c r="AE1179">
        <v>0</v>
      </c>
      <c r="AF1179">
        <v>0</v>
      </c>
      <c r="AG1179">
        <v>0</v>
      </c>
      <c r="AH1179" t="s">
        <v>128</v>
      </c>
      <c r="AI1179" s="1">
        <v>44200.831863425927</v>
      </c>
      <c r="AJ1179">
        <v>383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61</v>
      </c>
      <c r="AQ1179">
        <v>0</v>
      </c>
      <c r="AR1179">
        <v>0</v>
      </c>
      <c r="AS1179">
        <v>0</v>
      </c>
      <c r="AT1179" t="s">
        <v>90</v>
      </c>
      <c r="AU1179" s="1">
        <v>44201.396284722221</v>
      </c>
      <c r="AV1179">
        <v>80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61</v>
      </c>
      <c r="BC1179">
        <v>0</v>
      </c>
      <c r="BD1179">
        <v>0</v>
      </c>
      <c r="BE1179">
        <v>0</v>
      </c>
    </row>
    <row r="1180" spans="1:57" x14ac:dyDescent="0.45">
      <c r="A1180" t="s">
        <v>3010</v>
      </c>
      <c r="B1180" t="s">
        <v>79</v>
      </c>
      <c r="C1180" t="s">
        <v>1545</v>
      </c>
      <c r="D1180" t="s">
        <v>81</v>
      </c>
      <c r="E1180" s="2" t="str">
        <f>HYPERLINK("capsilon://?command=openfolder&amp;siteaddress=FAM.docvelocity-na8.net&amp;folderid=FXB655C0A7-C4F1-F455-9384-417FC7B46EDC","FX2012269")</f>
        <v>FX2012269</v>
      </c>
      <c r="F1180" t="s">
        <v>19</v>
      </c>
      <c r="G1180" t="s">
        <v>19</v>
      </c>
      <c r="H1180" t="s">
        <v>82</v>
      </c>
      <c r="I1180" t="s">
        <v>3011</v>
      </c>
      <c r="J1180">
        <v>119</v>
      </c>
      <c r="K1180" t="s">
        <v>84</v>
      </c>
      <c r="L1180" t="s">
        <v>85</v>
      </c>
      <c r="M1180" t="s">
        <v>86</v>
      </c>
      <c r="N1180">
        <v>3</v>
      </c>
      <c r="O1180" s="1">
        <v>44200.683715277781</v>
      </c>
      <c r="P1180" s="1">
        <v>44201.396412037036</v>
      </c>
      <c r="Q1180">
        <v>61246</v>
      </c>
      <c r="R1180">
        <v>331</v>
      </c>
      <c r="S1180" t="b">
        <v>0</v>
      </c>
      <c r="T1180" t="s">
        <v>87</v>
      </c>
      <c r="U1180" t="b">
        <v>0</v>
      </c>
      <c r="V1180" t="s">
        <v>266</v>
      </c>
      <c r="W1180" s="1">
        <v>44200.795567129629</v>
      </c>
      <c r="X1180">
        <v>222</v>
      </c>
      <c r="Y1180">
        <v>58</v>
      </c>
      <c r="Z1180">
        <v>0</v>
      </c>
      <c r="AA1180">
        <v>58</v>
      </c>
      <c r="AB1180">
        <v>0</v>
      </c>
      <c r="AC1180">
        <v>1</v>
      </c>
      <c r="AD1180">
        <v>61</v>
      </c>
      <c r="AE1180">
        <v>0</v>
      </c>
      <c r="AF1180">
        <v>0</v>
      </c>
      <c r="AG1180">
        <v>0</v>
      </c>
      <c r="AH1180" t="s">
        <v>267</v>
      </c>
      <c r="AI1180" s="1">
        <v>44200.830474537041</v>
      </c>
      <c r="AJ1180">
        <v>99</v>
      </c>
      <c r="AK1180">
        <v>4</v>
      </c>
      <c r="AL1180">
        <v>0</v>
      </c>
      <c r="AM1180">
        <v>4</v>
      </c>
      <c r="AN1180">
        <v>0</v>
      </c>
      <c r="AO1180">
        <v>4</v>
      </c>
      <c r="AP1180">
        <v>57</v>
      </c>
      <c r="AQ1180">
        <v>0</v>
      </c>
      <c r="AR1180">
        <v>0</v>
      </c>
      <c r="AS1180">
        <v>0</v>
      </c>
      <c r="AT1180" t="s">
        <v>90</v>
      </c>
      <c r="AU1180" s="1">
        <v>44201.396412037036</v>
      </c>
      <c r="AV1180">
        <v>10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57</v>
      </c>
      <c r="BC1180">
        <v>0</v>
      </c>
      <c r="BD1180">
        <v>0</v>
      </c>
      <c r="BE1180">
        <v>0</v>
      </c>
    </row>
    <row r="1181" spans="1:57" x14ac:dyDescent="0.45">
      <c r="A1181" t="s">
        <v>3012</v>
      </c>
      <c r="B1181" t="s">
        <v>79</v>
      </c>
      <c r="C1181" t="s">
        <v>1236</v>
      </c>
      <c r="D1181" t="s">
        <v>81</v>
      </c>
      <c r="E1181" s="2" t="str">
        <f>HYPERLINK("capsilon://?command=openfolder&amp;siteaddress=FAM.docvelocity-na8.net&amp;folderid=FXD6964E4E-52DF-6929-931D-2881725D54B3","FX201228603")</f>
        <v>FX201228603</v>
      </c>
      <c r="F1181" t="s">
        <v>19</v>
      </c>
      <c r="G1181" t="s">
        <v>19</v>
      </c>
      <c r="H1181" t="s">
        <v>82</v>
      </c>
      <c r="I1181" t="s">
        <v>3013</v>
      </c>
      <c r="J1181">
        <v>64</v>
      </c>
      <c r="K1181" t="s">
        <v>84</v>
      </c>
      <c r="L1181" t="s">
        <v>85</v>
      </c>
      <c r="M1181" t="s">
        <v>86</v>
      </c>
      <c r="N1181">
        <v>3</v>
      </c>
      <c r="O1181" s="1">
        <v>44200.684039351851</v>
      </c>
      <c r="P1181" s="1">
        <v>44201.396481481483</v>
      </c>
      <c r="Q1181">
        <v>60418</v>
      </c>
      <c r="R1181">
        <v>1137</v>
      </c>
      <c r="S1181" t="b">
        <v>0</v>
      </c>
      <c r="T1181" t="s">
        <v>87</v>
      </c>
      <c r="U1181" t="b">
        <v>0</v>
      </c>
      <c r="V1181" t="s">
        <v>266</v>
      </c>
      <c r="W1181" s="1">
        <v>44200.806689814817</v>
      </c>
      <c r="X1181">
        <v>960</v>
      </c>
      <c r="Y1181">
        <v>58</v>
      </c>
      <c r="Z1181">
        <v>0</v>
      </c>
      <c r="AA1181">
        <v>58</v>
      </c>
      <c r="AB1181">
        <v>0</v>
      </c>
      <c r="AC1181">
        <v>20</v>
      </c>
      <c r="AD1181">
        <v>6</v>
      </c>
      <c r="AE1181">
        <v>0</v>
      </c>
      <c r="AF1181">
        <v>0</v>
      </c>
      <c r="AG1181">
        <v>0</v>
      </c>
      <c r="AH1181" t="s">
        <v>267</v>
      </c>
      <c r="AI1181" s="1">
        <v>44200.83148148148</v>
      </c>
      <c r="AJ1181">
        <v>86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6</v>
      </c>
      <c r="AQ1181">
        <v>0</v>
      </c>
      <c r="AR1181">
        <v>0</v>
      </c>
      <c r="AS1181">
        <v>0</v>
      </c>
      <c r="AT1181" t="s">
        <v>90</v>
      </c>
      <c r="AU1181" s="1">
        <v>44201.396481481483</v>
      </c>
      <c r="AV1181">
        <v>5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6</v>
      </c>
      <c r="BC1181">
        <v>0</v>
      </c>
      <c r="BD1181">
        <v>0</v>
      </c>
      <c r="BE1181">
        <v>0</v>
      </c>
    </row>
    <row r="1182" spans="1:57" x14ac:dyDescent="0.45">
      <c r="A1182" t="s">
        <v>3014</v>
      </c>
      <c r="B1182" t="s">
        <v>79</v>
      </c>
      <c r="C1182" t="s">
        <v>3015</v>
      </c>
      <c r="D1182" t="s">
        <v>81</v>
      </c>
      <c r="E1182" s="2" t="str">
        <f>HYPERLINK("capsilon://?command=openfolder&amp;siteaddress=FAM.docvelocity-na8.net&amp;folderid=FXC0B95E1F-595A-7FA4-7E96-0E9C5D6F92DB","FX201221371")</f>
        <v>FX201221371</v>
      </c>
      <c r="F1182" t="s">
        <v>19</v>
      </c>
      <c r="G1182" t="s">
        <v>19</v>
      </c>
      <c r="H1182" t="s">
        <v>82</v>
      </c>
      <c r="I1182" t="s">
        <v>3016</v>
      </c>
      <c r="J1182">
        <v>62</v>
      </c>
      <c r="K1182" t="s">
        <v>84</v>
      </c>
      <c r="L1182" t="s">
        <v>85</v>
      </c>
      <c r="M1182" t="s">
        <v>86</v>
      </c>
      <c r="N1182">
        <v>3</v>
      </c>
      <c r="O1182" s="1">
        <v>44209.833240740743</v>
      </c>
      <c r="P1182" s="1">
        <v>44210.354201388887</v>
      </c>
      <c r="Q1182">
        <v>41875</v>
      </c>
      <c r="R1182">
        <v>3136</v>
      </c>
      <c r="S1182" t="b">
        <v>0</v>
      </c>
      <c r="T1182" t="s">
        <v>87</v>
      </c>
      <c r="U1182" t="b">
        <v>0</v>
      </c>
      <c r="V1182" t="s">
        <v>1418</v>
      </c>
      <c r="W1182" s="1">
        <v>44210.156273148146</v>
      </c>
      <c r="X1182">
        <v>598</v>
      </c>
      <c r="Y1182">
        <v>66</v>
      </c>
      <c r="Z1182">
        <v>0</v>
      </c>
      <c r="AA1182">
        <v>66</v>
      </c>
      <c r="AB1182">
        <v>0</v>
      </c>
      <c r="AC1182">
        <v>34</v>
      </c>
      <c r="AD1182">
        <v>-4</v>
      </c>
      <c r="AE1182">
        <v>0</v>
      </c>
      <c r="AF1182">
        <v>0</v>
      </c>
      <c r="AG1182">
        <v>0</v>
      </c>
      <c r="AH1182" t="s">
        <v>89</v>
      </c>
      <c r="AI1182" s="1">
        <v>44210.189074074071</v>
      </c>
      <c r="AJ1182">
        <v>2510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-4</v>
      </c>
      <c r="AQ1182">
        <v>0</v>
      </c>
      <c r="AR1182">
        <v>0</v>
      </c>
      <c r="AS1182">
        <v>0</v>
      </c>
      <c r="AT1182" t="s">
        <v>90</v>
      </c>
      <c r="AU1182" s="1">
        <v>44210.354201388887</v>
      </c>
      <c r="AV1182">
        <v>28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-4</v>
      </c>
      <c r="BC1182">
        <v>0</v>
      </c>
      <c r="BD1182">
        <v>0</v>
      </c>
      <c r="BE1182">
        <v>0</v>
      </c>
    </row>
    <row r="1183" spans="1:57" x14ac:dyDescent="0.45">
      <c r="A1183" t="s">
        <v>3017</v>
      </c>
      <c r="B1183" t="s">
        <v>79</v>
      </c>
      <c r="C1183" t="s">
        <v>1871</v>
      </c>
      <c r="D1183" t="s">
        <v>81</v>
      </c>
      <c r="E1183" s="2" t="str">
        <f>HYPERLINK("capsilon://?command=openfolder&amp;siteaddress=FAM.docvelocity-na8.net&amp;folderid=FX6DBE14CA-DEA6-20CC-74B5-14F9BDEFDAA1","FX20125296")</f>
        <v>FX20125296</v>
      </c>
      <c r="F1183" t="s">
        <v>19</v>
      </c>
      <c r="G1183" t="s">
        <v>19</v>
      </c>
      <c r="H1183" t="s">
        <v>82</v>
      </c>
      <c r="I1183" t="s">
        <v>2010</v>
      </c>
      <c r="J1183">
        <v>26</v>
      </c>
      <c r="K1183" t="s">
        <v>84</v>
      </c>
      <c r="L1183" t="s">
        <v>85</v>
      </c>
      <c r="M1183" t="s">
        <v>86</v>
      </c>
      <c r="N1183">
        <v>3</v>
      </c>
      <c r="O1183" s="1">
        <v>44200.685393518521</v>
      </c>
      <c r="P1183" s="1">
        <v>44201.337291666663</v>
      </c>
      <c r="Q1183">
        <v>56026</v>
      </c>
      <c r="R1183">
        <v>298</v>
      </c>
      <c r="S1183" t="b">
        <v>0</v>
      </c>
      <c r="T1183" t="s">
        <v>87</v>
      </c>
      <c r="U1183" t="b">
        <v>1</v>
      </c>
      <c r="V1183" t="s">
        <v>142</v>
      </c>
      <c r="W1183" s="1">
        <v>44200.687997685185</v>
      </c>
      <c r="X1183">
        <v>222</v>
      </c>
      <c r="Y1183">
        <v>21</v>
      </c>
      <c r="Z1183">
        <v>0</v>
      </c>
      <c r="AA1183">
        <v>21</v>
      </c>
      <c r="AB1183">
        <v>0</v>
      </c>
      <c r="AC1183">
        <v>18</v>
      </c>
      <c r="AD1183">
        <v>5</v>
      </c>
      <c r="AE1183">
        <v>0</v>
      </c>
      <c r="AF1183">
        <v>0</v>
      </c>
      <c r="AG1183">
        <v>0</v>
      </c>
      <c r="AH1183" t="s">
        <v>267</v>
      </c>
      <c r="AI1183" s="1">
        <v>44200.690763888888</v>
      </c>
      <c r="AJ1183">
        <v>71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5</v>
      </c>
      <c r="AQ1183">
        <v>0</v>
      </c>
      <c r="AR1183">
        <v>0</v>
      </c>
      <c r="AS1183">
        <v>0</v>
      </c>
      <c r="AT1183" t="s">
        <v>90</v>
      </c>
      <c r="AU1183" s="1">
        <v>44201.337291666663</v>
      </c>
      <c r="AV1183">
        <v>5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5</v>
      </c>
      <c r="BC1183">
        <v>0</v>
      </c>
      <c r="BD1183">
        <v>0</v>
      </c>
      <c r="BE1183">
        <v>0</v>
      </c>
    </row>
    <row r="1184" spans="1:57" x14ac:dyDescent="0.45">
      <c r="A1184" t="s">
        <v>3018</v>
      </c>
      <c r="B1184" t="s">
        <v>79</v>
      </c>
      <c r="C1184" t="s">
        <v>955</v>
      </c>
      <c r="D1184" t="s">
        <v>81</v>
      </c>
      <c r="E1184" s="2" t="str">
        <f>HYPERLINK("capsilon://?command=openfolder&amp;siteaddress=FAM.docvelocity-na8.net&amp;folderid=FX73CD7F8C-A402-3D20-CDF8-518D7DAC20E5","FX201228731")</f>
        <v>FX201228731</v>
      </c>
      <c r="F1184" t="s">
        <v>19</v>
      </c>
      <c r="G1184" t="s">
        <v>19</v>
      </c>
      <c r="H1184" t="s">
        <v>82</v>
      </c>
      <c r="I1184" t="s">
        <v>3019</v>
      </c>
      <c r="J1184">
        <v>283</v>
      </c>
      <c r="K1184" t="s">
        <v>84</v>
      </c>
      <c r="L1184" t="s">
        <v>85</v>
      </c>
      <c r="M1184" t="s">
        <v>86</v>
      </c>
      <c r="N1184">
        <v>3</v>
      </c>
      <c r="O1184" s="1">
        <v>44200.685844907406</v>
      </c>
      <c r="P1184" s="1">
        <v>44201.397314814814</v>
      </c>
      <c r="Q1184">
        <v>57490</v>
      </c>
      <c r="R1184">
        <v>3981</v>
      </c>
      <c r="S1184" t="b">
        <v>0</v>
      </c>
      <c r="T1184" t="s">
        <v>87</v>
      </c>
      <c r="U1184" t="b">
        <v>0</v>
      </c>
      <c r="V1184" t="s">
        <v>255</v>
      </c>
      <c r="W1184" s="1">
        <v>44200.827141203707</v>
      </c>
      <c r="X1184">
        <v>2647</v>
      </c>
      <c r="Y1184">
        <v>232</v>
      </c>
      <c r="Z1184">
        <v>0</v>
      </c>
      <c r="AA1184">
        <v>232</v>
      </c>
      <c r="AB1184">
        <v>0</v>
      </c>
      <c r="AC1184">
        <v>73</v>
      </c>
      <c r="AD1184">
        <v>51</v>
      </c>
      <c r="AE1184">
        <v>0</v>
      </c>
      <c r="AF1184">
        <v>0</v>
      </c>
      <c r="AG1184">
        <v>0</v>
      </c>
      <c r="AH1184" t="s">
        <v>128</v>
      </c>
      <c r="AI1184" s="1">
        <v>44200.846493055556</v>
      </c>
      <c r="AJ1184">
        <v>1263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51</v>
      </c>
      <c r="AQ1184">
        <v>0</v>
      </c>
      <c r="AR1184">
        <v>0</v>
      </c>
      <c r="AS1184">
        <v>0</v>
      </c>
      <c r="AT1184" t="s">
        <v>90</v>
      </c>
      <c r="AU1184" s="1">
        <v>44201.397314814814</v>
      </c>
      <c r="AV1184">
        <v>71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51</v>
      </c>
      <c r="BC1184">
        <v>0</v>
      </c>
      <c r="BD1184">
        <v>0</v>
      </c>
      <c r="BE1184">
        <v>0</v>
      </c>
    </row>
    <row r="1185" spans="1:57" hidden="1" x14ac:dyDescent="0.45">
      <c r="A1185" t="s">
        <v>3020</v>
      </c>
      <c r="B1185" t="s">
        <v>79</v>
      </c>
      <c r="C1185" t="s">
        <v>1371</v>
      </c>
      <c r="D1185" t="s">
        <v>81</v>
      </c>
      <c r="E1185" s="2" t="str">
        <f>HYPERLINK("capsilon://?command=openfolder&amp;siteaddress=FAM.docvelocity-na8.net&amp;folderid=FXB841B970-9B50-0DD4-2C33-D190EAF08556","FX201228979")</f>
        <v>FX201228979</v>
      </c>
      <c r="F1185" t="s">
        <v>19</v>
      </c>
      <c r="G1185" t="s">
        <v>19</v>
      </c>
      <c r="H1185" t="s">
        <v>82</v>
      </c>
      <c r="I1185" t="s">
        <v>3021</v>
      </c>
      <c r="J1185">
        <v>38</v>
      </c>
      <c r="K1185" t="s">
        <v>84</v>
      </c>
      <c r="L1185" t="s">
        <v>85</v>
      </c>
      <c r="M1185" t="s">
        <v>86</v>
      </c>
      <c r="N1185">
        <v>3</v>
      </c>
      <c r="O1185" s="1">
        <v>44200.685925925929</v>
      </c>
      <c r="P1185" s="1">
        <v>44201.397372685184</v>
      </c>
      <c r="Q1185">
        <v>61328</v>
      </c>
      <c r="R1185">
        <v>141</v>
      </c>
      <c r="S1185" t="b">
        <v>0</v>
      </c>
      <c r="T1185" t="s">
        <v>87</v>
      </c>
      <c r="U1185" t="b">
        <v>0</v>
      </c>
      <c r="V1185" t="s">
        <v>266</v>
      </c>
      <c r="W1185" s="1">
        <v>44200.807662037034</v>
      </c>
      <c r="X1185">
        <v>83</v>
      </c>
      <c r="Y1185">
        <v>0</v>
      </c>
      <c r="Z1185">
        <v>0</v>
      </c>
      <c r="AA1185">
        <v>0</v>
      </c>
      <c r="AB1185">
        <v>37</v>
      </c>
      <c r="AC1185">
        <v>0</v>
      </c>
      <c r="AD1185">
        <v>38</v>
      </c>
      <c r="AE1185">
        <v>0</v>
      </c>
      <c r="AF1185">
        <v>0</v>
      </c>
      <c r="AG1185">
        <v>0</v>
      </c>
      <c r="AH1185" t="s">
        <v>94</v>
      </c>
      <c r="AI1185" s="1">
        <v>44200.833912037036</v>
      </c>
      <c r="AJ1185">
        <v>54</v>
      </c>
      <c r="AK1185">
        <v>0</v>
      </c>
      <c r="AL1185">
        <v>0</v>
      </c>
      <c r="AM1185">
        <v>0</v>
      </c>
      <c r="AN1185">
        <v>37</v>
      </c>
      <c r="AO1185">
        <v>0</v>
      </c>
      <c r="AP1185">
        <v>38</v>
      </c>
      <c r="AQ1185">
        <v>0</v>
      </c>
      <c r="AR1185">
        <v>0</v>
      </c>
      <c r="AS1185">
        <v>0</v>
      </c>
      <c r="AT1185" t="s">
        <v>90</v>
      </c>
      <c r="AU1185" s="1">
        <v>44201.397372685184</v>
      </c>
      <c r="AV1185">
        <v>4</v>
      </c>
      <c r="AW1185">
        <v>0</v>
      </c>
      <c r="AX1185">
        <v>0</v>
      </c>
      <c r="AY1185">
        <v>0</v>
      </c>
      <c r="AZ1185">
        <v>37</v>
      </c>
      <c r="BA1185">
        <v>0</v>
      </c>
      <c r="BB1185">
        <v>38</v>
      </c>
      <c r="BC1185">
        <v>0</v>
      </c>
      <c r="BD1185">
        <v>0</v>
      </c>
      <c r="BE1185">
        <v>0</v>
      </c>
    </row>
    <row r="1186" spans="1:57" x14ac:dyDescent="0.45">
      <c r="A1186" t="s">
        <v>3022</v>
      </c>
      <c r="B1186" t="s">
        <v>79</v>
      </c>
      <c r="C1186" t="s">
        <v>1826</v>
      </c>
      <c r="D1186" t="s">
        <v>81</v>
      </c>
      <c r="E1186" s="2" t="str">
        <f>HYPERLINK("capsilon://?command=openfolder&amp;siteaddress=FAM.docvelocity-na8.net&amp;folderid=FXB08F0610-02F2-088D-5BDD-A239FE0FEC0C","FX201110438")</f>
        <v>FX201110438</v>
      </c>
      <c r="F1186" t="s">
        <v>19</v>
      </c>
      <c r="G1186" t="s">
        <v>19</v>
      </c>
      <c r="H1186" t="s">
        <v>82</v>
      </c>
      <c r="I1186" t="s">
        <v>3023</v>
      </c>
      <c r="J1186">
        <v>187</v>
      </c>
      <c r="K1186" t="s">
        <v>84</v>
      </c>
      <c r="L1186" t="s">
        <v>85</v>
      </c>
      <c r="M1186" t="s">
        <v>86</v>
      </c>
      <c r="N1186">
        <v>3</v>
      </c>
      <c r="O1186" s="1">
        <v>44209.881342592591</v>
      </c>
      <c r="P1186" s="1">
        <v>44210.355069444442</v>
      </c>
      <c r="Q1186">
        <v>35677</v>
      </c>
      <c r="R1186">
        <v>5253</v>
      </c>
      <c r="S1186" t="b">
        <v>0</v>
      </c>
      <c r="T1186" t="s">
        <v>87</v>
      </c>
      <c r="U1186" t="b">
        <v>0</v>
      </c>
      <c r="V1186" t="s">
        <v>105</v>
      </c>
      <c r="W1186" s="1">
        <v>44210.187939814816</v>
      </c>
      <c r="X1186">
        <v>3279</v>
      </c>
      <c r="Y1186">
        <v>225</v>
      </c>
      <c r="Z1186">
        <v>0</v>
      </c>
      <c r="AA1186">
        <v>225</v>
      </c>
      <c r="AB1186">
        <v>0</v>
      </c>
      <c r="AC1186">
        <v>128</v>
      </c>
      <c r="AD1186">
        <v>-38</v>
      </c>
      <c r="AE1186">
        <v>0</v>
      </c>
      <c r="AF1186">
        <v>0</v>
      </c>
      <c r="AG1186">
        <v>0</v>
      </c>
      <c r="AH1186" t="s">
        <v>89</v>
      </c>
      <c r="AI1186" s="1">
        <v>44210.236724537041</v>
      </c>
      <c r="AJ1186">
        <v>1784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-38</v>
      </c>
      <c r="AQ1186">
        <v>0</v>
      </c>
      <c r="AR1186">
        <v>0</v>
      </c>
      <c r="AS1186">
        <v>0</v>
      </c>
      <c r="AT1186" t="s">
        <v>90</v>
      </c>
      <c r="AU1186" s="1">
        <v>44210.355069444442</v>
      </c>
      <c r="AV1186">
        <v>74</v>
      </c>
      <c r="AW1186">
        <v>3</v>
      </c>
      <c r="AX1186">
        <v>0</v>
      </c>
      <c r="AY1186">
        <v>3</v>
      </c>
      <c r="AZ1186">
        <v>57</v>
      </c>
      <c r="BA1186">
        <v>3</v>
      </c>
      <c r="BB1186">
        <v>-41</v>
      </c>
      <c r="BC1186">
        <v>0</v>
      </c>
      <c r="BD1186">
        <v>0</v>
      </c>
      <c r="BE1186">
        <v>0</v>
      </c>
    </row>
    <row r="1187" spans="1:57" hidden="1" x14ac:dyDescent="0.45">
      <c r="A1187" t="s">
        <v>3024</v>
      </c>
      <c r="B1187" t="s">
        <v>79</v>
      </c>
      <c r="C1187" t="s">
        <v>2097</v>
      </c>
      <c r="D1187" t="s">
        <v>81</v>
      </c>
      <c r="E1187" s="2" t="str">
        <f>HYPERLINK("capsilon://?command=openfolder&amp;siteaddress=FAM.docvelocity-na8.net&amp;folderid=FXC5E5AC80-0D2B-E93E-E1AB-2E108CD0CCAF","FX201221685")</f>
        <v>FX201221685</v>
      </c>
      <c r="F1187" t="s">
        <v>19</v>
      </c>
      <c r="G1187" t="s">
        <v>19</v>
      </c>
      <c r="H1187" t="s">
        <v>82</v>
      </c>
      <c r="I1187" t="s">
        <v>3025</v>
      </c>
      <c r="J1187">
        <v>95</v>
      </c>
      <c r="K1187" t="s">
        <v>84</v>
      </c>
      <c r="L1187" t="s">
        <v>85</v>
      </c>
      <c r="M1187" t="s">
        <v>86</v>
      </c>
      <c r="N1187">
        <v>1</v>
      </c>
      <c r="O1187" s="1">
        <v>44209.884097222224</v>
      </c>
      <c r="P1187" s="1">
        <v>44210.151712962965</v>
      </c>
      <c r="Q1187">
        <v>22981</v>
      </c>
      <c r="R1187">
        <v>141</v>
      </c>
      <c r="S1187" t="b">
        <v>0</v>
      </c>
      <c r="T1187" t="s">
        <v>87</v>
      </c>
      <c r="U1187" t="b">
        <v>0</v>
      </c>
      <c r="V1187" t="s">
        <v>88</v>
      </c>
      <c r="W1187" s="1">
        <v>44210.151712962965</v>
      </c>
      <c r="X1187">
        <v>141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95</v>
      </c>
      <c r="AE1187">
        <v>91</v>
      </c>
      <c r="AF1187">
        <v>0</v>
      </c>
      <c r="AG1187">
        <v>2</v>
      </c>
      <c r="AH1187" t="s">
        <v>87</v>
      </c>
      <c r="AI1187" t="s">
        <v>87</v>
      </c>
      <c r="AJ1187" t="s">
        <v>87</v>
      </c>
      <c r="AK1187" t="s">
        <v>87</v>
      </c>
      <c r="AL1187" t="s">
        <v>87</v>
      </c>
      <c r="AM1187" t="s">
        <v>87</v>
      </c>
      <c r="AN1187" t="s">
        <v>87</v>
      </c>
      <c r="AO1187" t="s">
        <v>87</v>
      </c>
      <c r="AP1187" t="s">
        <v>87</v>
      </c>
      <c r="AQ1187" t="s">
        <v>87</v>
      </c>
      <c r="AR1187" t="s">
        <v>87</v>
      </c>
      <c r="AS1187" t="s">
        <v>87</v>
      </c>
      <c r="AT1187" t="s">
        <v>87</v>
      </c>
      <c r="AU1187" t="s">
        <v>87</v>
      </c>
      <c r="AV1187" t="s">
        <v>87</v>
      </c>
      <c r="AW1187" t="s">
        <v>87</v>
      </c>
      <c r="AX1187" t="s">
        <v>87</v>
      </c>
      <c r="AY1187" t="s">
        <v>87</v>
      </c>
      <c r="AZ1187" t="s">
        <v>87</v>
      </c>
      <c r="BA1187" t="s">
        <v>87</v>
      </c>
      <c r="BB1187" t="s">
        <v>87</v>
      </c>
      <c r="BC1187" t="s">
        <v>87</v>
      </c>
      <c r="BD1187" t="s">
        <v>87</v>
      </c>
      <c r="BE1187" t="s">
        <v>87</v>
      </c>
    </row>
    <row r="1188" spans="1:57" x14ac:dyDescent="0.45">
      <c r="A1188" t="s">
        <v>3026</v>
      </c>
      <c r="B1188" t="s">
        <v>79</v>
      </c>
      <c r="C1188" t="s">
        <v>875</v>
      </c>
      <c r="D1188" t="s">
        <v>81</v>
      </c>
      <c r="E1188" s="2" t="str">
        <f>HYPERLINK("capsilon://?command=openfolder&amp;siteaddress=FAM.docvelocity-na8.net&amp;folderid=FX8CAE4260-A543-E6DB-E579-8D4ED85DC75D","FX20124809")</f>
        <v>FX20124809</v>
      </c>
      <c r="F1188" t="s">
        <v>19</v>
      </c>
      <c r="G1188" t="s">
        <v>19</v>
      </c>
      <c r="H1188" t="s">
        <v>82</v>
      </c>
      <c r="I1188" t="s">
        <v>3027</v>
      </c>
      <c r="J1188">
        <v>136</v>
      </c>
      <c r="K1188" t="s">
        <v>84</v>
      </c>
      <c r="L1188" t="s">
        <v>85</v>
      </c>
      <c r="M1188" t="s">
        <v>86</v>
      </c>
      <c r="N1188">
        <v>3</v>
      </c>
      <c r="O1188" s="1">
        <v>44209.931504629632</v>
      </c>
      <c r="P1188" s="1">
        <v>44210.355891203704</v>
      </c>
      <c r="Q1188">
        <v>33560</v>
      </c>
      <c r="R1188">
        <v>3107</v>
      </c>
      <c r="S1188" t="b">
        <v>0</v>
      </c>
      <c r="T1188" t="s">
        <v>87</v>
      </c>
      <c r="U1188" t="b">
        <v>0</v>
      </c>
      <c r="V1188" t="s">
        <v>88</v>
      </c>
      <c r="W1188" s="1">
        <v>44210.181296296294</v>
      </c>
      <c r="X1188">
        <v>2555</v>
      </c>
      <c r="Y1188">
        <v>122</v>
      </c>
      <c r="Z1188">
        <v>0</v>
      </c>
      <c r="AA1188">
        <v>122</v>
      </c>
      <c r="AB1188">
        <v>0</v>
      </c>
      <c r="AC1188">
        <v>74</v>
      </c>
      <c r="AD1188">
        <v>14</v>
      </c>
      <c r="AE1188">
        <v>0</v>
      </c>
      <c r="AF1188">
        <v>0</v>
      </c>
      <c r="AG1188">
        <v>0</v>
      </c>
      <c r="AH1188" t="s">
        <v>94</v>
      </c>
      <c r="AI1188" s="1">
        <v>44210.226064814815</v>
      </c>
      <c r="AJ1188">
        <v>482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14</v>
      </c>
      <c r="AQ1188">
        <v>0</v>
      </c>
      <c r="AR1188">
        <v>0</v>
      </c>
      <c r="AS1188">
        <v>0</v>
      </c>
      <c r="AT1188" t="s">
        <v>90</v>
      </c>
      <c r="AU1188" s="1">
        <v>44210.355891203704</v>
      </c>
      <c r="AV1188">
        <v>70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14</v>
      </c>
      <c r="BC1188">
        <v>0</v>
      </c>
      <c r="BD1188">
        <v>0</v>
      </c>
      <c r="BE1188">
        <v>0</v>
      </c>
    </row>
    <row r="1189" spans="1:57" x14ac:dyDescent="0.45">
      <c r="A1189" t="s">
        <v>3028</v>
      </c>
      <c r="B1189" t="s">
        <v>79</v>
      </c>
      <c r="C1189" t="s">
        <v>1347</v>
      </c>
      <c r="D1189" t="s">
        <v>81</v>
      </c>
      <c r="E1189" s="2" t="str">
        <f>HYPERLINK("capsilon://?command=openfolder&amp;siteaddress=FAM.docvelocity-na8.net&amp;folderid=FX7A55613F-4EA0-5783-D604-BCD870B00FC0","FX201226309")</f>
        <v>FX201226309</v>
      </c>
      <c r="F1189" t="s">
        <v>19</v>
      </c>
      <c r="G1189" t="s">
        <v>19</v>
      </c>
      <c r="H1189" t="s">
        <v>82</v>
      </c>
      <c r="I1189" t="s">
        <v>3029</v>
      </c>
      <c r="J1189">
        <v>53</v>
      </c>
      <c r="K1189" t="s">
        <v>84</v>
      </c>
      <c r="L1189" t="s">
        <v>85</v>
      </c>
      <c r="M1189" t="s">
        <v>86</v>
      </c>
      <c r="N1189">
        <v>3</v>
      </c>
      <c r="O1189" s="1">
        <v>44200.690497685187</v>
      </c>
      <c r="P1189" s="1">
        <v>44201.422291666669</v>
      </c>
      <c r="Q1189">
        <v>60511</v>
      </c>
      <c r="R1189">
        <v>2716</v>
      </c>
      <c r="S1189" t="b">
        <v>0</v>
      </c>
      <c r="T1189" t="s">
        <v>87</v>
      </c>
      <c r="U1189" t="b">
        <v>0</v>
      </c>
      <c r="V1189" t="s">
        <v>266</v>
      </c>
      <c r="W1189" s="1">
        <v>44200.811261574076</v>
      </c>
      <c r="X1189">
        <v>310</v>
      </c>
      <c r="Y1189">
        <v>52</v>
      </c>
      <c r="Z1189">
        <v>0</v>
      </c>
      <c r="AA1189">
        <v>52</v>
      </c>
      <c r="AB1189">
        <v>0</v>
      </c>
      <c r="AC1189">
        <v>13</v>
      </c>
      <c r="AD1189">
        <v>1</v>
      </c>
      <c r="AE1189">
        <v>0</v>
      </c>
      <c r="AF1189">
        <v>0</v>
      </c>
      <c r="AG1189">
        <v>0</v>
      </c>
      <c r="AH1189" t="s">
        <v>94</v>
      </c>
      <c r="AI1189" s="1">
        <v>44200.836863425924</v>
      </c>
      <c r="AJ1189">
        <v>254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 t="s">
        <v>90</v>
      </c>
      <c r="AU1189" s="1">
        <v>44201.422291666669</v>
      </c>
      <c r="AV1189">
        <v>2152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</row>
    <row r="1190" spans="1:57" x14ac:dyDescent="0.45">
      <c r="A1190" t="s">
        <v>3030</v>
      </c>
      <c r="B1190" t="s">
        <v>79</v>
      </c>
      <c r="C1190" t="s">
        <v>1347</v>
      </c>
      <c r="D1190" t="s">
        <v>81</v>
      </c>
      <c r="E1190" s="2" t="str">
        <f>HYPERLINK("capsilon://?command=openfolder&amp;siteaddress=FAM.docvelocity-na8.net&amp;folderid=FX7A55613F-4EA0-5783-D604-BCD870B00FC0","FX201226309")</f>
        <v>FX201226309</v>
      </c>
      <c r="F1190" t="s">
        <v>19</v>
      </c>
      <c r="G1190" t="s">
        <v>19</v>
      </c>
      <c r="H1190" t="s">
        <v>82</v>
      </c>
      <c r="I1190" t="s">
        <v>3031</v>
      </c>
      <c r="J1190">
        <v>48</v>
      </c>
      <c r="K1190" t="s">
        <v>84</v>
      </c>
      <c r="L1190" t="s">
        <v>85</v>
      </c>
      <c r="M1190" t="s">
        <v>86</v>
      </c>
      <c r="N1190">
        <v>3</v>
      </c>
      <c r="O1190" s="1">
        <v>44200.691111111111</v>
      </c>
      <c r="P1190" s="1">
        <v>44201.42260416667</v>
      </c>
      <c r="Q1190">
        <v>62759</v>
      </c>
      <c r="R1190">
        <v>442</v>
      </c>
      <c r="S1190" t="b">
        <v>0</v>
      </c>
      <c r="T1190" t="s">
        <v>87</v>
      </c>
      <c r="U1190" t="b">
        <v>0</v>
      </c>
      <c r="V1190" t="s">
        <v>736</v>
      </c>
      <c r="W1190" s="1">
        <v>44200.811030092591</v>
      </c>
      <c r="X1190">
        <v>240</v>
      </c>
      <c r="Y1190">
        <v>47</v>
      </c>
      <c r="Z1190">
        <v>0</v>
      </c>
      <c r="AA1190">
        <v>47</v>
      </c>
      <c r="AB1190">
        <v>0</v>
      </c>
      <c r="AC1190">
        <v>11</v>
      </c>
      <c r="AD1190">
        <v>1</v>
      </c>
      <c r="AE1190">
        <v>0</v>
      </c>
      <c r="AF1190">
        <v>0</v>
      </c>
      <c r="AG1190">
        <v>0</v>
      </c>
      <c r="AH1190" t="s">
        <v>94</v>
      </c>
      <c r="AI1190" s="1">
        <v>44200.838912037034</v>
      </c>
      <c r="AJ1190">
        <v>176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 t="s">
        <v>90</v>
      </c>
      <c r="AU1190" s="1">
        <v>44201.42260416667</v>
      </c>
      <c r="AV1190">
        <v>26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</row>
    <row r="1191" spans="1:57" hidden="1" x14ac:dyDescent="0.45">
      <c r="A1191" t="s">
        <v>3032</v>
      </c>
      <c r="B1191" t="s">
        <v>79</v>
      </c>
      <c r="C1191" t="s">
        <v>3033</v>
      </c>
      <c r="D1191" t="s">
        <v>81</v>
      </c>
      <c r="E1191" s="2" t="str">
        <f>HYPERLINK("capsilon://?command=openfolder&amp;siteaddress=FAM.docvelocity-na8.net&amp;folderid=FX6D23B1B6-0B65-9F49-B004-EDA89B481E41","FX201222572")</f>
        <v>FX201222572</v>
      </c>
      <c r="F1191" t="s">
        <v>19</v>
      </c>
      <c r="G1191" t="s">
        <v>19</v>
      </c>
      <c r="H1191" t="s">
        <v>82</v>
      </c>
      <c r="I1191" t="s">
        <v>3034</v>
      </c>
      <c r="J1191">
        <v>66</v>
      </c>
      <c r="K1191" t="s">
        <v>84</v>
      </c>
      <c r="L1191" t="s">
        <v>85</v>
      </c>
      <c r="M1191" t="s">
        <v>86</v>
      </c>
      <c r="N1191">
        <v>1</v>
      </c>
      <c r="O1191" s="1">
        <v>44210.031990740739</v>
      </c>
      <c r="P1191" s="1">
        <v>44210.163784722223</v>
      </c>
      <c r="Q1191">
        <v>10631</v>
      </c>
      <c r="R1191">
        <v>756</v>
      </c>
      <c r="S1191" t="b">
        <v>0</v>
      </c>
      <c r="T1191" t="s">
        <v>87</v>
      </c>
      <c r="U1191" t="b">
        <v>0</v>
      </c>
      <c r="V1191" t="s">
        <v>419</v>
      </c>
      <c r="W1191" s="1">
        <v>44210.163784722223</v>
      </c>
      <c r="X1191">
        <v>756</v>
      </c>
      <c r="Y1191">
        <v>0</v>
      </c>
      <c r="Z1191">
        <v>0</v>
      </c>
      <c r="AA1191">
        <v>0</v>
      </c>
      <c r="AB1191">
        <v>0</v>
      </c>
      <c r="AC1191">
        <v>7</v>
      </c>
      <c r="AD1191">
        <v>66</v>
      </c>
      <c r="AE1191">
        <v>52</v>
      </c>
      <c r="AF1191">
        <v>0</v>
      </c>
      <c r="AG1191">
        <v>1</v>
      </c>
      <c r="AH1191" t="s">
        <v>87</v>
      </c>
      <c r="AI1191" t="s">
        <v>87</v>
      </c>
      <c r="AJ1191" t="s">
        <v>87</v>
      </c>
      <c r="AK1191" t="s">
        <v>87</v>
      </c>
      <c r="AL1191" t="s">
        <v>87</v>
      </c>
      <c r="AM1191" t="s">
        <v>87</v>
      </c>
      <c r="AN1191" t="s">
        <v>87</v>
      </c>
      <c r="AO1191" t="s">
        <v>87</v>
      </c>
      <c r="AP1191" t="s">
        <v>87</v>
      </c>
      <c r="AQ1191" t="s">
        <v>87</v>
      </c>
      <c r="AR1191" t="s">
        <v>87</v>
      </c>
      <c r="AS1191" t="s">
        <v>87</v>
      </c>
      <c r="AT1191" t="s">
        <v>87</v>
      </c>
      <c r="AU1191" t="s">
        <v>87</v>
      </c>
      <c r="AV1191" t="s">
        <v>87</v>
      </c>
      <c r="AW1191" t="s">
        <v>87</v>
      </c>
      <c r="AX1191" t="s">
        <v>87</v>
      </c>
      <c r="AY1191" t="s">
        <v>87</v>
      </c>
      <c r="AZ1191" t="s">
        <v>87</v>
      </c>
      <c r="BA1191" t="s">
        <v>87</v>
      </c>
      <c r="BB1191" t="s">
        <v>87</v>
      </c>
      <c r="BC1191" t="s">
        <v>87</v>
      </c>
      <c r="BD1191" t="s">
        <v>87</v>
      </c>
      <c r="BE1191" t="s">
        <v>87</v>
      </c>
    </row>
    <row r="1192" spans="1:57" x14ac:dyDescent="0.45">
      <c r="A1192" t="s">
        <v>3035</v>
      </c>
      <c r="B1192" t="s">
        <v>79</v>
      </c>
      <c r="C1192" t="s">
        <v>664</v>
      </c>
      <c r="D1192" t="s">
        <v>81</v>
      </c>
      <c r="E1192" s="2" t="str">
        <f>HYPERLINK("capsilon://?command=openfolder&amp;siteaddress=FAM.docvelocity-na8.net&amp;folderid=FX4939BCD1-56B6-E3F2-C139-B9240E65ECAB","FX20124482")</f>
        <v>FX20124482</v>
      </c>
      <c r="F1192" t="s">
        <v>19</v>
      </c>
      <c r="G1192" t="s">
        <v>19</v>
      </c>
      <c r="H1192" t="s">
        <v>82</v>
      </c>
      <c r="I1192" t="s">
        <v>3004</v>
      </c>
      <c r="J1192">
        <v>38</v>
      </c>
      <c r="K1192" t="s">
        <v>84</v>
      </c>
      <c r="L1192" t="s">
        <v>85</v>
      </c>
      <c r="M1192" t="s">
        <v>86</v>
      </c>
      <c r="N1192">
        <v>3</v>
      </c>
      <c r="O1192" s="1">
        <v>44210.149768518517</v>
      </c>
      <c r="P1192" s="1">
        <v>44210.334733796299</v>
      </c>
      <c r="Q1192">
        <v>15219</v>
      </c>
      <c r="R1192">
        <v>762</v>
      </c>
      <c r="S1192" t="b">
        <v>0</v>
      </c>
      <c r="T1192" t="s">
        <v>87</v>
      </c>
      <c r="U1192" t="b">
        <v>1</v>
      </c>
      <c r="V1192" t="s">
        <v>419</v>
      </c>
      <c r="W1192" s="1">
        <v>44210.155023148145</v>
      </c>
      <c r="X1192">
        <v>451</v>
      </c>
      <c r="Y1192">
        <v>37</v>
      </c>
      <c r="Z1192">
        <v>0</v>
      </c>
      <c r="AA1192">
        <v>37</v>
      </c>
      <c r="AB1192">
        <v>0</v>
      </c>
      <c r="AC1192">
        <v>16</v>
      </c>
      <c r="AD1192">
        <v>1</v>
      </c>
      <c r="AE1192">
        <v>0</v>
      </c>
      <c r="AF1192">
        <v>0</v>
      </c>
      <c r="AG1192">
        <v>0</v>
      </c>
      <c r="AH1192" t="s">
        <v>94</v>
      </c>
      <c r="AI1192" s="1">
        <v>44210.158842592595</v>
      </c>
      <c r="AJ1192">
        <v>305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 t="s">
        <v>90</v>
      </c>
      <c r="AU1192" s="1">
        <v>44210.334733796299</v>
      </c>
      <c r="AV1192">
        <v>6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</row>
    <row r="1193" spans="1:57" x14ac:dyDescent="0.45">
      <c r="A1193" t="s">
        <v>3036</v>
      </c>
      <c r="B1193" t="s">
        <v>79</v>
      </c>
      <c r="C1193" t="s">
        <v>2097</v>
      </c>
      <c r="D1193" t="s">
        <v>81</v>
      </c>
      <c r="E1193" s="2" t="str">
        <f>HYPERLINK("capsilon://?command=openfolder&amp;siteaddress=FAM.docvelocity-na8.net&amp;folderid=FXC5E5AC80-0D2B-E93E-E1AB-2E108CD0CCAF","FX201221685")</f>
        <v>FX201221685</v>
      </c>
      <c r="F1193" t="s">
        <v>19</v>
      </c>
      <c r="G1193" t="s">
        <v>19</v>
      </c>
      <c r="H1193" t="s">
        <v>82</v>
      </c>
      <c r="I1193" t="s">
        <v>3025</v>
      </c>
      <c r="J1193">
        <v>182</v>
      </c>
      <c r="K1193" t="s">
        <v>84</v>
      </c>
      <c r="L1193" t="s">
        <v>85</v>
      </c>
      <c r="M1193" t="s">
        <v>86</v>
      </c>
      <c r="N1193">
        <v>3</v>
      </c>
      <c r="O1193" s="1">
        <v>44210.15289351852</v>
      </c>
      <c r="P1193" s="1">
        <v>44210.335185185184</v>
      </c>
      <c r="Q1193">
        <v>14219</v>
      </c>
      <c r="R1193">
        <v>1531</v>
      </c>
      <c r="S1193" t="b">
        <v>0</v>
      </c>
      <c r="T1193" t="s">
        <v>87</v>
      </c>
      <c r="U1193" t="b">
        <v>1</v>
      </c>
      <c r="V1193" t="s">
        <v>112</v>
      </c>
      <c r="W1193" s="1">
        <v>44210.16196759259</v>
      </c>
      <c r="X1193">
        <v>683</v>
      </c>
      <c r="Y1193">
        <v>109</v>
      </c>
      <c r="Z1193">
        <v>0</v>
      </c>
      <c r="AA1193">
        <v>109</v>
      </c>
      <c r="AB1193">
        <v>0</v>
      </c>
      <c r="AC1193">
        <v>50</v>
      </c>
      <c r="AD1193">
        <v>73</v>
      </c>
      <c r="AE1193">
        <v>0</v>
      </c>
      <c r="AF1193">
        <v>0</v>
      </c>
      <c r="AG1193">
        <v>0</v>
      </c>
      <c r="AH1193" t="s">
        <v>94</v>
      </c>
      <c r="AI1193" s="1">
        <v>44210.19295138889</v>
      </c>
      <c r="AJ1193">
        <v>782</v>
      </c>
      <c r="AK1193">
        <v>1</v>
      </c>
      <c r="AL1193">
        <v>0</v>
      </c>
      <c r="AM1193">
        <v>1</v>
      </c>
      <c r="AN1193">
        <v>0</v>
      </c>
      <c r="AO1193">
        <v>1</v>
      </c>
      <c r="AP1193">
        <v>72</v>
      </c>
      <c r="AQ1193">
        <v>0</v>
      </c>
      <c r="AR1193">
        <v>0</v>
      </c>
      <c r="AS1193">
        <v>0</v>
      </c>
      <c r="AT1193" t="s">
        <v>90</v>
      </c>
      <c r="AU1193" s="1">
        <v>44210.335185185184</v>
      </c>
      <c r="AV1193">
        <v>39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72</v>
      </c>
      <c r="BC1193">
        <v>0</v>
      </c>
      <c r="BD1193">
        <v>0</v>
      </c>
      <c r="BE1193">
        <v>0</v>
      </c>
    </row>
    <row r="1194" spans="1:57" x14ac:dyDescent="0.45">
      <c r="A1194" t="s">
        <v>3037</v>
      </c>
      <c r="B1194" t="s">
        <v>79</v>
      </c>
      <c r="C1194" t="s">
        <v>3033</v>
      </c>
      <c r="D1194" t="s">
        <v>81</v>
      </c>
      <c r="E1194" s="2" t="str">
        <f>HYPERLINK("capsilon://?command=openfolder&amp;siteaddress=FAM.docvelocity-na8.net&amp;folderid=FX6D23B1B6-0B65-9F49-B004-EDA89B481E41","FX201222572")</f>
        <v>FX201222572</v>
      </c>
      <c r="F1194" t="s">
        <v>19</v>
      </c>
      <c r="G1194" t="s">
        <v>19</v>
      </c>
      <c r="H1194" t="s">
        <v>82</v>
      </c>
      <c r="I1194" t="s">
        <v>3034</v>
      </c>
      <c r="J1194">
        <v>38</v>
      </c>
      <c r="K1194" t="s">
        <v>84</v>
      </c>
      <c r="L1194" t="s">
        <v>85</v>
      </c>
      <c r="M1194" t="s">
        <v>86</v>
      </c>
      <c r="N1194">
        <v>3</v>
      </c>
      <c r="O1194" s="1">
        <v>44210.164050925923</v>
      </c>
      <c r="P1194" s="1">
        <v>44210.335787037038</v>
      </c>
      <c r="Q1194">
        <v>12605</v>
      </c>
      <c r="R1194">
        <v>2233</v>
      </c>
      <c r="S1194" t="b">
        <v>0</v>
      </c>
      <c r="T1194" t="s">
        <v>87</v>
      </c>
      <c r="U1194" t="b">
        <v>1</v>
      </c>
      <c r="V1194" t="s">
        <v>419</v>
      </c>
      <c r="W1194" s="1">
        <v>44210.171261574076</v>
      </c>
      <c r="X1194">
        <v>622</v>
      </c>
      <c r="Y1194">
        <v>37</v>
      </c>
      <c r="Z1194">
        <v>0</v>
      </c>
      <c r="AA1194">
        <v>37</v>
      </c>
      <c r="AB1194">
        <v>0</v>
      </c>
      <c r="AC1194">
        <v>13</v>
      </c>
      <c r="AD1194">
        <v>1</v>
      </c>
      <c r="AE1194">
        <v>0</v>
      </c>
      <c r="AF1194">
        <v>0</v>
      </c>
      <c r="AG1194">
        <v>0</v>
      </c>
      <c r="AH1194" t="s">
        <v>89</v>
      </c>
      <c r="AI1194" s="1">
        <v>44210.207118055558</v>
      </c>
      <c r="AJ1194">
        <v>1559</v>
      </c>
      <c r="AK1194">
        <v>4</v>
      </c>
      <c r="AL1194">
        <v>0</v>
      </c>
      <c r="AM1194">
        <v>4</v>
      </c>
      <c r="AN1194">
        <v>0</v>
      </c>
      <c r="AO1194">
        <v>4</v>
      </c>
      <c r="AP1194">
        <v>-3</v>
      </c>
      <c r="AQ1194">
        <v>0</v>
      </c>
      <c r="AR1194">
        <v>0</v>
      </c>
      <c r="AS1194">
        <v>0</v>
      </c>
      <c r="AT1194" t="s">
        <v>90</v>
      </c>
      <c r="AU1194" s="1">
        <v>44210.335787037038</v>
      </c>
      <c r="AV1194">
        <v>52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-3</v>
      </c>
      <c r="BC1194">
        <v>0</v>
      </c>
      <c r="BD1194">
        <v>0</v>
      </c>
      <c r="BE1194">
        <v>0</v>
      </c>
    </row>
    <row r="1195" spans="1:57" hidden="1" x14ac:dyDescent="0.45">
      <c r="A1195" t="s">
        <v>3038</v>
      </c>
      <c r="B1195" t="s">
        <v>79</v>
      </c>
      <c r="C1195" t="s">
        <v>1357</v>
      </c>
      <c r="D1195" t="s">
        <v>81</v>
      </c>
      <c r="E1195" s="2" t="str">
        <f>HYPERLINK("capsilon://?command=openfolder&amp;siteaddress=FAM.docvelocity-na8.net&amp;folderid=FX90858789-497E-44E5-72F9-4156405E14CC","FX20127914")</f>
        <v>FX20127914</v>
      </c>
      <c r="F1195" t="s">
        <v>19</v>
      </c>
      <c r="G1195" t="s">
        <v>19</v>
      </c>
      <c r="H1195" t="s">
        <v>82</v>
      </c>
      <c r="I1195" t="s">
        <v>3039</v>
      </c>
      <c r="J1195">
        <v>66</v>
      </c>
      <c r="K1195" t="s">
        <v>84</v>
      </c>
      <c r="L1195" t="s">
        <v>85</v>
      </c>
      <c r="M1195" t="s">
        <v>86</v>
      </c>
      <c r="N1195">
        <v>1</v>
      </c>
      <c r="O1195" s="1">
        <v>44210.178495370368</v>
      </c>
      <c r="P1195" s="1">
        <v>44210.190069444441</v>
      </c>
      <c r="Q1195">
        <v>243</v>
      </c>
      <c r="R1195">
        <v>757</v>
      </c>
      <c r="S1195" t="b">
        <v>0</v>
      </c>
      <c r="T1195" t="s">
        <v>87</v>
      </c>
      <c r="U1195" t="b">
        <v>0</v>
      </c>
      <c r="V1195" t="s">
        <v>88</v>
      </c>
      <c r="W1195" s="1">
        <v>44210.190069444441</v>
      </c>
      <c r="X1195">
        <v>757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66</v>
      </c>
      <c r="AE1195">
        <v>52</v>
      </c>
      <c r="AF1195">
        <v>0</v>
      </c>
      <c r="AG1195">
        <v>1</v>
      </c>
      <c r="AH1195" t="s">
        <v>87</v>
      </c>
      <c r="AI1195" t="s">
        <v>87</v>
      </c>
      <c r="AJ1195" t="s">
        <v>87</v>
      </c>
      <c r="AK1195" t="s">
        <v>87</v>
      </c>
      <c r="AL1195" t="s">
        <v>87</v>
      </c>
      <c r="AM1195" t="s">
        <v>87</v>
      </c>
      <c r="AN1195" t="s">
        <v>87</v>
      </c>
      <c r="AO1195" t="s">
        <v>87</v>
      </c>
      <c r="AP1195" t="s">
        <v>87</v>
      </c>
      <c r="AQ1195" t="s">
        <v>87</v>
      </c>
      <c r="AR1195" t="s">
        <v>87</v>
      </c>
      <c r="AS1195" t="s">
        <v>87</v>
      </c>
      <c r="AT1195" t="s">
        <v>87</v>
      </c>
      <c r="AU1195" t="s">
        <v>87</v>
      </c>
      <c r="AV1195" t="s">
        <v>87</v>
      </c>
      <c r="AW1195" t="s">
        <v>87</v>
      </c>
      <c r="AX1195" t="s">
        <v>87</v>
      </c>
      <c r="AY1195" t="s">
        <v>87</v>
      </c>
      <c r="AZ1195" t="s">
        <v>87</v>
      </c>
      <c r="BA1195" t="s">
        <v>87</v>
      </c>
      <c r="BB1195" t="s">
        <v>87</v>
      </c>
      <c r="BC1195" t="s">
        <v>87</v>
      </c>
      <c r="BD1195" t="s">
        <v>87</v>
      </c>
      <c r="BE1195" t="s">
        <v>87</v>
      </c>
    </row>
    <row r="1196" spans="1:57" x14ac:dyDescent="0.45">
      <c r="A1196" t="s">
        <v>3040</v>
      </c>
      <c r="B1196" t="s">
        <v>79</v>
      </c>
      <c r="C1196" t="s">
        <v>1357</v>
      </c>
      <c r="D1196" t="s">
        <v>81</v>
      </c>
      <c r="E1196" s="2" t="str">
        <f>HYPERLINK("capsilon://?command=openfolder&amp;siteaddress=FAM.docvelocity-na8.net&amp;folderid=FX90858789-497E-44E5-72F9-4156405E14CC","FX20127914")</f>
        <v>FX20127914</v>
      </c>
      <c r="F1196" t="s">
        <v>19</v>
      </c>
      <c r="G1196" t="s">
        <v>19</v>
      </c>
      <c r="H1196" t="s">
        <v>82</v>
      </c>
      <c r="I1196" t="s">
        <v>3039</v>
      </c>
      <c r="J1196">
        <v>38</v>
      </c>
      <c r="K1196" t="s">
        <v>84</v>
      </c>
      <c r="L1196" t="s">
        <v>85</v>
      </c>
      <c r="M1196" t="s">
        <v>86</v>
      </c>
      <c r="N1196">
        <v>3</v>
      </c>
      <c r="O1196" s="1">
        <v>44210.190312500003</v>
      </c>
      <c r="P1196" s="1">
        <v>44210.335868055554</v>
      </c>
      <c r="Q1196">
        <v>10794</v>
      </c>
      <c r="R1196">
        <v>1782</v>
      </c>
      <c r="S1196" t="b">
        <v>0</v>
      </c>
      <c r="T1196" t="s">
        <v>87</v>
      </c>
      <c r="U1196" t="b">
        <v>1</v>
      </c>
      <c r="V1196" t="s">
        <v>88</v>
      </c>
      <c r="W1196" s="1">
        <v>44210.202210648145</v>
      </c>
      <c r="X1196">
        <v>974</v>
      </c>
      <c r="Y1196">
        <v>37</v>
      </c>
      <c r="Z1196">
        <v>0</v>
      </c>
      <c r="AA1196">
        <v>37</v>
      </c>
      <c r="AB1196">
        <v>0</v>
      </c>
      <c r="AC1196">
        <v>23</v>
      </c>
      <c r="AD1196">
        <v>1</v>
      </c>
      <c r="AE1196">
        <v>0</v>
      </c>
      <c r="AF1196">
        <v>0</v>
      </c>
      <c r="AG1196">
        <v>0</v>
      </c>
      <c r="AH1196" t="s">
        <v>89</v>
      </c>
      <c r="AI1196" s="1">
        <v>44210.216064814813</v>
      </c>
      <c r="AJ1196">
        <v>772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 t="s">
        <v>90</v>
      </c>
      <c r="AU1196" s="1">
        <v>44210.335868055554</v>
      </c>
      <c r="AV1196">
        <v>6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</row>
    <row r="1197" spans="1:57" hidden="1" x14ac:dyDescent="0.45">
      <c r="A1197" t="s">
        <v>3041</v>
      </c>
      <c r="B1197" t="s">
        <v>79</v>
      </c>
      <c r="C1197" t="s">
        <v>3042</v>
      </c>
      <c r="D1197" t="s">
        <v>81</v>
      </c>
      <c r="E1197" s="2" t="str">
        <f>HYPERLINK("capsilon://?command=openfolder&amp;siteaddress=FAM.docvelocity-na8.net&amp;folderid=FXEEC36E63-F88A-C724-BD49-78DA7A2E03A9","FX201227841")</f>
        <v>FX201227841</v>
      </c>
      <c r="F1197" t="s">
        <v>19</v>
      </c>
      <c r="G1197" t="s">
        <v>19</v>
      </c>
      <c r="H1197" t="s">
        <v>82</v>
      </c>
      <c r="I1197" t="s">
        <v>3043</v>
      </c>
      <c r="J1197">
        <v>329</v>
      </c>
      <c r="K1197" t="s">
        <v>84</v>
      </c>
      <c r="L1197" t="s">
        <v>85</v>
      </c>
      <c r="M1197" t="s">
        <v>86</v>
      </c>
      <c r="N1197">
        <v>1</v>
      </c>
      <c r="O1197" s="1">
        <v>44200.694456018522</v>
      </c>
      <c r="P1197" s="1">
        <v>44200.894502314812</v>
      </c>
      <c r="Q1197">
        <v>12696</v>
      </c>
      <c r="R1197">
        <v>4588</v>
      </c>
      <c r="S1197" t="b">
        <v>0</v>
      </c>
      <c r="T1197" t="s">
        <v>87</v>
      </c>
      <c r="U1197" t="b">
        <v>0</v>
      </c>
      <c r="V1197" t="s">
        <v>266</v>
      </c>
      <c r="W1197" s="1">
        <v>44200.894502314812</v>
      </c>
      <c r="X1197">
        <v>921</v>
      </c>
      <c r="Y1197">
        <v>284</v>
      </c>
      <c r="Z1197">
        <v>0</v>
      </c>
      <c r="AA1197">
        <v>284</v>
      </c>
      <c r="AB1197">
        <v>0</v>
      </c>
      <c r="AC1197">
        <v>90</v>
      </c>
      <c r="AD1197">
        <v>45</v>
      </c>
      <c r="AE1197">
        <v>46</v>
      </c>
      <c r="AF1197">
        <v>0</v>
      </c>
      <c r="AG1197">
        <v>2</v>
      </c>
      <c r="AH1197" t="s">
        <v>87</v>
      </c>
      <c r="AI1197" t="s">
        <v>87</v>
      </c>
      <c r="AJ1197" t="s">
        <v>87</v>
      </c>
      <c r="AK1197" t="s">
        <v>87</v>
      </c>
      <c r="AL1197" t="s">
        <v>87</v>
      </c>
      <c r="AM1197" t="s">
        <v>87</v>
      </c>
      <c r="AN1197" t="s">
        <v>87</v>
      </c>
      <c r="AO1197" t="s">
        <v>87</v>
      </c>
      <c r="AP1197" t="s">
        <v>87</v>
      </c>
      <c r="AQ1197" t="s">
        <v>87</v>
      </c>
      <c r="AR1197" t="s">
        <v>87</v>
      </c>
      <c r="AS1197" t="s">
        <v>87</v>
      </c>
      <c r="AT1197" t="s">
        <v>87</v>
      </c>
      <c r="AU1197" t="s">
        <v>87</v>
      </c>
      <c r="AV1197" t="s">
        <v>87</v>
      </c>
      <c r="AW1197" t="s">
        <v>87</v>
      </c>
      <c r="AX1197" t="s">
        <v>87</v>
      </c>
      <c r="AY1197" t="s">
        <v>87</v>
      </c>
      <c r="AZ1197" t="s">
        <v>87</v>
      </c>
      <c r="BA1197" t="s">
        <v>87</v>
      </c>
      <c r="BB1197" t="s">
        <v>87</v>
      </c>
      <c r="BC1197" t="s">
        <v>87</v>
      </c>
      <c r="BD1197" t="s">
        <v>87</v>
      </c>
      <c r="BE1197" t="s">
        <v>87</v>
      </c>
    </row>
    <row r="1198" spans="1:57" x14ac:dyDescent="0.45">
      <c r="A1198" t="s">
        <v>3044</v>
      </c>
      <c r="B1198" t="s">
        <v>79</v>
      </c>
      <c r="C1198" t="s">
        <v>3045</v>
      </c>
      <c r="D1198" t="s">
        <v>81</v>
      </c>
      <c r="E1198" s="2" t="str">
        <f>HYPERLINK("capsilon://?command=openfolder&amp;siteaddress=FAM.docvelocity-na8.net&amp;folderid=FXFCE62A9A-3740-3793-BEB8-FE5B35119EAA","FX201227178")</f>
        <v>FX201227178</v>
      </c>
      <c r="F1198" t="s">
        <v>19</v>
      </c>
      <c r="G1198" t="s">
        <v>19</v>
      </c>
      <c r="H1198" t="s">
        <v>82</v>
      </c>
      <c r="I1198" t="s">
        <v>3046</v>
      </c>
      <c r="J1198">
        <v>66</v>
      </c>
      <c r="K1198" t="s">
        <v>84</v>
      </c>
      <c r="L1198" t="s">
        <v>85</v>
      </c>
      <c r="M1198" t="s">
        <v>86</v>
      </c>
      <c r="N1198">
        <v>3</v>
      </c>
      <c r="O1198" s="1">
        <v>44210.279907407406</v>
      </c>
      <c r="P1198" s="1">
        <v>44210.356249999997</v>
      </c>
      <c r="Q1198">
        <v>2415</v>
      </c>
      <c r="R1198">
        <v>4181</v>
      </c>
      <c r="S1198" t="b">
        <v>0</v>
      </c>
      <c r="T1198" t="s">
        <v>87</v>
      </c>
      <c r="U1198" t="b">
        <v>0</v>
      </c>
      <c r="V1198" t="s">
        <v>88</v>
      </c>
      <c r="W1198" s="1">
        <v>44210.317997685182</v>
      </c>
      <c r="X1198">
        <v>2886</v>
      </c>
      <c r="Y1198">
        <v>52</v>
      </c>
      <c r="Z1198">
        <v>0</v>
      </c>
      <c r="AA1198">
        <v>52</v>
      </c>
      <c r="AB1198">
        <v>0</v>
      </c>
      <c r="AC1198">
        <v>38</v>
      </c>
      <c r="AD1198">
        <v>14</v>
      </c>
      <c r="AE1198">
        <v>0</v>
      </c>
      <c r="AF1198">
        <v>0</v>
      </c>
      <c r="AG1198">
        <v>0</v>
      </c>
      <c r="AH1198" t="s">
        <v>94</v>
      </c>
      <c r="AI1198" s="1">
        <v>44210.344537037039</v>
      </c>
      <c r="AJ1198">
        <v>483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14</v>
      </c>
      <c r="AQ1198">
        <v>0</v>
      </c>
      <c r="AR1198">
        <v>0</v>
      </c>
      <c r="AS1198">
        <v>0</v>
      </c>
      <c r="AT1198" t="s">
        <v>90</v>
      </c>
      <c r="AU1198" s="1">
        <v>44210.356249999997</v>
      </c>
      <c r="AV1198">
        <v>31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14</v>
      </c>
      <c r="BC1198">
        <v>0</v>
      </c>
      <c r="BD1198">
        <v>0</v>
      </c>
      <c r="BE1198">
        <v>0</v>
      </c>
    </row>
    <row r="1199" spans="1:57" x14ac:dyDescent="0.45">
      <c r="A1199" t="s">
        <v>3047</v>
      </c>
      <c r="B1199" t="s">
        <v>79</v>
      </c>
      <c r="C1199" t="s">
        <v>3045</v>
      </c>
      <c r="D1199" t="s">
        <v>81</v>
      </c>
      <c r="E1199" s="2" t="str">
        <f>HYPERLINK("capsilon://?command=openfolder&amp;siteaddress=FAM.docvelocity-na8.net&amp;folderid=FXFCE62A9A-3740-3793-BEB8-FE5B35119EAA","FX201227178")</f>
        <v>FX201227178</v>
      </c>
      <c r="F1199" t="s">
        <v>19</v>
      </c>
      <c r="G1199" t="s">
        <v>19</v>
      </c>
      <c r="H1199" t="s">
        <v>82</v>
      </c>
      <c r="I1199" t="s">
        <v>3048</v>
      </c>
      <c r="J1199">
        <v>66</v>
      </c>
      <c r="K1199" t="s">
        <v>84</v>
      </c>
      <c r="L1199" t="s">
        <v>85</v>
      </c>
      <c r="M1199" t="s">
        <v>86</v>
      </c>
      <c r="N1199">
        <v>3</v>
      </c>
      <c r="O1199" s="1">
        <v>44210.2809375</v>
      </c>
      <c r="P1199" s="1">
        <v>44210.357222222221</v>
      </c>
      <c r="Q1199">
        <v>2496</v>
      </c>
      <c r="R1199">
        <v>4095</v>
      </c>
      <c r="S1199" t="b">
        <v>0</v>
      </c>
      <c r="T1199" t="s">
        <v>87</v>
      </c>
      <c r="U1199" t="b">
        <v>0</v>
      </c>
      <c r="V1199" t="s">
        <v>98</v>
      </c>
      <c r="W1199" s="1">
        <v>44210.308333333334</v>
      </c>
      <c r="X1199">
        <v>2049</v>
      </c>
      <c r="Y1199">
        <v>52</v>
      </c>
      <c r="Z1199">
        <v>0</v>
      </c>
      <c r="AA1199">
        <v>52</v>
      </c>
      <c r="AB1199">
        <v>0</v>
      </c>
      <c r="AC1199">
        <v>33</v>
      </c>
      <c r="AD1199">
        <v>14</v>
      </c>
      <c r="AE1199">
        <v>0</v>
      </c>
      <c r="AF1199">
        <v>0</v>
      </c>
      <c r="AG1199">
        <v>0</v>
      </c>
      <c r="AH1199" t="s">
        <v>89</v>
      </c>
      <c r="AI1199" s="1">
        <v>44210.331608796296</v>
      </c>
      <c r="AJ1199">
        <v>1963</v>
      </c>
      <c r="AK1199">
        <v>18</v>
      </c>
      <c r="AL1199">
        <v>0</v>
      </c>
      <c r="AM1199">
        <v>18</v>
      </c>
      <c r="AN1199">
        <v>0</v>
      </c>
      <c r="AO1199">
        <v>17</v>
      </c>
      <c r="AP1199">
        <v>-4</v>
      </c>
      <c r="AQ1199">
        <v>0</v>
      </c>
      <c r="AR1199">
        <v>0</v>
      </c>
      <c r="AS1199">
        <v>0</v>
      </c>
      <c r="AT1199" t="s">
        <v>90</v>
      </c>
      <c r="AU1199" s="1">
        <v>44210.357222222221</v>
      </c>
      <c r="AV1199">
        <v>83</v>
      </c>
      <c r="AW1199">
        <v>1</v>
      </c>
      <c r="AX1199">
        <v>0</v>
      </c>
      <c r="AY1199">
        <v>1</v>
      </c>
      <c r="AZ1199">
        <v>0</v>
      </c>
      <c r="BA1199">
        <v>1</v>
      </c>
      <c r="BB1199">
        <v>-5</v>
      </c>
      <c r="BC1199">
        <v>0</v>
      </c>
      <c r="BD1199">
        <v>0</v>
      </c>
      <c r="BE1199">
        <v>0</v>
      </c>
    </row>
    <row r="1200" spans="1:57" x14ac:dyDescent="0.45">
      <c r="A1200" t="s">
        <v>3049</v>
      </c>
      <c r="B1200" t="s">
        <v>79</v>
      </c>
      <c r="C1200" t="s">
        <v>1631</v>
      </c>
      <c r="D1200" t="s">
        <v>81</v>
      </c>
      <c r="E1200" s="2" t="str">
        <f>HYPERLINK("capsilon://?command=openfolder&amp;siteaddress=FAM.docvelocity-na8.net&amp;folderid=FX7ADA080F-954E-0547-72AB-0286AF906F3F","FX21014120")</f>
        <v>FX21014120</v>
      </c>
      <c r="F1200" t="s">
        <v>19</v>
      </c>
      <c r="G1200" t="s">
        <v>19</v>
      </c>
      <c r="H1200" t="s">
        <v>82</v>
      </c>
      <c r="I1200" t="s">
        <v>3050</v>
      </c>
      <c r="J1200">
        <v>66</v>
      </c>
      <c r="K1200" t="s">
        <v>84</v>
      </c>
      <c r="L1200" t="s">
        <v>85</v>
      </c>
      <c r="M1200" t="s">
        <v>86</v>
      </c>
      <c r="N1200">
        <v>3</v>
      </c>
      <c r="O1200" s="1">
        <v>44210.284351851849</v>
      </c>
      <c r="P1200" s="1">
        <v>44210.358275462961</v>
      </c>
      <c r="Q1200">
        <v>4234</v>
      </c>
      <c r="R1200">
        <v>2153</v>
      </c>
      <c r="S1200" t="b">
        <v>0</v>
      </c>
      <c r="T1200" t="s">
        <v>87</v>
      </c>
      <c r="U1200" t="b">
        <v>0</v>
      </c>
      <c r="V1200" t="s">
        <v>919</v>
      </c>
      <c r="W1200" s="1">
        <v>44210.302523148152</v>
      </c>
      <c r="X1200">
        <v>1531</v>
      </c>
      <c r="Y1200">
        <v>52</v>
      </c>
      <c r="Z1200">
        <v>0</v>
      </c>
      <c r="AA1200">
        <v>52</v>
      </c>
      <c r="AB1200">
        <v>0</v>
      </c>
      <c r="AC1200">
        <v>34</v>
      </c>
      <c r="AD1200">
        <v>14</v>
      </c>
      <c r="AE1200">
        <v>0</v>
      </c>
      <c r="AF1200">
        <v>0</v>
      </c>
      <c r="AG1200">
        <v>0</v>
      </c>
      <c r="AH1200" t="s">
        <v>89</v>
      </c>
      <c r="AI1200" s="1">
        <v>44210.308877314812</v>
      </c>
      <c r="AJ1200">
        <v>531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14</v>
      </c>
      <c r="AQ1200">
        <v>0</v>
      </c>
      <c r="AR1200">
        <v>0</v>
      </c>
      <c r="AS1200">
        <v>0</v>
      </c>
      <c r="AT1200" t="s">
        <v>90</v>
      </c>
      <c r="AU1200" s="1">
        <v>44210.358275462961</v>
      </c>
      <c r="AV1200">
        <v>91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14</v>
      </c>
      <c r="BC1200">
        <v>0</v>
      </c>
      <c r="BD1200">
        <v>0</v>
      </c>
      <c r="BE1200">
        <v>0</v>
      </c>
    </row>
    <row r="1201" spans="1:57" x14ac:dyDescent="0.45">
      <c r="A1201" t="s">
        <v>3051</v>
      </c>
      <c r="B1201" t="s">
        <v>79</v>
      </c>
      <c r="C1201" t="s">
        <v>3052</v>
      </c>
      <c r="D1201" t="s">
        <v>81</v>
      </c>
      <c r="E1201" s="2" t="str">
        <f>HYPERLINK("capsilon://?command=openfolder&amp;siteaddress=FAM.docvelocity-na8.net&amp;folderid=FX203C810F-E253-F205-178A-08CC21504F5D","FX20118877")</f>
        <v>FX20118877</v>
      </c>
      <c r="F1201" t="s">
        <v>19</v>
      </c>
      <c r="G1201" t="s">
        <v>19</v>
      </c>
      <c r="H1201" t="s">
        <v>82</v>
      </c>
      <c r="I1201" t="s">
        <v>3053</v>
      </c>
      <c r="J1201">
        <v>66</v>
      </c>
      <c r="K1201" t="s">
        <v>84</v>
      </c>
      <c r="L1201" t="s">
        <v>85</v>
      </c>
      <c r="M1201" t="s">
        <v>86</v>
      </c>
      <c r="N1201">
        <v>3</v>
      </c>
      <c r="O1201" s="1">
        <v>44210.319027777776</v>
      </c>
      <c r="P1201" s="1">
        <v>44210.372499999998</v>
      </c>
      <c r="Q1201">
        <v>1261</v>
      </c>
      <c r="R1201">
        <v>3359</v>
      </c>
      <c r="S1201" t="b">
        <v>0</v>
      </c>
      <c r="T1201" t="s">
        <v>87</v>
      </c>
      <c r="U1201" t="b">
        <v>0</v>
      </c>
      <c r="V1201" t="s">
        <v>88</v>
      </c>
      <c r="W1201" s="1">
        <v>44210.338831018518</v>
      </c>
      <c r="X1201">
        <v>1578</v>
      </c>
      <c r="Y1201">
        <v>64</v>
      </c>
      <c r="Z1201">
        <v>0</v>
      </c>
      <c r="AA1201">
        <v>64</v>
      </c>
      <c r="AB1201">
        <v>0</v>
      </c>
      <c r="AC1201">
        <v>46</v>
      </c>
      <c r="AD1201">
        <v>2</v>
      </c>
      <c r="AE1201">
        <v>0</v>
      </c>
      <c r="AF1201">
        <v>0</v>
      </c>
      <c r="AG1201">
        <v>0</v>
      </c>
      <c r="AH1201" t="s">
        <v>94</v>
      </c>
      <c r="AI1201" s="1">
        <v>44210.36519675926</v>
      </c>
      <c r="AJ1201">
        <v>1577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2</v>
      </c>
      <c r="AQ1201">
        <v>0</v>
      </c>
      <c r="AR1201">
        <v>0</v>
      </c>
      <c r="AS1201">
        <v>0</v>
      </c>
      <c r="AT1201" t="s">
        <v>90</v>
      </c>
      <c r="AU1201" s="1">
        <v>44210.372499999998</v>
      </c>
      <c r="AV1201">
        <v>20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2</v>
      </c>
      <c r="BC1201">
        <v>0</v>
      </c>
      <c r="BD1201">
        <v>0</v>
      </c>
      <c r="BE1201">
        <v>0</v>
      </c>
    </row>
    <row r="1202" spans="1:57" x14ac:dyDescent="0.45">
      <c r="A1202" t="s">
        <v>3054</v>
      </c>
      <c r="B1202" t="s">
        <v>79</v>
      </c>
      <c r="C1202" t="s">
        <v>1285</v>
      </c>
      <c r="D1202" t="s">
        <v>81</v>
      </c>
      <c r="E1202" s="2" t="str">
        <f>HYPERLINK("capsilon://?command=openfolder&amp;siteaddress=FAM.docvelocity-na8.net&amp;folderid=FX9867633D-524E-48D1-9337-871330B745EB","FX201227024")</f>
        <v>FX201227024</v>
      </c>
      <c r="F1202" t="s">
        <v>19</v>
      </c>
      <c r="G1202" t="s">
        <v>19</v>
      </c>
      <c r="H1202" t="s">
        <v>82</v>
      </c>
      <c r="I1202" t="s">
        <v>3055</v>
      </c>
      <c r="J1202">
        <v>91</v>
      </c>
      <c r="K1202" t="s">
        <v>84</v>
      </c>
      <c r="L1202" t="s">
        <v>85</v>
      </c>
      <c r="M1202" t="s">
        <v>86</v>
      </c>
      <c r="N1202">
        <v>3</v>
      </c>
      <c r="O1202" s="1">
        <v>44210.3203587963</v>
      </c>
      <c r="P1202" s="1">
        <v>44210.373148148145</v>
      </c>
      <c r="Q1202">
        <v>2334</v>
      </c>
      <c r="R1202">
        <v>2227</v>
      </c>
      <c r="S1202" t="b">
        <v>0</v>
      </c>
      <c r="T1202" t="s">
        <v>87</v>
      </c>
      <c r="U1202" t="b">
        <v>0</v>
      </c>
      <c r="V1202" t="s">
        <v>919</v>
      </c>
      <c r="W1202" s="1">
        <v>44210.330543981479</v>
      </c>
      <c r="X1202">
        <v>751</v>
      </c>
      <c r="Y1202">
        <v>87</v>
      </c>
      <c r="Z1202">
        <v>0</v>
      </c>
      <c r="AA1202">
        <v>87</v>
      </c>
      <c r="AB1202">
        <v>0</v>
      </c>
      <c r="AC1202">
        <v>52</v>
      </c>
      <c r="AD1202">
        <v>4</v>
      </c>
      <c r="AE1202">
        <v>0</v>
      </c>
      <c r="AF1202">
        <v>0</v>
      </c>
      <c r="AG1202">
        <v>0</v>
      </c>
      <c r="AH1202" t="s">
        <v>89</v>
      </c>
      <c r="AI1202" s="1">
        <v>44210.361481481479</v>
      </c>
      <c r="AJ1202">
        <v>1420</v>
      </c>
      <c r="AK1202">
        <v>2</v>
      </c>
      <c r="AL1202">
        <v>0</v>
      </c>
      <c r="AM1202">
        <v>2</v>
      </c>
      <c r="AN1202">
        <v>0</v>
      </c>
      <c r="AO1202">
        <v>2</v>
      </c>
      <c r="AP1202">
        <v>2</v>
      </c>
      <c r="AQ1202">
        <v>0</v>
      </c>
      <c r="AR1202">
        <v>0</v>
      </c>
      <c r="AS1202">
        <v>0</v>
      </c>
      <c r="AT1202" t="s">
        <v>90</v>
      </c>
      <c r="AU1202" s="1">
        <v>44210.373148148145</v>
      </c>
      <c r="AV1202">
        <v>56</v>
      </c>
      <c r="AW1202">
        <v>1</v>
      </c>
      <c r="AX1202">
        <v>0</v>
      </c>
      <c r="AY1202">
        <v>1</v>
      </c>
      <c r="AZ1202">
        <v>0</v>
      </c>
      <c r="BA1202">
        <v>1</v>
      </c>
      <c r="BB1202">
        <v>1</v>
      </c>
      <c r="BC1202">
        <v>0</v>
      </c>
      <c r="BD1202">
        <v>0</v>
      </c>
      <c r="BE1202">
        <v>0</v>
      </c>
    </row>
    <row r="1203" spans="1:57" x14ac:dyDescent="0.45">
      <c r="A1203" t="s">
        <v>3056</v>
      </c>
      <c r="B1203" t="s">
        <v>79</v>
      </c>
      <c r="C1203" t="s">
        <v>1285</v>
      </c>
      <c r="D1203" t="s">
        <v>81</v>
      </c>
      <c r="E1203" s="2" t="str">
        <f>HYPERLINK("capsilon://?command=openfolder&amp;siteaddress=FAM.docvelocity-na8.net&amp;folderid=FX9867633D-524E-48D1-9337-871330B745EB","FX201227024")</f>
        <v>FX201227024</v>
      </c>
      <c r="F1203" t="s">
        <v>19</v>
      </c>
      <c r="G1203" t="s">
        <v>19</v>
      </c>
      <c r="H1203" t="s">
        <v>82</v>
      </c>
      <c r="I1203" t="s">
        <v>3057</v>
      </c>
      <c r="J1203">
        <v>49</v>
      </c>
      <c r="K1203" t="s">
        <v>84</v>
      </c>
      <c r="L1203" t="s">
        <v>85</v>
      </c>
      <c r="M1203" t="s">
        <v>86</v>
      </c>
      <c r="N1203">
        <v>3</v>
      </c>
      <c r="O1203" s="1">
        <v>44210.321064814816</v>
      </c>
      <c r="P1203" s="1">
        <v>44210.374826388892</v>
      </c>
      <c r="Q1203">
        <v>1805</v>
      </c>
      <c r="R1203">
        <v>2840</v>
      </c>
      <c r="S1203" t="b">
        <v>0</v>
      </c>
      <c r="T1203" t="s">
        <v>87</v>
      </c>
      <c r="U1203" t="b">
        <v>0</v>
      </c>
      <c r="V1203" t="s">
        <v>98</v>
      </c>
      <c r="W1203" s="1">
        <v>44210.350671296299</v>
      </c>
      <c r="X1203">
        <v>2242</v>
      </c>
      <c r="Y1203">
        <v>61</v>
      </c>
      <c r="Z1203">
        <v>0</v>
      </c>
      <c r="AA1203">
        <v>61</v>
      </c>
      <c r="AB1203">
        <v>0</v>
      </c>
      <c r="AC1203">
        <v>40</v>
      </c>
      <c r="AD1203">
        <v>-12</v>
      </c>
      <c r="AE1203">
        <v>0</v>
      </c>
      <c r="AF1203">
        <v>0</v>
      </c>
      <c r="AG1203">
        <v>0</v>
      </c>
      <c r="AH1203" t="s">
        <v>89</v>
      </c>
      <c r="AI1203" s="1">
        <v>44210.366747685184</v>
      </c>
      <c r="AJ1203">
        <v>454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-12</v>
      </c>
      <c r="AQ1203">
        <v>0</v>
      </c>
      <c r="AR1203">
        <v>0</v>
      </c>
      <c r="AS1203">
        <v>0</v>
      </c>
      <c r="AT1203" t="s">
        <v>90</v>
      </c>
      <c r="AU1203" s="1">
        <v>44210.374826388892</v>
      </c>
      <c r="AV1203">
        <v>144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-12</v>
      </c>
      <c r="BC1203">
        <v>0</v>
      </c>
      <c r="BD1203">
        <v>0</v>
      </c>
      <c r="BE1203">
        <v>0</v>
      </c>
    </row>
    <row r="1204" spans="1:57" x14ac:dyDescent="0.45">
      <c r="A1204" t="s">
        <v>3058</v>
      </c>
      <c r="B1204" t="s">
        <v>79</v>
      </c>
      <c r="C1204" t="s">
        <v>1285</v>
      </c>
      <c r="D1204" t="s">
        <v>81</v>
      </c>
      <c r="E1204" s="2" t="str">
        <f>HYPERLINK("capsilon://?command=openfolder&amp;siteaddress=FAM.docvelocity-na8.net&amp;folderid=FX9867633D-524E-48D1-9337-871330B745EB","FX201227024")</f>
        <v>FX201227024</v>
      </c>
      <c r="F1204" t="s">
        <v>19</v>
      </c>
      <c r="G1204" t="s">
        <v>19</v>
      </c>
      <c r="H1204" t="s">
        <v>82</v>
      </c>
      <c r="I1204" t="s">
        <v>3059</v>
      </c>
      <c r="J1204">
        <v>91</v>
      </c>
      <c r="K1204" t="s">
        <v>84</v>
      </c>
      <c r="L1204" t="s">
        <v>85</v>
      </c>
      <c r="M1204" t="s">
        <v>86</v>
      </c>
      <c r="N1204">
        <v>3</v>
      </c>
      <c r="O1204" s="1">
        <v>44210.321956018517</v>
      </c>
      <c r="P1204" s="1">
        <v>44210.397268518522</v>
      </c>
      <c r="Q1204">
        <v>3414</v>
      </c>
      <c r="R1204">
        <v>3093</v>
      </c>
      <c r="S1204" t="b">
        <v>0</v>
      </c>
      <c r="T1204" t="s">
        <v>87</v>
      </c>
      <c r="U1204" t="b">
        <v>0</v>
      </c>
      <c r="V1204" t="s">
        <v>112</v>
      </c>
      <c r="W1204" s="1">
        <v>44210.350393518522</v>
      </c>
      <c r="X1204">
        <v>2007</v>
      </c>
      <c r="Y1204">
        <v>81</v>
      </c>
      <c r="Z1204">
        <v>0</v>
      </c>
      <c r="AA1204">
        <v>81</v>
      </c>
      <c r="AB1204">
        <v>0</v>
      </c>
      <c r="AC1204">
        <v>51</v>
      </c>
      <c r="AD1204">
        <v>10</v>
      </c>
      <c r="AE1204">
        <v>0</v>
      </c>
      <c r="AF1204">
        <v>0</v>
      </c>
      <c r="AG1204">
        <v>0</v>
      </c>
      <c r="AH1204" t="s">
        <v>89</v>
      </c>
      <c r="AI1204" s="1">
        <v>44210.379108796296</v>
      </c>
      <c r="AJ1204">
        <v>1067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10</v>
      </c>
      <c r="AQ1204">
        <v>0</v>
      </c>
      <c r="AR1204">
        <v>0</v>
      </c>
      <c r="AS1204">
        <v>0</v>
      </c>
      <c r="AT1204" t="s">
        <v>90</v>
      </c>
      <c r="AU1204" s="1">
        <v>44210.397268518522</v>
      </c>
      <c r="AV1204">
        <v>7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10</v>
      </c>
      <c r="BC1204">
        <v>0</v>
      </c>
      <c r="BD1204">
        <v>0</v>
      </c>
      <c r="BE1204">
        <v>0</v>
      </c>
    </row>
    <row r="1205" spans="1:57" x14ac:dyDescent="0.45">
      <c r="A1205" t="s">
        <v>3060</v>
      </c>
      <c r="B1205" t="s">
        <v>79</v>
      </c>
      <c r="C1205" t="s">
        <v>1285</v>
      </c>
      <c r="D1205" t="s">
        <v>81</v>
      </c>
      <c r="E1205" s="2" t="str">
        <f>HYPERLINK("capsilon://?command=openfolder&amp;siteaddress=FAM.docvelocity-na8.net&amp;folderid=FX9867633D-524E-48D1-9337-871330B745EB","FX201227024")</f>
        <v>FX201227024</v>
      </c>
      <c r="F1205" t="s">
        <v>19</v>
      </c>
      <c r="G1205" t="s">
        <v>19</v>
      </c>
      <c r="H1205" t="s">
        <v>82</v>
      </c>
      <c r="I1205" t="s">
        <v>3061</v>
      </c>
      <c r="J1205">
        <v>49</v>
      </c>
      <c r="K1205" t="s">
        <v>84</v>
      </c>
      <c r="L1205" t="s">
        <v>85</v>
      </c>
      <c r="M1205" t="s">
        <v>86</v>
      </c>
      <c r="N1205">
        <v>3</v>
      </c>
      <c r="O1205" s="1">
        <v>44210.322997685187</v>
      </c>
      <c r="P1205" s="1">
        <v>44210.375416666669</v>
      </c>
      <c r="Q1205">
        <v>2235</v>
      </c>
      <c r="R1205">
        <v>2294</v>
      </c>
      <c r="S1205" t="b">
        <v>0</v>
      </c>
      <c r="T1205" t="s">
        <v>87</v>
      </c>
      <c r="U1205" t="b">
        <v>0</v>
      </c>
      <c r="V1205" t="s">
        <v>919</v>
      </c>
      <c r="W1205" s="1">
        <v>44210.348912037036</v>
      </c>
      <c r="X1205">
        <v>1586</v>
      </c>
      <c r="Y1205">
        <v>70</v>
      </c>
      <c r="Z1205">
        <v>0</v>
      </c>
      <c r="AA1205">
        <v>70</v>
      </c>
      <c r="AB1205">
        <v>0</v>
      </c>
      <c r="AC1205">
        <v>41</v>
      </c>
      <c r="AD1205">
        <v>-21</v>
      </c>
      <c r="AE1205">
        <v>0</v>
      </c>
      <c r="AF1205">
        <v>0</v>
      </c>
      <c r="AG1205">
        <v>0</v>
      </c>
      <c r="AH1205" t="s">
        <v>94</v>
      </c>
      <c r="AI1205" s="1">
        <v>44210.375277777777</v>
      </c>
      <c r="AJ1205">
        <v>700</v>
      </c>
      <c r="AK1205">
        <v>12</v>
      </c>
      <c r="AL1205">
        <v>0</v>
      </c>
      <c r="AM1205">
        <v>12</v>
      </c>
      <c r="AN1205">
        <v>0</v>
      </c>
      <c r="AO1205">
        <v>12</v>
      </c>
      <c r="AP1205">
        <v>-33</v>
      </c>
      <c r="AQ1205">
        <v>0</v>
      </c>
      <c r="AR1205">
        <v>0</v>
      </c>
      <c r="AS1205">
        <v>0</v>
      </c>
      <c r="AT1205" t="s">
        <v>90</v>
      </c>
      <c r="AU1205" s="1">
        <v>44210.375416666669</v>
      </c>
      <c r="AV1205">
        <v>8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-33</v>
      </c>
      <c r="BC1205">
        <v>0</v>
      </c>
      <c r="BD1205">
        <v>0</v>
      </c>
      <c r="BE1205">
        <v>0</v>
      </c>
    </row>
    <row r="1206" spans="1:57" x14ac:dyDescent="0.45">
      <c r="A1206" t="s">
        <v>3062</v>
      </c>
      <c r="B1206" t="s">
        <v>79</v>
      </c>
      <c r="C1206" t="s">
        <v>3063</v>
      </c>
      <c r="D1206" t="s">
        <v>81</v>
      </c>
      <c r="E1206" s="2" t="str">
        <f>HYPERLINK("capsilon://?command=openfolder&amp;siteaddress=FAM.docvelocity-na8.net&amp;folderid=FX16F367E9-EEA8-416F-DD5B-6229BD8935AE","FX21016468")</f>
        <v>FX21016468</v>
      </c>
      <c r="F1206" t="s">
        <v>19</v>
      </c>
      <c r="G1206" t="s">
        <v>19</v>
      </c>
      <c r="H1206" t="s">
        <v>82</v>
      </c>
      <c r="I1206" t="s">
        <v>3064</v>
      </c>
      <c r="J1206">
        <v>349</v>
      </c>
      <c r="K1206" t="s">
        <v>84</v>
      </c>
      <c r="L1206" t="s">
        <v>85</v>
      </c>
      <c r="M1206" t="s">
        <v>86</v>
      </c>
      <c r="N1206">
        <v>3</v>
      </c>
      <c r="O1206" s="1">
        <v>44210.330949074072</v>
      </c>
      <c r="P1206" s="1">
        <v>44210.436180555553</v>
      </c>
      <c r="Q1206">
        <v>3855</v>
      </c>
      <c r="R1206">
        <v>5237</v>
      </c>
      <c r="S1206" t="b">
        <v>0</v>
      </c>
      <c r="T1206" t="s">
        <v>87</v>
      </c>
      <c r="U1206" t="b">
        <v>0</v>
      </c>
      <c r="V1206" t="s">
        <v>1418</v>
      </c>
      <c r="W1206" s="1">
        <v>44210.364085648151</v>
      </c>
      <c r="X1206">
        <v>2781</v>
      </c>
      <c r="Y1206">
        <v>284</v>
      </c>
      <c r="Z1206">
        <v>0</v>
      </c>
      <c r="AA1206">
        <v>284</v>
      </c>
      <c r="AB1206">
        <v>74</v>
      </c>
      <c r="AC1206">
        <v>114</v>
      </c>
      <c r="AD1206">
        <v>65</v>
      </c>
      <c r="AE1206">
        <v>0</v>
      </c>
      <c r="AF1206">
        <v>0</v>
      </c>
      <c r="AG1206">
        <v>0</v>
      </c>
      <c r="AH1206" t="s">
        <v>89</v>
      </c>
      <c r="AI1206" s="1">
        <v>44210.40556712963</v>
      </c>
      <c r="AJ1206">
        <v>2285</v>
      </c>
      <c r="AK1206">
        <v>0</v>
      </c>
      <c r="AL1206">
        <v>0</v>
      </c>
      <c r="AM1206">
        <v>0</v>
      </c>
      <c r="AN1206">
        <v>74</v>
      </c>
      <c r="AO1206">
        <v>0</v>
      </c>
      <c r="AP1206">
        <v>65</v>
      </c>
      <c r="AQ1206">
        <v>0</v>
      </c>
      <c r="AR1206">
        <v>0</v>
      </c>
      <c r="AS1206">
        <v>0</v>
      </c>
      <c r="AT1206" t="s">
        <v>90</v>
      </c>
      <c r="AU1206" s="1">
        <v>44210.436180555553</v>
      </c>
      <c r="AV1206">
        <v>149</v>
      </c>
      <c r="AW1206">
        <v>0</v>
      </c>
      <c r="AX1206">
        <v>0</v>
      </c>
      <c r="AY1206">
        <v>0</v>
      </c>
      <c r="AZ1206">
        <v>74</v>
      </c>
      <c r="BA1206">
        <v>0</v>
      </c>
      <c r="BB1206">
        <v>65</v>
      </c>
      <c r="BC1206">
        <v>0</v>
      </c>
      <c r="BD1206">
        <v>0</v>
      </c>
      <c r="BE1206">
        <v>0</v>
      </c>
    </row>
    <row r="1207" spans="1:57" x14ac:dyDescent="0.45">
      <c r="A1207" t="s">
        <v>3065</v>
      </c>
      <c r="B1207" t="s">
        <v>79</v>
      </c>
      <c r="C1207" t="s">
        <v>2125</v>
      </c>
      <c r="D1207" t="s">
        <v>81</v>
      </c>
      <c r="E1207" s="2" t="str">
        <f>HYPERLINK("capsilon://?command=openfolder&amp;siteaddress=FAM.docvelocity-na8.net&amp;folderid=FXCFE8AC63-F2E7-014A-3133-A48A73774BEC","FX201227246")</f>
        <v>FX201227246</v>
      </c>
      <c r="F1207" t="s">
        <v>19</v>
      </c>
      <c r="G1207" t="s">
        <v>19</v>
      </c>
      <c r="H1207" t="s">
        <v>82</v>
      </c>
      <c r="I1207" t="s">
        <v>3066</v>
      </c>
      <c r="J1207">
        <v>66</v>
      </c>
      <c r="K1207" t="s">
        <v>84</v>
      </c>
      <c r="L1207" t="s">
        <v>85</v>
      </c>
      <c r="M1207" t="s">
        <v>86</v>
      </c>
      <c r="N1207">
        <v>3</v>
      </c>
      <c r="O1207" s="1">
        <v>44210.356458333335</v>
      </c>
      <c r="P1207" s="1">
        <v>44210.397743055553</v>
      </c>
      <c r="Q1207">
        <v>2108</v>
      </c>
      <c r="R1207">
        <v>1459</v>
      </c>
      <c r="S1207" t="b">
        <v>0</v>
      </c>
      <c r="T1207" t="s">
        <v>87</v>
      </c>
      <c r="U1207" t="b">
        <v>0</v>
      </c>
      <c r="V1207" t="s">
        <v>98</v>
      </c>
      <c r="W1207" s="1">
        <v>44210.367384259262</v>
      </c>
      <c r="X1207">
        <v>943</v>
      </c>
      <c r="Y1207">
        <v>52</v>
      </c>
      <c r="Z1207">
        <v>0</v>
      </c>
      <c r="AA1207">
        <v>52</v>
      </c>
      <c r="AB1207">
        <v>0</v>
      </c>
      <c r="AC1207">
        <v>34</v>
      </c>
      <c r="AD1207">
        <v>14</v>
      </c>
      <c r="AE1207">
        <v>0</v>
      </c>
      <c r="AF1207">
        <v>0</v>
      </c>
      <c r="AG1207">
        <v>0</v>
      </c>
      <c r="AH1207" t="s">
        <v>94</v>
      </c>
      <c r="AI1207" s="1">
        <v>44210.385115740741</v>
      </c>
      <c r="AJ1207">
        <v>476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14</v>
      </c>
      <c r="AQ1207">
        <v>0</v>
      </c>
      <c r="AR1207">
        <v>0</v>
      </c>
      <c r="AS1207">
        <v>0</v>
      </c>
      <c r="AT1207" t="s">
        <v>90</v>
      </c>
      <c r="AU1207" s="1">
        <v>44210.397743055553</v>
      </c>
      <c r="AV1207">
        <v>40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14</v>
      </c>
      <c r="BC1207">
        <v>0</v>
      </c>
      <c r="BD1207">
        <v>0</v>
      </c>
      <c r="BE1207">
        <v>0</v>
      </c>
    </row>
    <row r="1208" spans="1:57" x14ac:dyDescent="0.45">
      <c r="A1208" t="s">
        <v>3067</v>
      </c>
      <c r="B1208" t="s">
        <v>79</v>
      </c>
      <c r="C1208" t="s">
        <v>2589</v>
      </c>
      <c r="D1208" t="s">
        <v>81</v>
      </c>
      <c r="E1208" s="2" t="str">
        <f>HYPERLINK("capsilon://?command=openfolder&amp;siteaddress=FAM.docvelocity-na8.net&amp;folderid=FX10EF0C96-9773-4A74-7EAE-E17C422C8693","FX20128235")</f>
        <v>FX20128235</v>
      </c>
      <c r="F1208" t="s">
        <v>19</v>
      </c>
      <c r="G1208" t="s">
        <v>19</v>
      </c>
      <c r="H1208" t="s">
        <v>82</v>
      </c>
      <c r="I1208" t="s">
        <v>3068</v>
      </c>
      <c r="J1208">
        <v>83</v>
      </c>
      <c r="K1208" t="s">
        <v>84</v>
      </c>
      <c r="L1208" t="s">
        <v>85</v>
      </c>
      <c r="M1208" t="s">
        <v>86</v>
      </c>
      <c r="N1208">
        <v>3</v>
      </c>
      <c r="O1208" s="1">
        <v>44210.360590277778</v>
      </c>
      <c r="P1208" s="1">
        <v>44210.397997685184</v>
      </c>
      <c r="Q1208">
        <v>2703</v>
      </c>
      <c r="R1208">
        <v>529</v>
      </c>
      <c r="S1208" t="b">
        <v>0</v>
      </c>
      <c r="T1208" t="s">
        <v>87</v>
      </c>
      <c r="U1208" t="b">
        <v>0</v>
      </c>
      <c r="V1208" t="s">
        <v>105</v>
      </c>
      <c r="W1208" s="1">
        <v>44210.365104166667</v>
      </c>
      <c r="X1208">
        <v>379</v>
      </c>
      <c r="Y1208">
        <v>64</v>
      </c>
      <c r="Z1208">
        <v>0</v>
      </c>
      <c r="AA1208">
        <v>64</v>
      </c>
      <c r="AB1208">
        <v>0</v>
      </c>
      <c r="AC1208">
        <v>4</v>
      </c>
      <c r="AD1208">
        <v>19</v>
      </c>
      <c r="AE1208">
        <v>0</v>
      </c>
      <c r="AF1208">
        <v>0</v>
      </c>
      <c r="AG1208">
        <v>0</v>
      </c>
      <c r="AH1208" t="s">
        <v>94</v>
      </c>
      <c r="AI1208" s="1">
        <v>44210.386620370373</v>
      </c>
      <c r="AJ1208">
        <v>129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19</v>
      </c>
      <c r="AQ1208">
        <v>0</v>
      </c>
      <c r="AR1208">
        <v>0</v>
      </c>
      <c r="AS1208">
        <v>0</v>
      </c>
      <c r="AT1208" t="s">
        <v>90</v>
      </c>
      <c r="AU1208" s="1">
        <v>44210.397997685184</v>
      </c>
      <c r="AV1208">
        <v>21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19</v>
      </c>
      <c r="BC1208">
        <v>0</v>
      </c>
      <c r="BD1208">
        <v>0</v>
      </c>
      <c r="BE1208">
        <v>0</v>
      </c>
    </row>
    <row r="1209" spans="1:57" x14ac:dyDescent="0.45">
      <c r="A1209" t="s">
        <v>3069</v>
      </c>
      <c r="B1209" t="s">
        <v>79</v>
      </c>
      <c r="C1209" t="s">
        <v>2589</v>
      </c>
      <c r="D1209" t="s">
        <v>81</v>
      </c>
      <c r="E1209" s="2" t="str">
        <f>HYPERLINK("capsilon://?command=openfolder&amp;siteaddress=FAM.docvelocity-na8.net&amp;folderid=FX10EF0C96-9773-4A74-7EAE-E17C422C8693","FX20128235")</f>
        <v>FX20128235</v>
      </c>
      <c r="F1209" t="s">
        <v>19</v>
      </c>
      <c r="G1209" t="s">
        <v>19</v>
      </c>
      <c r="H1209" t="s">
        <v>82</v>
      </c>
      <c r="I1209" t="s">
        <v>3070</v>
      </c>
      <c r="J1209">
        <v>83</v>
      </c>
      <c r="K1209" t="s">
        <v>84</v>
      </c>
      <c r="L1209" t="s">
        <v>85</v>
      </c>
      <c r="M1209" t="s">
        <v>86</v>
      </c>
      <c r="N1209">
        <v>3</v>
      </c>
      <c r="O1209" s="1">
        <v>44210.361898148149</v>
      </c>
      <c r="P1209" s="1">
        <v>44210.398043981484</v>
      </c>
      <c r="Q1209">
        <v>2347</v>
      </c>
      <c r="R1209">
        <v>776</v>
      </c>
      <c r="S1209" t="b">
        <v>0</v>
      </c>
      <c r="T1209" t="s">
        <v>87</v>
      </c>
      <c r="U1209" t="b">
        <v>0</v>
      </c>
      <c r="V1209" t="s">
        <v>919</v>
      </c>
      <c r="W1209" s="1">
        <v>44210.367858796293</v>
      </c>
      <c r="X1209">
        <v>486</v>
      </c>
      <c r="Y1209">
        <v>79</v>
      </c>
      <c r="Z1209">
        <v>0</v>
      </c>
      <c r="AA1209">
        <v>79</v>
      </c>
      <c r="AB1209">
        <v>0</v>
      </c>
      <c r="AC1209">
        <v>19</v>
      </c>
      <c r="AD1209">
        <v>4</v>
      </c>
      <c r="AE1209">
        <v>0</v>
      </c>
      <c r="AF1209">
        <v>0</v>
      </c>
      <c r="AG1209">
        <v>0</v>
      </c>
      <c r="AH1209" t="s">
        <v>94</v>
      </c>
      <c r="AI1209" s="1">
        <v>44210.389930555553</v>
      </c>
      <c r="AJ1209">
        <v>286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4</v>
      </c>
      <c r="AQ1209">
        <v>0</v>
      </c>
      <c r="AR1209">
        <v>0</v>
      </c>
      <c r="AS1209">
        <v>0</v>
      </c>
      <c r="AT1209" t="s">
        <v>90</v>
      </c>
      <c r="AU1209" s="1">
        <v>44210.398043981484</v>
      </c>
      <c r="AV1209">
        <v>4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4</v>
      </c>
      <c r="BC1209">
        <v>0</v>
      </c>
      <c r="BD1209">
        <v>0</v>
      </c>
      <c r="BE1209">
        <v>0</v>
      </c>
    </row>
    <row r="1210" spans="1:57" x14ac:dyDescent="0.45">
      <c r="A1210" t="s">
        <v>3071</v>
      </c>
      <c r="B1210" t="s">
        <v>79</v>
      </c>
      <c r="C1210" t="s">
        <v>2923</v>
      </c>
      <c r="D1210" t="s">
        <v>81</v>
      </c>
      <c r="E1210" s="2" t="str">
        <f>HYPERLINK("capsilon://?command=openfolder&amp;siteaddress=FAM.docvelocity-na8.net&amp;folderid=FX997F63B9-2B55-2DDF-395D-6A7D2BCD85D0","FX21016549")</f>
        <v>FX21016549</v>
      </c>
      <c r="F1210" t="s">
        <v>19</v>
      </c>
      <c r="G1210" t="s">
        <v>19</v>
      </c>
      <c r="H1210" t="s">
        <v>82</v>
      </c>
      <c r="I1210" t="s">
        <v>3072</v>
      </c>
      <c r="J1210">
        <v>66</v>
      </c>
      <c r="K1210" t="s">
        <v>84</v>
      </c>
      <c r="L1210" t="s">
        <v>85</v>
      </c>
      <c r="M1210" t="s">
        <v>86</v>
      </c>
      <c r="N1210">
        <v>3</v>
      </c>
      <c r="O1210" s="1">
        <v>44210.363125000003</v>
      </c>
      <c r="P1210" s="1">
        <v>44210.400763888887</v>
      </c>
      <c r="Q1210">
        <v>2167</v>
      </c>
      <c r="R1210">
        <v>1085</v>
      </c>
      <c r="S1210" t="b">
        <v>0</v>
      </c>
      <c r="T1210" t="s">
        <v>87</v>
      </c>
      <c r="U1210" t="b">
        <v>0</v>
      </c>
      <c r="V1210" t="s">
        <v>1418</v>
      </c>
      <c r="W1210" s="1">
        <v>44210.371655092589</v>
      </c>
      <c r="X1210">
        <v>653</v>
      </c>
      <c r="Y1210">
        <v>52</v>
      </c>
      <c r="Z1210">
        <v>0</v>
      </c>
      <c r="AA1210">
        <v>52</v>
      </c>
      <c r="AB1210">
        <v>0</v>
      </c>
      <c r="AC1210">
        <v>33</v>
      </c>
      <c r="AD1210">
        <v>14</v>
      </c>
      <c r="AE1210">
        <v>0</v>
      </c>
      <c r="AF1210">
        <v>0</v>
      </c>
      <c r="AG1210">
        <v>0</v>
      </c>
      <c r="AH1210" t="s">
        <v>94</v>
      </c>
      <c r="AI1210" s="1">
        <v>44210.392233796294</v>
      </c>
      <c r="AJ1210">
        <v>198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14</v>
      </c>
      <c r="AQ1210">
        <v>0</v>
      </c>
      <c r="AR1210">
        <v>0</v>
      </c>
      <c r="AS1210">
        <v>0</v>
      </c>
      <c r="AT1210" t="s">
        <v>90</v>
      </c>
      <c r="AU1210" s="1">
        <v>44210.400763888887</v>
      </c>
      <c r="AV1210">
        <v>234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14</v>
      </c>
      <c r="BC1210">
        <v>0</v>
      </c>
      <c r="BD1210">
        <v>0</v>
      </c>
      <c r="BE1210">
        <v>0</v>
      </c>
    </row>
    <row r="1211" spans="1:57" x14ac:dyDescent="0.45">
      <c r="A1211" t="s">
        <v>3073</v>
      </c>
      <c r="B1211" t="s">
        <v>79</v>
      </c>
      <c r="C1211" t="s">
        <v>1371</v>
      </c>
      <c r="D1211" t="s">
        <v>81</v>
      </c>
      <c r="E1211" s="2" t="str">
        <f>HYPERLINK("capsilon://?command=openfolder&amp;siteaddress=FAM.docvelocity-na8.net&amp;folderid=FXB841B970-9B50-0DD4-2C33-D190EAF08556","FX201228979")</f>
        <v>FX201228979</v>
      </c>
      <c r="F1211" t="s">
        <v>19</v>
      </c>
      <c r="G1211" t="s">
        <v>19</v>
      </c>
      <c r="H1211" t="s">
        <v>82</v>
      </c>
      <c r="I1211" t="s">
        <v>3074</v>
      </c>
      <c r="J1211">
        <v>66</v>
      </c>
      <c r="K1211" t="s">
        <v>84</v>
      </c>
      <c r="L1211" t="s">
        <v>85</v>
      </c>
      <c r="M1211" t="s">
        <v>86</v>
      </c>
      <c r="N1211">
        <v>3</v>
      </c>
      <c r="O1211" s="1">
        <v>44210.364699074074</v>
      </c>
      <c r="P1211" s="1">
        <v>44210.401122685187</v>
      </c>
      <c r="Q1211">
        <v>2079</v>
      </c>
      <c r="R1211">
        <v>1068</v>
      </c>
      <c r="S1211" t="b">
        <v>0</v>
      </c>
      <c r="T1211" t="s">
        <v>87</v>
      </c>
      <c r="U1211" t="b">
        <v>0</v>
      </c>
      <c r="V1211" t="s">
        <v>112</v>
      </c>
      <c r="W1211" s="1">
        <v>44210.372812499998</v>
      </c>
      <c r="X1211">
        <v>617</v>
      </c>
      <c r="Y1211">
        <v>52</v>
      </c>
      <c r="Z1211">
        <v>0</v>
      </c>
      <c r="AA1211">
        <v>52</v>
      </c>
      <c r="AB1211">
        <v>0</v>
      </c>
      <c r="AC1211">
        <v>28</v>
      </c>
      <c r="AD1211">
        <v>14</v>
      </c>
      <c r="AE1211">
        <v>0</v>
      </c>
      <c r="AF1211">
        <v>0</v>
      </c>
      <c r="AG1211">
        <v>0</v>
      </c>
      <c r="AH1211" t="s">
        <v>94</v>
      </c>
      <c r="AI1211" s="1">
        <v>44210.396701388891</v>
      </c>
      <c r="AJ1211">
        <v>386</v>
      </c>
      <c r="AK1211">
        <v>2</v>
      </c>
      <c r="AL1211">
        <v>0</v>
      </c>
      <c r="AM1211">
        <v>2</v>
      </c>
      <c r="AN1211">
        <v>0</v>
      </c>
      <c r="AO1211">
        <v>1</v>
      </c>
      <c r="AP1211">
        <v>12</v>
      </c>
      <c r="AQ1211">
        <v>0</v>
      </c>
      <c r="AR1211">
        <v>0</v>
      </c>
      <c r="AS1211">
        <v>0</v>
      </c>
      <c r="AT1211" t="s">
        <v>90</v>
      </c>
      <c r="AU1211" s="1">
        <v>44210.401122685187</v>
      </c>
      <c r="AV1211">
        <v>30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12</v>
      </c>
      <c r="BC1211">
        <v>0</v>
      </c>
      <c r="BD1211">
        <v>0</v>
      </c>
      <c r="BE1211">
        <v>0</v>
      </c>
    </row>
    <row r="1212" spans="1:57" hidden="1" x14ac:dyDescent="0.45">
      <c r="A1212" t="s">
        <v>3075</v>
      </c>
      <c r="B1212" t="s">
        <v>79</v>
      </c>
      <c r="C1212" t="s">
        <v>3076</v>
      </c>
      <c r="D1212" t="s">
        <v>81</v>
      </c>
      <c r="E1212" s="2" t="str">
        <f>HYPERLINK("capsilon://?command=openfolder&amp;siteaddress=FAM.docvelocity-na8.net&amp;folderid=FXE5FB296B-CD97-FCD9-3DFB-D1D430D74D56","FX20126709")</f>
        <v>FX20126709</v>
      </c>
      <c r="F1212" t="s">
        <v>19</v>
      </c>
      <c r="G1212" t="s">
        <v>19</v>
      </c>
      <c r="H1212" t="s">
        <v>82</v>
      </c>
      <c r="I1212" t="s">
        <v>3077</v>
      </c>
      <c r="J1212">
        <v>66</v>
      </c>
      <c r="K1212" t="s">
        <v>84</v>
      </c>
      <c r="L1212" t="s">
        <v>85</v>
      </c>
      <c r="M1212" t="s">
        <v>86</v>
      </c>
      <c r="N1212">
        <v>1</v>
      </c>
      <c r="O1212" s="1">
        <v>44210.366423611114</v>
      </c>
      <c r="P1212" s="1">
        <v>44210.371261574073</v>
      </c>
      <c r="Q1212">
        <v>94</v>
      </c>
      <c r="R1212">
        <v>324</v>
      </c>
      <c r="S1212" t="b">
        <v>0</v>
      </c>
      <c r="T1212" t="s">
        <v>87</v>
      </c>
      <c r="U1212" t="b">
        <v>0</v>
      </c>
      <c r="V1212" t="s">
        <v>88</v>
      </c>
      <c r="W1212" s="1">
        <v>44210.371261574073</v>
      </c>
      <c r="X1212">
        <v>114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66</v>
      </c>
      <c r="AE1212">
        <v>52</v>
      </c>
      <c r="AF1212">
        <v>0</v>
      </c>
      <c r="AG1212">
        <v>1</v>
      </c>
      <c r="AH1212" t="s">
        <v>87</v>
      </c>
      <c r="AI1212" t="s">
        <v>87</v>
      </c>
      <c r="AJ1212" t="s">
        <v>87</v>
      </c>
      <c r="AK1212" t="s">
        <v>87</v>
      </c>
      <c r="AL1212" t="s">
        <v>87</v>
      </c>
      <c r="AM1212" t="s">
        <v>87</v>
      </c>
      <c r="AN1212" t="s">
        <v>87</v>
      </c>
      <c r="AO1212" t="s">
        <v>87</v>
      </c>
      <c r="AP1212" t="s">
        <v>87</v>
      </c>
      <c r="AQ1212" t="s">
        <v>87</v>
      </c>
      <c r="AR1212" t="s">
        <v>87</v>
      </c>
      <c r="AS1212" t="s">
        <v>87</v>
      </c>
      <c r="AT1212" t="s">
        <v>87</v>
      </c>
      <c r="AU1212" t="s">
        <v>87</v>
      </c>
      <c r="AV1212" t="s">
        <v>87</v>
      </c>
      <c r="AW1212" t="s">
        <v>87</v>
      </c>
      <c r="AX1212" t="s">
        <v>87</v>
      </c>
      <c r="AY1212" t="s">
        <v>87</v>
      </c>
      <c r="AZ1212" t="s">
        <v>87</v>
      </c>
      <c r="BA1212" t="s">
        <v>87</v>
      </c>
      <c r="BB1212" t="s">
        <v>87</v>
      </c>
      <c r="BC1212" t="s">
        <v>87</v>
      </c>
      <c r="BD1212" t="s">
        <v>87</v>
      </c>
      <c r="BE1212" t="s">
        <v>87</v>
      </c>
    </row>
    <row r="1213" spans="1:57" hidden="1" x14ac:dyDescent="0.45">
      <c r="A1213" t="s">
        <v>3078</v>
      </c>
      <c r="B1213" t="s">
        <v>79</v>
      </c>
      <c r="C1213" t="s">
        <v>2988</v>
      </c>
      <c r="D1213" t="s">
        <v>81</v>
      </c>
      <c r="E1213" s="2" t="str">
        <f>HYPERLINK("capsilon://?command=openfolder&amp;siteaddress=FAM.docvelocity-na8.net&amp;folderid=FXFB98C11D-2D64-017C-52DA-45504BAB168A","FX201111797")</f>
        <v>FX201111797</v>
      </c>
      <c r="F1213" t="s">
        <v>19</v>
      </c>
      <c r="G1213" t="s">
        <v>19</v>
      </c>
      <c r="H1213" t="s">
        <v>82</v>
      </c>
      <c r="I1213" t="s">
        <v>3079</v>
      </c>
      <c r="J1213">
        <v>66</v>
      </c>
      <c r="K1213" t="s">
        <v>84</v>
      </c>
      <c r="L1213" t="s">
        <v>85</v>
      </c>
      <c r="M1213" t="s">
        <v>86</v>
      </c>
      <c r="N1213">
        <v>3</v>
      </c>
      <c r="O1213" s="1">
        <v>44210.366875</v>
      </c>
      <c r="P1213" s="1">
        <v>44210.401180555556</v>
      </c>
      <c r="Q1213">
        <v>2579</v>
      </c>
      <c r="R1213">
        <v>385</v>
      </c>
      <c r="S1213" t="b">
        <v>0</v>
      </c>
      <c r="T1213" t="s">
        <v>87</v>
      </c>
      <c r="U1213" t="b">
        <v>0</v>
      </c>
      <c r="V1213" t="s">
        <v>919</v>
      </c>
      <c r="W1213" s="1">
        <v>44210.370972222219</v>
      </c>
      <c r="X1213">
        <v>268</v>
      </c>
      <c r="Y1213">
        <v>0</v>
      </c>
      <c r="Z1213">
        <v>0</v>
      </c>
      <c r="AA1213">
        <v>0</v>
      </c>
      <c r="AB1213">
        <v>52</v>
      </c>
      <c r="AC1213">
        <v>0</v>
      </c>
      <c r="AD1213">
        <v>66</v>
      </c>
      <c r="AE1213">
        <v>0</v>
      </c>
      <c r="AF1213">
        <v>0</v>
      </c>
      <c r="AG1213">
        <v>0</v>
      </c>
      <c r="AH1213" t="s">
        <v>94</v>
      </c>
      <c r="AI1213" s="1">
        <v>44210.398020833331</v>
      </c>
      <c r="AJ1213">
        <v>113</v>
      </c>
      <c r="AK1213">
        <v>0</v>
      </c>
      <c r="AL1213">
        <v>0</v>
      </c>
      <c r="AM1213">
        <v>0</v>
      </c>
      <c r="AN1213">
        <v>52</v>
      </c>
      <c r="AO1213">
        <v>0</v>
      </c>
      <c r="AP1213">
        <v>66</v>
      </c>
      <c r="AQ1213">
        <v>0</v>
      </c>
      <c r="AR1213">
        <v>0</v>
      </c>
      <c r="AS1213">
        <v>0</v>
      </c>
      <c r="AT1213" t="s">
        <v>90</v>
      </c>
      <c r="AU1213" s="1">
        <v>44210.401180555556</v>
      </c>
      <c r="AV1213">
        <v>4</v>
      </c>
      <c r="AW1213">
        <v>0</v>
      </c>
      <c r="AX1213">
        <v>0</v>
      </c>
      <c r="AY1213">
        <v>0</v>
      </c>
      <c r="AZ1213">
        <v>52</v>
      </c>
      <c r="BA1213">
        <v>0</v>
      </c>
      <c r="BB1213">
        <v>66</v>
      </c>
      <c r="BC1213">
        <v>0</v>
      </c>
      <c r="BD1213">
        <v>0</v>
      </c>
      <c r="BE1213">
        <v>0</v>
      </c>
    </row>
    <row r="1214" spans="1:57" x14ac:dyDescent="0.45">
      <c r="A1214" t="s">
        <v>3080</v>
      </c>
      <c r="B1214" t="s">
        <v>79</v>
      </c>
      <c r="C1214" t="s">
        <v>3081</v>
      </c>
      <c r="D1214" t="s">
        <v>81</v>
      </c>
      <c r="E1214" s="2" t="str">
        <f>HYPERLINK("capsilon://?command=openfolder&amp;siteaddress=FAM.docvelocity-na8.net&amp;folderid=FX35C86FCC-EB8D-6DFC-77C9-98A51939CD1F","FX21011034")</f>
        <v>FX21011034</v>
      </c>
      <c r="F1214" t="s">
        <v>19</v>
      </c>
      <c r="G1214" t="s">
        <v>19</v>
      </c>
      <c r="H1214" t="s">
        <v>82</v>
      </c>
      <c r="I1214" t="s">
        <v>3082</v>
      </c>
      <c r="J1214">
        <v>38</v>
      </c>
      <c r="K1214" t="s">
        <v>84</v>
      </c>
      <c r="L1214" t="s">
        <v>85</v>
      </c>
      <c r="M1214" t="s">
        <v>86</v>
      </c>
      <c r="N1214">
        <v>3</v>
      </c>
      <c r="O1214" s="1">
        <v>44210.371249999997</v>
      </c>
      <c r="P1214" s="1">
        <v>44210.401261574072</v>
      </c>
      <c r="Q1214">
        <v>1485</v>
      </c>
      <c r="R1214">
        <v>1108</v>
      </c>
      <c r="S1214" t="b">
        <v>0</v>
      </c>
      <c r="T1214" t="s">
        <v>87</v>
      </c>
      <c r="U1214" t="b">
        <v>0</v>
      </c>
      <c r="V1214" t="s">
        <v>98</v>
      </c>
      <c r="W1214" s="1">
        <v>44210.380474537036</v>
      </c>
      <c r="X1214">
        <v>797</v>
      </c>
      <c r="Y1214">
        <v>37</v>
      </c>
      <c r="Z1214">
        <v>0</v>
      </c>
      <c r="AA1214">
        <v>37</v>
      </c>
      <c r="AB1214">
        <v>0</v>
      </c>
      <c r="AC1214">
        <v>26</v>
      </c>
      <c r="AD1214">
        <v>1</v>
      </c>
      <c r="AE1214">
        <v>0</v>
      </c>
      <c r="AF1214">
        <v>0</v>
      </c>
      <c r="AG1214">
        <v>0</v>
      </c>
      <c r="AH1214" t="s">
        <v>108</v>
      </c>
      <c r="AI1214" s="1">
        <v>44210.401006944441</v>
      </c>
      <c r="AJ1214">
        <v>304</v>
      </c>
      <c r="AK1214">
        <v>2</v>
      </c>
      <c r="AL1214">
        <v>0</v>
      </c>
      <c r="AM1214">
        <v>2</v>
      </c>
      <c r="AN1214">
        <v>0</v>
      </c>
      <c r="AO1214">
        <v>0</v>
      </c>
      <c r="AP1214">
        <v>-1</v>
      </c>
      <c r="AQ1214">
        <v>0</v>
      </c>
      <c r="AR1214">
        <v>0</v>
      </c>
      <c r="AS1214">
        <v>0</v>
      </c>
      <c r="AT1214" t="s">
        <v>90</v>
      </c>
      <c r="AU1214" s="1">
        <v>44210.401261574072</v>
      </c>
      <c r="AV1214">
        <v>7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-1</v>
      </c>
      <c r="BC1214">
        <v>0</v>
      </c>
      <c r="BD1214">
        <v>0</v>
      </c>
      <c r="BE1214">
        <v>0</v>
      </c>
    </row>
    <row r="1215" spans="1:57" x14ac:dyDescent="0.45">
      <c r="A1215" t="s">
        <v>3083</v>
      </c>
      <c r="B1215" t="s">
        <v>79</v>
      </c>
      <c r="C1215" t="s">
        <v>3076</v>
      </c>
      <c r="D1215" t="s">
        <v>81</v>
      </c>
      <c r="E1215" s="2" t="str">
        <f>HYPERLINK("capsilon://?command=openfolder&amp;siteaddress=FAM.docvelocity-na8.net&amp;folderid=FXE5FB296B-CD97-FCD9-3DFB-D1D430D74D56","FX20126709")</f>
        <v>FX20126709</v>
      </c>
      <c r="F1215" t="s">
        <v>19</v>
      </c>
      <c r="G1215" t="s">
        <v>19</v>
      </c>
      <c r="H1215" t="s">
        <v>82</v>
      </c>
      <c r="I1215" t="s">
        <v>3077</v>
      </c>
      <c r="J1215">
        <v>38</v>
      </c>
      <c r="K1215" t="s">
        <v>84</v>
      </c>
      <c r="L1215" t="s">
        <v>85</v>
      </c>
      <c r="M1215" t="s">
        <v>86</v>
      </c>
      <c r="N1215">
        <v>3</v>
      </c>
      <c r="O1215" s="1">
        <v>44210.371516203704</v>
      </c>
      <c r="P1215" s="1">
        <v>44210.397175925929</v>
      </c>
      <c r="Q1215">
        <v>1526</v>
      </c>
      <c r="R1215">
        <v>691</v>
      </c>
      <c r="S1215" t="b">
        <v>0</v>
      </c>
      <c r="T1215" t="s">
        <v>87</v>
      </c>
      <c r="U1215" t="b">
        <v>1</v>
      </c>
      <c r="V1215" t="s">
        <v>88</v>
      </c>
      <c r="W1215" s="1">
        <v>44210.377233796295</v>
      </c>
      <c r="X1215">
        <v>491</v>
      </c>
      <c r="Y1215">
        <v>37</v>
      </c>
      <c r="Z1215">
        <v>0</v>
      </c>
      <c r="AA1215">
        <v>37</v>
      </c>
      <c r="AB1215">
        <v>0</v>
      </c>
      <c r="AC1215">
        <v>12</v>
      </c>
      <c r="AD1215">
        <v>1</v>
      </c>
      <c r="AE1215">
        <v>0</v>
      </c>
      <c r="AF1215">
        <v>0</v>
      </c>
      <c r="AG1215">
        <v>0</v>
      </c>
      <c r="AH1215" t="s">
        <v>94</v>
      </c>
      <c r="AI1215" s="1">
        <v>44210.379594907405</v>
      </c>
      <c r="AJ1215">
        <v>193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 t="s">
        <v>90</v>
      </c>
      <c r="AU1215" s="1">
        <v>44210.397175925929</v>
      </c>
      <c r="AV1215">
        <v>7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</row>
    <row r="1216" spans="1:57" hidden="1" x14ac:dyDescent="0.45">
      <c r="A1216" t="s">
        <v>3084</v>
      </c>
      <c r="B1216" t="s">
        <v>79</v>
      </c>
      <c r="C1216" t="s">
        <v>2340</v>
      </c>
      <c r="D1216" t="s">
        <v>81</v>
      </c>
      <c r="E1216" s="2" t="str">
        <f>HYPERLINK("capsilon://?command=openfolder&amp;siteaddress=FAM.docvelocity-na8.net&amp;folderid=FX2AF0915C-E94A-1865-B21C-D7B39D194C36","FX20122352")</f>
        <v>FX20122352</v>
      </c>
      <c r="F1216" t="s">
        <v>19</v>
      </c>
      <c r="G1216" t="s">
        <v>19</v>
      </c>
      <c r="H1216" t="s">
        <v>82</v>
      </c>
      <c r="I1216" t="s">
        <v>3085</v>
      </c>
      <c r="J1216">
        <v>132</v>
      </c>
      <c r="K1216" t="s">
        <v>84</v>
      </c>
      <c r="L1216" t="s">
        <v>85</v>
      </c>
      <c r="M1216" t="s">
        <v>86</v>
      </c>
      <c r="N1216">
        <v>3</v>
      </c>
      <c r="O1216" s="1">
        <v>44210.379641203705</v>
      </c>
      <c r="P1216" s="1">
        <v>44210.401307870372</v>
      </c>
      <c r="Q1216">
        <v>1418</v>
      </c>
      <c r="R1216">
        <v>454</v>
      </c>
      <c r="S1216" t="b">
        <v>0</v>
      </c>
      <c r="T1216" t="s">
        <v>87</v>
      </c>
      <c r="U1216" t="b">
        <v>0</v>
      </c>
      <c r="V1216" t="s">
        <v>88</v>
      </c>
      <c r="W1216" s="1">
        <v>44210.383981481478</v>
      </c>
      <c r="X1216">
        <v>234</v>
      </c>
      <c r="Y1216">
        <v>0</v>
      </c>
      <c r="Z1216">
        <v>0</v>
      </c>
      <c r="AA1216">
        <v>0</v>
      </c>
      <c r="AB1216">
        <v>104</v>
      </c>
      <c r="AC1216">
        <v>0</v>
      </c>
      <c r="AD1216">
        <v>132</v>
      </c>
      <c r="AE1216">
        <v>0</v>
      </c>
      <c r="AF1216">
        <v>0</v>
      </c>
      <c r="AG1216">
        <v>0</v>
      </c>
      <c r="AH1216" t="s">
        <v>94</v>
      </c>
      <c r="AI1216" s="1">
        <v>44210.399386574078</v>
      </c>
      <c r="AJ1216">
        <v>117</v>
      </c>
      <c r="AK1216">
        <v>0</v>
      </c>
      <c r="AL1216">
        <v>0</v>
      </c>
      <c r="AM1216">
        <v>0</v>
      </c>
      <c r="AN1216">
        <v>104</v>
      </c>
      <c r="AO1216">
        <v>0</v>
      </c>
      <c r="AP1216">
        <v>132</v>
      </c>
      <c r="AQ1216">
        <v>0</v>
      </c>
      <c r="AR1216">
        <v>0</v>
      </c>
      <c r="AS1216">
        <v>0</v>
      </c>
      <c r="AT1216" t="s">
        <v>90</v>
      </c>
      <c r="AU1216" s="1">
        <v>44210.401307870372</v>
      </c>
      <c r="AV1216">
        <v>3</v>
      </c>
      <c r="AW1216">
        <v>0</v>
      </c>
      <c r="AX1216">
        <v>0</v>
      </c>
      <c r="AY1216">
        <v>0</v>
      </c>
      <c r="AZ1216">
        <v>104</v>
      </c>
      <c r="BA1216">
        <v>0</v>
      </c>
      <c r="BB1216">
        <v>132</v>
      </c>
      <c r="BC1216">
        <v>0</v>
      </c>
      <c r="BD1216">
        <v>0</v>
      </c>
      <c r="BE1216">
        <v>0</v>
      </c>
    </row>
    <row r="1217" spans="1:57" hidden="1" x14ac:dyDescent="0.45">
      <c r="A1217" t="s">
        <v>3086</v>
      </c>
      <c r="B1217" t="s">
        <v>79</v>
      </c>
      <c r="C1217" t="s">
        <v>2340</v>
      </c>
      <c r="D1217" t="s">
        <v>81</v>
      </c>
      <c r="E1217" s="2" t="str">
        <f>HYPERLINK("capsilon://?command=openfolder&amp;siteaddress=FAM.docvelocity-na8.net&amp;folderid=FX2AF0915C-E94A-1865-B21C-D7B39D194C36","FX20122352")</f>
        <v>FX20122352</v>
      </c>
      <c r="F1217" t="s">
        <v>19</v>
      </c>
      <c r="G1217" t="s">
        <v>19</v>
      </c>
      <c r="H1217" t="s">
        <v>82</v>
      </c>
      <c r="I1217" t="s">
        <v>3087</v>
      </c>
      <c r="J1217">
        <v>132</v>
      </c>
      <c r="K1217" t="s">
        <v>84</v>
      </c>
      <c r="L1217" t="s">
        <v>85</v>
      </c>
      <c r="M1217" t="s">
        <v>86</v>
      </c>
      <c r="N1217">
        <v>3</v>
      </c>
      <c r="O1217" s="1">
        <v>44210.380833333336</v>
      </c>
      <c r="P1217" s="1">
        <v>44210.401342592595</v>
      </c>
      <c r="Q1217">
        <v>1397</v>
      </c>
      <c r="R1217">
        <v>375</v>
      </c>
      <c r="S1217" t="b">
        <v>0</v>
      </c>
      <c r="T1217" t="s">
        <v>87</v>
      </c>
      <c r="U1217" t="b">
        <v>0</v>
      </c>
      <c r="V1217" t="s">
        <v>919</v>
      </c>
      <c r="W1217" s="1">
        <v>44210.384560185186</v>
      </c>
      <c r="X1217">
        <v>321</v>
      </c>
      <c r="Y1217">
        <v>0</v>
      </c>
      <c r="Z1217">
        <v>0</v>
      </c>
      <c r="AA1217">
        <v>0</v>
      </c>
      <c r="AB1217">
        <v>104</v>
      </c>
      <c r="AC1217">
        <v>0</v>
      </c>
      <c r="AD1217">
        <v>132</v>
      </c>
      <c r="AE1217">
        <v>0</v>
      </c>
      <c r="AF1217">
        <v>0</v>
      </c>
      <c r="AG1217">
        <v>0</v>
      </c>
      <c r="AH1217" t="s">
        <v>94</v>
      </c>
      <c r="AI1217" s="1">
        <v>44210.399988425925</v>
      </c>
      <c r="AJ1217">
        <v>52</v>
      </c>
      <c r="AK1217">
        <v>0</v>
      </c>
      <c r="AL1217">
        <v>0</v>
      </c>
      <c r="AM1217">
        <v>0</v>
      </c>
      <c r="AN1217">
        <v>104</v>
      </c>
      <c r="AO1217">
        <v>0</v>
      </c>
      <c r="AP1217">
        <v>132</v>
      </c>
      <c r="AQ1217">
        <v>0</v>
      </c>
      <c r="AR1217">
        <v>0</v>
      </c>
      <c r="AS1217">
        <v>0</v>
      </c>
      <c r="AT1217" t="s">
        <v>90</v>
      </c>
      <c r="AU1217" s="1">
        <v>44210.401342592595</v>
      </c>
      <c r="AV1217">
        <v>2</v>
      </c>
      <c r="AW1217">
        <v>0</v>
      </c>
      <c r="AX1217">
        <v>0</v>
      </c>
      <c r="AY1217">
        <v>0</v>
      </c>
      <c r="AZ1217">
        <v>104</v>
      </c>
      <c r="BA1217">
        <v>0</v>
      </c>
      <c r="BB1217">
        <v>132</v>
      </c>
      <c r="BC1217">
        <v>0</v>
      </c>
      <c r="BD1217">
        <v>0</v>
      </c>
      <c r="BE1217">
        <v>0</v>
      </c>
    </row>
    <row r="1218" spans="1:57" hidden="1" x14ac:dyDescent="0.45">
      <c r="A1218" t="s">
        <v>3088</v>
      </c>
      <c r="B1218" t="s">
        <v>79</v>
      </c>
      <c r="C1218" t="s">
        <v>3089</v>
      </c>
      <c r="D1218" t="s">
        <v>81</v>
      </c>
      <c r="E1218" s="2" t="str">
        <f>HYPERLINK("capsilon://?command=openfolder&amp;siteaddress=FAM.docvelocity-na8.net&amp;folderid=FXA5C2A6FC-A3DB-806F-9765-CC7A52F0B047","FX201115062")</f>
        <v>FX201115062</v>
      </c>
      <c r="F1218" t="s">
        <v>19</v>
      </c>
      <c r="G1218" t="s">
        <v>19</v>
      </c>
      <c r="H1218" t="s">
        <v>82</v>
      </c>
      <c r="I1218" t="s">
        <v>3090</v>
      </c>
      <c r="J1218">
        <v>88</v>
      </c>
      <c r="K1218" t="s">
        <v>84</v>
      </c>
      <c r="L1218" t="s">
        <v>85</v>
      </c>
      <c r="M1218" t="s">
        <v>86</v>
      </c>
      <c r="N1218">
        <v>1</v>
      </c>
      <c r="O1218" s="1">
        <v>44210.383356481485</v>
      </c>
      <c r="P1218" s="1">
        <v>44210.392893518518</v>
      </c>
      <c r="Q1218">
        <v>63</v>
      </c>
      <c r="R1218">
        <v>761</v>
      </c>
      <c r="S1218" t="b">
        <v>0</v>
      </c>
      <c r="T1218" t="s">
        <v>87</v>
      </c>
      <c r="U1218" t="b">
        <v>0</v>
      </c>
      <c r="V1218" t="s">
        <v>419</v>
      </c>
      <c r="W1218" s="1">
        <v>44210.392893518518</v>
      </c>
      <c r="X1218">
        <v>405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88</v>
      </c>
      <c r="AE1218">
        <v>84</v>
      </c>
      <c r="AF1218">
        <v>0</v>
      </c>
      <c r="AG1218">
        <v>2</v>
      </c>
      <c r="AH1218" t="s">
        <v>87</v>
      </c>
      <c r="AI1218" t="s">
        <v>87</v>
      </c>
      <c r="AJ1218" t="s">
        <v>87</v>
      </c>
      <c r="AK1218" t="s">
        <v>87</v>
      </c>
      <c r="AL1218" t="s">
        <v>87</v>
      </c>
      <c r="AM1218" t="s">
        <v>87</v>
      </c>
      <c r="AN1218" t="s">
        <v>87</v>
      </c>
      <c r="AO1218" t="s">
        <v>87</v>
      </c>
      <c r="AP1218" t="s">
        <v>87</v>
      </c>
      <c r="AQ1218" t="s">
        <v>87</v>
      </c>
      <c r="AR1218" t="s">
        <v>87</v>
      </c>
      <c r="AS1218" t="s">
        <v>87</v>
      </c>
      <c r="AT1218" t="s">
        <v>87</v>
      </c>
      <c r="AU1218" t="s">
        <v>87</v>
      </c>
      <c r="AV1218" t="s">
        <v>87</v>
      </c>
      <c r="AW1218" t="s">
        <v>87</v>
      </c>
      <c r="AX1218" t="s">
        <v>87</v>
      </c>
      <c r="AY1218" t="s">
        <v>87</v>
      </c>
      <c r="AZ1218" t="s">
        <v>87</v>
      </c>
      <c r="BA1218" t="s">
        <v>87</v>
      </c>
      <c r="BB1218" t="s">
        <v>87</v>
      </c>
      <c r="BC1218" t="s">
        <v>87</v>
      </c>
      <c r="BD1218" t="s">
        <v>87</v>
      </c>
      <c r="BE1218" t="s">
        <v>87</v>
      </c>
    </row>
    <row r="1219" spans="1:57" hidden="1" x14ac:dyDescent="0.45">
      <c r="A1219" t="s">
        <v>3091</v>
      </c>
      <c r="B1219" t="s">
        <v>79</v>
      </c>
      <c r="C1219" t="s">
        <v>830</v>
      </c>
      <c r="D1219" t="s">
        <v>81</v>
      </c>
      <c r="E1219" s="2" t="str">
        <f>HYPERLINK("capsilon://?command=openfolder&amp;siteaddress=FAM.docvelocity-na8.net&amp;folderid=FXFC9E5EE0-2D9E-274E-E063-48F803C7C86E","FX20123744")</f>
        <v>FX20123744</v>
      </c>
      <c r="F1219" t="s">
        <v>19</v>
      </c>
      <c r="G1219" t="s">
        <v>19</v>
      </c>
      <c r="H1219" t="s">
        <v>82</v>
      </c>
      <c r="I1219" t="s">
        <v>3092</v>
      </c>
      <c r="J1219">
        <v>38</v>
      </c>
      <c r="K1219" t="s">
        <v>84</v>
      </c>
      <c r="L1219" t="s">
        <v>85</v>
      </c>
      <c r="M1219" t="s">
        <v>86</v>
      </c>
      <c r="N1219">
        <v>3</v>
      </c>
      <c r="O1219" s="1">
        <v>44210.383587962962</v>
      </c>
      <c r="P1219" s="1">
        <v>44210.401388888888</v>
      </c>
      <c r="Q1219">
        <v>1198</v>
      </c>
      <c r="R1219">
        <v>340</v>
      </c>
      <c r="S1219" t="b">
        <v>0</v>
      </c>
      <c r="T1219" t="s">
        <v>87</v>
      </c>
      <c r="U1219" t="b">
        <v>0</v>
      </c>
      <c r="V1219" t="s">
        <v>105</v>
      </c>
      <c r="W1219" s="1">
        <v>44210.387280092589</v>
      </c>
      <c r="X1219">
        <v>307</v>
      </c>
      <c r="Y1219">
        <v>0</v>
      </c>
      <c r="Z1219">
        <v>0</v>
      </c>
      <c r="AA1219">
        <v>0</v>
      </c>
      <c r="AB1219">
        <v>37</v>
      </c>
      <c r="AC1219">
        <v>0</v>
      </c>
      <c r="AD1219">
        <v>38</v>
      </c>
      <c r="AE1219">
        <v>0</v>
      </c>
      <c r="AF1219">
        <v>0</v>
      </c>
      <c r="AG1219">
        <v>0</v>
      </c>
      <c r="AH1219" t="s">
        <v>94</v>
      </c>
      <c r="AI1219" s="1">
        <v>44210.400347222225</v>
      </c>
      <c r="AJ1219">
        <v>30</v>
      </c>
      <c r="AK1219">
        <v>0</v>
      </c>
      <c r="AL1219">
        <v>0</v>
      </c>
      <c r="AM1219">
        <v>0</v>
      </c>
      <c r="AN1219">
        <v>37</v>
      </c>
      <c r="AO1219">
        <v>0</v>
      </c>
      <c r="AP1219">
        <v>38</v>
      </c>
      <c r="AQ1219">
        <v>0</v>
      </c>
      <c r="AR1219">
        <v>0</v>
      </c>
      <c r="AS1219">
        <v>0</v>
      </c>
      <c r="AT1219" t="s">
        <v>90</v>
      </c>
      <c r="AU1219" s="1">
        <v>44210.401388888888</v>
      </c>
      <c r="AV1219">
        <v>3</v>
      </c>
      <c r="AW1219">
        <v>0</v>
      </c>
      <c r="AX1219">
        <v>0</v>
      </c>
      <c r="AY1219">
        <v>0</v>
      </c>
      <c r="AZ1219">
        <v>37</v>
      </c>
      <c r="BA1219">
        <v>0</v>
      </c>
      <c r="BB1219">
        <v>38</v>
      </c>
      <c r="BC1219">
        <v>0</v>
      </c>
      <c r="BD1219">
        <v>0</v>
      </c>
      <c r="BE1219">
        <v>0</v>
      </c>
    </row>
    <row r="1220" spans="1:57" hidden="1" x14ac:dyDescent="0.45">
      <c r="A1220" t="s">
        <v>3093</v>
      </c>
      <c r="B1220" t="s">
        <v>79</v>
      </c>
      <c r="C1220" t="s">
        <v>2839</v>
      </c>
      <c r="D1220" t="s">
        <v>81</v>
      </c>
      <c r="E1220" s="2" t="str">
        <f>HYPERLINK("capsilon://?command=openfolder&amp;siteaddress=FAM.docvelocity-na8.net&amp;folderid=FXCE14A4F2-A2B0-4EC6-8CE2-24A3400D27DD","FX201111849")</f>
        <v>FX201111849</v>
      </c>
      <c r="F1220" t="s">
        <v>19</v>
      </c>
      <c r="G1220" t="s">
        <v>19</v>
      </c>
      <c r="H1220" t="s">
        <v>82</v>
      </c>
      <c r="I1220" t="s">
        <v>3094</v>
      </c>
      <c r="J1220">
        <v>66</v>
      </c>
      <c r="K1220" t="s">
        <v>84</v>
      </c>
      <c r="L1220" t="s">
        <v>85</v>
      </c>
      <c r="M1220" t="s">
        <v>86</v>
      </c>
      <c r="N1220">
        <v>3</v>
      </c>
      <c r="O1220" s="1">
        <v>44210.384976851848</v>
      </c>
      <c r="P1220" s="1">
        <v>44210.401423611111</v>
      </c>
      <c r="Q1220">
        <v>1199</v>
      </c>
      <c r="R1220">
        <v>222</v>
      </c>
      <c r="S1220" t="b">
        <v>0</v>
      </c>
      <c r="T1220" t="s">
        <v>87</v>
      </c>
      <c r="U1220" t="b">
        <v>0</v>
      </c>
      <c r="V1220" t="s">
        <v>419</v>
      </c>
      <c r="W1220" s="1">
        <v>44210.38721064815</v>
      </c>
      <c r="X1220">
        <v>183</v>
      </c>
      <c r="Y1220">
        <v>0</v>
      </c>
      <c r="Z1220">
        <v>0</v>
      </c>
      <c r="AA1220">
        <v>0</v>
      </c>
      <c r="AB1220">
        <v>52</v>
      </c>
      <c r="AC1220">
        <v>0</v>
      </c>
      <c r="AD1220">
        <v>66</v>
      </c>
      <c r="AE1220">
        <v>0</v>
      </c>
      <c r="AF1220">
        <v>0</v>
      </c>
      <c r="AG1220">
        <v>0</v>
      </c>
      <c r="AH1220" t="s">
        <v>94</v>
      </c>
      <c r="AI1220" s="1">
        <v>44210.400787037041</v>
      </c>
      <c r="AJ1220">
        <v>37</v>
      </c>
      <c r="AK1220">
        <v>0</v>
      </c>
      <c r="AL1220">
        <v>0</v>
      </c>
      <c r="AM1220">
        <v>0</v>
      </c>
      <c r="AN1220">
        <v>52</v>
      </c>
      <c r="AO1220">
        <v>0</v>
      </c>
      <c r="AP1220">
        <v>66</v>
      </c>
      <c r="AQ1220">
        <v>0</v>
      </c>
      <c r="AR1220">
        <v>0</v>
      </c>
      <c r="AS1220">
        <v>0</v>
      </c>
      <c r="AT1220" t="s">
        <v>90</v>
      </c>
      <c r="AU1220" s="1">
        <v>44210.401423611111</v>
      </c>
      <c r="AV1220">
        <v>2</v>
      </c>
      <c r="AW1220">
        <v>0</v>
      </c>
      <c r="AX1220">
        <v>0</v>
      </c>
      <c r="AY1220">
        <v>0</v>
      </c>
      <c r="AZ1220">
        <v>52</v>
      </c>
      <c r="BA1220">
        <v>0</v>
      </c>
      <c r="BB1220">
        <v>66</v>
      </c>
      <c r="BC1220">
        <v>0</v>
      </c>
      <c r="BD1220">
        <v>0</v>
      </c>
      <c r="BE1220">
        <v>0</v>
      </c>
    </row>
    <row r="1221" spans="1:57" hidden="1" x14ac:dyDescent="0.45">
      <c r="A1221" t="s">
        <v>3095</v>
      </c>
      <c r="B1221" t="s">
        <v>79</v>
      </c>
      <c r="C1221" t="s">
        <v>830</v>
      </c>
      <c r="D1221" t="s">
        <v>81</v>
      </c>
      <c r="E1221" s="2" t="str">
        <f>HYPERLINK("capsilon://?command=openfolder&amp;siteaddress=FAM.docvelocity-na8.net&amp;folderid=FXFC9E5EE0-2D9E-274E-E063-48F803C7C86E","FX20123744")</f>
        <v>FX20123744</v>
      </c>
      <c r="F1221" t="s">
        <v>19</v>
      </c>
      <c r="G1221" t="s">
        <v>19</v>
      </c>
      <c r="H1221" t="s">
        <v>82</v>
      </c>
      <c r="I1221" t="s">
        <v>3096</v>
      </c>
      <c r="J1221">
        <v>66</v>
      </c>
      <c r="K1221" t="s">
        <v>84</v>
      </c>
      <c r="L1221" t="s">
        <v>85</v>
      </c>
      <c r="M1221" t="s">
        <v>86</v>
      </c>
      <c r="N1221">
        <v>3</v>
      </c>
      <c r="O1221" s="1">
        <v>44210.387337962966</v>
      </c>
      <c r="P1221" s="1">
        <v>44210.401458333334</v>
      </c>
      <c r="Q1221">
        <v>998</v>
      </c>
      <c r="R1221">
        <v>222</v>
      </c>
      <c r="S1221" t="b">
        <v>0</v>
      </c>
      <c r="T1221" t="s">
        <v>87</v>
      </c>
      <c r="U1221" t="b">
        <v>0</v>
      </c>
      <c r="V1221" t="s">
        <v>98</v>
      </c>
      <c r="W1221" s="1">
        <v>44210.389513888891</v>
      </c>
      <c r="X1221">
        <v>187</v>
      </c>
      <c r="Y1221">
        <v>0</v>
      </c>
      <c r="Z1221">
        <v>0</v>
      </c>
      <c r="AA1221">
        <v>0</v>
      </c>
      <c r="AB1221">
        <v>52</v>
      </c>
      <c r="AC1221">
        <v>0</v>
      </c>
      <c r="AD1221">
        <v>66</v>
      </c>
      <c r="AE1221">
        <v>0</v>
      </c>
      <c r="AF1221">
        <v>0</v>
      </c>
      <c r="AG1221">
        <v>0</v>
      </c>
      <c r="AH1221" t="s">
        <v>94</v>
      </c>
      <c r="AI1221" s="1">
        <v>44210.401180555556</v>
      </c>
      <c r="AJ1221">
        <v>33</v>
      </c>
      <c r="AK1221">
        <v>0</v>
      </c>
      <c r="AL1221">
        <v>0</v>
      </c>
      <c r="AM1221">
        <v>0</v>
      </c>
      <c r="AN1221">
        <v>52</v>
      </c>
      <c r="AO1221">
        <v>0</v>
      </c>
      <c r="AP1221">
        <v>66</v>
      </c>
      <c r="AQ1221">
        <v>0</v>
      </c>
      <c r="AR1221">
        <v>0</v>
      </c>
      <c r="AS1221">
        <v>0</v>
      </c>
      <c r="AT1221" t="s">
        <v>90</v>
      </c>
      <c r="AU1221" s="1">
        <v>44210.401458333334</v>
      </c>
      <c r="AV1221">
        <v>2</v>
      </c>
      <c r="AW1221">
        <v>0</v>
      </c>
      <c r="AX1221">
        <v>0</v>
      </c>
      <c r="AY1221">
        <v>0</v>
      </c>
      <c r="AZ1221">
        <v>52</v>
      </c>
      <c r="BA1221">
        <v>0</v>
      </c>
      <c r="BB1221">
        <v>66</v>
      </c>
      <c r="BC1221">
        <v>0</v>
      </c>
      <c r="BD1221">
        <v>0</v>
      </c>
      <c r="BE1221">
        <v>0</v>
      </c>
    </row>
    <row r="1222" spans="1:57" hidden="1" x14ac:dyDescent="0.45">
      <c r="A1222" t="s">
        <v>3097</v>
      </c>
      <c r="B1222" t="s">
        <v>79</v>
      </c>
      <c r="C1222" t="s">
        <v>3089</v>
      </c>
      <c r="D1222" t="s">
        <v>81</v>
      </c>
      <c r="E1222" s="2" t="str">
        <f>HYPERLINK("capsilon://?command=openfolder&amp;siteaddress=FAM.docvelocity-na8.net&amp;folderid=FXA5C2A6FC-A3DB-806F-9765-CC7A52F0B047","FX201115062")</f>
        <v>FX201115062</v>
      </c>
      <c r="F1222" t="s">
        <v>19</v>
      </c>
      <c r="G1222" t="s">
        <v>19</v>
      </c>
      <c r="H1222" t="s">
        <v>82</v>
      </c>
      <c r="I1222" t="s">
        <v>3098</v>
      </c>
      <c r="J1222">
        <v>74</v>
      </c>
      <c r="K1222" t="s">
        <v>84</v>
      </c>
      <c r="L1222" t="s">
        <v>85</v>
      </c>
      <c r="M1222" t="s">
        <v>86</v>
      </c>
      <c r="N1222">
        <v>1</v>
      </c>
      <c r="O1222" s="1">
        <v>44210.388749999998</v>
      </c>
      <c r="P1222" s="1">
        <v>44210.399409722224</v>
      </c>
      <c r="Q1222">
        <v>128</v>
      </c>
      <c r="R1222">
        <v>793</v>
      </c>
      <c r="S1222" t="b">
        <v>0</v>
      </c>
      <c r="T1222" t="s">
        <v>87</v>
      </c>
      <c r="U1222" t="b">
        <v>0</v>
      </c>
      <c r="V1222" t="s">
        <v>88</v>
      </c>
      <c r="W1222" s="1">
        <v>44210.399409722224</v>
      </c>
      <c r="X1222">
        <v>327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74</v>
      </c>
      <c r="AE1222">
        <v>70</v>
      </c>
      <c r="AF1222">
        <v>0</v>
      </c>
      <c r="AG1222">
        <v>3</v>
      </c>
      <c r="AH1222" t="s">
        <v>87</v>
      </c>
      <c r="AI1222" t="s">
        <v>87</v>
      </c>
      <c r="AJ1222" t="s">
        <v>87</v>
      </c>
      <c r="AK1222" t="s">
        <v>87</v>
      </c>
      <c r="AL1222" t="s">
        <v>87</v>
      </c>
      <c r="AM1222" t="s">
        <v>87</v>
      </c>
      <c r="AN1222" t="s">
        <v>87</v>
      </c>
      <c r="AO1222" t="s">
        <v>87</v>
      </c>
      <c r="AP1222" t="s">
        <v>87</v>
      </c>
      <c r="AQ1222" t="s">
        <v>87</v>
      </c>
      <c r="AR1222" t="s">
        <v>87</v>
      </c>
      <c r="AS1222" t="s">
        <v>87</v>
      </c>
      <c r="AT1222" t="s">
        <v>87</v>
      </c>
      <c r="AU1222" t="s">
        <v>87</v>
      </c>
      <c r="AV1222" t="s">
        <v>87</v>
      </c>
      <c r="AW1222" t="s">
        <v>87</v>
      </c>
      <c r="AX1222" t="s">
        <v>87</v>
      </c>
      <c r="AY1222" t="s">
        <v>87</v>
      </c>
      <c r="AZ1222" t="s">
        <v>87</v>
      </c>
      <c r="BA1222" t="s">
        <v>87</v>
      </c>
      <c r="BB1222" t="s">
        <v>87</v>
      </c>
      <c r="BC1222" t="s">
        <v>87</v>
      </c>
      <c r="BD1222" t="s">
        <v>87</v>
      </c>
      <c r="BE1222" t="s">
        <v>87</v>
      </c>
    </row>
    <row r="1223" spans="1:57" x14ac:dyDescent="0.45">
      <c r="A1223" t="s">
        <v>3099</v>
      </c>
      <c r="B1223" t="s">
        <v>79</v>
      </c>
      <c r="C1223" t="s">
        <v>1963</v>
      </c>
      <c r="D1223" t="s">
        <v>81</v>
      </c>
      <c r="E1223" s="2" t="str">
        <f>HYPERLINK("capsilon://?command=openfolder&amp;siteaddress=FAM.docvelocity-na8.net&amp;folderid=FXD77C11D4-F900-D068-55A9-59F0D3EE9E30","FX21014829")</f>
        <v>FX21014829</v>
      </c>
      <c r="F1223" t="s">
        <v>19</v>
      </c>
      <c r="G1223" t="s">
        <v>19</v>
      </c>
      <c r="H1223" t="s">
        <v>82</v>
      </c>
      <c r="I1223" t="s">
        <v>3100</v>
      </c>
      <c r="J1223">
        <v>66</v>
      </c>
      <c r="K1223" t="s">
        <v>84</v>
      </c>
      <c r="L1223" t="s">
        <v>85</v>
      </c>
      <c r="M1223" t="s">
        <v>86</v>
      </c>
      <c r="N1223">
        <v>3</v>
      </c>
      <c r="O1223" s="1">
        <v>44210.390057870369</v>
      </c>
      <c r="P1223" s="1">
        <v>44210.436550925922</v>
      </c>
      <c r="Q1223">
        <v>2435</v>
      </c>
      <c r="R1223">
        <v>1582</v>
      </c>
      <c r="S1223" t="b">
        <v>0</v>
      </c>
      <c r="T1223" t="s">
        <v>87</v>
      </c>
      <c r="U1223" t="b">
        <v>0</v>
      </c>
      <c r="V1223" t="s">
        <v>919</v>
      </c>
      <c r="W1223" s="1">
        <v>44210.402511574073</v>
      </c>
      <c r="X1223">
        <v>1075</v>
      </c>
      <c r="Y1223">
        <v>52</v>
      </c>
      <c r="Z1223">
        <v>0</v>
      </c>
      <c r="AA1223">
        <v>52</v>
      </c>
      <c r="AB1223">
        <v>0</v>
      </c>
      <c r="AC1223">
        <v>32</v>
      </c>
      <c r="AD1223">
        <v>14</v>
      </c>
      <c r="AE1223">
        <v>0</v>
      </c>
      <c r="AF1223">
        <v>0</v>
      </c>
      <c r="AG1223">
        <v>0</v>
      </c>
      <c r="AH1223" t="s">
        <v>108</v>
      </c>
      <c r="AI1223" s="1">
        <v>44210.408043981479</v>
      </c>
      <c r="AJ1223">
        <v>476</v>
      </c>
      <c r="AK1223">
        <v>5</v>
      </c>
      <c r="AL1223">
        <v>0</v>
      </c>
      <c r="AM1223">
        <v>5</v>
      </c>
      <c r="AN1223">
        <v>0</v>
      </c>
      <c r="AO1223">
        <v>3</v>
      </c>
      <c r="AP1223">
        <v>9</v>
      </c>
      <c r="AQ1223">
        <v>0</v>
      </c>
      <c r="AR1223">
        <v>0</v>
      </c>
      <c r="AS1223">
        <v>0</v>
      </c>
      <c r="AT1223" t="s">
        <v>90</v>
      </c>
      <c r="AU1223" s="1">
        <v>44210.436550925922</v>
      </c>
      <c r="AV1223">
        <v>31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9</v>
      </c>
      <c r="BC1223">
        <v>0</v>
      </c>
      <c r="BD1223">
        <v>0</v>
      </c>
      <c r="BE1223">
        <v>0</v>
      </c>
    </row>
    <row r="1224" spans="1:57" hidden="1" x14ac:dyDescent="0.45">
      <c r="A1224" t="s">
        <v>3101</v>
      </c>
      <c r="B1224" t="s">
        <v>79</v>
      </c>
      <c r="C1224" t="s">
        <v>3102</v>
      </c>
      <c r="D1224" t="s">
        <v>81</v>
      </c>
      <c r="E1224" s="2" t="str">
        <f>HYPERLINK("capsilon://?command=openfolder&amp;siteaddress=FAM.docvelocity-na8.net&amp;folderid=FX5B476B35-4DDB-C558-CAFC-3B0E57D82057","FX20124445")</f>
        <v>FX20124445</v>
      </c>
      <c r="F1224" t="s">
        <v>19</v>
      </c>
      <c r="G1224" t="s">
        <v>19</v>
      </c>
      <c r="H1224" t="s">
        <v>82</v>
      </c>
      <c r="I1224" t="s">
        <v>3103</v>
      </c>
      <c r="J1224">
        <v>72</v>
      </c>
      <c r="K1224" t="s">
        <v>84</v>
      </c>
      <c r="L1224" t="s">
        <v>85</v>
      </c>
      <c r="M1224" t="s">
        <v>86</v>
      </c>
      <c r="N1224">
        <v>1</v>
      </c>
      <c r="O1224" s="1">
        <v>44210.390532407408</v>
      </c>
      <c r="P1224" s="1">
        <v>44210.398854166669</v>
      </c>
      <c r="Q1224">
        <v>0</v>
      </c>
      <c r="R1224">
        <v>719</v>
      </c>
      <c r="S1224" t="b">
        <v>0</v>
      </c>
      <c r="T1224" t="s">
        <v>87</v>
      </c>
      <c r="U1224" t="b">
        <v>0</v>
      </c>
      <c r="V1224" t="s">
        <v>98</v>
      </c>
      <c r="W1224" s="1">
        <v>44210.398854166669</v>
      </c>
      <c r="X1224">
        <v>719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72</v>
      </c>
      <c r="AE1224">
        <v>68</v>
      </c>
      <c r="AF1224">
        <v>0</v>
      </c>
      <c r="AG1224">
        <v>2</v>
      </c>
      <c r="AH1224" t="s">
        <v>87</v>
      </c>
      <c r="AI1224" t="s">
        <v>87</v>
      </c>
      <c r="AJ1224" t="s">
        <v>87</v>
      </c>
      <c r="AK1224" t="s">
        <v>87</v>
      </c>
      <c r="AL1224" t="s">
        <v>87</v>
      </c>
      <c r="AM1224" t="s">
        <v>87</v>
      </c>
      <c r="AN1224" t="s">
        <v>87</v>
      </c>
      <c r="AO1224" t="s">
        <v>87</v>
      </c>
      <c r="AP1224" t="s">
        <v>87</v>
      </c>
      <c r="AQ1224" t="s">
        <v>87</v>
      </c>
      <c r="AR1224" t="s">
        <v>87</v>
      </c>
      <c r="AS1224" t="s">
        <v>87</v>
      </c>
      <c r="AT1224" t="s">
        <v>87</v>
      </c>
      <c r="AU1224" t="s">
        <v>87</v>
      </c>
      <c r="AV1224" t="s">
        <v>87</v>
      </c>
      <c r="AW1224" t="s">
        <v>87</v>
      </c>
      <c r="AX1224" t="s">
        <v>87</v>
      </c>
      <c r="AY1224" t="s">
        <v>87</v>
      </c>
      <c r="AZ1224" t="s">
        <v>87</v>
      </c>
      <c r="BA1224" t="s">
        <v>87</v>
      </c>
      <c r="BB1224" t="s">
        <v>87</v>
      </c>
      <c r="BC1224" t="s">
        <v>87</v>
      </c>
      <c r="BD1224" t="s">
        <v>87</v>
      </c>
      <c r="BE1224" t="s">
        <v>87</v>
      </c>
    </row>
    <row r="1225" spans="1:57" hidden="1" x14ac:dyDescent="0.45">
      <c r="A1225" t="s">
        <v>3104</v>
      </c>
      <c r="B1225" t="s">
        <v>79</v>
      </c>
      <c r="C1225" t="s">
        <v>3105</v>
      </c>
      <c r="D1225" t="s">
        <v>81</v>
      </c>
      <c r="E1225" s="2" t="str">
        <f>HYPERLINK("capsilon://?command=openfolder&amp;siteaddress=FAM.docvelocity-na8.net&amp;folderid=FX361E9405-A319-7C51-F5DF-15D470E69401","FX20124730")</f>
        <v>FX20124730</v>
      </c>
      <c r="F1225" t="s">
        <v>19</v>
      </c>
      <c r="G1225" t="s">
        <v>19</v>
      </c>
      <c r="H1225" t="s">
        <v>82</v>
      </c>
      <c r="I1225" t="s">
        <v>3106</v>
      </c>
      <c r="J1225">
        <v>38</v>
      </c>
      <c r="K1225" t="s">
        <v>84</v>
      </c>
      <c r="L1225" t="s">
        <v>85</v>
      </c>
      <c r="M1225" t="s">
        <v>86</v>
      </c>
      <c r="N1225">
        <v>3</v>
      </c>
      <c r="O1225" s="1">
        <v>44210.392650462964</v>
      </c>
      <c r="P1225" s="1">
        <v>44210.436585648145</v>
      </c>
      <c r="Q1225">
        <v>3326</v>
      </c>
      <c r="R1225">
        <v>470</v>
      </c>
      <c r="S1225" t="b">
        <v>0</v>
      </c>
      <c r="T1225" t="s">
        <v>87</v>
      </c>
      <c r="U1225" t="b">
        <v>0</v>
      </c>
      <c r="V1225" t="s">
        <v>112</v>
      </c>
      <c r="W1225" s="1">
        <v>44210.397210648145</v>
      </c>
      <c r="X1225">
        <v>309</v>
      </c>
      <c r="Y1225">
        <v>0</v>
      </c>
      <c r="Z1225">
        <v>0</v>
      </c>
      <c r="AA1225">
        <v>0</v>
      </c>
      <c r="AB1225">
        <v>37</v>
      </c>
      <c r="AC1225">
        <v>0</v>
      </c>
      <c r="AD1225">
        <v>38</v>
      </c>
      <c r="AE1225">
        <v>0</v>
      </c>
      <c r="AF1225">
        <v>0</v>
      </c>
      <c r="AG1225">
        <v>0</v>
      </c>
      <c r="AH1225" t="s">
        <v>108</v>
      </c>
      <c r="AI1225" s="1">
        <v>44210.40252314815</v>
      </c>
      <c r="AJ1225">
        <v>130</v>
      </c>
      <c r="AK1225">
        <v>0</v>
      </c>
      <c r="AL1225">
        <v>0</v>
      </c>
      <c r="AM1225">
        <v>0</v>
      </c>
      <c r="AN1225">
        <v>37</v>
      </c>
      <c r="AO1225">
        <v>0</v>
      </c>
      <c r="AP1225">
        <v>38</v>
      </c>
      <c r="AQ1225">
        <v>0</v>
      </c>
      <c r="AR1225">
        <v>0</v>
      </c>
      <c r="AS1225">
        <v>0</v>
      </c>
      <c r="AT1225" t="s">
        <v>90</v>
      </c>
      <c r="AU1225" s="1">
        <v>44210.436585648145</v>
      </c>
      <c r="AV1225">
        <v>3</v>
      </c>
      <c r="AW1225">
        <v>0</v>
      </c>
      <c r="AX1225">
        <v>0</v>
      </c>
      <c r="AY1225">
        <v>0</v>
      </c>
      <c r="AZ1225">
        <v>37</v>
      </c>
      <c r="BA1225">
        <v>0</v>
      </c>
      <c r="BB1225">
        <v>38</v>
      </c>
      <c r="BC1225">
        <v>0</v>
      </c>
      <c r="BD1225">
        <v>0</v>
      </c>
      <c r="BE1225">
        <v>0</v>
      </c>
    </row>
    <row r="1226" spans="1:57" x14ac:dyDescent="0.45">
      <c r="A1226" t="s">
        <v>3107</v>
      </c>
      <c r="B1226" t="s">
        <v>79</v>
      </c>
      <c r="C1226" t="s">
        <v>3089</v>
      </c>
      <c r="D1226" t="s">
        <v>81</v>
      </c>
      <c r="E1226" s="2" t="str">
        <f>HYPERLINK("capsilon://?command=openfolder&amp;siteaddress=FAM.docvelocity-na8.net&amp;folderid=FXA5C2A6FC-A3DB-806F-9765-CC7A52F0B047","FX201115062")</f>
        <v>FX201115062</v>
      </c>
      <c r="F1226" t="s">
        <v>19</v>
      </c>
      <c r="G1226" t="s">
        <v>19</v>
      </c>
      <c r="H1226" t="s">
        <v>82</v>
      </c>
      <c r="I1226" t="s">
        <v>3090</v>
      </c>
      <c r="J1226">
        <v>140</v>
      </c>
      <c r="K1226" t="s">
        <v>84</v>
      </c>
      <c r="L1226" t="s">
        <v>85</v>
      </c>
      <c r="M1226" t="s">
        <v>86</v>
      </c>
      <c r="N1226">
        <v>3</v>
      </c>
      <c r="O1226" s="1">
        <v>44210.394189814811</v>
      </c>
      <c r="P1226" s="1">
        <v>44210.445659722223</v>
      </c>
      <c r="Q1226">
        <v>1782</v>
      </c>
      <c r="R1226">
        <v>2665</v>
      </c>
      <c r="S1226" t="b">
        <v>0</v>
      </c>
      <c r="T1226" t="s">
        <v>87</v>
      </c>
      <c r="U1226" t="b">
        <v>1</v>
      </c>
      <c r="V1226" t="s">
        <v>419</v>
      </c>
      <c r="W1226" s="1">
        <v>44210.420949074076</v>
      </c>
      <c r="X1226">
        <v>2309</v>
      </c>
      <c r="Y1226">
        <v>108</v>
      </c>
      <c r="Z1226">
        <v>0</v>
      </c>
      <c r="AA1226">
        <v>108</v>
      </c>
      <c r="AB1226">
        <v>0</v>
      </c>
      <c r="AC1226">
        <v>76</v>
      </c>
      <c r="AD1226">
        <v>32</v>
      </c>
      <c r="AE1226">
        <v>0</v>
      </c>
      <c r="AF1226">
        <v>0</v>
      </c>
      <c r="AG1226">
        <v>0</v>
      </c>
      <c r="AH1226" t="s">
        <v>94</v>
      </c>
      <c r="AI1226" s="1">
        <v>44210.440509259257</v>
      </c>
      <c r="AJ1226">
        <v>308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32</v>
      </c>
      <c r="AQ1226">
        <v>0</v>
      </c>
      <c r="AR1226">
        <v>0</v>
      </c>
      <c r="AS1226">
        <v>0</v>
      </c>
      <c r="AT1226" t="s">
        <v>90</v>
      </c>
      <c r="AU1226" s="1">
        <v>44210.445659722223</v>
      </c>
      <c r="AV1226">
        <v>20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32</v>
      </c>
      <c r="BC1226">
        <v>0</v>
      </c>
      <c r="BD1226">
        <v>0</v>
      </c>
      <c r="BE1226">
        <v>0</v>
      </c>
    </row>
    <row r="1227" spans="1:57" x14ac:dyDescent="0.45">
      <c r="A1227" t="s">
        <v>3108</v>
      </c>
      <c r="B1227" t="s">
        <v>79</v>
      </c>
      <c r="C1227" t="s">
        <v>3102</v>
      </c>
      <c r="D1227" t="s">
        <v>81</v>
      </c>
      <c r="E1227" s="2" t="str">
        <f>HYPERLINK("capsilon://?command=openfolder&amp;siteaddress=FAM.docvelocity-na8.net&amp;folderid=FX5B476B35-4DDB-C558-CAFC-3B0E57D82057","FX20124445")</f>
        <v>FX20124445</v>
      </c>
      <c r="F1227" t="s">
        <v>19</v>
      </c>
      <c r="G1227" t="s">
        <v>19</v>
      </c>
      <c r="H1227" t="s">
        <v>82</v>
      </c>
      <c r="I1227" t="s">
        <v>3109</v>
      </c>
      <c r="J1227">
        <v>67</v>
      </c>
      <c r="K1227" t="s">
        <v>84</v>
      </c>
      <c r="L1227" t="s">
        <v>85</v>
      </c>
      <c r="M1227" t="s">
        <v>86</v>
      </c>
      <c r="N1227">
        <v>3</v>
      </c>
      <c r="O1227" s="1">
        <v>44210.394305555557</v>
      </c>
      <c r="P1227" s="1">
        <v>44210.437847222223</v>
      </c>
      <c r="Q1227">
        <v>2370</v>
      </c>
      <c r="R1227">
        <v>1392</v>
      </c>
      <c r="S1227" t="b">
        <v>0</v>
      </c>
      <c r="T1227" t="s">
        <v>87</v>
      </c>
      <c r="U1227" t="b">
        <v>0</v>
      </c>
      <c r="V1227" t="s">
        <v>105</v>
      </c>
      <c r="W1227" s="1">
        <v>44210.401053240741</v>
      </c>
      <c r="X1227">
        <v>569</v>
      </c>
      <c r="Y1227">
        <v>63</v>
      </c>
      <c r="Z1227">
        <v>0</v>
      </c>
      <c r="AA1227">
        <v>63</v>
      </c>
      <c r="AB1227">
        <v>0</v>
      </c>
      <c r="AC1227">
        <v>30</v>
      </c>
      <c r="AD1227">
        <v>4</v>
      </c>
      <c r="AE1227">
        <v>0</v>
      </c>
      <c r="AF1227">
        <v>0</v>
      </c>
      <c r="AG1227">
        <v>0</v>
      </c>
      <c r="AH1227" t="s">
        <v>89</v>
      </c>
      <c r="AI1227" s="1">
        <v>44210.419004629628</v>
      </c>
      <c r="AJ1227">
        <v>660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4</v>
      </c>
      <c r="AQ1227">
        <v>0</v>
      </c>
      <c r="AR1227">
        <v>0</v>
      </c>
      <c r="AS1227">
        <v>0</v>
      </c>
      <c r="AT1227" t="s">
        <v>90</v>
      </c>
      <c r="AU1227" s="1">
        <v>44210.437847222223</v>
      </c>
      <c r="AV1227">
        <v>108</v>
      </c>
      <c r="AW1227">
        <v>1</v>
      </c>
      <c r="AX1227">
        <v>0</v>
      </c>
      <c r="AY1227">
        <v>1</v>
      </c>
      <c r="AZ1227">
        <v>0</v>
      </c>
      <c r="BA1227">
        <v>1</v>
      </c>
      <c r="BB1227">
        <v>3</v>
      </c>
      <c r="BC1227">
        <v>0</v>
      </c>
      <c r="BD1227">
        <v>0</v>
      </c>
      <c r="BE1227">
        <v>0</v>
      </c>
    </row>
    <row r="1228" spans="1:57" hidden="1" x14ac:dyDescent="0.45">
      <c r="A1228" t="s">
        <v>3110</v>
      </c>
      <c r="B1228" t="s">
        <v>79</v>
      </c>
      <c r="C1228" t="s">
        <v>1963</v>
      </c>
      <c r="D1228" t="s">
        <v>81</v>
      </c>
      <c r="E1228" s="2" t="str">
        <f>HYPERLINK("capsilon://?command=openfolder&amp;siteaddress=FAM.docvelocity-na8.net&amp;folderid=FXD77C11D4-F900-D068-55A9-59F0D3EE9E30","FX21014829")</f>
        <v>FX21014829</v>
      </c>
      <c r="F1228" t="s">
        <v>19</v>
      </c>
      <c r="G1228" t="s">
        <v>19</v>
      </c>
      <c r="H1228" t="s">
        <v>82</v>
      </c>
      <c r="I1228" t="s">
        <v>3111</v>
      </c>
      <c r="J1228">
        <v>38</v>
      </c>
      <c r="K1228" t="s">
        <v>84</v>
      </c>
      <c r="L1228" t="s">
        <v>85</v>
      </c>
      <c r="M1228" t="s">
        <v>86</v>
      </c>
      <c r="N1228">
        <v>1</v>
      </c>
      <c r="O1228" s="1">
        <v>44210.394699074073</v>
      </c>
      <c r="P1228" s="1">
        <v>44210.398958333331</v>
      </c>
      <c r="Q1228">
        <v>218</v>
      </c>
      <c r="R1228">
        <v>150</v>
      </c>
      <c r="S1228" t="b">
        <v>0</v>
      </c>
      <c r="T1228" t="s">
        <v>87</v>
      </c>
      <c r="U1228" t="b">
        <v>0</v>
      </c>
      <c r="V1228" t="s">
        <v>112</v>
      </c>
      <c r="W1228" s="1">
        <v>44210.398958333331</v>
      </c>
      <c r="X1228">
        <v>150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38</v>
      </c>
      <c r="AE1228">
        <v>37</v>
      </c>
      <c r="AF1228">
        <v>0</v>
      </c>
      <c r="AG1228">
        <v>1</v>
      </c>
      <c r="AH1228" t="s">
        <v>87</v>
      </c>
      <c r="AI1228" t="s">
        <v>87</v>
      </c>
      <c r="AJ1228" t="s">
        <v>87</v>
      </c>
      <c r="AK1228" t="s">
        <v>87</v>
      </c>
      <c r="AL1228" t="s">
        <v>87</v>
      </c>
      <c r="AM1228" t="s">
        <v>87</v>
      </c>
      <c r="AN1228" t="s">
        <v>87</v>
      </c>
      <c r="AO1228" t="s">
        <v>87</v>
      </c>
      <c r="AP1228" t="s">
        <v>87</v>
      </c>
      <c r="AQ1228" t="s">
        <v>87</v>
      </c>
      <c r="AR1228" t="s">
        <v>87</v>
      </c>
      <c r="AS1228" t="s">
        <v>87</v>
      </c>
      <c r="AT1228" t="s">
        <v>87</v>
      </c>
      <c r="AU1228" t="s">
        <v>87</v>
      </c>
      <c r="AV1228" t="s">
        <v>87</v>
      </c>
      <c r="AW1228" t="s">
        <v>87</v>
      </c>
      <c r="AX1228" t="s">
        <v>87</v>
      </c>
      <c r="AY1228" t="s">
        <v>87</v>
      </c>
      <c r="AZ1228" t="s">
        <v>87</v>
      </c>
      <c r="BA1228" t="s">
        <v>87</v>
      </c>
      <c r="BB1228" t="s">
        <v>87</v>
      </c>
      <c r="BC1228" t="s">
        <v>87</v>
      </c>
      <c r="BD1228" t="s">
        <v>87</v>
      </c>
      <c r="BE1228" t="s">
        <v>87</v>
      </c>
    </row>
    <row r="1229" spans="1:57" x14ac:dyDescent="0.45">
      <c r="A1229" t="s">
        <v>3112</v>
      </c>
      <c r="B1229" t="s">
        <v>79</v>
      </c>
      <c r="C1229" t="s">
        <v>3113</v>
      </c>
      <c r="D1229" t="s">
        <v>81</v>
      </c>
      <c r="E1229" s="2" t="str">
        <f>HYPERLINK("capsilon://?command=openfolder&amp;siteaddress=FAM.docvelocity-na8.net&amp;folderid=FX5E40E3A8-0C24-418B-1741-FADB178B6E25","FX21016183")</f>
        <v>FX21016183</v>
      </c>
      <c r="F1229" t="s">
        <v>19</v>
      </c>
      <c r="G1229" t="s">
        <v>19</v>
      </c>
      <c r="H1229" t="s">
        <v>82</v>
      </c>
      <c r="I1229" t="s">
        <v>3114</v>
      </c>
      <c r="J1229">
        <v>205</v>
      </c>
      <c r="K1229" t="s">
        <v>84</v>
      </c>
      <c r="L1229" t="s">
        <v>85</v>
      </c>
      <c r="M1229" t="s">
        <v>86</v>
      </c>
      <c r="N1229">
        <v>3</v>
      </c>
      <c r="O1229" s="1">
        <v>44210.395289351851</v>
      </c>
      <c r="P1229" s="1">
        <v>44210.514733796299</v>
      </c>
      <c r="Q1229">
        <v>1916</v>
      </c>
      <c r="R1229">
        <v>8404</v>
      </c>
      <c r="S1229" t="b">
        <v>0</v>
      </c>
      <c r="T1229" t="s">
        <v>87</v>
      </c>
      <c r="U1229" t="b">
        <v>0</v>
      </c>
      <c r="V1229" t="s">
        <v>98</v>
      </c>
      <c r="W1229" s="1">
        <v>44210.4140162037</v>
      </c>
      <c r="X1229">
        <v>1309</v>
      </c>
      <c r="Y1229">
        <v>156</v>
      </c>
      <c r="Z1229">
        <v>0</v>
      </c>
      <c r="AA1229">
        <v>156</v>
      </c>
      <c r="AB1229">
        <v>0</v>
      </c>
      <c r="AC1229">
        <v>41</v>
      </c>
      <c r="AD1229">
        <v>49</v>
      </c>
      <c r="AE1229">
        <v>0</v>
      </c>
      <c r="AF1229">
        <v>0</v>
      </c>
      <c r="AG1229">
        <v>0</v>
      </c>
      <c r="AH1229" t="s">
        <v>89</v>
      </c>
      <c r="AI1229" s="1">
        <v>44210.512974537036</v>
      </c>
      <c r="AJ1229">
        <v>3538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49</v>
      </c>
      <c r="AQ1229">
        <v>0</v>
      </c>
      <c r="AR1229">
        <v>0</v>
      </c>
      <c r="AS1229">
        <v>0</v>
      </c>
      <c r="AT1229" t="s">
        <v>90</v>
      </c>
      <c r="AU1229" s="1">
        <v>44210.514733796299</v>
      </c>
      <c r="AV1229">
        <v>27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49</v>
      </c>
      <c r="BC1229">
        <v>0</v>
      </c>
      <c r="BD1229">
        <v>0</v>
      </c>
      <c r="BE1229">
        <v>0</v>
      </c>
    </row>
    <row r="1230" spans="1:57" hidden="1" x14ac:dyDescent="0.45">
      <c r="A1230" t="s">
        <v>3115</v>
      </c>
      <c r="B1230" t="s">
        <v>79</v>
      </c>
      <c r="C1230" t="s">
        <v>3105</v>
      </c>
      <c r="D1230" t="s">
        <v>81</v>
      </c>
      <c r="E1230" s="2" t="str">
        <f>HYPERLINK("capsilon://?command=openfolder&amp;siteaddress=FAM.docvelocity-na8.net&amp;folderid=FX361E9405-A319-7C51-F5DF-15D470E69401","FX20124730")</f>
        <v>FX20124730</v>
      </c>
      <c r="F1230" t="s">
        <v>19</v>
      </c>
      <c r="G1230" t="s">
        <v>19</v>
      </c>
      <c r="H1230" t="s">
        <v>82</v>
      </c>
      <c r="I1230" t="s">
        <v>3116</v>
      </c>
      <c r="J1230">
        <v>66</v>
      </c>
      <c r="K1230" t="s">
        <v>84</v>
      </c>
      <c r="L1230" t="s">
        <v>85</v>
      </c>
      <c r="M1230" t="s">
        <v>86</v>
      </c>
      <c r="N1230">
        <v>3</v>
      </c>
      <c r="O1230" s="1">
        <v>44210.398310185185</v>
      </c>
      <c r="P1230" s="1">
        <v>44210.437893518516</v>
      </c>
      <c r="Q1230">
        <v>3250</v>
      </c>
      <c r="R1230">
        <v>170</v>
      </c>
      <c r="S1230" t="b">
        <v>0</v>
      </c>
      <c r="T1230" t="s">
        <v>87</v>
      </c>
      <c r="U1230" t="b">
        <v>0</v>
      </c>
      <c r="V1230" t="s">
        <v>112</v>
      </c>
      <c r="W1230" s="1">
        <v>44210.400092592594</v>
      </c>
      <c r="X1230">
        <v>97</v>
      </c>
      <c r="Y1230">
        <v>0</v>
      </c>
      <c r="Z1230">
        <v>0</v>
      </c>
      <c r="AA1230">
        <v>0</v>
      </c>
      <c r="AB1230">
        <v>52</v>
      </c>
      <c r="AC1230">
        <v>0</v>
      </c>
      <c r="AD1230">
        <v>66</v>
      </c>
      <c r="AE1230">
        <v>0</v>
      </c>
      <c r="AF1230">
        <v>0</v>
      </c>
      <c r="AG1230">
        <v>0</v>
      </c>
      <c r="AH1230" t="s">
        <v>108</v>
      </c>
      <c r="AI1230" s="1">
        <v>44210.41265046296</v>
      </c>
      <c r="AJ1230">
        <v>70</v>
      </c>
      <c r="AK1230">
        <v>0</v>
      </c>
      <c r="AL1230">
        <v>0</v>
      </c>
      <c r="AM1230">
        <v>0</v>
      </c>
      <c r="AN1230">
        <v>52</v>
      </c>
      <c r="AO1230">
        <v>0</v>
      </c>
      <c r="AP1230">
        <v>66</v>
      </c>
      <c r="AQ1230">
        <v>0</v>
      </c>
      <c r="AR1230">
        <v>0</v>
      </c>
      <c r="AS1230">
        <v>0</v>
      </c>
      <c r="AT1230" t="s">
        <v>90</v>
      </c>
      <c r="AU1230" s="1">
        <v>44210.437893518516</v>
      </c>
      <c r="AV1230">
        <v>3</v>
      </c>
      <c r="AW1230">
        <v>0</v>
      </c>
      <c r="AX1230">
        <v>0</v>
      </c>
      <c r="AY1230">
        <v>0</v>
      </c>
      <c r="AZ1230">
        <v>52</v>
      </c>
      <c r="BA1230">
        <v>0</v>
      </c>
      <c r="BB1230">
        <v>66</v>
      </c>
      <c r="BC1230">
        <v>0</v>
      </c>
      <c r="BD1230">
        <v>0</v>
      </c>
      <c r="BE1230">
        <v>0</v>
      </c>
    </row>
    <row r="1231" spans="1:57" x14ac:dyDescent="0.45">
      <c r="A1231" t="s">
        <v>3117</v>
      </c>
      <c r="B1231" t="s">
        <v>79</v>
      </c>
      <c r="C1231" t="s">
        <v>1963</v>
      </c>
      <c r="D1231" t="s">
        <v>81</v>
      </c>
      <c r="E1231" s="2" t="str">
        <f>HYPERLINK("capsilon://?command=openfolder&amp;siteaddress=FAM.docvelocity-na8.net&amp;folderid=FXD77C11D4-F900-D068-55A9-59F0D3EE9E30","FX21014829")</f>
        <v>FX21014829</v>
      </c>
      <c r="F1231" t="s">
        <v>19</v>
      </c>
      <c r="G1231" t="s">
        <v>19</v>
      </c>
      <c r="H1231" t="s">
        <v>82</v>
      </c>
      <c r="I1231" t="s">
        <v>3111</v>
      </c>
      <c r="J1231">
        <v>66</v>
      </c>
      <c r="K1231" t="s">
        <v>84</v>
      </c>
      <c r="L1231" t="s">
        <v>85</v>
      </c>
      <c r="M1231" t="s">
        <v>86</v>
      </c>
      <c r="N1231">
        <v>3</v>
      </c>
      <c r="O1231" s="1">
        <v>44210.399270833332</v>
      </c>
      <c r="P1231" s="1">
        <v>44210.43445601852</v>
      </c>
      <c r="Q1231">
        <v>1577</v>
      </c>
      <c r="R1231">
        <v>1463</v>
      </c>
      <c r="S1231" t="b">
        <v>0</v>
      </c>
      <c r="T1231" t="s">
        <v>87</v>
      </c>
      <c r="U1231" t="b">
        <v>1</v>
      </c>
      <c r="V1231" t="s">
        <v>88</v>
      </c>
      <c r="W1231" s="1">
        <v>44210.414236111108</v>
      </c>
      <c r="X1231">
        <v>1280</v>
      </c>
      <c r="Y1231">
        <v>52</v>
      </c>
      <c r="Z1231">
        <v>0</v>
      </c>
      <c r="AA1231">
        <v>52</v>
      </c>
      <c r="AB1231">
        <v>0</v>
      </c>
      <c r="AC1231">
        <v>35</v>
      </c>
      <c r="AD1231">
        <v>14</v>
      </c>
      <c r="AE1231">
        <v>0</v>
      </c>
      <c r="AF1231">
        <v>0</v>
      </c>
      <c r="AG1231">
        <v>0</v>
      </c>
      <c r="AH1231" t="s">
        <v>108</v>
      </c>
      <c r="AI1231" s="1">
        <v>44210.418182870373</v>
      </c>
      <c r="AJ1231">
        <v>145</v>
      </c>
      <c r="AK1231">
        <v>2</v>
      </c>
      <c r="AL1231">
        <v>0</v>
      </c>
      <c r="AM1231">
        <v>2</v>
      </c>
      <c r="AN1231">
        <v>0</v>
      </c>
      <c r="AO1231">
        <v>0</v>
      </c>
      <c r="AP1231">
        <v>12</v>
      </c>
      <c r="AQ1231">
        <v>0</v>
      </c>
      <c r="AR1231">
        <v>0</v>
      </c>
      <c r="AS1231">
        <v>0</v>
      </c>
      <c r="AT1231" t="s">
        <v>90</v>
      </c>
      <c r="AU1231" s="1">
        <v>44210.43445601852</v>
      </c>
      <c r="AV1231">
        <v>38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12</v>
      </c>
      <c r="BC1231">
        <v>0</v>
      </c>
      <c r="BD1231">
        <v>0</v>
      </c>
      <c r="BE1231">
        <v>0</v>
      </c>
    </row>
    <row r="1232" spans="1:57" x14ac:dyDescent="0.45">
      <c r="A1232" t="s">
        <v>3118</v>
      </c>
      <c r="B1232" t="s">
        <v>79</v>
      </c>
      <c r="C1232" t="s">
        <v>2609</v>
      </c>
      <c r="D1232" t="s">
        <v>81</v>
      </c>
      <c r="E1232" s="2" t="str">
        <f>HYPERLINK("capsilon://?command=openfolder&amp;siteaddress=FAM.docvelocity-na8.net&amp;folderid=FXABDA66B4-0946-205F-5422-CC6B8210A717","FX2101547")</f>
        <v>FX2101547</v>
      </c>
      <c r="F1232" t="s">
        <v>19</v>
      </c>
      <c r="G1232" t="s">
        <v>19</v>
      </c>
      <c r="H1232" t="s">
        <v>82</v>
      </c>
      <c r="I1232" t="s">
        <v>3119</v>
      </c>
      <c r="J1232">
        <v>66</v>
      </c>
      <c r="K1232" t="s">
        <v>84</v>
      </c>
      <c r="L1232" t="s">
        <v>85</v>
      </c>
      <c r="M1232" t="s">
        <v>86</v>
      </c>
      <c r="N1232">
        <v>3</v>
      </c>
      <c r="O1232" s="1">
        <v>44210.399560185186</v>
      </c>
      <c r="P1232" s="1">
        <v>44210.445775462962</v>
      </c>
      <c r="Q1232">
        <v>793</v>
      </c>
      <c r="R1232">
        <v>3200</v>
      </c>
      <c r="S1232" t="b">
        <v>0</v>
      </c>
      <c r="T1232" t="s">
        <v>87</v>
      </c>
      <c r="U1232" t="b">
        <v>0</v>
      </c>
      <c r="V1232" t="s">
        <v>105</v>
      </c>
      <c r="W1232" s="1">
        <v>44210.413946759261</v>
      </c>
      <c r="X1232">
        <v>1113</v>
      </c>
      <c r="Y1232">
        <v>52</v>
      </c>
      <c r="Z1232">
        <v>0</v>
      </c>
      <c r="AA1232">
        <v>52</v>
      </c>
      <c r="AB1232">
        <v>0</v>
      </c>
      <c r="AC1232">
        <v>32</v>
      </c>
      <c r="AD1232">
        <v>14</v>
      </c>
      <c r="AE1232">
        <v>0</v>
      </c>
      <c r="AF1232">
        <v>0</v>
      </c>
      <c r="AG1232">
        <v>0</v>
      </c>
      <c r="AH1232" t="s">
        <v>89</v>
      </c>
      <c r="AI1232" s="1">
        <v>44210.443148148152</v>
      </c>
      <c r="AJ1232">
        <v>1965</v>
      </c>
      <c r="AK1232">
        <v>7</v>
      </c>
      <c r="AL1232">
        <v>0</v>
      </c>
      <c r="AM1232">
        <v>7</v>
      </c>
      <c r="AN1232">
        <v>0</v>
      </c>
      <c r="AO1232">
        <v>6</v>
      </c>
      <c r="AP1232">
        <v>7</v>
      </c>
      <c r="AQ1232">
        <v>0</v>
      </c>
      <c r="AR1232">
        <v>0</v>
      </c>
      <c r="AS1232">
        <v>0</v>
      </c>
      <c r="AT1232" t="s">
        <v>90</v>
      </c>
      <c r="AU1232" s="1">
        <v>44210.445775462962</v>
      </c>
      <c r="AV1232">
        <v>10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7</v>
      </c>
      <c r="BC1232">
        <v>0</v>
      </c>
      <c r="BD1232">
        <v>0</v>
      </c>
      <c r="BE1232">
        <v>0</v>
      </c>
    </row>
    <row r="1233" spans="1:57" x14ac:dyDescent="0.45">
      <c r="A1233" t="s">
        <v>3120</v>
      </c>
      <c r="B1233" t="s">
        <v>79</v>
      </c>
      <c r="C1233" t="s">
        <v>3102</v>
      </c>
      <c r="D1233" t="s">
        <v>81</v>
      </c>
      <c r="E1233" s="2" t="str">
        <f>HYPERLINK("capsilon://?command=openfolder&amp;siteaddress=FAM.docvelocity-na8.net&amp;folderid=FX5B476B35-4DDB-C558-CAFC-3B0E57D82057","FX20124445")</f>
        <v>FX20124445</v>
      </c>
      <c r="F1233" t="s">
        <v>19</v>
      </c>
      <c r="G1233" t="s">
        <v>19</v>
      </c>
      <c r="H1233" t="s">
        <v>82</v>
      </c>
      <c r="I1233" t="s">
        <v>3103</v>
      </c>
      <c r="J1233">
        <v>127</v>
      </c>
      <c r="K1233" t="s">
        <v>84</v>
      </c>
      <c r="L1233" t="s">
        <v>85</v>
      </c>
      <c r="M1233" t="s">
        <v>86</v>
      </c>
      <c r="N1233">
        <v>3</v>
      </c>
      <c r="O1233" s="1">
        <v>44210.400081018517</v>
      </c>
      <c r="P1233" s="1">
        <v>44210.475219907406</v>
      </c>
      <c r="Q1233">
        <v>2196</v>
      </c>
      <c r="R1233">
        <v>4296</v>
      </c>
      <c r="S1233" t="b">
        <v>0</v>
      </c>
      <c r="T1233" t="s">
        <v>87</v>
      </c>
      <c r="U1233" t="b">
        <v>1</v>
      </c>
      <c r="V1233" t="s">
        <v>112</v>
      </c>
      <c r="W1233" s="1">
        <v>44210.4215625</v>
      </c>
      <c r="X1233">
        <v>1854</v>
      </c>
      <c r="Y1233">
        <v>110</v>
      </c>
      <c r="Z1233">
        <v>0</v>
      </c>
      <c r="AA1233">
        <v>110</v>
      </c>
      <c r="AB1233">
        <v>0</v>
      </c>
      <c r="AC1233">
        <v>43</v>
      </c>
      <c r="AD1233">
        <v>17</v>
      </c>
      <c r="AE1233">
        <v>0</v>
      </c>
      <c r="AF1233">
        <v>0</v>
      </c>
      <c r="AG1233">
        <v>0</v>
      </c>
      <c r="AH1233" t="s">
        <v>89</v>
      </c>
      <c r="AI1233" s="1">
        <v>44210.472013888888</v>
      </c>
      <c r="AJ1233">
        <v>843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17</v>
      </c>
      <c r="AQ1233">
        <v>0</v>
      </c>
      <c r="AR1233">
        <v>0</v>
      </c>
      <c r="AS1233">
        <v>0</v>
      </c>
      <c r="AT1233" t="s">
        <v>90</v>
      </c>
      <c r="AU1233" s="1">
        <v>44210.475219907406</v>
      </c>
      <c r="AV1233">
        <v>46</v>
      </c>
      <c r="AW1233">
        <v>2</v>
      </c>
      <c r="AX1233">
        <v>0</v>
      </c>
      <c r="AY1233">
        <v>2</v>
      </c>
      <c r="AZ1233">
        <v>0</v>
      </c>
      <c r="BA1233">
        <v>2</v>
      </c>
      <c r="BB1233">
        <v>15</v>
      </c>
      <c r="BC1233">
        <v>0</v>
      </c>
      <c r="BD1233">
        <v>0</v>
      </c>
      <c r="BE1233">
        <v>0</v>
      </c>
    </row>
    <row r="1234" spans="1:57" x14ac:dyDescent="0.45">
      <c r="A1234" t="s">
        <v>3121</v>
      </c>
      <c r="B1234" t="s">
        <v>79</v>
      </c>
      <c r="C1234" t="s">
        <v>2800</v>
      </c>
      <c r="D1234" t="s">
        <v>81</v>
      </c>
      <c r="E1234" s="2" t="str">
        <f>HYPERLINK("capsilon://?command=openfolder&amp;siteaddress=FAM.docvelocity-na8.net&amp;folderid=FXE4708F6F-2EC4-AC47-3475-FE458A762C62","FX201018495")</f>
        <v>FX201018495</v>
      </c>
      <c r="F1234" t="s">
        <v>19</v>
      </c>
      <c r="G1234" t="s">
        <v>19</v>
      </c>
      <c r="H1234" t="s">
        <v>82</v>
      </c>
      <c r="I1234" t="s">
        <v>3122</v>
      </c>
      <c r="J1234">
        <v>38</v>
      </c>
      <c r="K1234" t="s">
        <v>84</v>
      </c>
      <c r="L1234" t="s">
        <v>85</v>
      </c>
      <c r="M1234" t="s">
        <v>86</v>
      </c>
      <c r="N1234">
        <v>3</v>
      </c>
      <c r="O1234" s="1">
        <v>44210.400810185187</v>
      </c>
      <c r="P1234" s="1">
        <v>44210.476087962961</v>
      </c>
      <c r="Q1234">
        <v>5574</v>
      </c>
      <c r="R1234">
        <v>930</v>
      </c>
      <c r="S1234" t="b">
        <v>0</v>
      </c>
      <c r="T1234" t="s">
        <v>87</v>
      </c>
      <c r="U1234" t="b">
        <v>0</v>
      </c>
      <c r="V1234" t="s">
        <v>105</v>
      </c>
      <c r="W1234" s="1">
        <v>44210.420138888891</v>
      </c>
      <c r="X1234">
        <v>534</v>
      </c>
      <c r="Y1234">
        <v>37</v>
      </c>
      <c r="Z1234">
        <v>0</v>
      </c>
      <c r="AA1234">
        <v>37</v>
      </c>
      <c r="AB1234">
        <v>0</v>
      </c>
      <c r="AC1234">
        <v>36</v>
      </c>
      <c r="AD1234">
        <v>1</v>
      </c>
      <c r="AE1234">
        <v>0</v>
      </c>
      <c r="AF1234">
        <v>0</v>
      </c>
      <c r="AG1234">
        <v>0</v>
      </c>
      <c r="AH1234" t="s">
        <v>108</v>
      </c>
      <c r="AI1234" s="1">
        <v>44210.462581018517</v>
      </c>
      <c r="AJ1234">
        <v>391</v>
      </c>
      <c r="AK1234">
        <v>3</v>
      </c>
      <c r="AL1234">
        <v>0</v>
      </c>
      <c r="AM1234">
        <v>3</v>
      </c>
      <c r="AN1234">
        <v>0</v>
      </c>
      <c r="AO1234">
        <v>1</v>
      </c>
      <c r="AP1234">
        <v>-2</v>
      </c>
      <c r="AQ1234">
        <v>0</v>
      </c>
      <c r="AR1234">
        <v>0</v>
      </c>
      <c r="AS1234">
        <v>0</v>
      </c>
      <c r="AT1234" t="s">
        <v>90</v>
      </c>
      <c r="AU1234" s="1">
        <v>44210.476087962961</v>
      </c>
      <c r="AV1234">
        <v>5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-2</v>
      </c>
      <c r="BC1234">
        <v>0</v>
      </c>
      <c r="BD1234">
        <v>0</v>
      </c>
      <c r="BE1234">
        <v>0</v>
      </c>
    </row>
    <row r="1235" spans="1:57" x14ac:dyDescent="0.45">
      <c r="A1235" t="s">
        <v>3123</v>
      </c>
      <c r="B1235" t="s">
        <v>79</v>
      </c>
      <c r="C1235" t="s">
        <v>3089</v>
      </c>
      <c r="D1235" t="s">
        <v>81</v>
      </c>
      <c r="E1235" s="2" t="str">
        <f>HYPERLINK("capsilon://?command=openfolder&amp;siteaddress=FAM.docvelocity-na8.net&amp;folderid=FXA5C2A6FC-A3DB-806F-9765-CC7A52F0B047","FX201115062")</f>
        <v>FX201115062</v>
      </c>
      <c r="F1235" t="s">
        <v>19</v>
      </c>
      <c r="G1235" t="s">
        <v>19</v>
      </c>
      <c r="H1235" t="s">
        <v>82</v>
      </c>
      <c r="I1235" t="s">
        <v>3098</v>
      </c>
      <c r="J1235">
        <v>222</v>
      </c>
      <c r="K1235" t="s">
        <v>84</v>
      </c>
      <c r="L1235" t="s">
        <v>85</v>
      </c>
      <c r="M1235" t="s">
        <v>86</v>
      </c>
      <c r="N1235">
        <v>3</v>
      </c>
      <c r="O1235" s="1">
        <v>44210.402256944442</v>
      </c>
      <c r="P1235" s="1">
        <v>44210.475474537037</v>
      </c>
      <c r="Q1235">
        <v>1795</v>
      </c>
      <c r="R1235">
        <v>4531</v>
      </c>
      <c r="S1235" t="b">
        <v>0</v>
      </c>
      <c r="T1235" t="s">
        <v>87</v>
      </c>
      <c r="U1235" t="b">
        <v>1</v>
      </c>
      <c r="V1235" t="s">
        <v>919</v>
      </c>
      <c r="W1235" s="1">
        <v>44210.449826388889</v>
      </c>
      <c r="X1235">
        <v>4087</v>
      </c>
      <c r="Y1235">
        <v>148</v>
      </c>
      <c r="Z1235">
        <v>0</v>
      </c>
      <c r="AA1235">
        <v>148</v>
      </c>
      <c r="AB1235">
        <v>70</v>
      </c>
      <c r="AC1235">
        <v>72</v>
      </c>
      <c r="AD1235">
        <v>74</v>
      </c>
      <c r="AE1235">
        <v>0</v>
      </c>
      <c r="AF1235">
        <v>0</v>
      </c>
      <c r="AG1235">
        <v>0</v>
      </c>
      <c r="AH1235" t="s">
        <v>108</v>
      </c>
      <c r="AI1235" s="1">
        <v>44210.458055555559</v>
      </c>
      <c r="AJ1235">
        <v>423</v>
      </c>
      <c r="AK1235">
        <v>2</v>
      </c>
      <c r="AL1235">
        <v>0</v>
      </c>
      <c r="AM1235">
        <v>2</v>
      </c>
      <c r="AN1235">
        <v>70</v>
      </c>
      <c r="AO1235">
        <v>0</v>
      </c>
      <c r="AP1235">
        <v>72</v>
      </c>
      <c r="AQ1235">
        <v>0</v>
      </c>
      <c r="AR1235">
        <v>0</v>
      </c>
      <c r="AS1235">
        <v>0</v>
      </c>
      <c r="AT1235" t="s">
        <v>90</v>
      </c>
      <c r="AU1235" s="1">
        <v>44210.475474537037</v>
      </c>
      <c r="AV1235">
        <v>21</v>
      </c>
      <c r="AW1235">
        <v>0</v>
      </c>
      <c r="AX1235">
        <v>0</v>
      </c>
      <c r="AY1235">
        <v>0</v>
      </c>
      <c r="AZ1235">
        <v>70</v>
      </c>
      <c r="BA1235">
        <v>0</v>
      </c>
      <c r="BB1235">
        <v>72</v>
      </c>
      <c r="BC1235">
        <v>0</v>
      </c>
      <c r="BD1235">
        <v>0</v>
      </c>
      <c r="BE1235">
        <v>0</v>
      </c>
    </row>
    <row r="1236" spans="1:57" hidden="1" x14ac:dyDescent="0.45">
      <c r="A1236" t="s">
        <v>3124</v>
      </c>
      <c r="B1236" t="s">
        <v>79</v>
      </c>
      <c r="C1236" t="s">
        <v>3125</v>
      </c>
      <c r="D1236" t="s">
        <v>81</v>
      </c>
      <c r="E1236" s="2" t="str">
        <f>HYPERLINK("capsilon://?command=openfolder&amp;siteaddress=FAM.docvelocity-na8.net&amp;folderid=FX98E32102-EA5E-E64C-1CBB-7E23135E3525","FX201113767")</f>
        <v>FX201113767</v>
      </c>
      <c r="F1236" t="s">
        <v>19</v>
      </c>
      <c r="G1236" t="s">
        <v>19</v>
      </c>
      <c r="H1236" t="s">
        <v>82</v>
      </c>
      <c r="I1236" t="s">
        <v>3126</v>
      </c>
      <c r="J1236">
        <v>66</v>
      </c>
      <c r="K1236" t="s">
        <v>84</v>
      </c>
      <c r="L1236" t="s">
        <v>85</v>
      </c>
      <c r="M1236" t="s">
        <v>86</v>
      </c>
      <c r="N1236">
        <v>1</v>
      </c>
      <c r="O1236" s="1">
        <v>44210.406076388892</v>
      </c>
      <c r="P1236" s="1">
        <v>44210.416875000003</v>
      </c>
      <c r="Q1236">
        <v>687</v>
      </c>
      <c r="R1236">
        <v>246</v>
      </c>
      <c r="S1236" t="b">
        <v>0</v>
      </c>
      <c r="T1236" t="s">
        <v>87</v>
      </c>
      <c r="U1236" t="b">
        <v>0</v>
      </c>
      <c r="V1236" t="s">
        <v>98</v>
      </c>
      <c r="W1236" s="1">
        <v>44210.416875000003</v>
      </c>
      <c r="X1236">
        <v>246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66</v>
      </c>
      <c r="AE1236">
        <v>52</v>
      </c>
      <c r="AF1236">
        <v>0</v>
      </c>
      <c r="AG1236">
        <v>1</v>
      </c>
      <c r="AH1236" t="s">
        <v>87</v>
      </c>
      <c r="AI1236" t="s">
        <v>87</v>
      </c>
      <c r="AJ1236" t="s">
        <v>87</v>
      </c>
      <c r="AK1236" t="s">
        <v>87</v>
      </c>
      <c r="AL1236" t="s">
        <v>87</v>
      </c>
      <c r="AM1236" t="s">
        <v>87</v>
      </c>
      <c r="AN1236" t="s">
        <v>87</v>
      </c>
      <c r="AO1236" t="s">
        <v>87</v>
      </c>
      <c r="AP1236" t="s">
        <v>87</v>
      </c>
      <c r="AQ1236" t="s">
        <v>87</v>
      </c>
      <c r="AR1236" t="s">
        <v>87</v>
      </c>
      <c r="AS1236" t="s">
        <v>87</v>
      </c>
      <c r="AT1236" t="s">
        <v>87</v>
      </c>
      <c r="AU1236" t="s">
        <v>87</v>
      </c>
      <c r="AV1236" t="s">
        <v>87</v>
      </c>
      <c r="AW1236" t="s">
        <v>87</v>
      </c>
      <c r="AX1236" t="s">
        <v>87</v>
      </c>
      <c r="AY1236" t="s">
        <v>87</v>
      </c>
      <c r="AZ1236" t="s">
        <v>87</v>
      </c>
      <c r="BA1236" t="s">
        <v>87</v>
      </c>
      <c r="BB1236" t="s">
        <v>87</v>
      </c>
      <c r="BC1236" t="s">
        <v>87</v>
      </c>
      <c r="BD1236" t="s">
        <v>87</v>
      </c>
      <c r="BE1236" t="s">
        <v>87</v>
      </c>
    </row>
    <row r="1237" spans="1:57" hidden="1" x14ac:dyDescent="0.45">
      <c r="A1237" t="s">
        <v>3127</v>
      </c>
      <c r="B1237" t="s">
        <v>79</v>
      </c>
      <c r="C1237" t="s">
        <v>3089</v>
      </c>
      <c r="D1237" t="s">
        <v>81</v>
      </c>
      <c r="E1237" s="2" t="str">
        <f>HYPERLINK("capsilon://?command=openfolder&amp;siteaddress=FAM.docvelocity-na8.net&amp;folderid=FXA5C2A6FC-A3DB-806F-9765-CC7A52F0B047","FX201115062")</f>
        <v>FX201115062</v>
      </c>
      <c r="F1237" t="s">
        <v>19</v>
      </c>
      <c r="G1237" t="s">
        <v>19</v>
      </c>
      <c r="H1237" t="s">
        <v>82</v>
      </c>
      <c r="I1237" t="s">
        <v>3128</v>
      </c>
      <c r="J1237">
        <v>66</v>
      </c>
      <c r="K1237" t="s">
        <v>84</v>
      </c>
      <c r="L1237" t="s">
        <v>85</v>
      </c>
      <c r="M1237" t="s">
        <v>86</v>
      </c>
      <c r="N1237">
        <v>1</v>
      </c>
      <c r="O1237" s="1">
        <v>44210.409039351849</v>
      </c>
      <c r="P1237" s="1">
        <v>44210.419571759259</v>
      </c>
      <c r="Q1237">
        <v>450</v>
      </c>
      <c r="R1237">
        <v>460</v>
      </c>
      <c r="S1237" t="b">
        <v>0</v>
      </c>
      <c r="T1237" t="s">
        <v>87</v>
      </c>
      <c r="U1237" t="b">
        <v>0</v>
      </c>
      <c r="V1237" t="s">
        <v>88</v>
      </c>
      <c r="W1237" s="1">
        <v>44210.419571759259</v>
      </c>
      <c r="X1237">
        <v>460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66</v>
      </c>
      <c r="AE1237">
        <v>52</v>
      </c>
      <c r="AF1237">
        <v>0</v>
      </c>
      <c r="AG1237">
        <v>1</v>
      </c>
      <c r="AH1237" t="s">
        <v>87</v>
      </c>
      <c r="AI1237" t="s">
        <v>87</v>
      </c>
      <c r="AJ1237" t="s">
        <v>87</v>
      </c>
      <c r="AK1237" t="s">
        <v>87</v>
      </c>
      <c r="AL1237" t="s">
        <v>87</v>
      </c>
      <c r="AM1237" t="s">
        <v>87</v>
      </c>
      <c r="AN1237" t="s">
        <v>87</v>
      </c>
      <c r="AO1237" t="s">
        <v>87</v>
      </c>
      <c r="AP1237" t="s">
        <v>87</v>
      </c>
      <c r="AQ1237" t="s">
        <v>87</v>
      </c>
      <c r="AR1237" t="s">
        <v>87</v>
      </c>
      <c r="AS1237" t="s">
        <v>87</v>
      </c>
      <c r="AT1237" t="s">
        <v>87</v>
      </c>
      <c r="AU1237" t="s">
        <v>87</v>
      </c>
      <c r="AV1237" t="s">
        <v>87</v>
      </c>
      <c r="AW1237" t="s">
        <v>87</v>
      </c>
      <c r="AX1237" t="s">
        <v>87</v>
      </c>
      <c r="AY1237" t="s">
        <v>87</v>
      </c>
      <c r="AZ1237" t="s">
        <v>87</v>
      </c>
      <c r="BA1237" t="s">
        <v>87</v>
      </c>
      <c r="BB1237" t="s">
        <v>87</v>
      </c>
      <c r="BC1237" t="s">
        <v>87</v>
      </c>
      <c r="BD1237" t="s">
        <v>87</v>
      </c>
      <c r="BE1237" t="s">
        <v>87</v>
      </c>
    </row>
    <row r="1238" spans="1:57" hidden="1" x14ac:dyDescent="0.45">
      <c r="A1238" t="s">
        <v>3129</v>
      </c>
      <c r="B1238" t="s">
        <v>79</v>
      </c>
      <c r="C1238" t="s">
        <v>2785</v>
      </c>
      <c r="D1238" t="s">
        <v>81</v>
      </c>
      <c r="E1238" s="2" t="str">
        <f>HYPERLINK("capsilon://?command=openfolder&amp;siteaddress=FAM.docvelocity-na8.net&amp;folderid=FXAE7146AF-551E-83CA-1C7F-1FD2FA28F132","FX21016501")</f>
        <v>FX21016501</v>
      </c>
      <c r="F1238" t="s">
        <v>19</v>
      </c>
      <c r="G1238" t="s">
        <v>19</v>
      </c>
      <c r="H1238" t="s">
        <v>82</v>
      </c>
      <c r="I1238" t="s">
        <v>3130</v>
      </c>
      <c r="J1238">
        <v>38</v>
      </c>
      <c r="K1238" t="s">
        <v>84</v>
      </c>
      <c r="L1238" t="s">
        <v>85</v>
      </c>
      <c r="M1238" t="s">
        <v>86</v>
      </c>
      <c r="N1238">
        <v>3</v>
      </c>
      <c r="O1238" s="1">
        <v>44210.409502314818</v>
      </c>
      <c r="P1238" s="1">
        <v>44210.476122685184</v>
      </c>
      <c r="Q1238">
        <v>5352</v>
      </c>
      <c r="R1238">
        <v>404</v>
      </c>
      <c r="S1238" t="b">
        <v>0</v>
      </c>
      <c r="T1238" t="s">
        <v>87</v>
      </c>
      <c r="U1238" t="b">
        <v>0</v>
      </c>
      <c r="V1238" t="s">
        <v>98</v>
      </c>
      <c r="W1238" s="1">
        <v>44210.420347222222</v>
      </c>
      <c r="X1238">
        <v>299</v>
      </c>
      <c r="Y1238">
        <v>0</v>
      </c>
      <c r="Z1238">
        <v>0</v>
      </c>
      <c r="AA1238">
        <v>0</v>
      </c>
      <c r="AB1238">
        <v>37</v>
      </c>
      <c r="AC1238">
        <v>0</v>
      </c>
      <c r="AD1238">
        <v>38</v>
      </c>
      <c r="AE1238">
        <v>0</v>
      </c>
      <c r="AF1238">
        <v>0</v>
      </c>
      <c r="AG1238">
        <v>0</v>
      </c>
      <c r="AH1238" t="s">
        <v>128</v>
      </c>
      <c r="AI1238" s="1">
        <v>44210.469050925924</v>
      </c>
      <c r="AJ1238">
        <v>48</v>
      </c>
      <c r="AK1238">
        <v>0</v>
      </c>
      <c r="AL1238">
        <v>0</v>
      </c>
      <c r="AM1238">
        <v>0</v>
      </c>
      <c r="AN1238">
        <v>37</v>
      </c>
      <c r="AO1238">
        <v>0</v>
      </c>
      <c r="AP1238">
        <v>38</v>
      </c>
      <c r="AQ1238">
        <v>0</v>
      </c>
      <c r="AR1238">
        <v>0</v>
      </c>
      <c r="AS1238">
        <v>0</v>
      </c>
      <c r="AT1238" t="s">
        <v>90</v>
      </c>
      <c r="AU1238" s="1">
        <v>44210.476122685184</v>
      </c>
      <c r="AV1238">
        <v>3</v>
      </c>
      <c r="AW1238">
        <v>0</v>
      </c>
      <c r="AX1238">
        <v>0</v>
      </c>
      <c r="AY1238">
        <v>0</v>
      </c>
      <c r="AZ1238">
        <v>37</v>
      </c>
      <c r="BA1238">
        <v>0</v>
      </c>
      <c r="BB1238">
        <v>38</v>
      </c>
      <c r="BC1238">
        <v>0</v>
      </c>
      <c r="BD1238">
        <v>0</v>
      </c>
      <c r="BE1238">
        <v>0</v>
      </c>
    </row>
    <row r="1239" spans="1:57" x14ac:dyDescent="0.45">
      <c r="A1239" t="s">
        <v>3131</v>
      </c>
      <c r="B1239" t="s">
        <v>79</v>
      </c>
      <c r="C1239" t="s">
        <v>3132</v>
      </c>
      <c r="D1239" t="s">
        <v>81</v>
      </c>
      <c r="E1239" s="2" t="str">
        <f>HYPERLINK("capsilon://?command=openfolder&amp;siteaddress=FAM.docvelocity-na8.net&amp;folderid=FXB20E1B27-70CE-B8B0-A6E6-435A4B976F96","FX20122741")</f>
        <v>FX20122741</v>
      </c>
      <c r="F1239" t="s">
        <v>19</v>
      </c>
      <c r="G1239" t="s">
        <v>19</v>
      </c>
      <c r="H1239" t="s">
        <v>82</v>
      </c>
      <c r="I1239" t="s">
        <v>3133</v>
      </c>
      <c r="J1239">
        <v>66</v>
      </c>
      <c r="K1239" t="s">
        <v>84</v>
      </c>
      <c r="L1239" t="s">
        <v>85</v>
      </c>
      <c r="M1239" t="s">
        <v>86</v>
      </c>
      <c r="N1239">
        <v>3</v>
      </c>
      <c r="O1239" s="1">
        <v>44210.411168981482</v>
      </c>
      <c r="P1239" s="1">
        <v>44210.476400462961</v>
      </c>
      <c r="Q1239">
        <v>2714</v>
      </c>
      <c r="R1239">
        <v>2922</v>
      </c>
      <c r="S1239" t="b">
        <v>0</v>
      </c>
      <c r="T1239" t="s">
        <v>87</v>
      </c>
      <c r="U1239" t="b">
        <v>0</v>
      </c>
      <c r="V1239" t="s">
        <v>98</v>
      </c>
      <c r="W1239" s="1">
        <v>44210.451354166667</v>
      </c>
      <c r="X1239">
        <v>2678</v>
      </c>
      <c r="Y1239">
        <v>52</v>
      </c>
      <c r="Z1239">
        <v>0</v>
      </c>
      <c r="AA1239">
        <v>52</v>
      </c>
      <c r="AB1239">
        <v>0</v>
      </c>
      <c r="AC1239">
        <v>31</v>
      </c>
      <c r="AD1239">
        <v>14</v>
      </c>
      <c r="AE1239">
        <v>0</v>
      </c>
      <c r="AF1239">
        <v>0</v>
      </c>
      <c r="AG1239">
        <v>0</v>
      </c>
      <c r="AH1239" t="s">
        <v>128</v>
      </c>
      <c r="AI1239" s="1">
        <v>44210.4684837963</v>
      </c>
      <c r="AJ1239">
        <v>221</v>
      </c>
      <c r="AK1239">
        <v>0</v>
      </c>
      <c r="AL1239">
        <v>0</v>
      </c>
      <c r="AM1239">
        <v>0</v>
      </c>
      <c r="AN1239">
        <v>0</v>
      </c>
      <c r="AO1239">
        <v>2</v>
      </c>
      <c r="AP1239">
        <v>14</v>
      </c>
      <c r="AQ1239">
        <v>0</v>
      </c>
      <c r="AR1239">
        <v>0</v>
      </c>
      <c r="AS1239">
        <v>0</v>
      </c>
      <c r="AT1239" t="s">
        <v>90</v>
      </c>
      <c r="AU1239" s="1">
        <v>44210.476400462961</v>
      </c>
      <c r="AV1239">
        <v>23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14</v>
      </c>
      <c r="BC1239">
        <v>0</v>
      </c>
      <c r="BD1239">
        <v>0</v>
      </c>
      <c r="BE1239">
        <v>0</v>
      </c>
    </row>
    <row r="1240" spans="1:57" x14ac:dyDescent="0.45">
      <c r="A1240" t="s">
        <v>3134</v>
      </c>
      <c r="B1240" t="s">
        <v>79</v>
      </c>
      <c r="C1240" t="s">
        <v>3125</v>
      </c>
      <c r="D1240" t="s">
        <v>81</v>
      </c>
      <c r="E1240" s="2" t="str">
        <f>HYPERLINK("capsilon://?command=openfolder&amp;siteaddress=FAM.docvelocity-na8.net&amp;folderid=FX98E32102-EA5E-E64C-1CBB-7E23135E3525","FX201113767")</f>
        <v>FX201113767</v>
      </c>
      <c r="F1240" t="s">
        <v>19</v>
      </c>
      <c r="G1240" t="s">
        <v>19</v>
      </c>
      <c r="H1240" t="s">
        <v>82</v>
      </c>
      <c r="I1240" t="s">
        <v>3126</v>
      </c>
      <c r="J1240">
        <v>38</v>
      </c>
      <c r="K1240" t="s">
        <v>84</v>
      </c>
      <c r="L1240" t="s">
        <v>85</v>
      </c>
      <c r="M1240" t="s">
        <v>86</v>
      </c>
      <c r="N1240">
        <v>3</v>
      </c>
      <c r="O1240" s="1">
        <v>44210.41710648148</v>
      </c>
      <c r="P1240" s="1">
        <v>44210.475590277776</v>
      </c>
      <c r="Q1240">
        <v>3914</v>
      </c>
      <c r="R1240">
        <v>1139</v>
      </c>
      <c r="S1240" t="b">
        <v>0</v>
      </c>
      <c r="T1240" t="s">
        <v>87</v>
      </c>
      <c r="U1240" t="b">
        <v>1</v>
      </c>
      <c r="V1240" t="s">
        <v>88</v>
      </c>
      <c r="W1240" s="1">
        <v>44210.430810185186</v>
      </c>
      <c r="X1240">
        <v>970</v>
      </c>
      <c r="Y1240">
        <v>37</v>
      </c>
      <c r="Z1240">
        <v>0</v>
      </c>
      <c r="AA1240">
        <v>37</v>
      </c>
      <c r="AB1240">
        <v>0</v>
      </c>
      <c r="AC1240">
        <v>36</v>
      </c>
      <c r="AD1240">
        <v>1</v>
      </c>
      <c r="AE1240">
        <v>0</v>
      </c>
      <c r="AF1240">
        <v>0</v>
      </c>
      <c r="AG1240">
        <v>0</v>
      </c>
      <c r="AH1240" t="s">
        <v>108</v>
      </c>
      <c r="AI1240" s="1">
        <v>44210.447106481479</v>
      </c>
      <c r="AJ1240">
        <v>160</v>
      </c>
      <c r="AK1240">
        <v>2</v>
      </c>
      <c r="AL1240">
        <v>0</v>
      </c>
      <c r="AM1240">
        <v>2</v>
      </c>
      <c r="AN1240">
        <v>0</v>
      </c>
      <c r="AO1240">
        <v>0</v>
      </c>
      <c r="AP1240">
        <v>-1</v>
      </c>
      <c r="AQ1240">
        <v>0</v>
      </c>
      <c r="AR1240">
        <v>0</v>
      </c>
      <c r="AS1240">
        <v>0</v>
      </c>
      <c r="AT1240" t="s">
        <v>90</v>
      </c>
      <c r="AU1240" s="1">
        <v>44210.475590277776</v>
      </c>
      <c r="AV1240">
        <v>9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-1</v>
      </c>
      <c r="BC1240">
        <v>0</v>
      </c>
      <c r="BD1240">
        <v>0</v>
      </c>
      <c r="BE1240">
        <v>0</v>
      </c>
    </row>
    <row r="1241" spans="1:57" x14ac:dyDescent="0.45">
      <c r="A1241" t="s">
        <v>3135</v>
      </c>
      <c r="B1241" t="s">
        <v>79</v>
      </c>
      <c r="C1241" t="s">
        <v>3089</v>
      </c>
      <c r="D1241" t="s">
        <v>81</v>
      </c>
      <c r="E1241" s="2" t="str">
        <f>HYPERLINK("capsilon://?command=openfolder&amp;siteaddress=FAM.docvelocity-na8.net&amp;folderid=FXA5C2A6FC-A3DB-806F-9765-CC7A52F0B047","FX201115062")</f>
        <v>FX201115062</v>
      </c>
      <c r="F1241" t="s">
        <v>19</v>
      </c>
      <c r="G1241" t="s">
        <v>19</v>
      </c>
      <c r="H1241" t="s">
        <v>82</v>
      </c>
      <c r="I1241" t="s">
        <v>3128</v>
      </c>
      <c r="J1241">
        <v>38</v>
      </c>
      <c r="K1241" t="s">
        <v>84</v>
      </c>
      <c r="L1241" t="s">
        <v>85</v>
      </c>
      <c r="M1241" t="s">
        <v>86</v>
      </c>
      <c r="N1241">
        <v>3</v>
      </c>
      <c r="O1241" s="1">
        <v>44210.419861111113</v>
      </c>
      <c r="P1241" s="1">
        <v>44210.475960648146</v>
      </c>
      <c r="Q1241">
        <v>2576</v>
      </c>
      <c r="R1241">
        <v>2271</v>
      </c>
      <c r="S1241" t="b">
        <v>0</v>
      </c>
      <c r="T1241" t="s">
        <v>87</v>
      </c>
      <c r="U1241" t="b">
        <v>1</v>
      </c>
      <c r="V1241" t="s">
        <v>105</v>
      </c>
      <c r="W1241" s="1">
        <v>44210.438819444447</v>
      </c>
      <c r="X1241">
        <v>1613</v>
      </c>
      <c r="Y1241">
        <v>37</v>
      </c>
      <c r="Z1241">
        <v>0</v>
      </c>
      <c r="AA1241">
        <v>37</v>
      </c>
      <c r="AB1241">
        <v>0</v>
      </c>
      <c r="AC1241">
        <v>33</v>
      </c>
      <c r="AD1241">
        <v>1</v>
      </c>
      <c r="AE1241">
        <v>0</v>
      </c>
      <c r="AF1241">
        <v>0</v>
      </c>
      <c r="AG1241">
        <v>0</v>
      </c>
      <c r="AH1241" t="s">
        <v>94</v>
      </c>
      <c r="AI1241" s="1">
        <v>44210.455439814818</v>
      </c>
      <c r="AJ1241">
        <v>514</v>
      </c>
      <c r="AK1241">
        <v>1</v>
      </c>
      <c r="AL1241">
        <v>0</v>
      </c>
      <c r="AM1241">
        <v>1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 t="s">
        <v>90</v>
      </c>
      <c r="AU1241" s="1">
        <v>44210.475960648146</v>
      </c>
      <c r="AV1241">
        <v>31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</row>
    <row r="1242" spans="1:57" x14ac:dyDescent="0.45">
      <c r="A1242" t="s">
        <v>3136</v>
      </c>
      <c r="B1242" t="s">
        <v>79</v>
      </c>
      <c r="C1242" t="s">
        <v>2744</v>
      </c>
      <c r="D1242" t="s">
        <v>81</v>
      </c>
      <c r="E1242" s="2" t="str">
        <f>HYPERLINK("capsilon://?command=openfolder&amp;siteaddress=FAM.docvelocity-na8.net&amp;folderid=FXF693C463-4173-8D9A-05D3-17DC11917528","FX20123126")</f>
        <v>FX20123126</v>
      </c>
      <c r="F1242" t="s">
        <v>19</v>
      </c>
      <c r="G1242" t="s">
        <v>19</v>
      </c>
      <c r="H1242" t="s">
        <v>82</v>
      </c>
      <c r="I1242" t="s">
        <v>3137</v>
      </c>
      <c r="J1242">
        <v>46</v>
      </c>
      <c r="K1242" t="s">
        <v>84</v>
      </c>
      <c r="L1242" t="s">
        <v>85</v>
      </c>
      <c r="M1242" t="s">
        <v>86</v>
      </c>
      <c r="N1242">
        <v>3</v>
      </c>
      <c r="O1242" s="1">
        <v>44210.421469907407</v>
      </c>
      <c r="P1242" s="1">
        <v>44210.476712962962</v>
      </c>
      <c r="Q1242">
        <v>4209</v>
      </c>
      <c r="R1242">
        <v>564</v>
      </c>
      <c r="S1242" t="b">
        <v>0</v>
      </c>
      <c r="T1242" t="s">
        <v>87</v>
      </c>
      <c r="U1242" t="b">
        <v>0</v>
      </c>
      <c r="V1242" t="s">
        <v>112</v>
      </c>
      <c r="W1242" s="1">
        <v>44210.426006944443</v>
      </c>
      <c r="X1242">
        <v>383</v>
      </c>
      <c r="Y1242">
        <v>39</v>
      </c>
      <c r="Z1242">
        <v>0</v>
      </c>
      <c r="AA1242">
        <v>39</v>
      </c>
      <c r="AB1242">
        <v>0</v>
      </c>
      <c r="AC1242">
        <v>15</v>
      </c>
      <c r="AD1242">
        <v>7</v>
      </c>
      <c r="AE1242">
        <v>0</v>
      </c>
      <c r="AF1242">
        <v>0</v>
      </c>
      <c r="AG1242">
        <v>0</v>
      </c>
      <c r="AH1242" t="s">
        <v>128</v>
      </c>
      <c r="AI1242" s="1">
        <v>44210.47084490741</v>
      </c>
      <c r="AJ1242">
        <v>154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7</v>
      </c>
      <c r="AQ1242">
        <v>0</v>
      </c>
      <c r="AR1242">
        <v>0</v>
      </c>
      <c r="AS1242">
        <v>0</v>
      </c>
      <c r="AT1242" t="s">
        <v>90</v>
      </c>
      <c r="AU1242" s="1">
        <v>44210.476712962962</v>
      </c>
      <c r="AV1242">
        <v>27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7</v>
      </c>
      <c r="BC1242">
        <v>0</v>
      </c>
      <c r="BD1242">
        <v>0</v>
      </c>
      <c r="BE1242">
        <v>0</v>
      </c>
    </row>
    <row r="1243" spans="1:57" x14ac:dyDescent="0.45">
      <c r="A1243" t="s">
        <v>3138</v>
      </c>
      <c r="B1243" t="s">
        <v>79</v>
      </c>
      <c r="C1243" t="s">
        <v>3139</v>
      </c>
      <c r="D1243" t="s">
        <v>81</v>
      </c>
      <c r="E1243" s="2" t="str">
        <f>HYPERLINK("capsilon://?command=openfolder&amp;siteaddress=FAM.docvelocity-na8.net&amp;folderid=FX9A47EBB1-8FA1-BD90-AB51-925776FF434F","FX20126363")</f>
        <v>FX20126363</v>
      </c>
      <c r="F1243" t="s">
        <v>19</v>
      </c>
      <c r="G1243" t="s">
        <v>19</v>
      </c>
      <c r="H1243" t="s">
        <v>82</v>
      </c>
      <c r="I1243" t="s">
        <v>3140</v>
      </c>
      <c r="J1243">
        <v>38</v>
      </c>
      <c r="K1243" t="s">
        <v>84</v>
      </c>
      <c r="L1243" t="s">
        <v>85</v>
      </c>
      <c r="M1243" t="s">
        <v>86</v>
      </c>
      <c r="N1243">
        <v>3</v>
      </c>
      <c r="O1243" s="1">
        <v>44210.425243055557</v>
      </c>
      <c r="P1243" s="1">
        <v>44210.476770833331</v>
      </c>
      <c r="Q1243">
        <v>3642</v>
      </c>
      <c r="R1243">
        <v>810</v>
      </c>
      <c r="S1243" t="b">
        <v>0</v>
      </c>
      <c r="T1243" t="s">
        <v>87</v>
      </c>
      <c r="U1243" t="b">
        <v>0</v>
      </c>
      <c r="V1243" t="s">
        <v>112</v>
      </c>
      <c r="W1243" s="1">
        <v>44210.431215277778</v>
      </c>
      <c r="X1243">
        <v>449</v>
      </c>
      <c r="Y1243">
        <v>37</v>
      </c>
      <c r="Z1243">
        <v>0</v>
      </c>
      <c r="AA1243">
        <v>37</v>
      </c>
      <c r="AB1243">
        <v>0</v>
      </c>
      <c r="AC1243">
        <v>25</v>
      </c>
      <c r="AD1243">
        <v>1</v>
      </c>
      <c r="AE1243">
        <v>0</v>
      </c>
      <c r="AF1243">
        <v>0</v>
      </c>
      <c r="AG1243">
        <v>0</v>
      </c>
      <c r="AH1243" t="s">
        <v>128</v>
      </c>
      <c r="AI1243" s="1">
        <v>44210.474976851852</v>
      </c>
      <c r="AJ1243">
        <v>356</v>
      </c>
      <c r="AK1243">
        <v>2</v>
      </c>
      <c r="AL1243">
        <v>0</v>
      </c>
      <c r="AM1243">
        <v>2</v>
      </c>
      <c r="AN1243">
        <v>0</v>
      </c>
      <c r="AO1243">
        <v>2</v>
      </c>
      <c r="AP1243">
        <v>-1</v>
      </c>
      <c r="AQ1243">
        <v>0</v>
      </c>
      <c r="AR1243">
        <v>0</v>
      </c>
      <c r="AS1243">
        <v>0</v>
      </c>
      <c r="AT1243" t="s">
        <v>90</v>
      </c>
      <c r="AU1243" s="1">
        <v>44210.476770833331</v>
      </c>
      <c r="AV1243">
        <v>5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-1</v>
      </c>
      <c r="BC1243">
        <v>0</v>
      </c>
      <c r="BD1243">
        <v>0</v>
      </c>
      <c r="BE1243">
        <v>0</v>
      </c>
    </row>
    <row r="1244" spans="1:57" x14ac:dyDescent="0.45">
      <c r="A1244" t="s">
        <v>3141</v>
      </c>
      <c r="B1244" t="s">
        <v>79</v>
      </c>
      <c r="C1244" t="s">
        <v>3142</v>
      </c>
      <c r="D1244" t="s">
        <v>81</v>
      </c>
      <c r="E1244" s="2" t="str">
        <f>HYPERLINK("capsilon://?command=openfolder&amp;siteaddress=FAM.docvelocity-na8.net&amp;folderid=FXD220DA12-513F-C7A7-D603-3A3C677108C3","FX21013388")</f>
        <v>FX21013388</v>
      </c>
      <c r="F1244" t="s">
        <v>19</v>
      </c>
      <c r="G1244" t="s">
        <v>19</v>
      </c>
      <c r="H1244" t="s">
        <v>82</v>
      </c>
      <c r="I1244" t="s">
        <v>3143</v>
      </c>
      <c r="J1244">
        <v>375</v>
      </c>
      <c r="K1244" t="s">
        <v>84</v>
      </c>
      <c r="L1244" t="s">
        <v>85</v>
      </c>
      <c r="M1244" t="s">
        <v>86</v>
      </c>
      <c r="N1244">
        <v>3</v>
      </c>
      <c r="O1244" s="1">
        <v>44210.429027777776</v>
      </c>
      <c r="P1244" s="1">
        <v>44210.512916666667</v>
      </c>
      <c r="Q1244">
        <v>2473</v>
      </c>
      <c r="R1244">
        <v>4775</v>
      </c>
      <c r="S1244" t="b">
        <v>0</v>
      </c>
      <c r="T1244" t="s">
        <v>87</v>
      </c>
      <c r="U1244" t="b">
        <v>0</v>
      </c>
      <c r="V1244" t="s">
        <v>88</v>
      </c>
      <c r="W1244" s="1">
        <v>44210.470763888887</v>
      </c>
      <c r="X1244">
        <v>3435</v>
      </c>
      <c r="Y1244">
        <v>264</v>
      </c>
      <c r="Z1244">
        <v>0</v>
      </c>
      <c r="AA1244">
        <v>264</v>
      </c>
      <c r="AB1244">
        <v>37</v>
      </c>
      <c r="AC1244">
        <v>96</v>
      </c>
      <c r="AD1244">
        <v>111</v>
      </c>
      <c r="AE1244">
        <v>0</v>
      </c>
      <c r="AF1244">
        <v>0</v>
      </c>
      <c r="AG1244">
        <v>0</v>
      </c>
      <c r="AH1244" t="s">
        <v>128</v>
      </c>
      <c r="AI1244" s="1">
        <v>44210.489930555559</v>
      </c>
      <c r="AJ1244">
        <v>1291</v>
      </c>
      <c r="AK1244">
        <v>0</v>
      </c>
      <c r="AL1244">
        <v>0</v>
      </c>
      <c r="AM1244">
        <v>0</v>
      </c>
      <c r="AN1244">
        <v>37</v>
      </c>
      <c r="AO1244">
        <v>0</v>
      </c>
      <c r="AP1244">
        <v>111</v>
      </c>
      <c r="AQ1244">
        <v>0</v>
      </c>
      <c r="AR1244">
        <v>0</v>
      </c>
      <c r="AS1244">
        <v>0</v>
      </c>
      <c r="AT1244" t="s">
        <v>90</v>
      </c>
      <c r="AU1244" s="1">
        <v>44210.512916666667</v>
      </c>
      <c r="AV1244">
        <v>26</v>
      </c>
      <c r="AW1244">
        <v>0</v>
      </c>
      <c r="AX1244">
        <v>0</v>
      </c>
      <c r="AY1244">
        <v>0</v>
      </c>
      <c r="AZ1244">
        <v>37</v>
      </c>
      <c r="BA1244">
        <v>0</v>
      </c>
      <c r="BB1244">
        <v>111</v>
      </c>
      <c r="BC1244">
        <v>0</v>
      </c>
      <c r="BD1244">
        <v>0</v>
      </c>
      <c r="BE1244">
        <v>0</v>
      </c>
    </row>
    <row r="1245" spans="1:57" x14ac:dyDescent="0.45">
      <c r="A1245" t="s">
        <v>3144</v>
      </c>
      <c r="B1245" t="s">
        <v>79</v>
      </c>
      <c r="C1245" t="s">
        <v>3145</v>
      </c>
      <c r="D1245" t="s">
        <v>81</v>
      </c>
      <c r="E1245" s="2" t="str">
        <f>HYPERLINK("capsilon://?command=openfolder&amp;siteaddress=FAM.docvelocity-na8.net&amp;folderid=FX4BCFAF39-7124-5E92-801B-30AB66401304","FX21016336")</f>
        <v>FX21016336</v>
      </c>
      <c r="F1245" t="s">
        <v>19</v>
      </c>
      <c r="G1245" t="s">
        <v>19</v>
      </c>
      <c r="H1245" t="s">
        <v>82</v>
      </c>
      <c r="I1245" t="s">
        <v>3146</v>
      </c>
      <c r="J1245">
        <v>242</v>
      </c>
      <c r="K1245" t="s">
        <v>84</v>
      </c>
      <c r="L1245" t="s">
        <v>85</v>
      </c>
      <c r="M1245" t="s">
        <v>86</v>
      </c>
      <c r="N1245">
        <v>3</v>
      </c>
      <c r="O1245" s="1">
        <v>44210.432569444441</v>
      </c>
      <c r="P1245" s="1">
        <v>44210.514398148145</v>
      </c>
      <c r="Q1245">
        <v>709</v>
      </c>
      <c r="R1245">
        <v>6361</v>
      </c>
      <c r="S1245" t="b">
        <v>0</v>
      </c>
      <c r="T1245" t="s">
        <v>87</v>
      </c>
      <c r="U1245" t="b">
        <v>0</v>
      </c>
      <c r="V1245" t="s">
        <v>112</v>
      </c>
      <c r="W1245" s="1">
        <v>44210.494062500002</v>
      </c>
      <c r="X1245">
        <v>5197</v>
      </c>
      <c r="Y1245">
        <v>193</v>
      </c>
      <c r="Z1245">
        <v>0</v>
      </c>
      <c r="AA1245">
        <v>193</v>
      </c>
      <c r="AB1245">
        <v>37</v>
      </c>
      <c r="AC1245">
        <v>160</v>
      </c>
      <c r="AD1245">
        <v>49</v>
      </c>
      <c r="AE1245">
        <v>0</v>
      </c>
      <c r="AF1245">
        <v>0</v>
      </c>
      <c r="AG1245">
        <v>0</v>
      </c>
      <c r="AH1245" t="s">
        <v>132</v>
      </c>
      <c r="AI1245" s="1">
        <v>44210.512280092589</v>
      </c>
      <c r="AJ1245">
        <v>423</v>
      </c>
      <c r="AK1245">
        <v>3</v>
      </c>
      <c r="AL1245">
        <v>0</v>
      </c>
      <c r="AM1245">
        <v>3</v>
      </c>
      <c r="AN1245">
        <v>58</v>
      </c>
      <c r="AO1245">
        <v>2</v>
      </c>
      <c r="AP1245">
        <v>46</v>
      </c>
      <c r="AQ1245">
        <v>0</v>
      </c>
      <c r="AR1245">
        <v>0</v>
      </c>
      <c r="AS1245">
        <v>0</v>
      </c>
      <c r="AT1245" t="s">
        <v>90</v>
      </c>
      <c r="AU1245" s="1">
        <v>44210.514398148145</v>
      </c>
      <c r="AV1245">
        <v>128</v>
      </c>
      <c r="AW1245">
        <v>0</v>
      </c>
      <c r="AX1245">
        <v>0</v>
      </c>
      <c r="AY1245">
        <v>0</v>
      </c>
      <c r="AZ1245">
        <v>58</v>
      </c>
      <c r="BA1245">
        <v>0</v>
      </c>
      <c r="BB1245">
        <v>46</v>
      </c>
      <c r="BC1245">
        <v>0</v>
      </c>
      <c r="BD1245">
        <v>0</v>
      </c>
      <c r="BE1245">
        <v>0</v>
      </c>
    </row>
    <row r="1246" spans="1:57" x14ac:dyDescent="0.45">
      <c r="A1246" t="s">
        <v>3147</v>
      </c>
      <c r="B1246" t="s">
        <v>79</v>
      </c>
      <c r="C1246" t="s">
        <v>3148</v>
      </c>
      <c r="D1246" t="s">
        <v>81</v>
      </c>
      <c r="E1246" s="2" t="str">
        <f>HYPERLINK("capsilon://?command=openfolder&amp;siteaddress=FAM.docvelocity-na8.net&amp;folderid=FX1441FC90-6BD6-FFE7-0167-44397ABF2EA5","FX21018323")</f>
        <v>FX21018323</v>
      </c>
      <c r="F1246" t="s">
        <v>19</v>
      </c>
      <c r="G1246" t="s">
        <v>19</v>
      </c>
      <c r="H1246" t="s">
        <v>82</v>
      </c>
      <c r="I1246" t="s">
        <v>3149</v>
      </c>
      <c r="J1246">
        <v>207</v>
      </c>
      <c r="K1246" t="s">
        <v>84</v>
      </c>
      <c r="L1246" t="s">
        <v>85</v>
      </c>
      <c r="M1246" t="s">
        <v>86</v>
      </c>
      <c r="N1246">
        <v>3</v>
      </c>
      <c r="O1246" s="1">
        <v>44210.432905092595</v>
      </c>
      <c r="P1246" s="1">
        <v>44210.487268518518</v>
      </c>
      <c r="Q1246">
        <v>1919</v>
      </c>
      <c r="R1246">
        <v>2778</v>
      </c>
      <c r="S1246" t="b">
        <v>0</v>
      </c>
      <c r="T1246" t="s">
        <v>87</v>
      </c>
      <c r="U1246" t="b">
        <v>0</v>
      </c>
      <c r="V1246" t="s">
        <v>419</v>
      </c>
      <c r="W1246" s="1">
        <v>44210.461828703701</v>
      </c>
      <c r="X1246">
        <v>2313</v>
      </c>
      <c r="Y1246">
        <v>93</v>
      </c>
      <c r="Z1246">
        <v>0</v>
      </c>
      <c r="AA1246">
        <v>93</v>
      </c>
      <c r="AB1246">
        <v>37</v>
      </c>
      <c r="AC1246">
        <v>42</v>
      </c>
      <c r="AD1246">
        <v>114</v>
      </c>
      <c r="AE1246">
        <v>0</v>
      </c>
      <c r="AF1246">
        <v>0</v>
      </c>
      <c r="AG1246">
        <v>0</v>
      </c>
      <c r="AH1246" t="s">
        <v>132</v>
      </c>
      <c r="AI1246" s="1">
        <v>44210.48537037037</v>
      </c>
      <c r="AJ1246">
        <v>341</v>
      </c>
      <c r="AK1246">
        <v>0</v>
      </c>
      <c r="AL1246">
        <v>0</v>
      </c>
      <c r="AM1246">
        <v>0</v>
      </c>
      <c r="AN1246">
        <v>37</v>
      </c>
      <c r="AO1246">
        <v>0</v>
      </c>
      <c r="AP1246">
        <v>114</v>
      </c>
      <c r="AQ1246">
        <v>0</v>
      </c>
      <c r="AR1246">
        <v>0</v>
      </c>
      <c r="AS1246">
        <v>0</v>
      </c>
      <c r="AT1246" t="s">
        <v>90</v>
      </c>
      <c r="AU1246" s="1">
        <v>44210.487268518518</v>
      </c>
      <c r="AV1246">
        <v>83</v>
      </c>
      <c r="AW1246">
        <v>1</v>
      </c>
      <c r="AX1246">
        <v>0</v>
      </c>
      <c r="AY1246">
        <v>1</v>
      </c>
      <c r="AZ1246">
        <v>37</v>
      </c>
      <c r="BA1246">
        <v>1</v>
      </c>
      <c r="BB1246">
        <v>113</v>
      </c>
      <c r="BC1246">
        <v>0</v>
      </c>
      <c r="BD1246">
        <v>0</v>
      </c>
      <c r="BE1246">
        <v>0</v>
      </c>
    </row>
    <row r="1247" spans="1:57" hidden="1" x14ac:dyDescent="0.45">
      <c r="A1247" t="s">
        <v>3150</v>
      </c>
      <c r="B1247" t="s">
        <v>79</v>
      </c>
      <c r="C1247" t="s">
        <v>3151</v>
      </c>
      <c r="D1247" t="s">
        <v>81</v>
      </c>
      <c r="E1247" s="2" t="str">
        <f>HYPERLINK("capsilon://?command=openfolder&amp;siteaddress=FAM.docvelocity-na8.net&amp;folderid=FX840F6609-675B-58D2-037C-F45A9631873A","FX201221281")</f>
        <v>FX201221281</v>
      </c>
      <c r="F1247" t="s">
        <v>19</v>
      </c>
      <c r="G1247" t="s">
        <v>19</v>
      </c>
      <c r="H1247" t="s">
        <v>82</v>
      </c>
      <c r="I1247" t="s">
        <v>3152</v>
      </c>
      <c r="J1247">
        <v>66</v>
      </c>
      <c r="K1247" t="s">
        <v>84</v>
      </c>
      <c r="L1247" t="s">
        <v>85</v>
      </c>
      <c r="M1247" t="s">
        <v>86</v>
      </c>
      <c r="N1247">
        <v>1</v>
      </c>
      <c r="O1247" s="1">
        <v>44210.439803240741</v>
      </c>
      <c r="P1247" s="1">
        <v>44210.446423611109</v>
      </c>
      <c r="Q1247">
        <v>193</v>
      </c>
      <c r="R1247">
        <v>379</v>
      </c>
      <c r="S1247" t="b">
        <v>0</v>
      </c>
      <c r="T1247" t="s">
        <v>87</v>
      </c>
      <c r="U1247" t="b">
        <v>0</v>
      </c>
      <c r="V1247" t="s">
        <v>160</v>
      </c>
      <c r="W1247" s="1">
        <v>44210.446423611109</v>
      </c>
      <c r="X1247">
        <v>23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66</v>
      </c>
      <c r="AE1247">
        <v>0</v>
      </c>
      <c r="AF1247">
        <v>0</v>
      </c>
      <c r="AG1247">
        <v>1</v>
      </c>
      <c r="AH1247" t="s">
        <v>87</v>
      </c>
      <c r="AI1247" t="s">
        <v>87</v>
      </c>
      <c r="AJ1247" t="s">
        <v>87</v>
      </c>
      <c r="AK1247" t="s">
        <v>87</v>
      </c>
      <c r="AL1247" t="s">
        <v>87</v>
      </c>
      <c r="AM1247" t="s">
        <v>87</v>
      </c>
      <c r="AN1247" t="s">
        <v>87</v>
      </c>
      <c r="AO1247" t="s">
        <v>87</v>
      </c>
      <c r="AP1247" t="s">
        <v>87</v>
      </c>
      <c r="AQ1247" t="s">
        <v>87</v>
      </c>
      <c r="AR1247" t="s">
        <v>87</v>
      </c>
      <c r="AS1247" t="s">
        <v>87</v>
      </c>
      <c r="AT1247" t="s">
        <v>87</v>
      </c>
      <c r="AU1247" t="s">
        <v>87</v>
      </c>
      <c r="AV1247" t="s">
        <v>87</v>
      </c>
      <c r="AW1247" t="s">
        <v>87</v>
      </c>
      <c r="AX1247" t="s">
        <v>87</v>
      </c>
      <c r="AY1247" t="s">
        <v>87</v>
      </c>
      <c r="AZ1247" t="s">
        <v>87</v>
      </c>
      <c r="BA1247" t="s">
        <v>87</v>
      </c>
      <c r="BB1247" t="s">
        <v>87</v>
      </c>
      <c r="BC1247" t="s">
        <v>87</v>
      </c>
      <c r="BD1247" t="s">
        <v>87</v>
      </c>
      <c r="BE1247" t="s">
        <v>87</v>
      </c>
    </row>
    <row r="1248" spans="1:57" x14ac:dyDescent="0.45">
      <c r="A1248" t="s">
        <v>3153</v>
      </c>
      <c r="B1248" t="s">
        <v>79</v>
      </c>
      <c r="C1248" t="s">
        <v>3151</v>
      </c>
      <c r="D1248" t="s">
        <v>81</v>
      </c>
      <c r="E1248" s="2" t="str">
        <f>HYPERLINK("capsilon://?command=openfolder&amp;siteaddress=FAM.docvelocity-na8.net&amp;folderid=FX840F6609-675B-58D2-037C-F45A9631873A","FX201221281")</f>
        <v>FX201221281</v>
      </c>
      <c r="F1248" t="s">
        <v>19</v>
      </c>
      <c r="G1248" t="s">
        <v>19</v>
      </c>
      <c r="H1248" t="s">
        <v>82</v>
      </c>
      <c r="I1248" t="s">
        <v>3152</v>
      </c>
      <c r="J1248">
        <v>38</v>
      </c>
      <c r="K1248" t="s">
        <v>84</v>
      </c>
      <c r="L1248" t="s">
        <v>85</v>
      </c>
      <c r="M1248" t="s">
        <v>86</v>
      </c>
      <c r="N1248">
        <v>3</v>
      </c>
      <c r="O1248" s="1">
        <v>44210.446666666663</v>
      </c>
      <c r="P1248" s="1">
        <v>44210.476030092592</v>
      </c>
      <c r="Q1248">
        <v>1204</v>
      </c>
      <c r="R1248">
        <v>1333</v>
      </c>
      <c r="S1248" t="b">
        <v>0</v>
      </c>
      <c r="T1248" t="s">
        <v>87</v>
      </c>
      <c r="U1248" t="b">
        <v>1</v>
      </c>
      <c r="V1248" t="s">
        <v>171</v>
      </c>
      <c r="W1248" s="1">
        <v>44210.459062499998</v>
      </c>
      <c r="X1248">
        <v>1070</v>
      </c>
      <c r="Y1248">
        <v>37</v>
      </c>
      <c r="Z1248">
        <v>0</v>
      </c>
      <c r="AA1248">
        <v>37</v>
      </c>
      <c r="AB1248">
        <v>0</v>
      </c>
      <c r="AC1248">
        <v>34</v>
      </c>
      <c r="AD1248">
        <v>1</v>
      </c>
      <c r="AE1248">
        <v>0</v>
      </c>
      <c r="AF1248">
        <v>0</v>
      </c>
      <c r="AG1248">
        <v>0</v>
      </c>
      <c r="AH1248" t="s">
        <v>108</v>
      </c>
      <c r="AI1248" s="1">
        <v>44210.465578703705</v>
      </c>
      <c r="AJ1248">
        <v>258</v>
      </c>
      <c r="AK1248">
        <v>5</v>
      </c>
      <c r="AL1248">
        <v>0</v>
      </c>
      <c r="AM1248">
        <v>5</v>
      </c>
      <c r="AN1248">
        <v>0</v>
      </c>
      <c r="AO1248">
        <v>4</v>
      </c>
      <c r="AP1248">
        <v>-4</v>
      </c>
      <c r="AQ1248">
        <v>0</v>
      </c>
      <c r="AR1248">
        <v>0</v>
      </c>
      <c r="AS1248">
        <v>0</v>
      </c>
      <c r="AT1248" t="s">
        <v>90</v>
      </c>
      <c r="AU1248" s="1">
        <v>44210.476030092592</v>
      </c>
      <c r="AV1248">
        <v>5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-4</v>
      </c>
      <c r="BC1248">
        <v>0</v>
      </c>
      <c r="BD1248">
        <v>0</v>
      </c>
      <c r="BE1248">
        <v>0</v>
      </c>
    </row>
    <row r="1249" spans="1:57" x14ac:dyDescent="0.45">
      <c r="A1249" t="s">
        <v>3154</v>
      </c>
      <c r="B1249" t="s">
        <v>79</v>
      </c>
      <c r="C1249" t="s">
        <v>3155</v>
      </c>
      <c r="D1249" t="s">
        <v>81</v>
      </c>
      <c r="E1249" s="2" t="str">
        <f>HYPERLINK("capsilon://?command=openfolder&amp;siteaddress=FAM.docvelocity-na8.net&amp;folderid=FX674FD0F3-90C1-0247-8558-AFE478C34C5F","FX21018013")</f>
        <v>FX21018013</v>
      </c>
      <c r="F1249" t="s">
        <v>19</v>
      </c>
      <c r="G1249" t="s">
        <v>19</v>
      </c>
      <c r="H1249" t="s">
        <v>82</v>
      </c>
      <c r="I1249" t="s">
        <v>3156</v>
      </c>
      <c r="J1249">
        <v>184</v>
      </c>
      <c r="K1249" t="s">
        <v>84</v>
      </c>
      <c r="L1249" t="s">
        <v>85</v>
      </c>
      <c r="M1249" t="s">
        <v>86</v>
      </c>
      <c r="N1249">
        <v>3</v>
      </c>
      <c r="O1249" s="1">
        <v>44210.450972222221</v>
      </c>
      <c r="P1249" s="1">
        <v>44210.587083333332</v>
      </c>
      <c r="Q1249">
        <v>6126</v>
      </c>
      <c r="R1249">
        <v>5634</v>
      </c>
      <c r="S1249" t="b">
        <v>0</v>
      </c>
      <c r="T1249" t="s">
        <v>87</v>
      </c>
      <c r="U1249" t="b">
        <v>0</v>
      </c>
      <c r="V1249" t="s">
        <v>160</v>
      </c>
      <c r="W1249" s="1">
        <v>44210.504652777781</v>
      </c>
      <c r="X1249">
        <v>4635</v>
      </c>
      <c r="Y1249">
        <v>265</v>
      </c>
      <c r="Z1249">
        <v>0</v>
      </c>
      <c r="AA1249">
        <v>265</v>
      </c>
      <c r="AB1249">
        <v>0</v>
      </c>
      <c r="AC1249">
        <v>243</v>
      </c>
      <c r="AD1249">
        <v>-81</v>
      </c>
      <c r="AE1249">
        <v>0</v>
      </c>
      <c r="AF1249">
        <v>0</v>
      </c>
      <c r="AG1249">
        <v>0</v>
      </c>
      <c r="AH1249" t="s">
        <v>128</v>
      </c>
      <c r="AI1249" s="1">
        <v>44210.521284722221</v>
      </c>
      <c r="AJ1249">
        <v>921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-81</v>
      </c>
      <c r="AQ1249">
        <v>0</v>
      </c>
      <c r="AR1249">
        <v>0</v>
      </c>
      <c r="AS1249">
        <v>0</v>
      </c>
      <c r="AT1249" t="s">
        <v>90</v>
      </c>
      <c r="AU1249" s="1">
        <v>44210.587083333332</v>
      </c>
      <c r="AV1249">
        <v>46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-81</v>
      </c>
      <c r="BC1249">
        <v>0</v>
      </c>
      <c r="BD1249">
        <v>0</v>
      </c>
      <c r="BE1249">
        <v>0</v>
      </c>
    </row>
    <row r="1250" spans="1:57" hidden="1" x14ac:dyDescent="0.45">
      <c r="A1250" t="s">
        <v>3157</v>
      </c>
      <c r="B1250" t="s">
        <v>79</v>
      </c>
      <c r="C1250" t="s">
        <v>470</v>
      </c>
      <c r="D1250" t="s">
        <v>81</v>
      </c>
      <c r="E1250" s="2" t="str">
        <f>HYPERLINK("capsilon://?command=openfolder&amp;siteaddress=FAM.docvelocity-na8.net&amp;folderid=FXAF060C6C-91DE-D077-C5D1-0FD89406D57A","FX20111850")</f>
        <v>FX20111850</v>
      </c>
      <c r="F1250" t="s">
        <v>19</v>
      </c>
      <c r="G1250" t="s">
        <v>19</v>
      </c>
      <c r="H1250" t="s">
        <v>82</v>
      </c>
      <c r="I1250" t="s">
        <v>3158</v>
      </c>
      <c r="J1250">
        <v>66</v>
      </c>
      <c r="K1250" t="s">
        <v>84</v>
      </c>
      <c r="L1250" t="s">
        <v>85</v>
      </c>
      <c r="M1250" t="s">
        <v>86</v>
      </c>
      <c r="N1250">
        <v>3</v>
      </c>
      <c r="O1250" s="1">
        <v>44210.451180555552</v>
      </c>
      <c r="P1250" s="1">
        <v>44210.487407407411</v>
      </c>
      <c r="Q1250">
        <v>2856</v>
      </c>
      <c r="R1250">
        <v>274</v>
      </c>
      <c r="S1250" t="b">
        <v>0</v>
      </c>
      <c r="T1250" t="s">
        <v>87</v>
      </c>
      <c r="U1250" t="b">
        <v>0</v>
      </c>
      <c r="V1250" t="s">
        <v>168</v>
      </c>
      <c r="W1250" s="1">
        <v>44210.452349537038</v>
      </c>
      <c r="X1250">
        <v>100</v>
      </c>
      <c r="Y1250">
        <v>0</v>
      </c>
      <c r="Z1250">
        <v>0</v>
      </c>
      <c r="AA1250">
        <v>0</v>
      </c>
      <c r="AB1250">
        <v>52</v>
      </c>
      <c r="AC1250">
        <v>0</v>
      </c>
      <c r="AD1250">
        <v>66</v>
      </c>
      <c r="AE1250">
        <v>0</v>
      </c>
      <c r="AF1250">
        <v>0</v>
      </c>
      <c r="AG1250">
        <v>0</v>
      </c>
      <c r="AH1250" t="s">
        <v>108</v>
      </c>
      <c r="AI1250" s="1">
        <v>44210.485324074078</v>
      </c>
      <c r="AJ1250">
        <v>171</v>
      </c>
      <c r="AK1250">
        <v>0</v>
      </c>
      <c r="AL1250">
        <v>0</v>
      </c>
      <c r="AM1250">
        <v>0</v>
      </c>
      <c r="AN1250">
        <v>52</v>
      </c>
      <c r="AO1250">
        <v>0</v>
      </c>
      <c r="AP1250">
        <v>66</v>
      </c>
      <c r="AQ1250">
        <v>0</v>
      </c>
      <c r="AR1250">
        <v>0</v>
      </c>
      <c r="AS1250">
        <v>0</v>
      </c>
      <c r="AT1250" t="s">
        <v>90</v>
      </c>
      <c r="AU1250" s="1">
        <v>44210.487407407411</v>
      </c>
      <c r="AV1250">
        <v>3</v>
      </c>
      <c r="AW1250">
        <v>0</v>
      </c>
      <c r="AX1250">
        <v>0</v>
      </c>
      <c r="AY1250">
        <v>0</v>
      </c>
      <c r="AZ1250">
        <v>52</v>
      </c>
      <c r="BA1250">
        <v>0</v>
      </c>
      <c r="BB1250">
        <v>66</v>
      </c>
      <c r="BC1250">
        <v>0</v>
      </c>
      <c r="BD1250">
        <v>0</v>
      </c>
      <c r="BE1250">
        <v>0</v>
      </c>
    </row>
    <row r="1251" spans="1:57" hidden="1" x14ac:dyDescent="0.45">
      <c r="A1251" t="s">
        <v>3159</v>
      </c>
      <c r="B1251" t="s">
        <v>79</v>
      </c>
      <c r="C1251" t="s">
        <v>470</v>
      </c>
      <c r="D1251" t="s">
        <v>81</v>
      </c>
      <c r="E1251" s="2" t="str">
        <f>HYPERLINK("capsilon://?command=openfolder&amp;siteaddress=FAM.docvelocity-na8.net&amp;folderid=FXAF060C6C-91DE-D077-C5D1-0FD89406D57A","FX20111850")</f>
        <v>FX20111850</v>
      </c>
      <c r="F1251" t="s">
        <v>19</v>
      </c>
      <c r="G1251" t="s">
        <v>19</v>
      </c>
      <c r="H1251" t="s">
        <v>82</v>
      </c>
      <c r="I1251" t="s">
        <v>3160</v>
      </c>
      <c r="J1251">
        <v>66</v>
      </c>
      <c r="K1251" t="s">
        <v>84</v>
      </c>
      <c r="L1251" t="s">
        <v>85</v>
      </c>
      <c r="M1251" t="s">
        <v>86</v>
      </c>
      <c r="N1251">
        <v>3</v>
      </c>
      <c r="O1251" s="1">
        <v>44210.45140046296</v>
      </c>
      <c r="P1251" s="1">
        <v>44210.487442129626</v>
      </c>
      <c r="Q1251">
        <v>2923</v>
      </c>
      <c r="R1251">
        <v>191</v>
      </c>
      <c r="S1251" t="b">
        <v>0</v>
      </c>
      <c r="T1251" t="s">
        <v>87</v>
      </c>
      <c r="U1251" t="b">
        <v>0</v>
      </c>
      <c r="V1251" t="s">
        <v>98</v>
      </c>
      <c r="W1251" s="1">
        <v>44210.452719907407</v>
      </c>
      <c r="X1251">
        <v>110</v>
      </c>
      <c r="Y1251">
        <v>0</v>
      </c>
      <c r="Z1251">
        <v>0</v>
      </c>
      <c r="AA1251">
        <v>0</v>
      </c>
      <c r="AB1251">
        <v>52</v>
      </c>
      <c r="AC1251">
        <v>0</v>
      </c>
      <c r="AD1251">
        <v>66</v>
      </c>
      <c r="AE1251">
        <v>0</v>
      </c>
      <c r="AF1251">
        <v>0</v>
      </c>
      <c r="AG1251">
        <v>0</v>
      </c>
      <c r="AH1251" t="s">
        <v>108</v>
      </c>
      <c r="AI1251" s="1">
        <v>44210.486238425925</v>
      </c>
      <c r="AJ1251">
        <v>78</v>
      </c>
      <c r="AK1251">
        <v>0</v>
      </c>
      <c r="AL1251">
        <v>0</v>
      </c>
      <c r="AM1251">
        <v>0</v>
      </c>
      <c r="AN1251">
        <v>52</v>
      </c>
      <c r="AO1251">
        <v>0</v>
      </c>
      <c r="AP1251">
        <v>66</v>
      </c>
      <c r="AQ1251">
        <v>0</v>
      </c>
      <c r="AR1251">
        <v>0</v>
      </c>
      <c r="AS1251">
        <v>0</v>
      </c>
      <c r="AT1251" t="s">
        <v>90</v>
      </c>
      <c r="AU1251" s="1">
        <v>44210.487442129626</v>
      </c>
      <c r="AV1251">
        <v>3</v>
      </c>
      <c r="AW1251">
        <v>0</v>
      </c>
      <c r="AX1251">
        <v>0</v>
      </c>
      <c r="AY1251">
        <v>0</v>
      </c>
      <c r="AZ1251">
        <v>52</v>
      </c>
      <c r="BA1251">
        <v>0</v>
      </c>
      <c r="BB1251">
        <v>66</v>
      </c>
      <c r="BC1251">
        <v>0</v>
      </c>
      <c r="BD1251">
        <v>0</v>
      </c>
      <c r="BE1251">
        <v>0</v>
      </c>
    </row>
    <row r="1252" spans="1:57" x14ac:dyDescent="0.45">
      <c r="A1252" t="s">
        <v>3161</v>
      </c>
      <c r="B1252" t="s">
        <v>79</v>
      </c>
      <c r="C1252" t="s">
        <v>3162</v>
      </c>
      <c r="D1252" t="s">
        <v>81</v>
      </c>
      <c r="E1252" s="2" t="str">
        <f>HYPERLINK("capsilon://?command=openfolder&amp;siteaddress=FAM.docvelocity-na8.net&amp;folderid=FXA7CD1609-3F26-26FF-C2E3-9B944D443898","FX20124612")</f>
        <v>FX20124612</v>
      </c>
      <c r="F1252" t="s">
        <v>19</v>
      </c>
      <c r="G1252" t="s">
        <v>19</v>
      </c>
      <c r="H1252" t="s">
        <v>82</v>
      </c>
      <c r="I1252" t="s">
        <v>3163</v>
      </c>
      <c r="J1252">
        <v>57</v>
      </c>
      <c r="K1252" t="s">
        <v>84</v>
      </c>
      <c r="L1252" t="s">
        <v>85</v>
      </c>
      <c r="M1252" t="s">
        <v>86</v>
      </c>
      <c r="N1252">
        <v>3</v>
      </c>
      <c r="O1252" s="1">
        <v>44210.454108796293</v>
      </c>
      <c r="P1252" s="1">
        <v>44210.489479166667</v>
      </c>
      <c r="Q1252">
        <v>455</v>
      </c>
      <c r="R1252">
        <v>2601</v>
      </c>
      <c r="S1252" t="b">
        <v>0</v>
      </c>
      <c r="T1252" t="s">
        <v>87</v>
      </c>
      <c r="U1252" t="b">
        <v>0</v>
      </c>
      <c r="V1252" t="s">
        <v>168</v>
      </c>
      <c r="W1252" s="1">
        <v>44210.481585648151</v>
      </c>
      <c r="X1252">
        <v>2373</v>
      </c>
      <c r="Y1252">
        <v>60</v>
      </c>
      <c r="Z1252">
        <v>0</v>
      </c>
      <c r="AA1252">
        <v>60</v>
      </c>
      <c r="AB1252">
        <v>0</v>
      </c>
      <c r="AC1252">
        <v>35</v>
      </c>
      <c r="AD1252">
        <v>-3</v>
      </c>
      <c r="AE1252">
        <v>0</v>
      </c>
      <c r="AF1252">
        <v>0</v>
      </c>
      <c r="AG1252">
        <v>0</v>
      </c>
      <c r="AH1252" t="s">
        <v>132</v>
      </c>
      <c r="AI1252" s="1">
        <v>44210.487511574072</v>
      </c>
      <c r="AJ1252">
        <v>185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-3</v>
      </c>
      <c r="AQ1252">
        <v>0</v>
      </c>
      <c r="AR1252">
        <v>0</v>
      </c>
      <c r="AS1252">
        <v>0</v>
      </c>
      <c r="AT1252" t="s">
        <v>90</v>
      </c>
      <c r="AU1252" s="1">
        <v>44210.489479166667</v>
      </c>
      <c r="AV1252">
        <v>43</v>
      </c>
      <c r="AW1252">
        <v>0</v>
      </c>
      <c r="AX1252">
        <v>0</v>
      </c>
      <c r="AY1252">
        <v>0</v>
      </c>
      <c r="AZ1252">
        <v>39</v>
      </c>
      <c r="BA1252">
        <v>0</v>
      </c>
      <c r="BB1252">
        <v>-3</v>
      </c>
      <c r="BC1252">
        <v>0</v>
      </c>
      <c r="BD1252">
        <v>0</v>
      </c>
      <c r="BE1252">
        <v>0</v>
      </c>
    </row>
    <row r="1253" spans="1:57" x14ac:dyDescent="0.45">
      <c r="A1253" t="s">
        <v>3164</v>
      </c>
      <c r="B1253" t="s">
        <v>79</v>
      </c>
      <c r="C1253" t="s">
        <v>3165</v>
      </c>
      <c r="D1253" t="s">
        <v>81</v>
      </c>
      <c r="E1253" s="2" t="str">
        <f>HYPERLINK("capsilon://?command=openfolder&amp;siteaddress=FAM.docvelocity-na8.net&amp;folderid=FX9929EAE8-EAE5-A77D-4583-0680328ECBB7","FX20126195")</f>
        <v>FX20126195</v>
      </c>
      <c r="F1253" t="s">
        <v>19</v>
      </c>
      <c r="G1253" t="s">
        <v>19</v>
      </c>
      <c r="H1253" t="s">
        <v>82</v>
      </c>
      <c r="I1253" t="s">
        <v>3166</v>
      </c>
      <c r="J1253">
        <v>31</v>
      </c>
      <c r="K1253" t="s">
        <v>84</v>
      </c>
      <c r="L1253" t="s">
        <v>85</v>
      </c>
      <c r="M1253" t="s">
        <v>86</v>
      </c>
      <c r="N1253">
        <v>3</v>
      </c>
      <c r="O1253" s="1">
        <v>44210.455104166664</v>
      </c>
      <c r="P1253" s="1">
        <v>44210.48951388889</v>
      </c>
      <c r="Q1253">
        <v>2555</v>
      </c>
      <c r="R1253">
        <v>418</v>
      </c>
      <c r="S1253" t="b">
        <v>0</v>
      </c>
      <c r="T1253" t="s">
        <v>87</v>
      </c>
      <c r="U1253" t="b">
        <v>0</v>
      </c>
      <c r="V1253" t="s">
        <v>179</v>
      </c>
      <c r="W1253" s="1">
        <v>44210.458564814813</v>
      </c>
      <c r="X1253">
        <v>298</v>
      </c>
      <c r="Y1253">
        <v>1</v>
      </c>
      <c r="Z1253">
        <v>0</v>
      </c>
      <c r="AA1253">
        <v>1</v>
      </c>
      <c r="AB1253">
        <v>27</v>
      </c>
      <c r="AC1253">
        <v>0</v>
      </c>
      <c r="AD1253">
        <v>30</v>
      </c>
      <c r="AE1253">
        <v>0</v>
      </c>
      <c r="AF1253">
        <v>0</v>
      </c>
      <c r="AG1253">
        <v>0</v>
      </c>
      <c r="AH1253" t="s">
        <v>108</v>
      </c>
      <c r="AI1253" s="1">
        <v>44210.487592592595</v>
      </c>
      <c r="AJ1253">
        <v>117</v>
      </c>
      <c r="AK1253">
        <v>0</v>
      </c>
      <c r="AL1253">
        <v>0</v>
      </c>
      <c r="AM1253">
        <v>0</v>
      </c>
      <c r="AN1253">
        <v>27</v>
      </c>
      <c r="AO1253">
        <v>0</v>
      </c>
      <c r="AP1253">
        <v>30</v>
      </c>
      <c r="AQ1253">
        <v>0</v>
      </c>
      <c r="AR1253">
        <v>0</v>
      </c>
      <c r="AS1253">
        <v>0</v>
      </c>
      <c r="AT1253" t="s">
        <v>90</v>
      </c>
      <c r="AU1253" s="1">
        <v>44210.48951388889</v>
      </c>
      <c r="AV1253">
        <v>3</v>
      </c>
      <c r="AW1253">
        <v>0</v>
      </c>
      <c r="AX1253">
        <v>0</v>
      </c>
      <c r="AY1253">
        <v>0</v>
      </c>
      <c r="AZ1253">
        <v>27</v>
      </c>
      <c r="BA1253">
        <v>0</v>
      </c>
      <c r="BB1253">
        <v>30</v>
      </c>
      <c r="BC1253">
        <v>0</v>
      </c>
      <c r="BD1253">
        <v>0</v>
      </c>
      <c r="BE1253">
        <v>0</v>
      </c>
    </row>
    <row r="1254" spans="1:57" hidden="1" x14ac:dyDescent="0.45">
      <c r="A1254" t="s">
        <v>3167</v>
      </c>
      <c r="B1254" t="s">
        <v>79</v>
      </c>
      <c r="C1254" t="s">
        <v>3168</v>
      </c>
      <c r="D1254" t="s">
        <v>81</v>
      </c>
      <c r="E1254" s="2" t="str">
        <f>HYPERLINK("capsilon://?command=openfolder&amp;siteaddress=FAM.docvelocity-na8.net&amp;folderid=FXF2BDA973-B566-B8D7-0678-A512746E8407","FX20126102")</f>
        <v>FX20126102</v>
      </c>
      <c r="F1254" t="s">
        <v>19</v>
      </c>
      <c r="G1254" t="s">
        <v>19</v>
      </c>
      <c r="H1254" t="s">
        <v>82</v>
      </c>
      <c r="I1254" t="s">
        <v>3169</v>
      </c>
      <c r="J1254">
        <v>66</v>
      </c>
      <c r="K1254" t="s">
        <v>84</v>
      </c>
      <c r="L1254" t="s">
        <v>85</v>
      </c>
      <c r="M1254" t="s">
        <v>86</v>
      </c>
      <c r="N1254">
        <v>3</v>
      </c>
      <c r="O1254" s="1">
        <v>44210.464907407404</v>
      </c>
      <c r="P1254" s="1">
        <v>44210.489560185182</v>
      </c>
      <c r="Q1254">
        <v>1715</v>
      </c>
      <c r="R1254">
        <v>415</v>
      </c>
      <c r="S1254" t="b">
        <v>0</v>
      </c>
      <c r="T1254" t="s">
        <v>87</v>
      </c>
      <c r="U1254" t="b">
        <v>0</v>
      </c>
      <c r="V1254" t="s">
        <v>98</v>
      </c>
      <c r="W1254" s="1">
        <v>44210.468981481485</v>
      </c>
      <c r="X1254">
        <v>351</v>
      </c>
      <c r="Y1254">
        <v>0</v>
      </c>
      <c r="Z1254">
        <v>0</v>
      </c>
      <c r="AA1254">
        <v>0</v>
      </c>
      <c r="AB1254">
        <v>52</v>
      </c>
      <c r="AC1254">
        <v>0</v>
      </c>
      <c r="AD1254">
        <v>66</v>
      </c>
      <c r="AE1254">
        <v>0</v>
      </c>
      <c r="AF1254">
        <v>0</v>
      </c>
      <c r="AG1254">
        <v>0</v>
      </c>
      <c r="AH1254" t="s">
        <v>94</v>
      </c>
      <c r="AI1254" s="1">
        <v>44210.487523148149</v>
      </c>
      <c r="AJ1254">
        <v>61</v>
      </c>
      <c r="AK1254">
        <v>0</v>
      </c>
      <c r="AL1254">
        <v>0</v>
      </c>
      <c r="AM1254">
        <v>0</v>
      </c>
      <c r="AN1254">
        <v>52</v>
      </c>
      <c r="AO1254">
        <v>0</v>
      </c>
      <c r="AP1254">
        <v>66</v>
      </c>
      <c r="AQ1254">
        <v>0</v>
      </c>
      <c r="AR1254">
        <v>0</v>
      </c>
      <c r="AS1254">
        <v>0</v>
      </c>
      <c r="AT1254" t="s">
        <v>90</v>
      </c>
      <c r="AU1254" s="1">
        <v>44210.489560185182</v>
      </c>
      <c r="AV1254">
        <v>3</v>
      </c>
      <c r="AW1254">
        <v>0</v>
      </c>
      <c r="AX1254">
        <v>0</v>
      </c>
      <c r="AY1254">
        <v>0</v>
      </c>
      <c r="AZ1254">
        <v>52</v>
      </c>
      <c r="BA1254">
        <v>0</v>
      </c>
      <c r="BB1254">
        <v>66</v>
      </c>
      <c r="BC1254">
        <v>0</v>
      </c>
      <c r="BD1254">
        <v>0</v>
      </c>
      <c r="BE1254">
        <v>0</v>
      </c>
    </row>
    <row r="1255" spans="1:57" hidden="1" x14ac:dyDescent="0.45">
      <c r="A1255" t="s">
        <v>3170</v>
      </c>
      <c r="B1255" t="s">
        <v>79</v>
      </c>
      <c r="C1255" t="s">
        <v>3171</v>
      </c>
      <c r="D1255" t="s">
        <v>81</v>
      </c>
      <c r="E1255" s="2" t="str">
        <f>HYPERLINK("capsilon://?command=openfolder&amp;siteaddress=FAM.docvelocity-na8.net&amp;folderid=FXEAFD9630-2E8D-7D93-BCE3-4F1685147CFA","FX20121001")</f>
        <v>FX20121001</v>
      </c>
      <c r="F1255" t="s">
        <v>19</v>
      </c>
      <c r="G1255" t="s">
        <v>19</v>
      </c>
      <c r="H1255" t="s">
        <v>82</v>
      </c>
      <c r="I1255" t="s">
        <v>3172</v>
      </c>
      <c r="J1255">
        <v>66</v>
      </c>
      <c r="K1255" t="s">
        <v>84</v>
      </c>
      <c r="L1255" t="s">
        <v>85</v>
      </c>
      <c r="M1255" t="s">
        <v>86</v>
      </c>
      <c r="N1255">
        <v>1</v>
      </c>
      <c r="O1255" s="1">
        <v>44210.465891203705</v>
      </c>
      <c r="P1255" s="1">
        <v>44210.46634259259</v>
      </c>
      <c r="Q1255">
        <v>1</v>
      </c>
      <c r="R1255">
        <v>38</v>
      </c>
      <c r="S1255" t="b">
        <v>0</v>
      </c>
      <c r="T1255" t="s">
        <v>87</v>
      </c>
      <c r="U1255" t="b">
        <v>0</v>
      </c>
      <c r="V1255" t="s">
        <v>171</v>
      </c>
      <c r="W1255" s="1">
        <v>44210.46634259259</v>
      </c>
      <c r="X1255">
        <v>38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66</v>
      </c>
      <c r="AE1255">
        <v>52</v>
      </c>
      <c r="AF1255">
        <v>0</v>
      </c>
      <c r="AG1255">
        <v>1</v>
      </c>
      <c r="AH1255" t="s">
        <v>87</v>
      </c>
      <c r="AI1255" t="s">
        <v>87</v>
      </c>
      <c r="AJ1255" t="s">
        <v>87</v>
      </c>
      <c r="AK1255" t="s">
        <v>87</v>
      </c>
      <c r="AL1255" t="s">
        <v>87</v>
      </c>
      <c r="AM1255" t="s">
        <v>87</v>
      </c>
      <c r="AN1255" t="s">
        <v>87</v>
      </c>
      <c r="AO1255" t="s">
        <v>87</v>
      </c>
      <c r="AP1255" t="s">
        <v>87</v>
      </c>
      <c r="AQ1255" t="s">
        <v>87</v>
      </c>
      <c r="AR1255" t="s">
        <v>87</v>
      </c>
      <c r="AS1255" t="s">
        <v>87</v>
      </c>
      <c r="AT1255" t="s">
        <v>87</v>
      </c>
      <c r="AU1255" t="s">
        <v>87</v>
      </c>
      <c r="AV1255" t="s">
        <v>87</v>
      </c>
      <c r="AW1255" t="s">
        <v>87</v>
      </c>
      <c r="AX1255" t="s">
        <v>87</v>
      </c>
      <c r="AY1255" t="s">
        <v>87</v>
      </c>
      <c r="AZ1255" t="s">
        <v>87</v>
      </c>
      <c r="BA1255" t="s">
        <v>87</v>
      </c>
      <c r="BB1255" t="s">
        <v>87</v>
      </c>
      <c r="BC1255" t="s">
        <v>87</v>
      </c>
      <c r="BD1255" t="s">
        <v>87</v>
      </c>
      <c r="BE1255" t="s">
        <v>87</v>
      </c>
    </row>
    <row r="1256" spans="1:57" x14ac:dyDescent="0.45">
      <c r="A1256" t="s">
        <v>3173</v>
      </c>
      <c r="B1256" t="s">
        <v>79</v>
      </c>
      <c r="C1256" t="s">
        <v>3171</v>
      </c>
      <c r="D1256" t="s">
        <v>81</v>
      </c>
      <c r="E1256" s="2" t="str">
        <f>HYPERLINK("capsilon://?command=openfolder&amp;siteaddress=FAM.docvelocity-na8.net&amp;folderid=FXEAFD9630-2E8D-7D93-BCE3-4F1685147CFA","FX20121001")</f>
        <v>FX20121001</v>
      </c>
      <c r="F1256" t="s">
        <v>19</v>
      </c>
      <c r="G1256" t="s">
        <v>19</v>
      </c>
      <c r="H1256" t="s">
        <v>82</v>
      </c>
      <c r="I1256" t="s">
        <v>3172</v>
      </c>
      <c r="J1256">
        <v>38</v>
      </c>
      <c r="K1256" t="s">
        <v>84</v>
      </c>
      <c r="L1256" t="s">
        <v>85</v>
      </c>
      <c r="M1256" t="s">
        <v>86</v>
      </c>
      <c r="N1256">
        <v>3</v>
      </c>
      <c r="O1256" s="1">
        <v>44210.466608796298</v>
      </c>
      <c r="P1256" s="1">
        <v>44210.487372685187</v>
      </c>
      <c r="Q1256">
        <v>55</v>
      </c>
      <c r="R1256">
        <v>1739</v>
      </c>
      <c r="S1256" t="b">
        <v>0</v>
      </c>
      <c r="T1256" t="s">
        <v>87</v>
      </c>
      <c r="U1256" t="b">
        <v>1</v>
      </c>
      <c r="V1256" t="s">
        <v>179</v>
      </c>
      <c r="W1256" s="1">
        <v>44210.482303240744</v>
      </c>
      <c r="X1256">
        <v>1355</v>
      </c>
      <c r="Y1256">
        <v>37</v>
      </c>
      <c r="Z1256">
        <v>0</v>
      </c>
      <c r="AA1256">
        <v>37</v>
      </c>
      <c r="AB1256">
        <v>0</v>
      </c>
      <c r="AC1256">
        <v>34</v>
      </c>
      <c r="AD1256">
        <v>1</v>
      </c>
      <c r="AE1256">
        <v>0</v>
      </c>
      <c r="AF1256">
        <v>0</v>
      </c>
      <c r="AG1256">
        <v>0</v>
      </c>
      <c r="AH1256" t="s">
        <v>94</v>
      </c>
      <c r="AI1256" s="1">
        <v>44210.486805555556</v>
      </c>
      <c r="AJ1256">
        <v>375</v>
      </c>
      <c r="AK1256">
        <v>2</v>
      </c>
      <c r="AL1256">
        <v>0</v>
      </c>
      <c r="AM1256">
        <v>2</v>
      </c>
      <c r="AN1256">
        <v>0</v>
      </c>
      <c r="AO1256">
        <v>4</v>
      </c>
      <c r="AP1256">
        <v>-1</v>
      </c>
      <c r="AQ1256">
        <v>0</v>
      </c>
      <c r="AR1256">
        <v>0</v>
      </c>
      <c r="AS1256">
        <v>0</v>
      </c>
      <c r="AT1256" t="s">
        <v>90</v>
      </c>
      <c r="AU1256" s="1">
        <v>44210.487372685187</v>
      </c>
      <c r="AV1256">
        <v>9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-1</v>
      </c>
      <c r="BC1256">
        <v>0</v>
      </c>
      <c r="BD1256">
        <v>0</v>
      </c>
      <c r="BE1256">
        <v>0</v>
      </c>
    </row>
    <row r="1257" spans="1:57" x14ac:dyDescent="0.45">
      <c r="A1257" t="s">
        <v>3174</v>
      </c>
      <c r="B1257" t="s">
        <v>79</v>
      </c>
      <c r="C1257" t="s">
        <v>3175</v>
      </c>
      <c r="D1257" t="s">
        <v>81</v>
      </c>
      <c r="E1257" s="2" t="str">
        <f>HYPERLINK("capsilon://?command=openfolder&amp;siteaddress=FAM.docvelocity-na8.net&amp;folderid=FXD984A7F0-E37D-5C63-58F9-60505103C2CA","FX21014247")</f>
        <v>FX21014247</v>
      </c>
      <c r="F1257" t="s">
        <v>19</v>
      </c>
      <c r="G1257" t="s">
        <v>19</v>
      </c>
      <c r="H1257" t="s">
        <v>82</v>
      </c>
      <c r="I1257" t="s">
        <v>3176</v>
      </c>
      <c r="J1257">
        <v>270</v>
      </c>
      <c r="K1257" t="s">
        <v>84</v>
      </c>
      <c r="L1257" t="s">
        <v>85</v>
      </c>
      <c r="M1257" t="s">
        <v>86</v>
      </c>
      <c r="N1257">
        <v>3</v>
      </c>
      <c r="O1257" s="1">
        <v>44210.47457175926</v>
      </c>
      <c r="P1257" s="1">
        <v>44210.588402777779</v>
      </c>
      <c r="Q1257">
        <v>5792</v>
      </c>
      <c r="R1257">
        <v>4043</v>
      </c>
      <c r="S1257" t="b">
        <v>0</v>
      </c>
      <c r="T1257" t="s">
        <v>87</v>
      </c>
      <c r="U1257" t="b">
        <v>0</v>
      </c>
      <c r="V1257" t="s">
        <v>171</v>
      </c>
      <c r="W1257" s="1">
        <v>44210.510555555556</v>
      </c>
      <c r="X1257">
        <v>3108</v>
      </c>
      <c r="Y1257">
        <v>255</v>
      </c>
      <c r="Z1257">
        <v>0</v>
      </c>
      <c r="AA1257">
        <v>255</v>
      </c>
      <c r="AB1257">
        <v>0</v>
      </c>
      <c r="AC1257">
        <v>131</v>
      </c>
      <c r="AD1257">
        <v>15</v>
      </c>
      <c r="AE1257">
        <v>0</v>
      </c>
      <c r="AF1257">
        <v>0</v>
      </c>
      <c r="AG1257">
        <v>0</v>
      </c>
      <c r="AH1257" t="s">
        <v>132</v>
      </c>
      <c r="AI1257" s="1">
        <v>44210.521597222221</v>
      </c>
      <c r="AJ1257">
        <v>805</v>
      </c>
      <c r="AK1257">
        <v>7</v>
      </c>
      <c r="AL1257">
        <v>0</v>
      </c>
      <c r="AM1257">
        <v>7</v>
      </c>
      <c r="AN1257">
        <v>0</v>
      </c>
      <c r="AO1257">
        <v>6</v>
      </c>
      <c r="AP1257">
        <v>8</v>
      </c>
      <c r="AQ1257">
        <v>0</v>
      </c>
      <c r="AR1257">
        <v>0</v>
      </c>
      <c r="AS1257">
        <v>0</v>
      </c>
      <c r="AT1257" t="s">
        <v>90</v>
      </c>
      <c r="AU1257" s="1">
        <v>44210.588402777779</v>
      </c>
      <c r="AV1257">
        <v>113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8</v>
      </c>
      <c r="BC1257">
        <v>0</v>
      </c>
      <c r="BD1257">
        <v>0</v>
      </c>
      <c r="BE1257">
        <v>0</v>
      </c>
    </row>
    <row r="1258" spans="1:57" x14ac:dyDescent="0.45">
      <c r="A1258" t="s">
        <v>3177</v>
      </c>
      <c r="B1258" t="s">
        <v>79</v>
      </c>
      <c r="C1258" t="s">
        <v>3178</v>
      </c>
      <c r="D1258" t="s">
        <v>81</v>
      </c>
      <c r="E1258" s="2" t="str">
        <f>HYPERLINK("capsilon://?command=openfolder&amp;siteaddress=FAM.docvelocity-na8.net&amp;folderid=FXBB856CCD-8902-79FE-AF20-8C2E20114FCB","FX21017132")</f>
        <v>FX21017132</v>
      </c>
      <c r="F1258" t="s">
        <v>19</v>
      </c>
      <c r="G1258" t="s">
        <v>19</v>
      </c>
      <c r="H1258" t="s">
        <v>82</v>
      </c>
      <c r="I1258" t="s">
        <v>3179</v>
      </c>
      <c r="J1258">
        <v>190</v>
      </c>
      <c r="K1258" t="s">
        <v>84</v>
      </c>
      <c r="L1258" t="s">
        <v>85</v>
      </c>
      <c r="M1258" t="s">
        <v>86</v>
      </c>
      <c r="N1258">
        <v>3</v>
      </c>
      <c r="O1258" s="1">
        <v>44210.474606481483</v>
      </c>
      <c r="P1258" s="1">
        <v>44210.588819444441</v>
      </c>
      <c r="Q1258">
        <v>5606</v>
      </c>
      <c r="R1258">
        <v>4262</v>
      </c>
      <c r="S1258" t="b">
        <v>0</v>
      </c>
      <c r="T1258" t="s">
        <v>87</v>
      </c>
      <c r="U1258" t="b">
        <v>0</v>
      </c>
      <c r="V1258" t="s">
        <v>146</v>
      </c>
      <c r="W1258" s="1">
        <v>44210.520219907405</v>
      </c>
      <c r="X1258">
        <v>3940</v>
      </c>
      <c r="Y1258">
        <v>181</v>
      </c>
      <c r="Z1258">
        <v>0</v>
      </c>
      <c r="AA1258">
        <v>181</v>
      </c>
      <c r="AB1258">
        <v>37</v>
      </c>
      <c r="AC1258">
        <v>98</v>
      </c>
      <c r="AD1258">
        <v>9</v>
      </c>
      <c r="AE1258">
        <v>0</v>
      </c>
      <c r="AF1258">
        <v>0</v>
      </c>
      <c r="AG1258">
        <v>0</v>
      </c>
      <c r="AH1258" t="s">
        <v>132</v>
      </c>
      <c r="AI1258" s="1">
        <v>44210.524930555555</v>
      </c>
      <c r="AJ1258">
        <v>287</v>
      </c>
      <c r="AK1258">
        <v>0</v>
      </c>
      <c r="AL1258">
        <v>0</v>
      </c>
      <c r="AM1258">
        <v>0</v>
      </c>
      <c r="AN1258">
        <v>37</v>
      </c>
      <c r="AO1258">
        <v>0</v>
      </c>
      <c r="AP1258">
        <v>9</v>
      </c>
      <c r="AQ1258">
        <v>0</v>
      </c>
      <c r="AR1258">
        <v>0</v>
      </c>
      <c r="AS1258">
        <v>0</v>
      </c>
      <c r="AT1258" t="s">
        <v>90</v>
      </c>
      <c r="AU1258" s="1">
        <v>44210.588819444441</v>
      </c>
      <c r="AV1258">
        <v>35</v>
      </c>
      <c r="AW1258">
        <v>0</v>
      </c>
      <c r="AX1258">
        <v>0</v>
      </c>
      <c r="AY1258">
        <v>0</v>
      </c>
      <c r="AZ1258">
        <v>37</v>
      </c>
      <c r="BA1258">
        <v>0</v>
      </c>
      <c r="BB1258">
        <v>9</v>
      </c>
      <c r="BC1258">
        <v>0</v>
      </c>
      <c r="BD1258">
        <v>0</v>
      </c>
      <c r="BE1258">
        <v>0</v>
      </c>
    </row>
    <row r="1259" spans="1:57" x14ac:dyDescent="0.45">
      <c r="A1259" t="s">
        <v>3180</v>
      </c>
      <c r="B1259" t="s">
        <v>79</v>
      </c>
      <c r="C1259" t="s">
        <v>3181</v>
      </c>
      <c r="D1259" t="s">
        <v>81</v>
      </c>
      <c r="E1259" s="2" t="str">
        <f>HYPERLINK("capsilon://?command=openfolder&amp;siteaddress=FAM.docvelocity-na8.net&amp;folderid=FX3CC2F0D4-308B-6AE5-B8CB-A086F065FED9","FX21012225")</f>
        <v>FX21012225</v>
      </c>
      <c r="F1259" t="s">
        <v>19</v>
      </c>
      <c r="G1259" t="s">
        <v>19</v>
      </c>
      <c r="H1259" t="s">
        <v>82</v>
      </c>
      <c r="I1259" t="s">
        <v>3182</v>
      </c>
      <c r="J1259">
        <v>330</v>
      </c>
      <c r="K1259" t="s">
        <v>84</v>
      </c>
      <c r="L1259" t="s">
        <v>85</v>
      </c>
      <c r="M1259" t="s">
        <v>86</v>
      </c>
      <c r="N1259">
        <v>3</v>
      </c>
      <c r="O1259" s="1">
        <v>44210.479560185187</v>
      </c>
      <c r="P1259" s="1">
        <v>44210.591909722221</v>
      </c>
      <c r="Q1259">
        <v>5390</v>
      </c>
      <c r="R1259">
        <v>4317</v>
      </c>
      <c r="S1259" t="b">
        <v>0</v>
      </c>
      <c r="T1259" t="s">
        <v>87</v>
      </c>
      <c r="U1259" t="b">
        <v>0</v>
      </c>
      <c r="V1259" t="s">
        <v>919</v>
      </c>
      <c r="W1259" s="1">
        <v>44210.519467592596</v>
      </c>
      <c r="X1259">
        <v>3448</v>
      </c>
      <c r="Y1259">
        <v>316</v>
      </c>
      <c r="Z1259">
        <v>0</v>
      </c>
      <c r="AA1259">
        <v>316</v>
      </c>
      <c r="AB1259">
        <v>0</v>
      </c>
      <c r="AC1259">
        <v>125</v>
      </c>
      <c r="AD1259">
        <v>14</v>
      </c>
      <c r="AE1259">
        <v>0</v>
      </c>
      <c r="AF1259">
        <v>0</v>
      </c>
      <c r="AG1259">
        <v>0</v>
      </c>
      <c r="AH1259" t="s">
        <v>132</v>
      </c>
      <c r="AI1259" s="1">
        <v>44210.533599537041</v>
      </c>
      <c r="AJ1259">
        <v>603</v>
      </c>
      <c r="AK1259">
        <v>5</v>
      </c>
      <c r="AL1259">
        <v>0</v>
      </c>
      <c r="AM1259">
        <v>5</v>
      </c>
      <c r="AN1259">
        <v>0</v>
      </c>
      <c r="AO1259">
        <v>4</v>
      </c>
      <c r="AP1259">
        <v>9</v>
      </c>
      <c r="AQ1259">
        <v>0</v>
      </c>
      <c r="AR1259">
        <v>0</v>
      </c>
      <c r="AS1259">
        <v>0</v>
      </c>
      <c r="AT1259" t="s">
        <v>90</v>
      </c>
      <c r="AU1259" s="1">
        <v>44210.591909722221</v>
      </c>
      <c r="AV1259">
        <v>266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9</v>
      </c>
      <c r="BC1259">
        <v>0</v>
      </c>
      <c r="BD1259">
        <v>0</v>
      </c>
      <c r="BE1259">
        <v>0</v>
      </c>
    </row>
    <row r="1260" spans="1:57" x14ac:dyDescent="0.45">
      <c r="A1260" t="s">
        <v>3183</v>
      </c>
      <c r="B1260" t="s">
        <v>79</v>
      </c>
      <c r="C1260" t="s">
        <v>3184</v>
      </c>
      <c r="D1260" t="s">
        <v>81</v>
      </c>
      <c r="E1260" s="2" t="str">
        <f>HYPERLINK("capsilon://?command=openfolder&amp;siteaddress=FAM.docvelocity-na8.net&amp;folderid=FX7E6B9C69-186F-4ECE-ED02-1511F2C4E07A","FX21014298")</f>
        <v>FX21014298</v>
      </c>
      <c r="F1260" t="s">
        <v>19</v>
      </c>
      <c r="G1260" t="s">
        <v>19</v>
      </c>
      <c r="H1260" t="s">
        <v>82</v>
      </c>
      <c r="I1260" t="s">
        <v>3185</v>
      </c>
      <c r="J1260">
        <v>188</v>
      </c>
      <c r="K1260" t="s">
        <v>84</v>
      </c>
      <c r="L1260" t="s">
        <v>85</v>
      </c>
      <c r="M1260" t="s">
        <v>86</v>
      </c>
      <c r="N1260">
        <v>3</v>
      </c>
      <c r="O1260" s="1">
        <v>44210.479641203703</v>
      </c>
      <c r="P1260" s="1">
        <v>44210.515277777777</v>
      </c>
      <c r="Q1260">
        <v>1146</v>
      </c>
      <c r="R1260">
        <v>1933</v>
      </c>
      <c r="S1260" t="b">
        <v>0</v>
      </c>
      <c r="T1260" t="s">
        <v>87</v>
      </c>
      <c r="U1260" t="b">
        <v>0</v>
      </c>
      <c r="V1260" t="s">
        <v>242</v>
      </c>
      <c r="W1260" s="1">
        <v>44210.494953703703</v>
      </c>
      <c r="X1260">
        <v>1318</v>
      </c>
      <c r="Y1260">
        <v>144</v>
      </c>
      <c r="Z1260">
        <v>0</v>
      </c>
      <c r="AA1260">
        <v>144</v>
      </c>
      <c r="AB1260">
        <v>64</v>
      </c>
      <c r="AC1260">
        <v>75</v>
      </c>
      <c r="AD1260">
        <v>44</v>
      </c>
      <c r="AE1260">
        <v>0</v>
      </c>
      <c r="AF1260">
        <v>0</v>
      </c>
      <c r="AG1260">
        <v>0</v>
      </c>
      <c r="AH1260" t="s">
        <v>132</v>
      </c>
      <c r="AI1260" s="1">
        <v>44210.501562500001</v>
      </c>
      <c r="AJ1260">
        <v>568</v>
      </c>
      <c r="AK1260">
        <v>0</v>
      </c>
      <c r="AL1260">
        <v>0</v>
      </c>
      <c r="AM1260">
        <v>0</v>
      </c>
      <c r="AN1260">
        <v>64</v>
      </c>
      <c r="AO1260">
        <v>0</v>
      </c>
      <c r="AP1260">
        <v>44</v>
      </c>
      <c r="AQ1260">
        <v>0</v>
      </c>
      <c r="AR1260">
        <v>0</v>
      </c>
      <c r="AS1260">
        <v>0</v>
      </c>
      <c r="AT1260" t="s">
        <v>90</v>
      </c>
      <c r="AU1260" s="1">
        <v>44210.515277777777</v>
      </c>
      <c r="AV1260">
        <v>47</v>
      </c>
      <c r="AW1260">
        <v>0</v>
      </c>
      <c r="AX1260">
        <v>0</v>
      </c>
      <c r="AY1260">
        <v>0</v>
      </c>
      <c r="AZ1260">
        <v>64</v>
      </c>
      <c r="BA1260">
        <v>0</v>
      </c>
      <c r="BB1260">
        <v>44</v>
      </c>
      <c r="BC1260">
        <v>0</v>
      </c>
      <c r="BD1260">
        <v>0</v>
      </c>
      <c r="BE1260">
        <v>0</v>
      </c>
    </row>
    <row r="1261" spans="1:57" x14ac:dyDescent="0.45">
      <c r="A1261" t="s">
        <v>3186</v>
      </c>
      <c r="B1261" t="s">
        <v>79</v>
      </c>
      <c r="C1261" t="s">
        <v>2744</v>
      </c>
      <c r="D1261" t="s">
        <v>81</v>
      </c>
      <c r="E1261" s="2" t="str">
        <f>HYPERLINK("capsilon://?command=openfolder&amp;siteaddress=FAM.docvelocity-na8.net&amp;folderid=FXF693C463-4173-8D9A-05D3-17DC11917528","FX20123126")</f>
        <v>FX20123126</v>
      </c>
      <c r="F1261" t="s">
        <v>19</v>
      </c>
      <c r="G1261" t="s">
        <v>19</v>
      </c>
      <c r="H1261" t="s">
        <v>82</v>
      </c>
      <c r="I1261" t="s">
        <v>3187</v>
      </c>
      <c r="J1261">
        <v>46</v>
      </c>
      <c r="K1261" t="s">
        <v>84</v>
      </c>
      <c r="L1261" t="s">
        <v>85</v>
      </c>
      <c r="M1261" t="s">
        <v>86</v>
      </c>
      <c r="N1261">
        <v>3</v>
      </c>
      <c r="O1261" s="1">
        <v>44210.480405092596</v>
      </c>
      <c r="P1261" s="1">
        <v>44210.48982638889</v>
      </c>
      <c r="Q1261">
        <v>160</v>
      </c>
      <c r="R1261">
        <v>654</v>
      </c>
      <c r="S1261" t="b">
        <v>0</v>
      </c>
      <c r="T1261" t="s">
        <v>87</v>
      </c>
      <c r="U1261" t="b">
        <v>0</v>
      </c>
      <c r="V1261" t="s">
        <v>343</v>
      </c>
      <c r="W1261" s="1">
        <v>44210.487534722219</v>
      </c>
      <c r="X1261">
        <v>535</v>
      </c>
      <c r="Y1261">
        <v>47</v>
      </c>
      <c r="Z1261">
        <v>0</v>
      </c>
      <c r="AA1261">
        <v>47</v>
      </c>
      <c r="AB1261">
        <v>0</v>
      </c>
      <c r="AC1261">
        <v>21</v>
      </c>
      <c r="AD1261">
        <v>-1</v>
      </c>
      <c r="AE1261">
        <v>0</v>
      </c>
      <c r="AF1261">
        <v>0</v>
      </c>
      <c r="AG1261">
        <v>0</v>
      </c>
      <c r="AH1261" t="s">
        <v>132</v>
      </c>
      <c r="AI1261" s="1">
        <v>44210.488877314812</v>
      </c>
      <c r="AJ1261">
        <v>90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-1</v>
      </c>
      <c r="AQ1261">
        <v>0</v>
      </c>
      <c r="AR1261">
        <v>0</v>
      </c>
      <c r="AS1261">
        <v>0</v>
      </c>
      <c r="AT1261" t="s">
        <v>90</v>
      </c>
      <c r="AU1261" s="1">
        <v>44210.48982638889</v>
      </c>
      <c r="AV1261">
        <v>22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-1</v>
      </c>
      <c r="BC1261">
        <v>0</v>
      </c>
      <c r="BD1261">
        <v>0</v>
      </c>
      <c r="BE1261">
        <v>0</v>
      </c>
    </row>
    <row r="1262" spans="1:57" x14ac:dyDescent="0.45">
      <c r="A1262" t="s">
        <v>3188</v>
      </c>
      <c r="B1262" t="s">
        <v>79</v>
      </c>
      <c r="C1262" t="s">
        <v>1368</v>
      </c>
      <c r="D1262" t="s">
        <v>81</v>
      </c>
      <c r="E1262" s="2" t="str">
        <f>HYPERLINK("capsilon://?command=openfolder&amp;siteaddress=FAM.docvelocity-na8.net&amp;folderid=FX1F09366B-D266-206E-645F-AA6DDD99FF2A","FX201226820")</f>
        <v>FX201226820</v>
      </c>
      <c r="F1262" t="s">
        <v>19</v>
      </c>
      <c r="G1262" t="s">
        <v>19</v>
      </c>
      <c r="H1262" t="s">
        <v>82</v>
      </c>
      <c r="I1262" t="s">
        <v>3189</v>
      </c>
      <c r="J1262">
        <v>65</v>
      </c>
      <c r="K1262" t="s">
        <v>84</v>
      </c>
      <c r="L1262" t="s">
        <v>85</v>
      </c>
      <c r="M1262" t="s">
        <v>86</v>
      </c>
      <c r="N1262">
        <v>3</v>
      </c>
      <c r="O1262" s="1">
        <v>44200.699803240743</v>
      </c>
      <c r="P1262" s="1">
        <v>44201.422997685186</v>
      </c>
      <c r="Q1262">
        <v>61968</v>
      </c>
      <c r="R1262">
        <v>516</v>
      </c>
      <c r="S1262" t="b">
        <v>0</v>
      </c>
      <c r="T1262" t="s">
        <v>87</v>
      </c>
      <c r="U1262" t="b">
        <v>0</v>
      </c>
      <c r="V1262" t="s">
        <v>266</v>
      </c>
      <c r="W1262" s="1">
        <v>44200.832604166666</v>
      </c>
      <c r="X1262">
        <v>220</v>
      </c>
      <c r="Y1262">
        <v>61</v>
      </c>
      <c r="Z1262">
        <v>0</v>
      </c>
      <c r="AA1262">
        <v>61</v>
      </c>
      <c r="AB1262">
        <v>0</v>
      </c>
      <c r="AC1262">
        <v>3</v>
      </c>
      <c r="AD1262">
        <v>4</v>
      </c>
      <c r="AE1262">
        <v>0</v>
      </c>
      <c r="AF1262">
        <v>0</v>
      </c>
      <c r="AG1262">
        <v>0</v>
      </c>
      <c r="AH1262" t="s">
        <v>94</v>
      </c>
      <c r="AI1262" s="1">
        <v>44200.841944444444</v>
      </c>
      <c r="AJ1262">
        <v>262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4</v>
      </c>
      <c r="AQ1262">
        <v>0</v>
      </c>
      <c r="AR1262">
        <v>0</v>
      </c>
      <c r="AS1262">
        <v>0</v>
      </c>
      <c r="AT1262" t="s">
        <v>90</v>
      </c>
      <c r="AU1262" s="1">
        <v>44201.422997685186</v>
      </c>
      <c r="AV1262">
        <v>34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4</v>
      </c>
      <c r="BC1262">
        <v>0</v>
      </c>
      <c r="BD1262">
        <v>0</v>
      </c>
      <c r="BE1262">
        <v>0</v>
      </c>
    </row>
    <row r="1263" spans="1:57" hidden="1" x14ac:dyDescent="0.45">
      <c r="A1263" t="s">
        <v>3190</v>
      </c>
      <c r="B1263" t="s">
        <v>79</v>
      </c>
      <c r="C1263" t="s">
        <v>3191</v>
      </c>
      <c r="D1263" t="s">
        <v>81</v>
      </c>
      <c r="E1263" s="2" t="str">
        <f>HYPERLINK("capsilon://?command=openfolder&amp;siteaddress=FAM.docvelocity-na8.net&amp;folderid=FX07ECC503-E326-3123-E0BB-EFA71A75E5E1","FX201114358")</f>
        <v>FX201114358</v>
      </c>
      <c r="F1263" t="s">
        <v>19</v>
      </c>
      <c r="G1263" t="s">
        <v>19</v>
      </c>
      <c r="H1263" t="s">
        <v>82</v>
      </c>
      <c r="I1263" t="s">
        <v>3192</v>
      </c>
      <c r="J1263">
        <v>132</v>
      </c>
      <c r="K1263" t="s">
        <v>84</v>
      </c>
      <c r="L1263" t="s">
        <v>85</v>
      </c>
      <c r="M1263" t="s">
        <v>86</v>
      </c>
      <c r="N1263">
        <v>3</v>
      </c>
      <c r="O1263" s="1">
        <v>44210.480902777781</v>
      </c>
      <c r="P1263" s="1">
        <v>44210.489872685182</v>
      </c>
      <c r="Q1263">
        <v>527</v>
      </c>
      <c r="R1263">
        <v>248</v>
      </c>
      <c r="S1263" t="b">
        <v>0</v>
      </c>
      <c r="T1263" t="s">
        <v>87</v>
      </c>
      <c r="U1263" t="b">
        <v>0</v>
      </c>
      <c r="V1263" t="s">
        <v>168</v>
      </c>
      <c r="W1263" s="1">
        <v>44210.484131944446</v>
      </c>
      <c r="X1263">
        <v>219</v>
      </c>
      <c r="Y1263">
        <v>0</v>
      </c>
      <c r="Z1263">
        <v>0</v>
      </c>
      <c r="AA1263">
        <v>0</v>
      </c>
      <c r="AB1263">
        <v>104</v>
      </c>
      <c r="AC1263">
        <v>0</v>
      </c>
      <c r="AD1263">
        <v>132</v>
      </c>
      <c r="AE1263">
        <v>0</v>
      </c>
      <c r="AF1263">
        <v>0</v>
      </c>
      <c r="AG1263">
        <v>0</v>
      </c>
      <c r="AH1263" t="s">
        <v>132</v>
      </c>
      <c r="AI1263" s="1">
        <v>44210.487824074073</v>
      </c>
      <c r="AJ1263">
        <v>26</v>
      </c>
      <c r="AK1263">
        <v>0</v>
      </c>
      <c r="AL1263">
        <v>0</v>
      </c>
      <c r="AM1263">
        <v>0</v>
      </c>
      <c r="AN1263">
        <v>104</v>
      </c>
      <c r="AO1263">
        <v>0</v>
      </c>
      <c r="AP1263">
        <v>132</v>
      </c>
      <c r="AQ1263">
        <v>0</v>
      </c>
      <c r="AR1263">
        <v>0</v>
      </c>
      <c r="AS1263">
        <v>0</v>
      </c>
      <c r="AT1263" t="s">
        <v>90</v>
      </c>
      <c r="AU1263" s="1">
        <v>44210.489872685182</v>
      </c>
      <c r="AV1263">
        <v>3</v>
      </c>
      <c r="AW1263">
        <v>0</v>
      </c>
      <c r="AX1263">
        <v>0</v>
      </c>
      <c r="AY1263">
        <v>0</v>
      </c>
      <c r="AZ1263">
        <v>104</v>
      </c>
      <c r="BA1263">
        <v>0</v>
      </c>
      <c r="BB1263">
        <v>132</v>
      </c>
      <c r="BC1263">
        <v>0</v>
      </c>
      <c r="BD1263">
        <v>0</v>
      </c>
      <c r="BE1263">
        <v>0</v>
      </c>
    </row>
    <row r="1264" spans="1:57" x14ac:dyDescent="0.45">
      <c r="A1264" t="s">
        <v>3193</v>
      </c>
      <c r="B1264" t="s">
        <v>79</v>
      </c>
      <c r="C1264" t="s">
        <v>2744</v>
      </c>
      <c r="D1264" t="s">
        <v>81</v>
      </c>
      <c r="E1264" s="2" t="str">
        <f>HYPERLINK("capsilon://?command=openfolder&amp;siteaddress=FAM.docvelocity-na8.net&amp;folderid=FXF693C463-4173-8D9A-05D3-17DC11917528","FX20123126")</f>
        <v>FX20123126</v>
      </c>
      <c r="F1264" t="s">
        <v>19</v>
      </c>
      <c r="G1264" t="s">
        <v>19</v>
      </c>
      <c r="H1264" t="s">
        <v>82</v>
      </c>
      <c r="I1264" t="s">
        <v>3194</v>
      </c>
      <c r="J1264">
        <v>89</v>
      </c>
      <c r="K1264" t="s">
        <v>84</v>
      </c>
      <c r="L1264" t="s">
        <v>85</v>
      </c>
      <c r="M1264" t="s">
        <v>86</v>
      </c>
      <c r="N1264">
        <v>3</v>
      </c>
      <c r="O1264" s="1">
        <v>44210.480995370373</v>
      </c>
      <c r="P1264" s="1">
        <v>44210.515856481485</v>
      </c>
      <c r="Q1264">
        <v>1827</v>
      </c>
      <c r="R1264">
        <v>1185</v>
      </c>
      <c r="S1264" t="b">
        <v>0</v>
      </c>
      <c r="T1264" t="s">
        <v>87</v>
      </c>
      <c r="U1264" t="b">
        <v>0</v>
      </c>
      <c r="V1264" t="s">
        <v>88</v>
      </c>
      <c r="W1264" s="1">
        <v>44210.493101851855</v>
      </c>
      <c r="X1264">
        <v>982</v>
      </c>
      <c r="Y1264">
        <v>82</v>
      </c>
      <c r="Z1264">
        <v>0</v>
      </c>
      <c r="AA1264">
        <v>82</v>
      </c>
      <c r="AB1264">
        <v>0</v>
      </c>
      <c r="AC1264">
        <v>63</v>
      </c>
      <c r="AD1264">
        <v>7</v>
      </c>
      <c r="AE1264">
        <v>0</v>
      </c>
      <c r="AF1264">
        <v>0</v>
      </c>
      <c r="AG1264">
        <v>0</v>
      </c>
      <c r="AH1264" t="s">
        <v>132</v>
      </c>
      <c r="AI1264" s="1">
        <v>44210.494988425926</v>
      </c>
      <c r="AJ1264">
        <v>153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7</v>
      </c>
      <c r="AQ1264">
        <v>0</v>
      </c>
      <c r="AR1264">
        <v>0</v>
      </c>
      <c r="AS1264">
        <v>0</v>
      </c>
      <c r="AT1264" t="s">
        <v>90</v>
      </c>
      <c r="AU1264" s="1">
        <v>44210.515856481485</v>
      </c>
      <c r="AV1264">
        <v>50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7</v>
      </c>
      <c r="BC1264">
        <v>0</v>
      </c>
      <c r="BD1264">
        <v>0</v>
      </c>
      <c r="BE1264">
        <v>0</v>
      </c>
    </row>
    <row r="1265" spans="1:57" x14ac:dyDescent="0.45">
      <c r="A1265" t="s">
        <v>3195</v>
      </c>
      <c r="B1265" t="s">
        <v>79</v>
      </c>
      <c r="C1265" t="s">
        <v>3196</v>
      </c>
      <c r="D1265" t="s">
        <v>81</v>
      </c>
      <c r="E1265" s="2" t="str">
        <f>HYPERLINK("capsilon://?command=openfolder&amp;siteaddress=FAM.docvelocity-na8.net&amp;folderid=FXE96D1DE3-E152-BE58-362A-A5BE3EC46AB9","FX21012289")</f>
        <v>FX21012289</v>
      </c>
      <c r="F1265" t="s">
        <v>19</v>
      </c>
      <c r="G1265" t="s">
        <v>19</v>
      </c>
      <c r="H1265" t="s">
        <v>82</v>
      </c>
      <c r="I1265" t="s">
        <v>3197</v>
      </c>
      <c r="J1265">
        <v>140</v>
      </c>
      <c r="K1265" t="s">
        <v>84</v>
      </c>
      <c r="L1265" t="s">
        <v>85</v>
      </c>
      <c r="M1265" t="s">
        <v>86</v>
      </c>
      <c r="N1265">
        <v>3</v>
      </c>
      <c r="O1265" s="1">
        <v>44210.487442129626</v>
      </c>
      <c r="P1265" s="1">
        <v>44210.593402777777</v>
      </c>
      <c r="Q1265">
        <v>5442</v>
      </c>
      <c r="R1265">
        <v>3713</v>
      </c>
      <c r="S1265" t="b">
        <v>0</v>
      </c>
      <c r="T1265" t="s">
        <v>87</v>
      </c>
      <c r="U1265" t="b">
        <v>0</v>
      </c>
      <c r="V1265" t="s">
        <v>343</v>
      </c>
      <c r="W1265" s="1">
        <v>44210.51903935185</v>
      </c>
      <c r="X1265">
        <v>2721</v>
      </c>
      <c r="Y1265">
        <v>238</v>
      </c>
      <c r="Z1265">
        <v>0</v>
      </c>
      <c r="AA1265">
        <v>238</v>
      </c>
      <c r="AB1265">
        <v>0</v>
      </c>
      <c r="AC1265">
        <v>176</v>
      </c>
      <c r="AD1265">
        <v>-98</v>
      </c>
      <c r="AE1265">
        <v>0</v>
      </c>
      <c r="AF1265">
        <v>0</v>
      </c>
      <c r="AG1265">
        <v>0</v>
      </c>
      <c r="AH1265" t="s">
        <v>128</v>
      </c>
      <c r="AI1265" s="1">
        <v>44210.53833333333</v>
      </c>
      <c r="AJ1265">
        <v>856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-98</v>
      </c>
      <c r="AQ1265">
        <v>0</v>
      </c>
      <c r="AR1265">
        <v>0</v>
      </c>
      <c r="AS1265">
        <v>0</v>
      </c>
      <c r="AT1265" t="s">
        <v>90</v>
      </c>
      <c r="AU1265" s="1">
        <v>44210.593402777777</v>
      </c>
      <c r="AV1265">
        <v>128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-98</v>
      </c>
      <c r="BC1265">
        <v>0</v>
      </c>
      <c r="BD1265">
        <v>0</v>
      </c>
      <c r="BE1265">
        <v>0</v>
      </c>
    </row>
    <row r="1266" spans="1:57" x14ac:dyDescent="0.45">
      <c r="A1266" t="s">
        <v>3198</v>
      </c>
      <c r="B1266" t="s">
        <v>79</v>
      </c>
      <c r="C1266" t="s">
        <v>1368</v>
      </c>
      <c r="D1266" t="s">
        <v>81</v>
      </c>
      <c r="E1266" s="2" t="str">
        <f>HYPERLINK("capsilon://?command=openfolder&amp;siteaddress=FAM.docvelocity-na8.net&amp;folderid=FX1F09366B-D266-206E-645F-AA6DDD99FF2A","FX201226820")</f>
        <v>FX201226820</v>
      </c>
      <c r="F1266" t="s">
        <v>19</v>
      </c>
      <c r="G1266" t="s">
        <v>19</v>
      </c>
      <c r="H1266" t="s">
        <v>82</v>
      </c>
      <c r="I1266" t="s">
        <v>3199</v>
      </c>
      <c r="J1266">
        <v>65</v>
      </c>
      <c r="K1266" t="s">
        <v>84</v>
      </c>
      <c r="L1266" t="s">
        <v>85</v>
      </c>
      <c r="M1266" t="s">
        <v>86</v>
      </c>
      <c r="N1266">
        <v>3</v>
      </c>
      <c r="O1266" s="1">
        <v>44200.700648148151</v>
      </c>
      <c r="P1266" s="1">
        <v>44201.423090277778</v>
      </c>
      <c r="Q1266">
        <v>62101</v>
      </c>
      <c r="R1266">
        <v>318</v>
      </c>
      <c r="S1266" t="b">
        <v>0</v>
      </c>
      <c r="T1266" t="s">
        <v>87</v>
      </c>
      <c r="U1266" t="b">
        <v>0</v>
      </c>
      <c r="V1266" t="s">
        <v>242</v>
      </c>
      <c r="W1266" s="1">
        <v>44200.83320601852</v>
      </c>
      <c r="X1266">
        <v>195</v>
      </c>
      <c r="Y1266">
        <v>61</v>
      </c>
      <c r="Z1266">
        <v>0</v>
      </c>
      <c r="AA1266">
        <v>61</v>
      </c>
      <c r="AB1266">
        <v>0</v>
      </c>
      <c r="AC1266">
        <v>12</v>
      </c>
      <c r="AD1266">
        <v>4</v>
      </c>
      <c r="AE1266">
        <v>0</v>
      </c>
      <c r="AF1266">
        <v>0</v>
      </c>
      <c r="AG1266">
        <v>0</v>
      </c>
      <c r="AH1266" t="s">
        <v>267</v>
      </c>
      <c r="AI1266" s="1">
        <v>44200.84101851852</v>
      </c>
      <c r="AJ1266">
        <v>115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4</v>
      </c>
      <c r="AQ1266">
        <v>0</v>
      </c>
      <c r="AR1266">
        <v>0</v>
      </c>
      <c r="AS1266">
        <v>0</v>
      </c>
      <c r="AT1266" t="s">
        <v>90</v>
      </c>
      <c r="AU1266" s="1">
        <v>44201.423090277778</v>
      </c>
      <c r="AV1266">
        <v>8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4</v>
      </c>
      <c r="BC1266">
        <v>0</v>
      </c>
      <c r="BD1266">
        <v>0</v>
      </c>
      <c r="BE1266">
        <v>0</v>
      </c>
    </row>
    <row r="1267" spans="1:57" hidden="1" x14ac:dyDescent="0.45">
      <c r="A1267" t="s">
        <v>3200</v>
      </c>
      <c r="B1267" t="s">
        <v>79</v>
      </c>
      <c r="C1267" t="s">
        <v>2207</v>
      </c>
      <c r="D1267" t="s">
        <v>81</v>
      </c>
      <c r="E1267" s="2" t="str">
        <f>HYPERLINK("capsilon://?command=openfolder&amp;siteaddress=FAM.docvelocity-na8.net&amp;folderid=FX9841E19E-C331-114E-D4E2-1AE575A91BC2","FX20124180")</f>
        <v>FX20124180</v>
      </c>
      <c r="F1267" t="s">
        <v>19</v>
      </c>
      <c r="G1267" t="s">
        <v>19</v>
      </c>
      <c r="H1267" t="s">
        <v>82</v>
      </c>
      <c r="I1267" t="s">
        <v>3201</v>
      </c>
      <c r="J1267">
        <v>66</v>
      </c>
      <c r="K1267" t="s">
        <v>84</v>
      </c>
      <c r="L1267" t="s">
        <v>85</v>
      </c>
      <c r="M1267" t="s">
        <v>86</v>
      </c>
      <c r="N1267">
        <v>1</v>
      </c>
      <c r="O1267" s="1">
        <v>44210.492060185185</v>
      </c>
      <c r="P1267" s="1">
        <v>44210.500486111108</v>
      </c>
      <c r="Q1267">
        <v>434</v>
      </c>
      <c r="R1267">
        <v>294</v>
      </c>
      <c r="S1267" t="b">
        <v>0</v>
      </c>
      <c r="T1267" t="s">
        <v>87</v>
      </c>
      <c r="U1267" t="b">
        <v>0</v>
      </c>
      <c r="V1267" t="s">
        <v>255</v>
      </c>
      <c r="W1267" s="1">
        <v>44210.500486111108</v>
      </c>
      <c r="X1267">
        <v>52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66</v>
      </c>
      <c r="AE1267">
        <v>0</v>
      </c>
      <c r="AF1267">
        <v>0</v>
      </c>
      <c r="AG1267">
        <v>1</v>
      </c>
      <c r="AH1267" t="s">
        <v>87</v>
      </c>
      <c r="AI1267" t="s">
        <v>87</v>
      </c>
      <c r="AJ1267" t="s">
        <v>87</v>
      </c>
      <c r="AK1267" t="s">
        <v>87</v>
      </c>
      <c r="AL1267" t="s">
        <v>87</v>
      </c>
      <c r="AM1267" t="s">
        <v>87</v>
      </c>
      <c r="AN1267" t="s">
        <v>87</v>
      </c>
      <c r="AO1267" t="s">
        <v>87</v>
      </c>
      <c r="AP1267" t="s">
        <v>87</v>
      </c>
      <c r="AQ1267" t="s">
        <v>87</v>
      </c>
      <c r="AR1267" t="s">
        <v>87</v>
      </c>
      <c r="AS1267" t="s">
        <v>87</v>
      </c>
      <c r="AT1267" t="s">
        <v>87</v>
      </c>
      <c r="AU1267" t="s">
        <v>87</v>
      </c>
      <c r="AV1267" t="s">
        <v>87</v>
      </c>
      <c r="AW1267" t="s">
        <v>87</v>
      </c>
      <c r="AX1267" t="s">
        <v>87</v>
      </c>
      <c r="AY1267" t="s">
        <v>87</v>
      </c>
      <c r="AZ1267" t="s">
        <v>87</v>
      </c>
      <c r="BA1267" t="s">
        <v>87</v>
      </c>
      <c r="BB1267" t="s">
        <v>87</v>
      </c>
      <c r="BC1267" t="s">
        <v>87</v>
      </c>
      <c r="BD1267" t="s">
        <v>87</v>
      </c>
      <c r="BE1267" t="s">
        <v>87</v>
      </c>
    </row>
    <row r="1268" spans="1:57" x14ac:dyDescent="0.45">
      <c r="A1268" t="s">
        <v>3202</v>
      </c>
      <c r="B1268" t="s">
        <v>79</v>
      </c>
      <c r="C1268" t="s">
        <v>3203</v>
      </c>
      <c r="D1268" t="s">
        <v>81</v>
      </c>
      <c r="E1268" s="2" t="str">
        <f>HYPERLINK("capsilon://?command=openfolder&amp;siteaddress=FAM.docvelocity-na8.net&amp;folderid=FX85C2D410-3FB9-D2BA-8B37-BC5AD8DCB5D4","FX21018561")</f>
        <v>FX21018561</v>
      </c>
      <c r="F1268" t="s">
        <v>19</v>
      </c>
      <c r="G1268" t="s">
        <v>19</v>
      </c>
      <c r="H1268" t="s">
        <v>82</v>
      </c>
      <c r="I1268" t="s">
        <v>3204</v>
      </c>
      <c r="J1268">
        <v>38</v>
      </c>
      <c r="K1268" t="s">
        <v>84</v>
      </c>
      <c r="L1268" t="s">
        <v>85</v>
      </c>
      <c r="M1268" t="s">
        <v>86</v>
      </c>
      <c r="N1268">
        <v>3</v>
      </c>
      <c r="O1268" s="1">
        <v>44210.493368055555</v>
      </c>
      <c r="P1268" s="1">
        <v>44210.515925925924</v>
      </c>
      <c r="Q1268">
        <v>1456</v>
      </c>
      <c r="R1268">
        <v>493</v>
      </c>
      <c r="S1268" t="b">
        <v>0</v>
      </c>
      <c r="T1268" t="s">
        <v>87</v>
      </c>
      <c r="U1268" t="b">
        <v>0</v>
      </c>
      <c r="V1268" t="s">
        <v>255</v>
      </c>
      <c r="W1268" s="1">
        <v>44210.497534722221</v>
      </c>
      <c r="X1268">
        <v>355</v>
      </c>
      <c r="Y1268">
        <v>37</v>
      </c>
      <c r="Z1268">
        <v>0</v>
      </c>
      <c r="AA1268">
        <v>37</v>
      </c>
      <c r="AB1268">
        <v>0</v>
      </c>
      <c r="AC1268">
        <v>22</v>
      </c>
      <c r="AD1268">
        <v>1</v>
      </c>
      <c r="AE1268">
        <v>0</v>
      </c>
      <c r="AF1268">
        <v>0</v>
      </c>
      <c r="AG1268">
        <v>0</v>
      </c>
      <c r="AH1268" t="s">
        <v>94</v>
      </c>
      <c r="AI1268" s="1">
        <v>44210.500949074078</v>
      </c>
      <c r="AJ1268">
        <v>133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 t="s">
        <v>90</v>
      </c>
      <c r="AU1268" s="1">
        <v>44210.515925925924</v>
      </c>
      <c r="AV1268">
        <v>5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</row>
    <row r="1269" spans="1:57" hidden="1" x14ac:dyDescent="0.45">
      <c r="A1269" t="s">
        <v>3205</v>
      </c>
      <c r="B1269" t="s">
        <v>79</v>
      </c>
      <c r="C1269" t="s">
        <v>3206</v>
      </c>
      <c r="D1269" t="s">
        <v>81</v>
      </c>
      <c r="E1269" s="2" t="str">
        <f>HYPERLINK("capsilon://?command=openfolder&amp;siteaddress=FAM.docvelocity-na8.net&amp;folderid=FX968F4438-35F2-CE8F-770B-947EE5D3999D","FX21018253")</f>
        <v>FX21018253</v>
      </c>
      <c r="F1269" t="s">
        <v>19</v>
      </c>
      <c r="G1269" t="s">
        <v>19</v>
      </c>
      <c r="H1269" t="s">
        <v>82</v>
      </c>
      <c r="I1269" t="s">
        <v>3207</v>
      </c>
      <c r="J1269">
        <v>38</v>
      </c>
      <c r="K1269" t="s">
        <v>84</v>
      </c>
      <c r="L1269" t="s">
        <v>85</v>
      </c>
      <c r="M1269" t="s">
        <v>86</v>
      </c>
      <c r="N1269">
        <v>3</v>
      </c>
      <c r="O1269" s="1">
        <v>44210.498460648145</v>
      </c>
      <c r="P1269" s="1">
        <v>44210.515960648147</v>
      </c>
      <c r="Q1269">
        <v>397</v>
      </c>
      <c r="R1269">
        <v>1115</v>
      </c>
      <c r="S1269" t="b">
        <v>0</v>
      </c>
      <c r="T1269" t="s">
        <v>87</v>
      </c>
      <c r="U1269" t="b">
        <v>0</v>
      </c>
      <c r="V1269" t="s">
        <v>242</v>
      </c>
      <c r="W1269" s="1">
        <v>44210.510428240741</v>
      </c>
      <c r="X1269">
        <v>1007</v>
      </c>
      <c r="Y1269">
        <v>0</v>
      </c>
      <c r="Z1269">
        <v>0</v>
      </c>
      <c r="AA1269">
        <v>0</v>
      </c>
      <c r="AB1269">
        <v>37</v>
      </c>
      <c r="AC1269">
        <v>0</v>
      </c>
      <c r="AD1269">
        <v>38</v>
      </c>
      <c r="AE1269">
        <v>0</v>
      </c>
      <c r="AF1269">
        <v>0</v>
      </c>
      <c r="AG1269">
        <v>0</v>
      </c>
      <c r="AH1269" t="s">
        <v>89</v>
      </c>
      <c r="AI1269" s="1">
        <v>44210.514189814814</v>
      </c>
      <c r="AJ1269">
        <v>105</v>
      </c>
      <c r="AK1269">
        <v>0</v>
      </c>
      <c r="AL1269">
        <v>0</v>
      </c>
      <c r="AM1269">
        <v>0</v>
      </c>
      <c r="AN1269">
        <v>37</v>
      </c>
      <c r="AO1269">
        <v>0</v>
      </c>
      <c r="AP1269">
        <v>38</v>
      </c>
      <c r="AQ1269">
        <v>0</v>
      </c>
      <c r="AR1269">
        <v>0</v>
      </c>
      <c r="AS1269">
        <v>0</v>
      </c>
      <c r="AT1269" t="s">
        <v>90</v>
      </c>
      <c r="AU1269" s="1">
        <v>44210.515960648147</v>
      </c>
      <c r="AV1269">
        <v>3</v>
      </c>
      <c r="AW1269">
        <v>0</v>
      </c>
      <c r="AX1269">
        <v>0</v>
      </c>
      <c r="AY1269">
        <v>0</v>
      </c>
      <c r="AZ1269">
        <v>37</v>
      </c>
      <c r="BA1269">
        <v>0</v>
      </c>
      <c r="BB1269">
        <v>38</v>
      </c>
      <c r="BC1269">
        <v>0</v>
      </c>
      <c r="BD1269">
        <v>0</v>
      </c>
      <c r="BE1269">
        <v>0</v>
      </c>
    </row>
    <row r="1270" spans="1:57" x14ac:dyDescent="0.45">
      <c r="A1270" t="s">
        <v>3208</v>
      </c>
      <c r="B1270" t="s">
        <v>79</v>
      </c>
      <c r="C1270" t="s">
        <v>2207</v>
      </c>
      <c r="D1270" t="s">
        <v>81</v>
      </c>
      <c r="E1270" s="2" t="str">
        <f>HYPERLINK("capsilon://?command=openfolder&amp;siteaddress=FAM.docvelocity-na8.net&amp;folderid=FX9841E19E-C331-114E-D4E2-1AE575A91BC2","FX20124180")</f>
        <v>FX20124180</v>
      </c>
      <c r="F1270" t="s">
        <v>19</v>
      </c>
      <c r="G1270" t="s">
        <v>19</v>
      </c>
      <c r="H1270" t="s">
        <v>82</v>
      </c>
      <c r="I1270" t="s">
        <v>3201</v>
      </c>
      <c r="J1270">
        <v>38</v>
      </c>
      <c r="K1270" t="s">
        <v>84</v>
      </c>
      <c r="L1270" t="s">
        <v>85</v>
      </c>
      <c r="M1270" t="s">
        <v>86</v>
      </c>
      <c r="N1270">
        <v>3</v>
      </c>
      <c r="O1270" s="1">
        <v>44210.500798611109</v>
      </c>
      <c r="P1270" s="1">
        <v>44210.586481481485</v>
      </c>
      <c r="Q1270">
        <v>5469</v>
      </c>
      <c r="R1270">
        <v>1934</v>
      </c>
      <c r="S1270" t="b">
        <v>0</v>
      </c>
      <c r="T1270" t="s">
        <v>87</v>
      </c>
      <c r="U1270" t="b">
        <v>1</v>
      </c>
      <c r="V1270" t="s">
        <v>179</v>
      </c>
      <c r="W1270" s="1">
        <v>44210.520462962966</v>
      </c>
      <c r="X1270">
        <v>1698</v>
      </c>
      <c r="Y1270">
        <v>37</v>
      </c>
      <c r="Z1270">
        <v>0</v>
      </c>
      <c r="AA1270">
        <v>37</v>
      </c>
      <c r="AB1270">
        <v>0</v>
      </c>
      <c r="AC1270">
        <v>25</v>
      </c>
      <c r="AD1270">
        <v>1</v>
      </c>
      <c r="AE1270">
        <v>0</v>
      </c>
      <c r="AF1270">
        <v>0</v>
      </c>
      <c r="AG1270">
        <v>0</v>
      </c>
      <c r="AH1270" t="s">
        <v>132</v>
      </c>
      <c r="AI1270" s="1">
        <v>44210.526608796295</v>
      </c>
      <c r="AJ1270">
        <v>144</v>
      </c>
      <c r="AK1270">
        <v>1</v>
      </c>
      <c r="AL1270">
        <v>0</v>
      </c>
      <c r="AM1270">
        <v>1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 t="s">
        <v>90</v>
      </c>
      <c r="AU1270" s="1">
        <v>44210.586481481485</v>
      </c>
      <c r="AV1270">
        <v>14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</row>
    <row r="1271" spans="1:57" hidden="1" x14ac:dyDescent="0.45">
      <c r="A1271" t="s">
        <v>3209</v>
      </c>
      <c r="B1271" t="s">
        <v>79</v>
      </c>
      <c r="C1271" t="s">
        <v>2442</v>
      </c>
      <c r="D1271" t="s">
        <v>81</v>
      </c>
      <c r="E1271" s="2" t="str">
        <f>HYPERLINK("capsilon://?command=openfolder&amp;siteaddress=FAM.docvelocity-na8.net&amp;folderid=FX5C80F088-4075-7E83-16D4-3574838A0413","FX201115916")</f>
        <v>FX201115916</v>
      </c>
      <c r="F1271" t="s">
        <v>19</v>
      </c>
      <c r="G1271" t="s">
        <v>19</v>
      </c>
      <c r="H1271" t="s">
        <v>82</v>
      </c>
      <c r="I1271" t="s">
        <v>3210</v>
      </c>
      <c r="J1271">
        <v>66</v>
      </c>
      <c r="K1271" t="s">
        <v>84</v>
      </c>
      <c r="L1271" t="s">
        <v>85</v>
      </c>
      <c r="M1271" t="s">
        <v>86</v>
      </c>
      <c r="N1271">
        <v>3</v>
      </c>
      <c r="O1271" s="1">
        <v>44200.701273148145</v>
      </c>
      <c r="P1271" s="1">
        <v>44201.423136574071</v>
      </c>
      <c r="Q1271">
        <v>62248</v>
      </c>
      <c r="R1271">
        <v>121</v>
      </c>
      <c r="S1271" t="b">
        <v>0</v>
      </c>
      <c r="T1271" t="s">
        <v>87</v>
      </c>
      <c r="U1271" t="b">
        <v>0</v>
      </c>
      <c r="V1271" t="s">
        <v>266</v>
      </c>
      <c r="W1271" s="1">
        <v>44200.833587962959</v>
      </c>
      <c r="X1271">
        <v>84</v>
      </c>
      <c r="Y1271">
        <v>0</v>
      </c>
      <c r="Z1271">
        <v>0</v>
      </c>
      <c r="AA1271">
        <v>0</v>
      </c>
      <c r="AB1271">
        <v>52</v>
      </c>
      <c r="AC1271">
        <v>0</v>
      </c>
      <c r="AD1271">
        <v>66</v>
      </c>
      <c r="AE1271">
        <v>0</v>
      </c>
      <c r="AF1271">
        <v>0</v>
      </c>
      <c r="AG1271">
        <v>0</v>
      </c>
      <c r="AH1271" t="s">
        <v>267</v>
      </c>
      <c r="AI1271" s="1">
        <v>44200.841319444444</v>
      </c>
      <c r="AJ1271">
        <v>25</v>
      </c>
      <c r="AK1271">
        <v>0</v>
      </c>
      <c r="AL1271">
        <v>0</v>
      </c>
      <c r="AM1271">
        <v>0</v>
      </c>
      <c r="AN1271">
        <v>52</v>
      </c>
      <c r="AO1271">
        <v>0</v>
      </c>
      <c r="AP1271">
        <v>66</v>
      </c>
      <c r="AQ1271">
        <v>0</v>
      </c>
      <c r="AR1271">
        <v>0</v>
      </c>
      <c r="AS1271">
        <v>0</v>
      </c>
      <c r="AT1271" t="s">
        <v>90</v>
      </c>
      <c r="AU1271" s="1">
        <v>44201.423136574071</v>
      </c>
      <c r="AV1271">
        <v>3</v>
      </c>
      <c r="AW1271">
        <v>0</v>
      </c>
      <c r="AX1271">
        <v>0</v>
      </c>
      <c r="AY1271">
        <v>0</v>
      </c>
      <c r="AZ1271">
        <v>52</v>
      </c>
      <c r="BA1271">
        <v>0</v>
      </c>
      <c r="BB1271">
        <v>66</v>
      </c>
      <c r="BC1271">
        <v>0</v>
      </c>
      <c r="BD1271">
        <v>0</v>
      </c>
      <c r="BE1271">
        <v>0</v>
      </c>
    </row>
    <row r="1272" spans="1:57" x14ac:dyDescent="0.45">
      <c r="A1272" t="s">
        <v>3211</v>
      </c>
      <c r="B1272" t="s">
        <v>79</v>
      </c>
      <c r="C1272" t="s">
        <v>3212</v>
      </c>
      <c r="D1272" t="s">
        <v>81</v>
      </c>
      <c r="E1272" s="2" t="str">
        <f>HYPERLINK("capsilon://?command=openfolder&amp;siteaddress=FAM.docvelocity-na8.net&amp;folderid=FX17999682-DD5E-C102-11A9-2739FF93FCAC","FX21014310")</f>
        <v>FX21014310</v>
      </c>
      <c r="F1272" t="s">
        <v>19</v>
      </c>
      <c r="G1272" t="s">
        <v>19</v>
      </c>
      <c r="H1272" t="s">
        <v>82</v>
      </c>
      <c r="I1272" t="s">
        <v>3213</v>
      </c>
      <c r="J1272">
        <v>26</v>
      </c>
      <c r="K1272" t="s">
        <v>84</v>
      </c>
      <c r="L1272" t="s">
        <v>85</v>
      </c>
      <c r="M1272" t="s">
        <v>86</v>
      </c>
      <c r="N1272">
        <v>3</v>
      </c>
      <c r="O1272" s="1">
        <v>44210.502222222225</v>
      </c>
      <c r="P1272" s="1">
        <v>44210.5934837963</v>
      </c>
      <c r="Q1272">
        <v>6832</v>
      </c>
      <c r="R1272">
        <v>1053</v>
      </c>
      <c r="S1272" t="b">
        <v>0</v>
      </c>
      <c r="T1272" t="s">
        <v>87</v>
      </c>
      <c r="U1272" t="b">
        <v>0</v>
      </c>
      <c r="V1272" t="s">
        <v>255</v>
      </c>
      <c r="W1272" s="1">
        <v>44210.504490740743</v>
      </c>
      <c r="X1272">
        <v>187</v>
      </c>
      <c r="Y1272">
        <v>21</v>
      </c>
      <c r="Z1272">
        <v>0</v>
      </c>
      <c r="AA1272">
        <v>21</v>
      </c>
      <c r="AB1272">
        <v>0</v>
      </c>
      <c r="AC1272">
        <v>13</v>
      </c>
      <c r="AD1272">
        <v>5</v>
      </c>
      <c r="AE1272">
        <v>0</v>
      </c>
      <c r="AF1272">
        <v>0</v>
      </c>
      <c r="AG1272">
        <v>0</v>
      </c>
      <c r="AH1272" t="s">
        <v>89</v>
      </c>
      <c r="AI1272" s="1">
        <v>44210.524143518516</v>
      </c>
      <c r="AJ1272">
        <v>859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5</v>
      </c>
      <c r="AQ1272">
        <v>0</v>
      </c>
      <c r="AR1272">
        <v>0</v>
      </c>
      <c r="AS1272">
        <v>0</v>
      </c>
      <c r="AT1272" t="s">
        <v>90</v>
      </c>
      <c r="AU1272" s="1">
        <v>44210.5934837963</v>
      </c>
      <c r="AV1272">
        <v>7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5</v>
      </c>
      <c r="BC1272">
        <v>0</v>
      </c>
      <c r="BD1272">
        <v>0</v>
      </c>
      <c r="BE1272">
        <v>0</v>
      </c>
    </row>
    <row r="1273" spans="1:57" x14ac:dyDescent="0.45">
      <c r="A1273" t="s">
        <v>3214</v>
      </c>
      <c r="B1273" t="s">
        <v>79</v>
      </c>
      <c r="C1273" t="s">
        <v>3215</v>
      </c>
      <c r="D1273" t="s">
        <v>81</v>
      </c>
      <c r="E1273" s="2" t="str">
        <f>HYPERLINK("capsilon://?command=openfolder&amp;siteaddress=FAM.docvelocity-na8.net&amp;folderid=FX41877318-159C-FB75-4200-00A2F268F47F","FX201228264")</f>
        <v>FX201228264</v>
      </c>
      <c r="F1273" t="s">
        <v>19</v>
      </c>
      <c r="G1273" t="s">
        <v>19</v>
      </c>
      <c r="H1273" t="s">
        <v>82</v>
      </c>
      <c r="I1273" t="s">
        <v>3216</v>
      </c>
      <c r="J1273">
        <v>38</v>
      </c>
      <c r="K1273" t="s">
        <v>84</v>
      </c>
      <c r="L1273" t="s">
        <v>85</v>
      </c>
      <c r="M1273" t="s">
        <v>86</v>
      </c>
      <c r="N1273">
        <v>3</v>
      </c>
      <c r="O1273" s="1">
        <v>44210.502847222226</v>
      </c>
      <c r="P1273" s="1">
        <v>44210.593587962961</v>
      </c>
      <c r="Q1273">
        <v>6423</v>
      </c>
      <c r="R1273">
        <v>1417</v>
      </c>
      <c r="S1273" t="b">
        <v>0</v>
      </c>
      <c r="T1273" t="s">
        <v>87</v>
      </c>
      <c r="U1273" t="b">
        <v>0</v>
      </c>
      <c r="V1273" t="s">
        <v>142</v>
      </c>
      <c r="W1273" s="1">
        <v>44210.509016203701</v>
      </c>
      <c r="X1273">
        <v>484</v>
      </c>
      <c r="Y1273">
        <v>37</v>
      </c>
      <c r="Z1273">
        <v>0</v>
      </c>
      <c r="AA1273">
        <v>37</v>
      </c>
      <c r="AB1273">
        <v>0</v>
      </c>
      <c r="AC1273">
        <v>23</v>
      </c>
      <c r="AD1273">
        <v>1</v>
      </c>
      <c r="AE1273">
        <v>0</v>
      </c>
      <c r="AF1273">
        <v>0</v>
      </c>
      <c r="AG1273">
        <v>0</v>
      </c>
      <c r="AH1273" t="s">
        <v>94</v>
      </c>
      <c r="AI1273" s="1">
        <v>44210.527106481481</v>
      </c>
      <c r="AJ1273">
        <v>924</v>
      </c>
      <c r="AK1273">
        <v>2</v>
      </c>
      <c r="AL1273">
        <v>0</v>
      </c>
      <c r="AM1273">
        <v>2</v>
      </c>
      <c r="AN1273">
        <v>0</v>
      </c>
      <c r="AO1273">
        <v>2</v>
      </c>
      <c r="AP1273">
        <v>-1</v>
      </c>
      <c r="AQ1273">
        <v>0</v>
      </c>
      <c r="AR1273">
        <v>0</v>
      </c>
      <c r="AS1273">
        <v>0</v>
      </c>
      <c r="AT1273" t="s">
        <v>90</v>
      </c>
      <c r="AU1273" s="1">
        <v>44210.593587962961</v>
      </c>
      <c r="AV1273">
        <v>9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-1</v>
      </c>
      <c r="BC1273">
        <v>0</v>
      </c>
      <c r="BD1273">
        <v>0</v>
      </c>
      <c r="BE1273">
        <v>0</v>
      </c>
    </row>
    <row r="1274" spans="1:57" x14ac:dyDescent="0.45">
      <c r="A1274" t="s">
        <v>3217</v>
      </c>
      <c r="B1274" t="s">
        <v>79</v>
      </c>
      <c r="C1274" t="s">
        <v>2747</v>
      </c>
      <c r="D1274" t="s">
        <v>81</v>
      </c>
      <c r="E1274" s="2" t="str">
        <f>HYPERLINK("capsilon://?command=openfolder&amp;siteaddress=FAM.docvelocity-na8.net&amp;folderid=FX458A11E6-908C-BCE9-8751-4AFBB0E1DF03","FX21011535")</f>
        <v>FX21011535</v>
      </c>
      <c r="F1274" t="s">
        <v>19</v>
      </c>
      <c r="G1274" t="s">
        <v>19</v>
      </c>
      <c r="H1274" t="s">
        <v>82</v>
      </c>
      <c r="I1274" t="s">
        <v>3218</v>
      </c>
      <c r="J1274">
        <v>66</v>
      </c>
      <c r="K1274" t="s">
        <v>84</v>
      </c>
      <c r="L1274" t="s">
        <v>85</v>
      </c>
      <c r="M1274" t="s">
        <v>86</v>
      </c>
      <c r="N1274">
        <v>3</v>
      </c>
      <c r="O1274" s="1">
        <v>44210.503182870372</v>
      </c>
      <c r="P1274" s="1">
        <v>44210.593668981484</v>
      </c>
      <c r="Q1274">
        <v>7076</v>
      </c>
      <c r="R1274">
        <v>742</v>
      </c>
      <c r="S1274" t="b">
        <v>0</v>
      </c>
      <c r="T1274" t="s">
        <v>87</v>
      </c>
      <c r="U1274" t="b">
        <v>0</v>
      </c>
      <c r="V1274" t="s">
        <v>259</v>
      </c>
      <c r="W1274" s="1">
        <v>44210.510439814818</v>
      </c>
      <c r="X1274">
        <v>583</v>
      </c>
      <c r="Y1274">
        <v>52</v>
      </c>
      <c r="Z1274">
        <v>0</v>
      </c>
      <c r="AA1274">
        <v>52</v>
      </c>
      <c r="AB1274">
        <v>0</v>
      </c>
      <c r="AC1274">
        <v>26</v>
      </c>
      <c r="AD1274">
        <v>14</v>
      </c>
      <c r="AE1274">
        <v>0</v>
      </c>
      <c r="AF1274">
        <v>0</v>
      </c>
      <c r="AG1274">
        <v>0</v>
      </c>
      <c r="AH1274" t="s">
        <v>94</v>
      </c>
      <c r="AI1274" s="1">
        <v>44210.53533564815</v>
      </c>
      <c r="AJ1274">
        <v>153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14</v>
      </c>
      <c r="AQ1274">
        <v>0</v>
      </c>
      <c r="AR1274">
        <v>0</v>
      </c>
      <c r="AS1274">
        <v>0</v>
      </c>
      <c r="AT1274" t="s">
        <v>90</v>
      </c>
      <c r="AU1274" s="1">
        <v>44210.593668981484</v>
      </c>
      <c r="AV1274">
        <v>6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14</v>
      </c>
      <c r="BC1274">
        <v>0</v>
      </c>
      <c r="BD1274">
        <v>0</v>
      </c>
      <c r="BE1274">
        <v>0</v>
      </c>
    </row>
    <row r="1275" spans="1:57" x14ac:dyDescent="0.45">
      <c r="A1275" t="s">
        <v>3219</v>
      </c>
      <c r="B1275" t="s">
        <v>79</v>
      </c>
      <c r="C1275" t="s">
        <v>3220</v>
      </c>
      <c r="D1275" t="s">
        <v>81</v>
      </c>
      <c r="E1275" s="2" t="str">
        <f>HYPERLINK("capsilon://?command=openfolder&amp;siteaddress=FAM.docvelocity-na8.net&amp;folderid=FXB3149CBC-1180-0139-5120-0D8AAD720CB0","FX21018464")</f>
        <v>FX21018464</v>
      </c>
      <c r="F1275" t="s">
        <v>19</v>
      </c>
      <c r="G1275" t="s">
        <v>19</v>
      </c>
      <c r="H1275" t="s">
        <v>82</v>
      </c>
      <c r="I1275" t="s">
        <v>3221</v>
      </c>
      <c r="J1275">
        <v>248</v>
      </c>
      <c r="K1275" t="s">
        <v>84</v>
      </c>
      <c r="L1275" t="s">
        <v>85</v>
      </c>
      <c r="M1275" t="s">
        <v>86</v>
      </c>
      <c r="N1275">
        <v>3</v>
      </c>
      <c r="O1275" s="1">
        <v>44210.503611111111</v>
      </c>
      <c r="P1275" s="1">
        <v>44210.59479166667</v>
      </c>
      <c r="Q1275">
        <v>5856</v>
      </c>
      <c r="R1275">
        <v>2022</v>
      </c>
      <c r="S1275" t="b">
        <v>0</v>
      </c>
      <c r="T1275" t="s">
        <v>87</v>
      </c>
      <c r="U1275" t="b">
        <v>0</v>
      </c>
      <c r="V1275" t="s">
        <v>255</v>
      </c>
      <c r="W1275" s="1">
        <v>44210.522673611114</v>
      </c>
      <c r="X1275">
        <v>1570</v>
      </c>
      <c r="Y1275">
        <v>189</v>
      </c>
      <c r="Z1275">
        <v>0</v>
      </c>
      <c r="AA1275">
        <v>189</v>
      </c>
      <c r="AB1275">
        <v>37</v>
      </c>
      <c r="AC1275">
        <v>102</v>
      </c>
      <c r="AD1275">
        <v>59</v>
      </c>
      <c r="AE1275">
        <v>0</v>
      </c>
      <c r="AF1275">
        <v>0</v>
      </c>
      <c r="AG1275">
        <v>0</v>
      </c>
      <c r="AH1275" t="s">
        <v>132</v>
      </c>
      <c r="AI1275" s="1">
        <v>44210.537719907406</v>
      </c>
      <c r="AJ1275">
        <v>355</v>
      </c>
      <c r="AK1275">
        <v>0</v>
      </c>
      <c r="AL1275">
        <v>0</v>
      </c>
      <c r="AM1275">
        <v>0</v>
      </c>
      <c r="AN1275">
        <v>37</v>
      </c>
      <c r="AO1275">
        <v>0</v>
      </c>
      <c r="AP1275">
        <v>59</v>
      </c>
      <c r="AQ1275">
        <v>0</v>
      </c>
      <c r="AR1275">
        <v>0</v>
      </c>
      <c r="AS1275">
        <v>0</v>
      </c>
      <c r="AT1275" t="s">
        <v>90</v>
      </c>
      <c r="AU1275" s="1">
        <v>44210.59479166667</v>
      </c>
      <c r="AV1275">
        <v>97</v>
      </c>
      <c r="AW1275">
        <v>0</v>
      </c>
      <c r="AX1275">
        <v>0</v>
      </c>
      <c r="AY1275">
        <v>0</v>
      </c>
      <c r="AZ1275">
        <v>37</v>
      </c>
      <c r="BA1275">
        <v>0</v>
      </c>
      <c r="BB1275">
        <v>59</v>
      </c>
      <c r="BC1275">
        <v>0</v>
      </c>
      <c r="BD1275">
        <v>0</v>
      </c>
      <c r="BE1275">
        <v>0</v>
      </c>
    </row>
    <row r="1276" spans="1:57" x14ac:dyDescent="0.45">
      <c r="A1276" t="s">
        <v>3222</v>
      </c>
      <c r="B1276" t="s">
        <v>79</v>
      </c>
      <c r="C1276" t="s">
        <v>387</v>
      </c>
      <c r="D1276" t="s">
        <v>81</v>
      </c>
      <c r="E1276" s="2" t="str">
        <f>HYPERLINK("capsilon://?command=openfolder&amp;siteaddress=FAM.docvelocity-na8.net&amp;folderid=FXC92E8873-0C06-1B1E-AB2C-7CD2EA56F080","FX201227607")</f>
        <v>FX201227607</v>
      </c>
      <c r="F1276" t="s">
        <v>19</v>
      </c>
      <c r="G1276" t="s">
        <v>19</v>
      </c>
      <c r="H1276" t="s">
        <v>82</v>
      </c>
      <c r="I1276" t="s">
        <v>3223</v>
      </c>
      <c r="J1276">
        <v>66</v>
      </c>
      <c r="K1276" t="s">
        <v>84</v>
      </c>
      <c r="L1276" t="s">
        <v>85</v>
      </c>
      <c r="M1276" t="s">
        <v>86</v>
      </c>
      <c r="N1276">
        <v>3</v>
      </c>
      <c r="O1276" s="1">
        <v>44210.504525462966</v>
      </c>
      <c r="P1276" s="1">
        <v>44210.597071759257</v>
      </c>
      <c r="Q1276">
        <v>4957</v>
      </c>
      <c r="R1276">
        <v>3039</v>
      </c>
      <c r="S1276" t="b">
        <v>0</v>
      </c>
      <c r="T1276" t="s">
        <v>87</v>
      </c>
      <c r="U1276" t="b">
        <v>0</v>
      </c>
      <c r="V1276" t="s">
        <v>160</v>
      </c>
      <c r="W1276" s="1">
        <v>44210.532164351855</v>
      </c>
      <c r="X1276">
        <v>2376</v>
      </c>
      <c r="Y1276">
        <v>52</v>
      </c>
      <c r="Z1276">
        <v>0</v>
      </c>
      <c r="AA1276">
        <v>52</v>
      </c>
      <c r="AB1276">
        <v>0</v>
      </c>
      <c r="AC1276">
        <v>42</v>
      </c>
      <c r="AD1276">
        <v>14</v>
      </c>
      <c r="AE1276">
        <v>0</v>
      </c>
      <c r="AF1276">
        <v>0</v>
      </c>
      <c r="AG1276">
        <v>0</v>
      </c>
      <c r="AH1276" t="s">
        <v>132</v>
      </c>
      <c r="AI1276" s="1">
        <v>44210.542592592596</v>
      </c>
      <c r="AJ1276">
        <v>420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13</v>
      </c>
      <c r="AQ1276">
        <v>0</v>
      </c>
      <c r="AR1276">
        <v>0</v>
      </c>
      <c r="AS1276">
        <v>0</v>
      </c>
      <c r="AT1276" t="s">
        <v>90</v>
      </c>
      <c r="AU1276" s="1">
        <v>44210.597071759257</v>
      </c>
      <c r="AV1276">
        <v>197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13</v>
      </c>
      <c r="BC1276">
        <v>0</v>
      </c>
      <c r="BD1276">
        <v>0</v>
      </c>
      <c r="BE1276">
        <v>0</v>
      </c>
    </row>
    <row r="1277" spans="1:57" x14ac:dyDescent="0.45">
      <c r="A1277" t="s">
        <v>3224</v>
      </c>
      <c r="B1277" t="s">
        <v>79</v>
      </c>
      <c r="C1277" t="s">
        <v>3215</v>
      </c>
      <c r="D1277" t="s">
        <v>81</v>
      </c>
      <c r="E1277" s="2" t="str">
        <f>HYPERLINK("capsilon://?command=openfolder&amp;siteaddress=FAM.docvelocity-na8.net&amp;folderid=FX41877318-159C-FB75-4200-00A2F268F47F","FX201228264")</f>
        <v>FX201228264</v>
      </c>
      <c r="F1277" t="s">
        <v>19</v>
      </c>
      <c r="G1277" t="s">
        <v>19</v>
      </c>
      <c r="H1277" t="s">
        <v>82</v>
      </c>
      <c r="I1277" t="s">
        <v>3225</v>
      </c>
      <c r="J1277">
        <v>26</v>
      </c>
      <c r="K1277" t="s">
        <v>84</v>
      </c>
      <c r="L1277" t="s">
        <v>85</v>
      </c>
      <c r="M1277" t="s">
        <v>86</v>
      </c>
      <c r="N1277">
        <v>3</v>
      </c>
      <c r="O1277" s="1">
        <v>44210.508657407408</v>
      </c>
      <c r="P1277" s="1">
        <v>44210.597870370373</v>
      </c>
      <c r="Q1277">
        <v>7148</v>
      </c>
      <c r="R1277">
        <v>560</v>
      </c>
      <c r="S1277" t="b">
        <v>0</v>
      </c>
      <c r="T1277" t="s">
        <v>87</v>
      </c>
      <c r="U1277" t="b">
        <v>0</v>
      </c>
      <c r="V1277" t="s">
        <v>168</v>
      </c>
      <c r="W1277" s="1">
        <v>44210.513171296298</v>
      </c>
      <c r="X1277">
        <v>389</v>
      </c>
      <c r="Y1277">
        <v>21</v>
      </c>
      <c r="Z1277">
        <v>0</v>
      </c>
      <c r="AA1277">
        <v>21</v>
      </c>
      <c r="AB1277">
        <v>0</v>
      </c>
      <c r="AC1277">
        <v>5</v>
      </c>
      <c r="AD1277">
        <v>5</v>
      </c>
      <c r="AE1277">
        <v>0</v>
      </c>
      <c r="AF1277">
        <v>0</v>
      </c>
      <c r="AG1277">
        <v>0</v>
      </c>
      <c r="AH1277" t="s">
        <v>128</v>
      </c>
      <c r="AI1277" s="1">
        <v>44210.540277777778</v>
      </c>
      <c r="AJ1277">
        <v>167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5</v>
      </c>
      <c r="AQ1277">
        <v>0</v>
      </c>
      <c r="AR1277">
        <v>0</v>
      </c>
      <c r="AS1277">
        <v>0</v>
      </c>
      <c r="AT1277" t="s">
        <v>90</v>
      </c>
      <c r="AU1277" s="1">
        <v>44210.597870370373</v>
      </c>
      <c r="AV1277">
        <v>4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5</v>
      </c>
      <c r="BC1277">
        <v>0</v>
      </c>
      <c r="BD1277">
        <v>0</v>
      </c>
      <c r="BE1277">
        <v>0</v>
      </c>
    </row>
    <row r="1278" spans="1:57" x14ac:dyDescent="0.45">
      <c r="A1278" t="s">
        <v>3226</v>
      </c>
      <c r="B1278" t="s">
        <v>79</v>
      </c>
      <c r="C1278" t="s">
        <v>3215</v>
      </c>
      <c r="D1278" t="s">
        <v>81</v>
      </c>
      <c r="E1278" s="2" t="str">
        <f>HYPERLINK("capsilon://?command=openfolder&amp;siteaddress=FAM.docvelocity-na8.net&amp;folderid=FX41877318-159C-FB75-4200-00A2F268F47F","FX201228264")</f>
        <v>FX201228264</v>
      </c>
      <c r="F1278" t="s">
        <v>19</v>
      </c>
      <c r="G1278" t="s">
        <v>19</v>
      </c>
      <c r="H1278" t="s">
        <v>82</v>
      </c>
      <c r="I1278" t="s">
        <v>3227</v>
      </c>
      <c r="J1278">
        <v>26</v>
      </c>
      <c r="K1278" t="s">
        <v>84</v>
      </c>
      <c r="L1278" t="s">
        <v>85</v>
      </c>
      <c r="M1278" t="s">
        <v>86</v>
      </c>
      <c r="N1278">
        <v>3</v>
      </c>
      <c r="O1278" s="1">
        <v>44210.514814814815</v>
      </c>
      <c r="P1278" s="1">
        <v>44210.597916666666</v>
      </c>
      <c r="Q1278">
        <v>6526</v>
      </c>
      <c r="R1278">
        <v>654</v>
      </c>
      <c r="S1278" t="b">
        <v>0</v>
      </c>
      <c r="T1278" t="s">
        <v>87</v>
      </c>
      <c r="U1278" t="b">
        <v>0</v>
      </c>
      <c r="V1278" t="s">
        <v>171</v>
      </c>
      <c r="W1278" s="1">
        <v>44210.520879629628</v>
      </c>
      <c r="X1278">
        <v>523</v>
      </c>
      <c r="Y1278">
        <v>21</v>
      </c>
      <c r="Z1278">
        <v>0</v>
      </c>
      <c r="AA1278">
        <v>21</v>
      </c>
      <c r="AB1278">
        <v>0</v>
      </c>
      <c r="AC1278">
        <v>3</v>
      </c>
      <c r="AD1278">
        <v>5</v>
      </c>
      <c r="AE1278">
        <v>0</v>
      </c>
      <c r="AF1278">
        <v>0</v>
      </c>
      <c r="AG1278">
        <v>0</v>
      </c>
      <c r="AH1278" t="s">
        <v>128</v>
      </c>
      <c r="AI1278" s="1">
        <v>44210.541770833333</v>
      </c>
      <c r="AJ1278">
        <v>128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5</v>
      </c>
      <c r="AQ1278">
        <v>0</v>
      </c>
      <c r="AR1278">
        <v>0</v>
      </c>
      <c r="AS1278">
        <v>0</v>
      </c>
      <c r="AT1278" t="s">
        <v>90</v>
      </c>
      <c r="AU1278" s="1">
        <v>44210.597916666666</v>
      </c>
      <c r="AV1278">
        <v>3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5</v>
      </c>
      <c r="BC1278">
        <v>0</v>
      </c>
      <c r="BD1278">
        <v>0</v>
      </c>
      <c r="BE1278">
        <v>0</v>
      </c>
    </row>
    <row r="1279" spans="1:57" x14ac:dyDescent="0.45">
      <c r="A1279" t="s">
        <v>3228</v>
      </c>
      <c r="B1279" t="s">
        <v>79</v>
      </c>
      <c r="C1279" t="s">
        <v>3229</v>
      </c>
      <c r="D1279" t="s">
        <v>81</v>
      </c>
      <c r="E1279" s="2" t="str">
        <f>HYPERLINK("capsilon://?command=openfolder&amp;siteaddress=FAM.docvelocity-na8.net&amp;folderid=FX0B0090AF-DE64-95CC-4C39-C02D4CF348D9","FX201229213")</f>
        <v>FX201229213</v>
      </c>
      <c r="F1279" t="s">
        <v>19</v>
      </c>
      <c r="G1279" t="s">
        <v>19</v>
      </c>
      <c r="H1279" t="s">
        <v>82</v>
      </c>
      <c r="I1279" t="s">
        <v>3230</v>
      </c>
      <c r="J1279">
        <v>38</v>
      </c>
      <c r="K1279" t="s">
        <v>84</v>
      </c>
      <c r="L1279" t="s">
        <v>85</v>
      </c>
      <c r="M1279" t="s">
        <v>86</v>
      </c>
      <c r="N1279">
        <v>3</v>
      </c>
      <c r="O1279" s="1">
        <v>44210.519050925926</v>
      </c>
      <c r="P1279" s="1">
        <v>44210.598009259258</v>
      </c>
      <c r="Q1279">
        <v>4904</v>
      </c>
      <c r="R1279">
        <v>1918</v>
      </c>
      <c r="S1279" t="b">
        <v>0</v>
      </c>
      <c r="T1279" t="s">
        <v>87</v>
      </c>
      <c r="U1279" t="b">
        <v>0</v>
      </c>
      <c r="V1279" t="s">
        <v>168</v>
      </c>
      <c r="W1279" s="1">
        <v>44210.535532407404</v>
      </c>
      <c r="X1279">
        <v>1423</v>
      </c>
      <c r="Y1279">
        <v>37</v>
      </c>
      <c r="Z1279">
        <v>0</v>
      </c>
      <c r="AA1279">
        <v>37</v>
      </c>
      <c r="AB1279">
        <v>0</v>
      </c>
      <c r="AC1279">
        <v>34</v>
      </c>
      <c r="AD1279">
        <v>1</v>
      </c>
      <c r="AE1279">
        <v>0</v>
      </c>
      <c r="AF1279">
        <v>0</v>
      </c>
      <c r="AG1279">
        <v>0</v>
      </c>
      <c r="AH1279" t="s">
        <v>128</v>
      </c>
      <c r="AI1279" s="1">
        <v>44210.547418981485</v>
      </c>
      <c r="AJ1279">
        <v>487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 t="s">
        <v>90</v>
      </c>
      <c r="AU1279" s="1">
        <v>44210.598009259258</v>
      </c>
      <c r="AV1279">
        <v>8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</row>
    <row r="1280" spans="1:57" x14ac:dyDescent="0.45">
      <c r="A1280" t="s">
        <v>3231</v>
      </c>
      <c r="B1280" t="s">
        <v>79</v>
      </c>
      <c r="C1280" t="s">
        <v>664</v>
      </c>
      <c r="D1280" t="s">
        <v>81</v>
      </c>
      <c r="E1280" s="2" t="str">
        <f>HYPERLINK("capsilon://?command=openfolder&amp;siteaddress=FAM.docvelocity-na8.net&amp;folderid=FX4939BCD1-56B6-E3F2-C139-B9240E65ECAB","FX20124482")</f>
        <v>FX20124482</v>
      </c>
      <c r="F1280" t="s">
        <v>19</v>
      </c>
      <c r="G1280" t="s">
        <v>19</v>
      </c>
      <c r="H1280" t="s">
        <v>82</v>
      </c>
      <c r="I1280" t="s">
        <v>3232</v>
      </c>
      <c r="J1280">
        <v>38</v>
      </c>
      <c r="K1280" t="s">
        <v>84</v>
      </c>
      <c r="L1280" t="s">
        <v>85</v>
      </c>
      <c r="M1280" t="s">
        <v>86</v>
      </c>
      <c r="N1280">
        <v>3</v>
      </c>
      <c r="O1280" s="1">
        <v>44210.521145833336</v>
      </c>
      <c r="P1280" s="1">
        <v>44210.598321759258</v>
      </c>
      <c r="Q1280">
        <v>5726</v>
      </c>
      <c r="R1280">
        <v>942</v>
      </c>
      <c r="S1280" t="b">
        <v>0</v>
      </c>
      <c r="T1280" t="s">
        <v>87</v>
      </c>
      <c r="U1280" t="b">
        <v>0</v>
      </c>
      <c r="V1280" t="s">
        <v>179</v>
      </c>
      <c r="W1280" s="1">
        <v>44210.531099537038</v>
      </c>
      <c r="X1280">
        <v>859</v>
      </c>
      <c r="Y1280">
        <v>37</v>
      </c>
      <c r="Z1280">
        <v>0</v>
      </c>
      <c r="AA1280">
        <v>37</v>
      </c>
      <c r="AB1280">
        <v>0</v>
      </c>
      <c r="AC1280">
        <v>34</v>
      </c>
      <c r="AD1280">
        <v>1</v>
      </c>
      <c r="AE1280">
        <v>0</v>
      </c>
      <c r="AF1280">
        <v>0</v>
      </c>
      <c r="AG1280">
        <v>0</v>
      </c>
      <c r="AH1280" t="s">
        <v>132</v>
      </c>
      <c r="AI1280" s="1">
        <v>44210.543263888889</v>
      </c>
      <c r="AJ1280">
        <v>57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 t="s">
        <v>90</v>
      </c>
      <c r="AU1280" s="1">
        <v>44210.598321759258</v>
      </c>
      <c r="AV1280">
        <v>26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</row>
    <row r="1281" spans="1:57" x14ac:dyDescent="0.45">
      <c r="A1281" t="s">
        <v>3233</v>
      </c>
      <c r="B1281" t="s">
        <v>79</v>
      </c>
      <c r="C1281" t="s">
        <v>3234</v>
      </c>
      <c r="D1281" t="s">
        <v>81</v>
      </c>
      <c r="E1281" s="2" t="str">
        <f>HYPERLINK("capsilon://?command=openfolder&amp;siteaddress=FAM.docvelocity-na8.net&amp;folderid=FX4F10D29E-0D4A-BE55-1CFB-188CE4617CB9","FX21017844")</f>
        <v>FX21017844</v>
      </c>
      <c r="F1281" t="s">
        <v>19</v>
      </c>
      <c r="G1281" t="s">
        <v>19</v>
      </c>
      <c r="H1281" t="s">
        <v>82</v>
      </c>
      <c r="I1281" t="s">
        <v>3235</v>
      </c>
      <c r="J1281">
        <v>217</v>
      </c>
      <c r="K1281" t="s">
        <v>84</v>
      </c>
      <c r="L1281" t="s">
        <v>85</v>
      </c>
      <c r="M1281" t="s">
        <v>86</v>
      </c>
      <c r="N1281">
        <v>3</v>
      </c>
      <c r="O1281" s="1">
        <v>44210.528877314813</v>
      </c>
      <c r="P1281" s="1">
        <v>44210.598703703705</v>
      </c>
      <c r="Q1281">
        <v>4722</v>
      </c>
      <c r="R1281">
        <v>1311</v>
      </c>
      <c r="S1281" t="b">
        <v>0</v>
      </c>
      <c r="T1281" t="s">
        <v>87</v>
      </c>
      <c r="U1281" t="b">
        <v>0</v>
      </c>
      <c r="V1281" t="s">
        <v>255</v>
      </c>
      <c r="W1281" s="1">
        <v>44210.539085648146</v>
      </c>
      <c r="X1281">
        <v>878</v>
      </c>
      <c r="Y1281">
        <v>177</v>
      </c>
      <c r="Z1281">
        <v>0</v>
      </c>
      <c r="AA1281">
        <v>177</v>
      </c>
      <c r="AB1281">
        <v>0</v>
      </c>
      <c r="AC1281">
        <v>87</v>
      </c>
      <c r="AD1281">
        <v>40</v>
      </c>
      <c r="AE1281">
        <v>0</v>
      </c>
      <c r="AF1281">
        <v>0</v>
      </c>
      <c r="AG1281">
        <v>0</v>
      </c>
      <c r="AH1281" t="s">
        <v>132</v>
      </c>
      <c r="AI1281" s="1">
        <v>44210.54791666667</v>
      </c>
      <c r="AJ1281">
        <v>401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40</v>
      </c>
      <c r="AQ1281">
        <v>0</v>
      </c>
      <c r="AR1281">
        <v>0</v>
      </c>
      <c r="AS1281">
        <v>0</v>
      </c>
      <c r="AT1281" t="s">
        <v>90</v>
      </c>
      <c r="AU1281" s="1">
        <v>44210.598703703705</v>
      </c>
      <c r="AV1281">
        <v>32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40</v>
      </c>
      <c r="BC1281">
        <v>0</v>
      </c>
      <c r="BD1281">
        <v>0</v>
      </c>
      <c r="BE1281">
        <v>0</v>
      </c>
    </row>
    <row r="1282" spans="1:57" x14ac:dyDescent="0.45">
      <c r="A1282" t="s">
        <v>3236</v>
      </c>
      <c r="B1282" t="s">
        <v>79</v>
      </c>
      <c r="C1282" t="s">
        <v>3237</v>
      </c>
      <c r="D1282" t="s">
        <v>81</v>
      </c>
      <c r="E1282" s="2" t="str">
        <f>HYPERLINK("capsilon://?command=openfolder&amp;siteaddress=FAM.docvelocity-na8.net&amp;folderid=FX41941FC3-412E-0483-A682-F93E78B95A11","FX21016890")</f>
        <v>FX21016890</v>
      </c>
      <c r="F1282" t="s">
        <v>19</v>
      </c>
      <c r="G1282" t="s">
        <v>19</v>
      </c>
      <c r="H1282" t="s">
        <v>82</v>
      </c>
      <c r="I1282" t="s">
        <v>3238</v>
      </c>
      <c r="J1282">
        <v>76</v>
      </c>
      <c r="K1282" t="s">
        <v>84</v>
      </c>
      <c r="L1282" t="s">
        <v>85</v>
      </c>
      <c r="M1282" t="s">
        <v>86</v>
      </c>
      <c r="N1282">
        <v>3</v>
      </c>
      <c r="O1282" s="1">
        <v>44210.528946759259</v>
      </c>
      <c r="P1282" s="1">
        <v>44210.59878472222</v>
      </c>
      <c r="Q1282">
        <v>5017</v>
      </c>
      <c r="R1282">
        <v>1017</v>
      </c>
      <c r="S1282" t="b">
        <v>0</v>
      </c>
      <c r="T1282" t="s">
        <v>87</v>
      </c>
      <c r="U1282" t="b">
        <v>0</v>
      </c>
      <c r="V1282" t="s">
        <v>343</v>
      </c>
      <c r="W1282" s="1">
        <v>44210.540462962963</v>
      </c>
      <c r="X1282">
        <v>918</v>
      </c>
      <c r="Y1282">
        <v>74</v>
      </c>
      <c r="Z1282">
        <v>0</v>
      </c>
      <c r="AA1282">
        <v>74</v>
      </c>
      <c r="AB1282">
        <v>0</v>
      </c>
      <c r="AC1282">
        <v>30</v>
      </c>
      <c r="AD1282">
        <v>2</v>
      </c>
      <c r="AE1282">
        <v>0</v>
      </c>
      <c r="AF1282">
        <v>0</v>
      </c>
      <c r="AG1282">
        <v>0</v>
      </c>
      <c r="AH1282" t="s">
        <v>132</v>
      </c>
      <c r="AI1282" s="1">
        <v>44210.548993055556</v>
      </c>
      <c r="AJ1282">
        <v>92</v>
      </c>
      <c r="AK1282">
        <v>1</v>
      </c>
      <c r="AL1282">
        <v>0</v>
      </c>
      <c r="AM1282">
        <v>1</v>
      </c>
      <c r="AN1282">
        <v>0</v>
      </c>
      <c r="AO1282">
        <v>1</v>
      </c>
      <c r="AP1282">
        <v>1</v>
      </c>
      <c r="AQ1282">
        <v>0</v>
      </c>
      <c r="AR1282">
        <v>0</v>
      </c>
      <c r="AS1282">
        <v>0</v>
      </c>
      <c r="AT1282" t="s">
        <v>90</v>
      </c>
      <c r="AU1282" s="1">
        <v>44210.59878472222</v>
      </c>
      <c r="AV1282">
        <v>7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</row>
    <row r="1283" spans="1:57" hidden="1" x14ac:dyDescent="0.45">
      <c r="A1283" t="s">
        <v>3239</v>
      </c>
      <c r="B1283" t="s">
        <v>79</v>
      </c>
      <c r="C1283" t="s">
        <v>2077</v>
      </c>
      <c r="D1283" t="s">
        <v>81</v>
      </c>
      <c r="E1283" s="2" t="str">
        <f>HYPERLINK("capsilon://?command=openfolder&amp;siteaddress=FAM.docvelocity-na8.net&amp;folderid=FX753D91DF-D19F-E350-0F98-B7A98D4E8F13","FX201113044")</f>
        <v>FX201113044</v>
      </c>
      <c r="F1283" t="s">
        <v>19</v>
      </c>
      <c r="G1283" t="s">
        <v>19</v>
      </c>
      <c r="H1283" t="s">
        <v>82</v>
      </c>
      <c r="I1283" t="s">
        <v>3240</v>
      </c>
      <c r="J1283">
        <v>66</v>
      </c>
      <c r="K1283" t="s">
        <v>84</v>
      </c>
      <c r="L1283" t="s">
        <v>85</v>
      </c>
      <c r="M1283" t="s">
        <v>86</v>
      </c>
      <c r="N1283">
        <v>3</v>
      </c>
      <c r="O1283" s="1">
        <v>44210.531157407408</v>
      </c>
      <c r="P1283" s="1">
        <v>44210.59884259259</v>
      </c>
      <c r="Q1283">
        <v>5087</v>
      </c>
      <c r="R1283">
        <v>761</v>
      </c>
      <c r="S1283" t="b">
        <v>0</v>
      </c>
      <c r="T1283" t="s">
        <v>87</v>
      </c>
      <c r="U1283" t="b">
        <v>0</v>
      </c>
      <c r="V1283" t="s">
        <v>242</v>
      </c>
      <c r="W1283" s="1">
        <v>44210.53979166667</v>
      </c>
      <c r="X1283">
        <v>736</v>
      </c>
      <c r="Y1283">
        <v>0</v>
      </c>
      <c r="Z1283">
        <v>0</v>
      </c>
      <c r="AA1283">
        <v>0</v>
      </c>
      <c r="AB1283">
        <v>52</v>
      </c>
      <c r="AC1283">
        <v>0</v>
      </c>
      <c r="AD1283">
        <v>66</v>
      </c>
      <c r="AE1283">
        <v>0</v>
      </c>
      <c r="AF1283">
        <v>0</v>
      </c>
      <c r="AG1283">
        <v>0</v>
      </c>
      <c r="AH1283" t="s">
        <v>132</v>
      </c>
      <c r="AI1283" s="1">
        <v>44210.549247685187</v>
      </c>
      <c r="AJ1283">
        <v>21</v>
      </c>
      <c r="AK1283">
        <v>0</v>
      </c>
      <c r="AL1283">
        <v>0</v>
      </c>
      <c r="AM1283">
        <v>0</v>
      </c>
      <c r="AN1283">
        <v>52</v>
      </c>
      <c r="AO1283">
        <v>0</v>
      </c>
      <c r="AP1283">
        <v>66</v>
      </c>
      <c r="AQ1283">
        <v>0</v>
      </c>
      <c r="AR1283">
        <v>0</v>
      </c>
      <c r="AS1283">
        <v>0</v>
      </c>
      <c r="AT1283" t="s">
        <v>90</v>
      </c>
      <c r="AU1283" s="1">
        <v>44210.59884259259</v>
      </c>
      <c r="AV1283">
        <v>4</v>
      </c>
      <c r="AW1283">
        <v>0</v>
      </c>
      <c r="AX1283">
        <v>0</v>
      </c>
      <c r="AY1283">
        <v>0</v>
      </c>
      <c r="AZ1283">
        <v>52</v>
      </c>
      <c r="BA1283">
        <v>0</v>
      </c>
      <c r="BB1283">
        <v>66</v>
      </c>
      <c r="BC1283">
        <v>0</v>
      </c>
      <c r="BD1283">
        <v>0</v>
      </c>
      <c r="BE1283">
        <v>0</v>
      </c>
    </row>
    <row r="1284" spans="1:57" hidden="1" x14ac:dyDescent="0.45">
      <c r="A1284" t="s">
        <v>3241</v>
      </c>
      <c r="B1284" t="s">
        <v>79</v>
      </c>
      <c r="C1284" t="s">
        <v>3242</v>
      </c>
      <c r="D1284" t="s">
        <v>81</v>
      </c>
      <c r="E1284" s="2" t="str">
        <f>HYPERLINK("capsilon://?command=openfolder&amp;siteaddress=FAM.docvelocity-na8.net&amp;folderid=FXEF19F9B3-7267-C58C-381D-7A7122109D65","FX201225878")</f>
        <v>FX201225878</v>
      </c>
      <c r="F1284" t="s">
        <v>19</v>
      </c>
      <c r="G1284" t="s">
        <v>19</v>
      </c>
      <c r="H1284" t="s">
        <v>82</v>
      </c>
      <c r="I1284" t="s">
        <v>3243</v>
      </c>
      <c r="J1284">
        <v>66</v>
      </c>
      <c r="K1284" t="s">
        <v>84</v>
      </c>
      <c r="L1284" t="s">
        <v>85</v>
      </c>
      <c r="M1284" t="s">
        <v>86</v>
      </c>
      <c r="N1284">
        <v>1</v>
      </c>
      <c r="O1284" s="1">
        <v>44210.537361111114</v>
      </c>
      <c r="P1284" s="1">
        <v>44210.539930555555</v>
      </c>
      <c r="Q1284">
        <v>150</v>
      </c>
      <c r="R1284">
        <v>72</v>
      </c>
      <c r="S1284" t="b">
        <v>0</v>
      </c>
      <c r="T1284" t="s">
        <v>87</v>
      </c>
      <c r="U1284" t="b">
        <v>0</v>
      </c>
      <c r="V1284" t="s">
        <v>255</v>
      </c>
      <c r="W1284" s="1">
        <v>44210.539930555555</v>
      </c>
      <c r="X1284">
        <v>72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66</v>
      </c>
      <c r="AE1284">
        <v>52</v>
      </c>
      <c r="AF1284">
        <v>0</v>
      </c>
      <c r="AG1284">
        <v>1</v>
      </c>
      <c r="AH1284" t="s">
        <v>87</v>
      </c>
      <c r="AI1284" t="s">
        <v>87</v>
      </c>
      <c r="AJ1284" t="s">
        <v>87</v>
      </c>
      <c r="AK1284" t="s">
        <v>87</v>
      </c>
      <c r="AL1284" t="s">
        <v>87</v>
      </c>
      <c r="AM1284" t="s">
        <v>87</v>
      </c>
      <c r="AN1284" t="s">
        <v>87</v>
      </c>
      <c r="AO1284" t="s">
        <v>87</v>
      </c>
      <c r="AP1284" t="s">
        <v>87</v>
      </c>
      <c r="AQ1284" t="s">
        <v>87</v>
      </c>
      <c r="AR1284" t="s">
        <v>87</v>
      </c>
      <c r="AS1284" t="s">
        <v>87</v>
      </c>
      <c r="AT1284" t="s">
        <v>87</v>
      </c>
      <c r="AU1284" t="s">
        <v>87</v>
      </c>
      <c r="AV1284" t="s">
        <v>87</v>
      </c>
      <c r="AW1284" t="s">
        <v>87</v>
      </c>
      <c r="AX1284" t="s">
        <v>87</v>
      </c>
      <c r="AY1284" t="s">
        <v>87</v>
      </c>
      <c r="AZ1284" t="s">
        <v>87</v>
      </c>
      <c r="BA1284" t="s">
        <v>87</v>
      </c>
      <c r="BB1284" t="s">
        <v>87</v>
      </c>
      <c r="BC1284" t="s">
        <v>87</v>
      </c>
      <c r="BD1284" t="s">
        <v>87</v>
      </c>
      <c r="BE1284" t="s">
        <v>87</v>
      </c>
    </row>
    <row r="1285" spans="1:57" x14ac:dyDescent="0.45">
      <c r="A1285" t="s">
        <v>3244</v>
      </c>
      <c r="B1285" t="s">
        <v>79</v>
      </c>
      <c r="C1285" t="s">
        <v>1188</v>
      </c>
      <c r="D1285" t="s">
        <v>81</v>
      </c>
      <c r="E1285" s="2" t="str">
        <f>HYPERLINK("capsilon://?command=openfolder&amp;siteaddress=FAM.docvelocity-na8.net&amp;folderid=FX0E4B5596-A7F9-8AF5-2E21-D87B73D01DD8","FX201220548")</f>
        <v>FX201220548</v>
      </c>
      <c r="F1285" t="s">
        <v>19</v>
      </c>
      <c r="G1285" t="s">
        <v>19</v>
      </c>
      <c r="H1285" t="s">
        <v>82</v>
      </c>
      <c r="I1285" t="s">
        <v>3245</v>
      </c>
      <c r="J1285">
        <v>38</v>
      </c>
      <c r="K1285" t="s">
        <v>84</v>
      </c>
      <c r="L1285" t="s">
        <v>85</v>
      </c>
      <c r="M1285" t="s">
        <v>86</v>
      </c>
      <c r="N1285">
        <v>3</v>
      </c>
      <c r="O1285" s="1">
        <v>44210.538877314815</v>
      </c>
      <c r="P1285" s="1">
        <v>44210.59888888889</v>
      </c>
      <c r="Q1285">
        <v>4691</v>
      </c>
      <c r="R1285">
        <v>494</v>
      </c>
      <c r="S1285" t="b">
        <v>0</v>
      </c>
      <c r="T1285" t="s">
        <v>87</v>
      </c>
      <c r="U1285" t="b">
        <v>0</v>
      </c>
      <c r="V1285" t="s">
        <v>242</v>
      </c>
      <c r="W1285" s="1">
        <v>44210.54478009259</v>
      </c>
      <c r="X1285">
        <v>430</v>
      </c>
      <c r="Y1285">
        <v>37</v>
      </c>
      <c r="Z1285">
        <v>0</v>
      </c>
      <c r="AA1285">
        <v>37</v>
      </c>
      <c r="AB1285">
        <v>0</v>
      </c>
      <c r="AC1285">
        <v>14</v>
      </c>
      <c r="AD1285">
        <v>1</v>
      </c>
      <c r="AE1285">
        <v>0</v>
      </c>
      <c r="AF1285">
        <v>0</v>
      </c>
      <c r="AG1285">
        <v>0</v>
      </c>
      <c r="AH1285" t="s">
        <v>132</v>
      </c>
      <c r="AI1285" s="1">
        <v>44210.549953703703</v>
      </c>
      <c r="AJ1285">
        <v>60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 t="s">
        <v>90</v>
      </c>
      <c r="AU1285" s="1">
        <v>44210.59888888889</v>
      </c>
      <c r="AV1285">
        <v>4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</row>
    <row r="1286" spans="1:57" x14ac:dyDescent="0.45">
      <c r="A1286" t="s">
        <v>3246</v>
      </c>
      <c r="B1286" t="s">
        <v>79</v>
      </c>
      <c r="C1286" t="s">
        <v>3242</v>
      </c>
      <c r="D1286" t="s">
        <v>81</v>
      </c>
      <c r="E1286" s="2" t="str">
        <f>HYPERLINK("capsilon://?command=openfolder&amp;siteaddress=FAM.docvelocity-na8.net&amp;folderid=FXEF19F9B3-7267-C58C-381D-7A7122109D65","FX201225878")</f>
        <v>FX201225878</v>
      </c>
      <c r="F1286" t="s">
        <v>19</v>
      </c>
      <c r="G1286" t="s">
        <v>19</v>
      </c>
      <c r="H1286" t="s">
        <v>82</v>
      </c>
      <c r="I1286" t="s">
        <v>3243</v>
      </c>
      <c r="J1286">
        <v>38</v>
      </c>
      <c r="K1286" t="s">
        <v>84</v>
      </c>
      <c r="L1286" t="s">
        <v>85</v>
      </c>
      <c r="M1286" t="s">
        <v>86</v>
      </c>
      <c r="N1286">
        <v>3</v>
      </c>
      <c r="O1286" s="1">
        <v>44210.540312500001</v>
      </c>
      <c r="P1286" s="1">
        <v>44210.586550925924</v>
      </c>
      <c r="Q1286">
        <v>3550</v>
      </c>
      <c r="R1286">
        <v>445</v>
      </c>
      <c r="S1286" t="b">
        <v>0</v>
      </c>
      <c r="T1286" t="s">
        <v>87</v>
      </c>
      <c r="U1286" t="b">
        <v>1</v>
      </c>
      <c r="V1286" t="s">
        <v>255</v>
      </c>
      <c r="W1286" s="1">
        <v>44210.543553240743</v>
      </c>
      <c r="X1286">
        <v>275</v>
      </c>
      <c r="Y1286">
        <v>37</v>
      </c>
      <c r="Z1286">
        <v>0</v>
      </c>
      <c r="AA1286">
        <v>37</v>
      </c>
      <c r="AB1286">
        <v>0</v>
      </c>
      <c r="AC1286">
        <v>29</v>
      </c>
      <c r="AD1286">
        <v>1</v>
      </c>
      <c r="AE1286">
        <v>0</v>
      </c>
      <c r="AF1286">
        <v>0</v>
      </c>
      <c r="AG1286">
        <v>0</v>
      </c>
      <c r="AH1286" t="s">
        <v>128</v>
      </c>
      <c r="AI1286" s="1">
        <v>44210.549317129633</v>
      </c>
      <c r="AJ1286">
        <v>164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 t="s">
        <v>90</v>
      </c>
      <c r="AU1286" s="1">
        <v>44210.586550925924</v>
      </c>
      <c r="AV1286">
        <v>6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</row>
    <row r="1287" spans="1:57" hidden="1" x14ac:dyDescent="0.45">
      <c r="A1287" t="s">
        <v>3247</v>
      </c>
      <c r="B1287" t="s">
        <v>79</v>
      </c>
      <c r="C1287" t="s">
        <v>3168</v>
      </c>
      <c r="D1287" t="s">
        <v>81</v>
      </c>
      <c r="E1287" s="2" t="str">
        <f>HYPERLINK("capsilon://?command=openfolder&amp;siteaddress=FAM.docvelocity-na8.net&amp;folderid=FXF2BDA973-B566-B8D7-0678-A512746E8407","FX20126102")</f>
        <v>FX20126102</v>
      </c>
      <c r="F1287" t="s">
        <v>19</v>
      </c>
      <c r="G1287" t="s">
        <v>19</v>
      </c>
      <c r="H1287" t="s">
        <v>82</v>
      </c>
      <c r="I1287" t="s">
        <v>3248</v>
      </c>
      <c r="J1287">
        <v>66</v>
      </c>
      <c r="K1287" t="s">
        <v>84</v>
      </c>
      <c r="L1287" t="s">
        <v>85</v>
      </c>
      <c r="M1287" t="s">
        <v>86</v>
      </c>
      <c r="N1287">
        <v>3</v>
      </c>
      <c r="O1287" s="1">
        <v>44210.544699074075</v>
      </c>
      <c r="P1287" s="1">
        <v>44210.598935185182</v>
      </c>
      <c r="Q1287">
        <v>4411</v>
      </c>
      <c r="R1287">
        <v>275</v>
      </c>
      <c r="S1287" t="b">
        <v>0</v>
      </c>
      <c r="T1287" t="s">
        <v>87</v>
      </c>
      <c r="U1287" t="b">
        <v>0</v>
      </c>
      <c r="V1287" t="s">
        <v>255</v>
      </c>
      <c r="W1287" s="1">
        <v>44210.547291666669</v>
      </c>
      <c r="X1287">
        <v>219</v>
      </c>
      <c r="Y1287">
        <v>0</v>
      </c>
      <c r="Z1287">
        <v>0</v>
      </c>
      <c r="AA1287">
        <v>0</v>
      </c>
      <c r="AB1287">
        <v>52</v>
      </c>
      <c r="AC1287">
        <v>0</v>
      </c>
      <c r="AD1287">
        <v>66</v>
      </c>
      <c r="AE1287">
        <v>0</v>
      </c>
      <c r="AF1287">
        <v>0</v>
      </c>
      <c r="AG1287">
        <v>0</v>
      </c>
      <c r="AH1287" t="s">
        <v>128</v>
      </c>
      <c r="AI1287" s="1">
        <v>44210.549930555557</v>
      </c>
      <c r="AJ1287">
        <v>53</v>
      </c>
      <c r="AK1287">
        <v>0</v>
      </c>
      <c r="AL1287">
        <v>0</v>
      </c>
      <c r="AM1287">
        <v>0</v>
      </c>
      <c r="AN1287">
        <v>52</v>
      </c>
      <c r="AO1287">
        <v>0</v>
      </c>
      <c r="AP1287">
        <v>66</v>
      </c>
      <c r="AQ1287">
        <v>0</v>
      </c>
      <c r="AR1287">
        <v>0</v>
      </c>
      <c r="AS1287">
        <v>0</v>
      </c>
      <c r="AT1287" t="s">
        <v>90</v>
      </c>
      <c r="AU1287" s="1">
        <v>44210.598935185182</v>
      </c>
      <c r="AV1287">
        <v>3</v>
      </c>
      <c r="AW1287">
        <v>0</v>
      </c>
      <c r="AX1287">
        <v>0</v>
      </c>
      <c r="AY1287">
        <v>0</v>
      </c>
      <c r="AZ1287">
        <v>52</v>
      </c>
      <c r="BA1287">
        <v>0</v>
      </c>
      <c r="BB1287">
        <v>66</v>
      </c>
      <c r="BC1287">
        <v>0</v>
      </c>
      <c r="BD1287">
        <v>0</v>
      </c>
      <c r="BE1287">
        <v>0</v>
      </c>
    </row>
    <row r="1288" spans="1:57" x14ac:dyDescent="0.45">
      <c r="A1288" t="s">
        <v>3249</v>
      </c>
      <c r="B1288" t="s">
        <v>79</v>
      </c>
      <c r="C1288" t="s">
        <v>961</v>
      </c>
      <c r="D1288" t="s">
        <v>81</v>
      </c>
      <c r="E1288" s="2" t="str">
        <f>HYPERLINK("capsilon://?command=openfolder&amp;siteaddress=FAM.docvelocity-na8.net&amp;folderid=FXFFE894BB-EB75-370B-7EE4-E05106163C2E","FX201225295")</f>
        <v>FX201225295</v>
      </c>
      <c r="F1288" t="s">
        <v>19</v>
      </c>
      <c r="G1288" t="s">
        <v>19</v>
      </c>
      <c r="H1288" t="s">
        <v>82</v>
      </c>
      <c r="I1288" t="s">
        <v>3250</v>
      </c>
      <c r="J1288">
        <v>50</v>
      </c>
      <c r="K1288" t="s">
        <v>84</v>
      </c>
      <c r="L1288" t="s">
        <v>85</v>
      </c>
      <c r="M1288" t="s">
        <v>86</v>
      </c>
      <c r="N1288">
        <v>3</v>
      </c>
      <c r="O1288" s="1">
        <v>44200.708761574075</v>
      </c>
      <c r="P1288" s="1">
        <v>44201.423993055556</v>
      </c>
      <c r="Q1288">
        <v>61459</v>
      </c>
      <c r="R1288">
        <v>337</v>
      </c>
      <c r="S1288" t="b">
        <v>0</v>
      </c>
      <c r="T1288" t="s">
        <v>87</v>
      </c>
      <c r="U1288" t="b">
        <v>0</v>
      </c>
      <c r="V1288" t="s">
        <v>242</v>
      </c>
      <c r="W1288" s="1">
        <v>44200.83494212963</v>
      </c>
      <c r="X1288">
        <v>149</v>
      </c>
      <c r="Y1288">
        <v>46</v>
      </c>
      <c r="Z1288">
        <v>0</v>
      </c>
      <c r="AA1288">
        <v>46</v>
      </c>
      <c r="AB1288">
        <v>0</v>
      </c>
      <c r="AC1288">
        <v>12</v>
      </c>
      <c r="AD1288">
        <v>4</v>
      </c>
      <c r="AE1288">
        <v>0</v>
      </c>
      <c r="AF1288">
        <v>0</v>
      </c>
      <c r="AG1288">
        <v>0</v>
      </c>
      <c r="AH1288" t="s">
        <v>267</v>
      </c>
      <c r="AI1288" s="1">
        <v>44200.842662037037</v>
      </c>
      <c r="AJ1288">
        <v>115</v>
      </c>
      <c r="AK1288">
        <v>2</v>
      </c>
      <c r="AL1288">
        <v>0</v>
      </c>
      <c r="AM1288">
        <v>2</v>
      </c>
      <c r="AN1288">
        <v>0</v>
      </c>
      <c r="AO1288">
        <v>1</v>
      </c>
      <c r="AP1288">
        <v>2</v>
      </c>
      <c r="AQ1288">
        <v>0</v>
      </c>
      <c r="AR1288">
        <v>0</v>
      </c>
      <c r="AS1288">
        <v>0</v>
      </c>
      <c r="AT1288" t="s">
        <v>90</v>
      </c>
      <c r="AU1288" s="1">
        <v>44201.423993055556</v>
      </c>
      <c r="AV1288">
        <v>73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2</v>
      </c>
      <c r="BC1288">
        <v>0</v>
      </c>
      <c r="BD1288">
        <v>0</v>
      </c>
      <c r="BE1288">
        <v>0</v>
      </c>
    </row>
    <row r="1289" spans="1:57" x14ac:dyDescent="0.45">
      <c r="A1289" t="s">
        <v>3251</v>
      </c>
      <c r="B1289" t="s">
        <v>79</v>
      </c>
      <c r="C1289" t="s">
        <v>758</v>
      </c>
      <c r="D1289" t="s">
        <v>81</v>
      </c>
      <c r="E1289" s="2" t="str">
        <f>HYPERLINK("capsilon://?command=openfolder&amp;siteaddress=FAM.docvelocity-na8.net&amp;folderid=FX35433881-2D8C-62F4-050E-89D09958B575","FX201115620")</f>
        <v>FX201115620</v>
      </c>
      <c r="F1289" t="s">
        <v>19</v>
      </c>
      <c r="G1289" t="s">
        <v>19</v>
      </c>
      <c r="H1289" t="s">
        <v>82</v>
      </c>
      <c r="I1289" t="s">
        <v>2171</v>
      </c>
      <c r="J1289">
        <v>52</v>
      </c>
      <c r="K1289" t="s">
        <v>84</v>
      </c>
      <c r="L1289" t="s">
        <v>85</v>
      </c>
      <c r="M1289" t="s">
        <v>86</v>
      </c>
      <c r="N1289">
        <v>3</v>
      </c>
      <c r="O1289" s="1">
        <v>44200.709074074075</v>
      </c>
      <c r="P1289" s="1">
        <v>44201.337418981479</v>
      </c>
      <c r="Q1289">
        <v>53802</v>
      </c>
      <c r="R1289">
        <v>487</v>
      </c>
      <c r="S1289" t="b">
        <v>0</v>
      </c>
      <c r="T1289" t="s">
        <v>87</v>
      </c>
      <c r="U1289" t="b">
        <v>1</v>
      </c>
      <c r="V1289" t="s">
        <v>242</v>
      </c>
      <c r="W1289" s="1">
        <v>44200.712777777779</v>
      </c>
      <c r="X1289">
        <v>258</v>
      </c>
      <c r="Y1289">
        <v>42</v>
      </c>
      <c r="Z1289">
        <v>0</v>
      </c>
      <c r="AA1289">
        <v>42</v>
      </c>
      <c r="AB1289">
        <v>21</v>
      </c>
      <c r="AC1289">
        <v>13</v>
      </c>
      <c r="AD1289">
        <v>10</v>
      </c>
      <c r="AE1289">
        <v>0</v>
      </c>
      <c r="AF1289">
        <v>0</v>
      </c>
      <c r="AG1289">
        <v>0</v>
      </c>
      <c r="AH1289" t="s">
        <v>267</v>
      </c>
      <c r="AI1289" s="1">
        <v>44200.720081018517</v>
      </c>
      <c r="AJ1289">
        <v>219</v>
      </c>
      <c r="AK1289">
        <v>2</v>
      </c>
      <c r="AL1289">
        <v>0</v>
      </c>
      <c r="AM1289">
        <v>2</v>
      </c>
      <c r="AN1289">
        <v>21</v>
      </c>
      <c r="AO1289">
        <v>1</v>
      </c>
      <c r="AP1289">
        <v>8</v>
      </c>
      <c r="AQ1289">
        <v>0</v>
      </c>
      <c r="AR1289">
        <v>0</v>
      </c>
      <c r="AS1289">
        <v>0</v>
      </c>
      <c r="AT1289" t="s">
        <v>90</v>
      </c>
      <c r="AU1289" s="1">
        <v>44201.337418981479</v>
      </c>
      <c r="AV1289">
        <v>10</v>
      </c>
      <c r="AW1289">
        <v>0</v>
      </c>
      <c r="AX1289">
        <v>0</v>
      </c>
      <c r="AY1289">
        <v>0</v>
      </c>
      <c r="AZ1289">
        <v>21</v>
      </c>
      <c r="BA1289">
        <v>0</v>
      </c>
      <c r="BB1289">
        <v>8</v>
      </c>
      <c r="BC1289">
        <v>0</v>
      </c>
      <c r="BD1289">
        <v>0</v>
      </c>
      <c r="BE1289">
        <v>0</v>
      </c>
    </row>
    <row r="1290" spans="1:57" x14ac:dyDescent="0.45">
      <c r="A1290" t="s">
        <v>3252</v>
      </c>
      <c r="B1290" t="s">
        <v>79</v>
      </c>
      <c r="C1290" t="s">
        <v>961</v>
      </c>
      <c r="D1290" t="s">
        <v>81</v>
      </c>
      <c r="E1290" s="2" t="str">
        <f>HYPERLINK("capsilon://?command=openfolder&amp;siteaddress=FAM.docvelocity-na8.net&amp;folderid=FXFFE894BB-EB75-370B-7EE4-E05106163C2E","FX201225295")</f>
        <v>FX201225295</v>
      </c>
      <c r="F1290" t="s">
        <v>19</v>
      </c>
      <c r="G1290" t="s">
        <v>19</v>
      </c>
      <c r="H1290" t="s">
        <v>82</v>
      </c>
      <c r="I1290" t="s">
        <v>3253</v>
      </c>
      <c r="J1290">
        <v>50</v>
      </c>
      <c r="K1290" t="s">
        <v>84</v>
      </c>
      <c r="L1290" t="s">
        <v>85</v>
      </c>
      <c r="M1290" t="s">
        <v>86</v>
      </c>
      <c r="N1290">
        <v>3</v>
      </c>
      <c r="O1290" s="1">
        <v>44200.709166666667</v>
      </c>
      <c r="P1290" s="1">
        <v>44201.424074074072</v>
      </c>
      <c r="Q1290">
        <v>61481</v>
      </c>
      <c r="R1290">
        <v>287</v>
      </c>
      <c r="S1290" t="b">
        <v>0</v>
      </c>
      <c r="T1290" t="s">
        <v>87</v>
      </c>
      <c r="U1290" t="b">
        <v>0</v>
      </c>
      <c r="V1290" t="s">
        <v>266</v>
      </c>
      <c r="W1290" s="1">
        <v>44200.835324074076</v>
      </c>
      <c r="X1290">
        <v>149</v>
      </c>
      <c r="Y1290">
        <v>43</v>
      </c>
      <c r="Z1290">
        <v>0</v>
      </c>
      <c r="AA1290">
        <v>43</v>
      </c>
      <c r="AB1290">
        <v>0</v>
      </c>
      <c r="AC1290">
        <v>6</v>
      </c>
      <c r="AD1290">
        <v>7</v>
      </c>
      <c r="AE1290">
        <v>0</v>
      </c>
      <c r="AF1290">
        <v>0</v>
      </c>
      <c r="AG1290">
        <v>0</v>
      </c>
      <c r="AH1290" t="s">
        <v>94</v>
      </c>
      <c r="AI1290" s="1">
        <v>44200.8434837963</v>
      </c>
      <c r="AJ1290">
        <v>132</v>
      </c>
      <c r="AK1290">
        <v>0</v>
      </c>
      <c r="AL1290">
        <v>0</v>
      </c>
      <c r="AM1290">
        <v>0</v>
      </c>
      <c r="AN1290">
        <v>0</v>
      </c>
      <c r="AO1290">
        <v>5</v>
      </c>
      <c r="AP1290">
        <v>7</v>
      </c>
      <c r="AQ1290">
        <v>0</v>
      </c>
      <c r="AR1290">
        <v>0</v>
      </c>
      <c r="AS1290">
        <v>0</v>
      </c>
      <c r="AT1290" t="s">
        <v>90</v>
      </c>
      <c r="AU1290" s="1">
        <v>44201.424074074072</v>
      </c>
      <c r="AV1290">
        <v>6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7</v>
      </c>
      <c r="BC1290">
        <v>0</v>
      </c>
      <c r="BD1290">
        <v>0</v>
      </c>
      <c r="BE1290">
        <v>0</v>
      </c>
    </row>
    <row r="1291" spans="1:57" hidden="1" x14ac:dyDescent="0.45">
      <c r="A1291" t="s">
        <v>3254</v>
      </c>
      <c r="B1291" t="s">
        <v>79</v>
      </c>
      <c r="C1291" t="s">
        <v>1596</v>
      </c>
      <c r="D1291" t="s">
        <v>81</v>
      </c>
      <c r="E1291" s="2" t="str">
        <f>HYPERLINK("capsilon://?command=openfolder&amp;siteaddress=FAM.docvelocity-na8.net&amp;folderid=FXB375EF3E-81F7-9231-C384-429DF9B7CE8D","FX20121208")</f>
        <v>FX20121208</v>
      </c>
      <c r="F1291" t="s">
        <v>19</v>
      </c>
      <c r="G1291" t="s">
        <v>19</v>
      </c>
      <c r="H1291" t="s">
        <v>82</v>
      </c>
      <c r="I1291" t="s">
        <v>3255</v>
      </c>
      <c r="J1291">
        <v>66</v>
      </c>
      <c r="K1291" t="s">
        <v>84</v>
      </c>
      <c r="L1291" t="s">
        <v>85</v>
      </c>
      <c r="M1291" t="s">
        <v>86</v>
      </c>
      <c r="N1291">
        <v>3</v>
      </c>
      <c r="O1291" s="1">
        <v>44210.556689814817</v>
      </c>
      <c r="P1291" s="1">
        <v>44210.598981481482</v>
      </c>
      <c r="Q1291">
        <v>3389</v>
      </c>
      <c r="R1291">
        <v>265</v>
      </c>
      <c r="S1291" t="b">
        <v>0</v>
      </c>
      <c r="T1291" t="s">
        <v>87</v>
      </c>
      <c r="U1291" t="b">
        <v>0</v>
      </c>
      <c r="V1291" t="s">
        <v>255</v>
      </c>
      <c r="W1291" s="1">
        <v>44210.557743055557</v>
      </c>
      <c r="X1291">
        <v>82</v>
      </c>
      <c r="Y1291">
        <v>0</v>
      </c>
      <c r="Z1291">
        <v>0</v>
      </c>
      <c r="AA1291">
        <v>0</v>
      </c>
      <c r="AB1291">
        <v>52</v>
      </c>
      <c r="AC1291">
        <v>0</v>
      </c>
      <c r="AD1291">
        <v>66</v>
      </c>
      <c r="AE1291">
        <v>0</v>
      </c>
      <c r="AF1291">
        <v>0</v>
      </c>
      <c r="AG1291">
        <v>0</v>
      </c>
      <c r="AH1291" t="s">
        <v>132</v>
      </c>
      <c r="AI1291" s="1">
        <v>44210.564120370371</v>
      </c>
      <c r="AJ1291">
        <v>86</v>
      </c>
      <c r="AK1291">
        <v>0</v>
      </c>
      <c r="AL1291">
        <v>0</v>
      </c>
      <c r="AM1291">
        <v>0</v>
      </c>
      <c r="AN1291">
        <v>52</v>
      </c>
      <c r="AO1291">
        <v>0</v>
      </c>
      <c r="AP1291">
        <v>66</v>
      </c>
      <c r="AQ1291">
        <v>0</v>
      </c>
      <c r="AR1291">
        <v>0</v>
      </c>
      <c r="AS1291">
        <v>0</v>
      </c>
      <c r="AT1291" t="s">
        <v>90</v>
      </c>
      <c r="AU1291" s="1">
        <v>44210.598981481482</v>
      </c>
      <c r="AV1291">
        <v>4</v>
      </c>
      <c r="AW1291">
        <v>0</v>
      </c>
      <c r="AX1291">
        <v>0</v>
      </c>
      <c r="AY1291">
        <v>0</v>
      </c>
      <c r="AZ1291">
        <v>52</v>
      </c>
      <c r="BA1291">
        <v>0</v>
      </c>
      <c r="BB1291">
        <v>66</v>
      </c>
      <c r="BC1291">
        <v>0</v>
      </c>
      <c r="BD1291">
        <v>0</v>
      </c>
      <c r="BE1291">
        <v>0</v>
      </c>
    </row>
    <row r="1292" spans="1:57" x14ac:dyDescent="0.45">
      <c r="A1292" t="s">
        <v>3256</v>
      </c>
      <c r="B1292" t="s">
        <v>79</v>
      </c>
      <c r="C1292" t="s">
        <v>2028</v>
      </c>
      <c r="D1292" t="s">
        <v>81</v>
      </c>
      <c r="E1292" s="2" t="str">
        <f>HYPERLINK("capsilon://?command=openfolder&amp;siteaddress=FAM.docvelocity-na8.net&amp;folderid=FX0F4ED7D3-B173-858E-88E6-8415DCFC0077","FX21015505")</f>
        <v>FX21015505</v>
      </c>
      <c r="F1292" t="s">
        <v>19</v>
      </c>
      <c r="G1292" t="s">
        <v>19</v>
      </c>
      <c r="H1292" t="s">
        <v>82</v>
      </c>
      <c r="I1292" t="s">
        <v>3257</v>
      </c>
      <c r="J1292">
        <v>66</v>
      </c>
      <c r="K1292" t="s">
        <v>84</v>
      </c>
      <c r="L1292" t="s">
        <v>85</v>
      </c>
      <c r="M1292" t="s">
        <v>86</v>
      </c>
      <c r="N1292">
        <v>3</v>
      </c>
      <c r="O1292" s="1">
        <v>44210.558194444442</v>
      </c>
      <c r="P1292" s="1">
        <v>44210.599247685182</v>
      </c>
      <c r="Q1292">
        <v>3122</v>
      </c>
      <c r="R1292">
        <v>425</v>
      </c>
      <c r="S1292" t="b">
        <v>0</v>
      </c>
      <c r="T1292" t="s">
        <v>87</v>
      </c>
      <c r="U1292" t="b">
        <v>0</v>
      </c>
      <c r="V1292" t="s">
        <v>255</v>
      </c>
      <c r="W1292" s="1">
        <v>44210.561307870368</v>
      </c>
      <c r="X1292">
        <v>265</v>
      </c>
      <c r="Y1292">
        <v>52</v>
      </c>
      <c r="Z1292">
        <v>0</v>
      </c>
      <c r="AA1292">
        <v>52</v>
      </c>
      <c r="AB1292">
        <v>0</v>
      </c>
      <c r="AC1292">
        <v>31</v>
      </c>
      <c r="AD1292">
        <v>14</v>
      </c>
      <c r="AE1292">
        <v>0</v>
      </c>
      <c r="AF1292">
        <v>0</v>
      </c>
      <c r="AG1292">
        <v>0</v>
      </c>
      <c r="AH1292" t="s">
        <v>128</v>
      </c>
      <c r="AI1292" s="1">
        <v>44210.565057870372</v>
      </c>
      <c r="AJ1292">
        <v>137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14</v>
      </c>
      <c r="AQ1292">
        <v>0</v>
      </c>
      <c r="AR1292">
        <v>0</v>
      </c>
      <c r="AS1292">
        <v>0</v>
      </c>
      <c r="AT1292" t="s">
        <v>90</v>
      </c>
      <c r="AU1292" s="1">
        <v>44210.599247685182</v>
      </c>
      <c r="AV1292">
        <v>23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14</v>
      </c>
      <c r="BC1292">
        <v>0</v>
      </c>
      <c r="BD1292">
        <v>0</v>
      </c>
      <c r="BE1292">
        <v>0</v>
      </c>
    </row>
    <row r="1293" spans="1:57" hidden="1" x14ac:dyDescent="0.45">
      <c r="A1293" t="s">
        <v>3258</v>
      </c>
      <c r="B1293" t="s">
        <v>79</v>
      </c>
      <c r="C1293" t="s">
        <v>1596</v>
      </c>
      <c r="D1293" t="s">
        <v>81</v>
      </c>
      <c r="E1293" s="2" t="str">
        <f>HYPERLINK("capsilon://?command=openfolder&amp;siteaddress=FAM.docvelocity-na8.net&amp;folderid=FXB375EF3E-81F7-9231-C384-429DF9B7CE8D","FX20121208")</f>
        <v>FX20121208</v>
      </c>
      <c r="F1293" t="s">
        <v>19</v>
      </c>
      <c r="G1293" t="s">
        <v>19</v>
      </c>
      <c r="H1293" t="s">
        <v>82</v>
      </c>
      <c r="I1293" t="s">
        <v>3259</v>
      </c>
      <c r="J1293">
        <v>66</v>
      </c>
      <c r="K1293" t="s">
        <v>84</v>
      </c>
      <c r="L1293" t="s">
        <v>85</v>
      </c>
      <c r="M1293" t="s">
        <v>86</v>
      </c>
      <c r="N1293">
        <v>3</v>
      </c>
      <c r="O1293" s="1">
        <v>44210.560416666667</v>
      </c>
      <c r="P1293" s="1">
        <v>44210.599282407406</v>
      </c>
      <c r="Q1293">
        <v>3200</v>
      </c>
      <c r="R1293">
        <v>158</v>
      </c>
      <c r="S1293" t="b">
        <v>0</v>
      </c>
      <c r="T1293" t="s">
        <v>87</v>
      </c>
      <c r="U1293" t="b">
        <v>0</v>
      </c>
      <c r="V1293" t="s">
        <v>262</v>
      </c>
      <c r="W1293" s="1">
        <v>44210.561365740738</v>
      </c>
      <c r="X1293">
        <v>80</v>
      </c>
      <c r="Y1293">
        <v>0</v>
      </c>
      <c r="Z1293">
        <v>0</v>
      </c>
      <c r="AA1293">
        <v>0</v>
      </c>
      <c r="AB1293">
        <v>52</v>
      </c>
      <c r="AC1293">
        <v>0</v>
      </c>
      <c r="AD1293">
        <v>66</v>
      </c>
      <c r="AE1293">
        <v>0</v>
      </c>
      <c r="AF1293">
        <v>0</v>
      </c>
      <c r="AG1293">
        <v>0</v>
      </c>
      <c r="AH1293" t="s">
        <v>132</v>
      </c>
      <c r="AI1293" s="1">
        <v>44210.565011574072</v>
      </c>
      <c r="AJ1293">
        <v>76</v>
      </c>
      <c r="AK1293">
        <v>0</v>
      </c>
      <c r="AL1293">
        <v>0</v>
      </c>
      <c r="AM1293">
        <v>0</v>
      </c>
      <c r="AN1293">
        <v>52</v>
      </c>
      <c r="AO1293">
        <v>0</v>
      </c>
      <c r="AP1293">
        <v>66</v>
      </c>
      <c r="AQ1293">
        <v>0</v>
      </c>
      <c r="AR1293">
        <v>0</v>
      </c>
      <c r="AS1293">
        <v>0</v>
      </c>
      <c r="AT1293" t="s">
        <v>90</v>
      </c>
      <c r="AU1293" s="1">
        <v>44210.599282407406</v>
      </c>
      <c r="AV1293">
        <v>2</v>
      </c>
      <c r="AW1293">
        <v>0</v>
      </c>
      <c r="AX1293">
        <v>0</v>
      </c>
      <c r="AY1293">
        <v>0</v>
      </c>
      <c r="AZ1293">
        <v>52</v>
      </c>
      <c r="BA1293">
        <v>0</v>
      </c>
      <c r="BB1293">
        <v>66</v>
      </c>
      <c r="BC1293">
        <v>0</v>
      </c>
      <c r="BD1293">
        <v>0</v>
      </c>
      <c r="BE1293">
        <v>0</v>
      </c>
    </row>
    <row r="1294" spans="1:57" hidden="1" x14ac:dyDescent="0.45">
      <c r="A1294" t="s">
        <v>3260</v>
      </c>
      <c r="B1294" t="s">
        <v>79</v>
      </c>
      <c r="C1294" t="s">
        <v>2736</v>
      </c>
      <c r="D1294" t="s">
        <v>81</v>
      </c>
      <c r="E1294" s="2" t="str">
        <f>HYPERLINK("capsilon://?command=openfolder&amp;siteaddress=FAM.docvelocity-na8.net&amp;folderid=FX673EDBDA-7480-73B3-CF03-42C44A27F561","FX20127687")</f>
        <v>FX20127687</v>
      </c>
      <c r="F1294" t="s">
        <v>19</v>
      </c>
      <c r="G1294" t="s">
        <v>19</v>
      </c>
      <c r="H1294" t="s">
        <v>82</v>
      </c>
      <c r="I1294" t="s">
        <v>3261</v>
      </c>
      <c r="J1294">
        <v>184</v>
      </c>
      <c r="K1294" t="s">
        <v>84</v>
      </c>
      <c r="L1294" t="s">
        <v>85</v>
      </c>
      <c r="M1294" t="s">
        <v>86</v>
      </c>
      <c r="N1294">
        <v>1</v>
      </c>
      <c r="O1294" s="1">
        <v>44210.563310185185</v>
      </c>
      <c r="P1294" s="1">
        <v>44210.572743055556</v>
      </c>
      <c r="Q1294">
        <v>7</v>
      </c>
      <c r="R1294">
        <v>808</v>
      </c>
      <c r="S1294" t="b">
        <v>0</v>
      </c>
      <c r="T1294" t="s">
        <v>87</v>
      </c>
      <c r="U1294" t="b">
        <v>0</v>
      </c>
      <c r="V1294" t="s">
        <v>242</v>
      </c>
      <c r="W1294" s="1">
        <v>44210.572743055556</v>
      </c>
      <c r="X1294">
        <v>808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184</v>
      </c>
      <c r="AE1294">
        <v>160</v>
      </c>
      <c r="AF1294">
        <v>0</v>
      </c>
      <c r="AG1294">
        <v>6</v>
      </c>
      <c r="AH1294" t="s">
        <v>87</v>
      </c>
      <c r="AI1294" t="s">
        <v>87</v>
      </c>
      <c r="AJ1294" t="s">
        <v>87</v>
      </c>
      <c r="AK1294" t="s">
        <v>87</v>
      </c>
      <c r="AL1294" t="s">
        <v>87</v>
      </c>
      <c r="AM1294" t="s">
        <v>87</v>
      </c>
      <c r="AN1294" t="s">
        <v>87</v>
      </c>
      <c r="AO1294" t="s">
        <v>87</v>
      </c>
      <c r="AP1294" t="s">
        <v>87</v>
      </c>
      <c r="AQ1294" t="s">
        <v>87</v>
      </c>
      <c r="AR1294" t="s">
        <v>87</v>
      </c>
      <c r="AS1294" t="s">
        <v>87</v>
      </c>
      <c r="AT1294" t="s">
        <v>87</v>
      </c>
      <c r="AU1294" t="s">
        <v>87</v>
      </c>
      <c r="AV1294" t="s">
        <v>87</v>
      </c>
      <c r="AW1294" t="s">
        <v>87</v>
      </c>
      <c r="AX1294" t="s">
        <v>87</v>
      </c>
      <c r="AY1294" t="s">
        <v>87</v>
      </c>
      <c r="AZ1294" t="s">
        <v>87</v>
      </c>
      <c r="BA1294" t="s">
        <v>87</v>
      </c>
      <c r="BB1294" t="s">
        <v>87</v>
      </c>
      <c r="BC1294" t="s">
        <v>87</v>
      </c>
      <c r="BD1294" t="s">
        <v>87</v>
      </c>
      <c r="BE1294" t="s">
        <v>87</v>
      </c>
    </row>
    <row r="1295" spans="1:57" x14ac:dyDescent="0.45">
      <c r="A1295" t="s">
        <v>3262</v>
      </c>
      <c r="B1295" t="s">
        <v>79</v>
      </c>
      <c r="C1295" t="s">
        <v>1807</v>
      </c>
      <c r="D1295" t="s">
        <v>81</v>
      </c>
      <c r="E1295" s="2" t="str">
        <f>HYPERLINK("capsilon://?command=openfolder&amp;siteaddress=FAM.docvelocity-na8.net&amp;folderid=FXBC5B85A4-60BC-18B7-C50E-83AEAC80491C","FX201227108")</f>
        <v>FX201227108</v>
      </c>
      <c r="F1295" t="s">
        <v>19</v>
      </c>
      <c r="G1295" t="s">
        <v>19</v>
      </c>
      <c r="H1295" t="s">
        <v>82</v>
      </c>
      <c r="I1295" t="s">
        <v>3263</v>
      </c>
      <c r="J1295">
        <v>66</v>
      </c>
      <c r="K1295" t="s">
        <v>84</v>
      </c>
      <c r="L1295" t="s">
        <v>85</v>
      </c>
      <c r="M1295" t="s">
        <v>86</v>
      </c>
      <c r="N1295">
        <v>3</v>
      </c>
      <c r="O1295" s="1">
        <v>44200.71056712963</v>
      </c>
      <c r="P1295" s="1">
        <v>44201.426238425927</v>
      </c>
      <c r="Q1295">
        <v>61296</v>
      </c>
      <c r="R1295">
        <v>538</v>
      </c>
      <c r="S1295" t="b">
        <v>0</v>
      </c>
      <c r="T1295" t="s">
        <v>87</v>
      </c>
      <c r="U1295" t="b">
        <v>0</v>
      </c>
      <c r="V1295" t="s">
        <v>242</v>
      </c>
      <c r="W1295" s="1">
        <v>44200.83797453704</v>
      </c>
      <c r="X1295">
        <v>262</v>
      </c>
      <c r="Y1295">
        <v>52</v>
      </c>
      <c r="Z1295">
        <v>0</v>
      </c>
      <c r="AA1295">
        <v>52</v>
      </c>
      <c r="AB1295">
        <v>0</v>
      </c>
      <c r="AC1295">
        <v>28</v>
      </c>
      <c r="AD1295">
        <v>14</v>
      </c>
      <c r="AE1295">
        <v>0</v>
      </c>
      <c r="AF1295">
        <v>0</v>
      </c>
      <c r="AG1295">
        <v>0</v>
      </c>
      <c r="AH1295" t="s">
        <v>267</v>
      </c>
      <c r="AI1295" s="1">
        <v>44200.843715277777</v>
      </c>
      <c r="AJ1295">
        <v>90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14</v>
      </c>
      <c r="AQ1295">
        <v>0</v>
      </c>
      <c r="AR1295">
        <v>0</v>
      </c>
      <c r="AS1295">
        <v>0</v>
      </c>
      <c r="AT1295" t="s">
        <v>90</v>
      </c>
      <c r="AU1295" s="1">
        <v>44201.426238425927</v>
      </c>
      <c r="AV1295">
        <v>186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14</v>
      </c>
      <c r="BC1295">
        <v>0</v>
      </c>
      <c r="BD1295">
        <v>0</v>
      </c>
      <c r="BE1295">
        <v>0</v>
      </c>
    </row>
    <row r="1296" spans="1:57" x14ac:dyDescent="0.45">
      <c r="A1296" t="s">
        <v>3264</v>
      </c>
      <c r="B1296" t="s">
        <v>79</v>
      </c>
      <c r="C1296" t="s">
        <v>3265</v>
      </c>
      <c r="D1296" t="s">
        <v>81</v>
      </c>
      <c r="E1296" s="2" t="str">
        <f>HYPERLINK("capsilon://?command=openfolder&amp;siteaddress=FAM.docvelocity-na8.net&amp;folderid=FX6C2D813C-29AF-0753-E01C-AD802C6B09F4","FX21017909")</f>
        <v>FX21017909</v>
      </c>
      <c r="F1296" t="s">
        <v>19</v>
      </c>
      <c r="G1296" t="s">
        <v>19</v>
      </c>
      <c r="H1296" t="s">
        <v>82</v>
      </c>
      <c r="I1296" t="s">
        <v>3266</v>
      </c>
      <c r="J1296">
        <v>64</v>
      </c>
      <c r="K1296" t="s">
        <v>84</v>
      </c>
      <c r="L1296" t="s">
        <v>85</v>
      </c>
      <c r="M1296" t="s">
        <v>86</v>
      </c>
      <c r="N1296">
        <v>3</v>
      </c>
      <c r="O1296" s="1">
        <v>44210.565694444442</v>
      </c>
      <c r="P1296" s="1">
        <v>44210.599456018521</v>
      </c>
      <c r="Q1296">
        <v>2240</v>
      </c>
      <c r="R1296">
        <v>677</v>
      </c>
      <c r="S1296" t="b">
        <v>0</v>
      </c>
      <c r="T1296" t="s">
        <v>87</v>
      </c>
      <c r="U1296" t="b">
        <v>0</v>
      </c>
      <c r="V1296" t="s">
        <v>262</v>
      </c>
      <c r="W1296" s="1">
        <v>44210.571261574078</v>
      </c>
      <c r="X1296">
        <v>458</v>
      </c>
      <c r="Y1296">
        <v>58</v>
      </c>
      <c r="Z1296">
        <v>0</v>
      </c>
      <c r="AA1296">
        <v>58</v>
      </c>
      <c r="AB1296">
        <v>0</v>
      </c>
      <c r="AC1296">
        <v>9</v>
      </c>
      <c r="AD1296">
        <v>6</v>
      </c>
      <c r="AE1296">
        <v>0</v>
      </c>
      <c r="AF1296">
        <v>0</v>
      </c>
      <c r="AG1296">
        <v>0</v>
      </c>
      <c r="AH1296" t="s">
        <v>128</v>
      </c>
      <c r="AI1296" s="1">
        <v>44210.574317129627</v>
      </c>
      <c r="AJ1296">
        <v>206</v>
      </c>
      <c r="AK1296">
        <v>1</v>
      </c>
      <c r="AL1296">
        <v>0</v>
      </c>
      <c r="AM1296">
        <v>1</v>
      </c>
      <c r="AN1296">
        <v>0</v>
      </c>
      <c r="AO1296">
        <v>2</v>
      </c>
      <c r="AP1296">
        <v>5</v>
      </c>
      <c r="AQ1296">
        <v>0</v>
      </c>
      <c r="AR1296">
        <v>0</v>
      </c>
      <c r="AS1296">
        <v>0</v>
      </c>
      <c r="AT1296" t="s">
        <v>90</v>
      </c>
      <c r="AU1296" s="1">
        <v>44210.599456018521</v>
      </c>
      <c r="AV1296">
        <v>13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5</v>
      </c>
      <c r="BC1296">
        <v>0</v>
      </c>
      <c r="BD1296">
        <v>0</v>
      </c>
      <c r="BE1296">
        <v>0</v>
      </c>
    </row>
    <row r="1297" spans="1:57" x14ac:dyDescent="0.45">
      <c r="A1297" t="s">
        <v>3267</v>
      </c>
      <c r="B1297" t="s">
        <v>79</v>
      </c>
      <c r="C1297" t="s">
        <v>2736</v>
      </c>
      <c r="D1297" t="s">
        <v>81</v>
      </c>
      <c r="E1297" s="2" t="str">
        <f>HYPERLINK("capsilon://?command=openfolder&amp;siteaddress=FAM.docvelocity-na8.net&amp;folderid=FX673EDBDA-7480-73B3-CF03-42C44A27F561","FX20127687")</f>
        <v>FX20127687</v>
      </c>
      <c r="F1297" t="s">
        <v>19</v>
      </c>
      <c r="G1297" t="s">
        <v>19</v>
      </c>
      <c r="H1297" t="s">
        <v>82</v>
      </c>
      <c r="I1297" t="s">
        <v>3261</v>
      </c>
      <c r="J1297">
        <v>246</v>
      </c>
      <c r="K1297" t="s">
        <v>84</v>
      </c>
      <c r="L1297" t="s">
        <v>85</v>
      </c>
      <c r="M1297" t="s">
        <v>86</v>
      </c>
      <c r="N1297">
        <v>3</v>
      </c>
      <c r="O1297" s="1">
        <v>44210.574155092596</v>
      </c>
      <c r="P1297" s="1">
        <v>44210.597824074073</v>
      </c>
      <c r="Q1297">
        <v>378</v>
      </c>
      <c r="R1297">
        <v>1667</v>
      </c>
      <c r="S1297" t="b">
        <v>0</v>
      </c>
      <c r="T1297" t="s">
        <v>87</v>
      </c>
      <c r="U1297" t="b">
        <v>1</v>
      </c>
      <c r="V1297" t="s">
        <v>255</v>
      </c>
      <c r="W1297" s="1">
        <v>44210.586145833331</v>
      </c>
      <c r="X1297">
        <v>1032</v>
      </c>
      <c r="Y1297">
        <v>197</v>
      </c>
      <c r="Z1297">
        <v>0</v>
      </c>
      <c r="AA1297">
        <v>197</v>
      </c>
      <c r="AB1297">
        <v>0</v>
      </c>
      <c r="AC1297">
        <v>60</v>
      </c>
      <c r="AD1297">
        <v>49</v>
      </c>
      <c r="AE1297">
        <v>0</v>
      </c>
      <c r="AF1297">
        <v>0</v>
      </c>
      <c r="AG1297">
        <v>0</v>
      </c>
      <c r="AH1297" t="s">
        <v>128</v>
      </c>
      <c r="AI1297" s="1">
        <v>44210.594942129632</v>
      </c>
      <c r="AJ1297">
        <v>571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49</v>
      </c>
      <c r="AQ1297">
        <v>0</v>
      </c>
      <c r="AR1297">
        <v>0</v>
      </c>
      <c r="AS1297">
        <v>0</v>
      </c>
      <c r="AT1297" t="s">
        <v>90</v>
      </c>
      <c r="AU1297" s="1">
        <v>44210.597824074073</v>
      </c>
      <c r="AV1297">
        <v>64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49</v>
      </c>
      <c r="BC1297">
        <v>0</v>
      </c>
      <c r="BD1297">
        <v>0</v>
      </c>
      <c r="BE1297">
        <v>0</v>
      </c>
    </row>
    <row r="1298" spans="1:57" x14ac:dyDescent="0.45">
      <c r="A1298" t="s">
        <v>3268</v>
      </c>
      <c r="B1298" t="s">
        <v>79</v>
      </c>
      <c r="C1298" t="s">
        <v>3269</v>
      </c>
      <c r="D1298" t="s">
        <v>81</v>
      </c>
      <c r="E1298" s="2" t="str">
        <f>HYPERLINK("capsilon://?command=openfolder&amp;siteaddress=FAM.docvelocity-na8.net&amp;folderid=FXDDCEBB57-6723-CCF6-F65C-148F09B39934","FX21011056")</f>
        <v>FX21011056</v>
      </c>
      <c r="F1298" t="s">
        <v>19</v>
      </c>
      <c r="G1298" t="s">
        <v>19</v>
      </c>
      <c r="H1298" t="s">
        <v>82</v>
      </c>
      <c r="I1298" t="s">
        <v>3270</v>
      </c>
      <c r="J1298">
        <v>224</v>
      </c>
      <c r="K1298" t="s">
        <v>84</v>
      </c>
      <c r="L1298" t="s">
        <v>85</v>
      </c>
      <c r="M1298" t="s">
        <v>86</v>
      </c>
      <c r="N1298">
        <v>3</v>
      </c>
      <c r="O1298" s="1">
        <v>44210.575775462959</v>
      </c>
      <c r="P1298" s="1">
        <v>44210.645219907405</v>
      </c>
      <c r="Q1298">
        <v>2905</v>
      </c>
      <c r="R1298">
        <v>3095</v>
      </c>
      <c r="S1298" t="b">
        <v>0</v>
      </c>
      <c r="T1298" t="s">
        <v>87</v>
      </c>
      <c r="U1298" t="b">
        <v>0</v>
      </c>
      <c r="V1298" t="s">
        <v>242</v>
      </c>
      <c r="W1298" s="1">
        <v>44210.5934837963</v>
      </c>
      <c r="X1298">
        <v>1527</v>
      </c>
      <c r="Y1298">
        <v>205</v>
      </c>
      <c r="Z1298">
        <v>0</v>
      </c>
      <c r="AA1298">
        <v>205</v>
      </c>
      <c r="AB1298">
        <v>0</v>
      </c>
      <c r="AC1298">
        <v>99</v>
      </c>
      <c r="AD1298">
        <v>19</v>
      </c>
      <c r="AE1298">
        <v>0</v>
      </c>
      <c r="AF1298">
        <v>0</v>
      </c>
      <c r="AG1298">
        <v>0</v>
      </c>
      <c r="AH1298" t="s">
        <v>128</v>
      </c>
      <c r="AI1298" s="1">
        <v>44210.602511574078</v>
      </c>
      <c r="AJ1298">
        <v>653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18</v>
      </c>
      <c r="AQ1298">
        <v>0</v>
      </c>
      <c r="AR1298">
        <v>0</v>
      </c>
      <c r="AS1298">
        <v>0</v>
      </c>
      <c r="AT1298" t="s">
        <v>90</v>
      </c>
      <c r="AU1298" s="1">
        <v>44210.645219907405</v>
      </c>
      <c r="AV1298">
        <v>915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18</v>
      </c>
      <c r="BC1298">
        <v>0</v>
      </c>
      <c r="BD1298">
        <v>0</v>
      </c>
      <c r="BE1298">
        <v>0</v>
      </c>
    </row>
    <row r="1299" spans="1:57" x14ac:dyDescent="0.45">
      <c r="A1299" t="s">
        <v>3271</v>
      </c>
      <c r="B1299" t="s">
        <v>79</v>
      </c>
      <c r="C1299" t="s">
        <v>2102</v>
      </c>
      <c r="D1299" t="s">
        <v>81</v>
      </c>
      <c r="E1299" s="2" t="str">
        <f>HYPERLINK("capsilon://?command=openfolder&amp;siteaddress=FAM.docvelocity-na8.net&amp;folderid=FXCBEC016C-6E5B-17EE-86F3-521CCC5918A0","FX201227908")</f>
        <v>FX201227908</v>
      </c>
      <c r="F1299" t="s">
        <v>19</v>
      </c>
      <c r="G1299" t="s">
        <v>19</v>
      </c>
      <c r="H1299" t="s">
        <v>82</v>
      </c>
      <c r="I1299" t="s">
        <v>2103</v>
      </c>
      <c r="J1299">
        <v>304</v>
      </c>
      <c r="K1299" t="s">
        <v>84</v>
      </c>
      <c r="L1299" t="s">
        <v>85</v>
      </c>
      <c r="M1299" t="s">
        <v>86</v>
      </c>
      <c r="N1299">
        <v>3</v>
      </c>
      <c r="O1299" s="1">
        <v>44200.711701388886</v>
      </c>
      <c r="P1299" s="1">
        <v>44201.338333333333</v>
      </c>
      <c r="Q1299">
        <v>51837</v>
      </c>
      <c r="R1299">
        <v>2304</v>
      </c>
      <c r="S1299" t="b">
        <v>0</v>
      </c>
      <c r="T1299" t="s">
        <v>87</v>
      </c>
      <c r="U1299" t="b">
        <v>1</v>
      </c>
      <c r="V1299" t="s">
        <v>242</v>
      </c>
      <c r="W1299" s="1">
        <v>44200.731863425928</v>
      </c>
      <c r="X1299">
        <v>1544</v>
      </c>
      <c r="Y1299">
        <v>362</v>
      </c>
      <c r="Z1299">
        <v>0</v>
      </c>
      <c r="AA1299">
        <v>362</v>
      </c>
      <c r="AB1299">
        <v>42</v>
      </c>
      <c r="AC1299">
        <v>234</v>
      </c>
      <c r="AD1299">
        <v>-58</v>
      </c>
      <c r="AE1299">
        <v>0</v>
      </c>
      <c r="AF1299">
        <v>0</v>
      </c>
      <c r="AG1299">
        <v>0</v>
      </c>
      <c r="AH1299" t="s">
        <v>267</v>
      </c>
      <c r="AI1299" s="1">
        <v>44200.73978009259</v>
      </c>
      <c r="AJ1299">
        <v>658</v>
      </c>
      <c r="AK1299">
        <v>0</v>
      </c>
      <c r="AL1299">
        <v>0</v>
      </c>
      <c r="AM1299">
        <v>0</v>
      </c>
      <c r="AN1299">
        <v>42</v>
      </c>
      <c r="AO1299">
        <v>0</v>
      </c>
      <c r="AP1299">
        <v>-58</v>
      </c>
      <c r="AQ1299">
        <v>0</v>
      </c>
      <c r="AR1299">
        <v>0</v>
      </c>
      <c r="AS1299">
        <v>0</v>
      </c>
      <c r="AT1299" t="s">
        <v>90</v>
      </c>
      <c r="AU1299" s="1">
        <v>44201.338333333333</v>
      </c>
      <c r="AV1299">
        <v>79</v>
      </c>
      <c r="AW1299">
        <v>0</v>
      </c>
      <c r="AX1299">
        <v>0</v>
      </c>
      <c r="AY1299">
        <v>0</v>
      </c>
      <c r="AZ1299">
        <v>42</v>
      </c>
      <c r="BA1299">
        <v>0</v>
      </c>
      <c r="BB1299">
        <v>-58</v>
      </c>
      <c r="BC1299">
        <v>0</v>
      </c>
      <c r="BD1299">
        <v>0</v>
      </c>
      <c r="BE1299">
        <v>0</v>
      </c>
    </row>
    <row r="1300" spans="1:57" hidden="1" x14ac:dyDescent="0.45">
      <c r="A1300" t="s">
        <v>3272</v>
      </c>
      <c r="B1300" t="s">
        <v>79</v>
      </c>
      <c r="C1300" t="s">
        <v>3155</v>
      </c>
      <c r="D1300" t="s">
        <v>81</v>
      </c>
      <c r="E1300" s="2" t="str">
        <f>HYPERLINK("capsilon://?command=openfolder&amp;siteaddress=FAM.docvelocity-na8.net&amp;folderid=FX674FD0F3-90C1-0247-8558-AFE478C34C5F","FX21018013")</f>
        <v>FX21018013</v>
      </c>
      <c r="F1300" t="s">
        <v>19</v>
      </c>
      <c r="G1300" t="s">
        <v>19</v>
      </c>
      <c r="H1300" t="s">
        <v>82</v>
      </c>
      <c r="I1300" t="s">
        <v>3273</v>
      </c>
      <c r="J1300">
        <v>66</v>
      </c>
      <c r="K1300" t="s">
        <v>84</v>
      </c>
      <c r="L1300" t="s">
        <v>85</v>
      </c>
      <c r="M1300" t="s">
        <v>86</v>
      </c>
      <c r="N1300">
        <v>3</v>
      </c>
      <c r="O1300" s="1">
        <v>44210.58189814815</v>
      </c>
      <c r="P1300" s="1">
        <v>44210.599490740744</v>
      </c>
      <c r="Q1300">
        <v>1213</v>
      </c>
      <c r="R1300">
        <v>307</v>
      </c>
      <c r="S1300" t="b">
        <v>0</v>
      </c>
      <c r="T1300" t="s">
        <v>87</v>
      </c>
      <c r="U1300" t="b">
        <v>0</v>
      </c>
      <c r="V1300" t="s">
        <v>146</v>
      </c>
      <c r="W1300" s="1">
        <v>44210.585138888891</v>
      </c>
      <c r="X1300">
        <v>279</v>
      </c>
      <c r="Y1300">
        <v>0</v>
      </c>
      <c r="Z1300">
        <v>0</v>
      </c>
      <c r="AA1300">
        <v>0</v>
      </c>
      <c r="AB1300">
        <v>52</v>
      </c>
      <c r="AC1300">
        <v>0</v>
      </c>
      <c r="AD1300">
        <v>66</v>
      </c>
      <c r="AE1300">
        <v>0</v>
      </c>
      <c r="AF1300">
        <v>0</v>
      </c>
      <c r="AG1300">
        <v>0</v>
      </c>
      <c r="AH1300" t="s">
        <v>132</v>
      </c>
      <c r="AI1300" s="1">
        <v>44210.591724537036</v>
      </c>
      <c r="AJ1300">
        <v>26</v>
      </c>
      <c r="AK1300">
        <v>0</v>
      </c>
      <c r="AL1300">
        <v>0</v>
      </c>
      <c r="AM1300">
        <v>0</v>
      </c>
      <c r="AN1300">
        <v>52</v>
      </c>
      <c r="AO1300">
        <v>0</v>
      </c>
      <c r="AP1300">
        <v>66</v>
      </c>
      <c r="AQ1300">
        <v>0</v>
      </c>
      <c r="AR1300">
        <v>0</v>
      </c>
      <c r="AS1300">
        <v>0</v>
      </c>
      <c r="AT1300" t="s">
        <v>90</v>
      </c>
      <c r="AU1300" s="1">
        <v>44210.599490740744</v>
      </c>
      <c r="AV1300">
        <v>2</v>
      </c>
      <c r="AW1300">
        <v>0</v>
      </c>
      <c r="AX1300">
        <v>0</v>
      </c>
      <c r="AY1300">
        <v>0</v>
      </c>
      <c r="AZ1300">
        <v>52</v>
      </c>
      <c r="BA1300">
        <v>0</v>
      </c>
      <c r="BB1300">
        <v>66</v>
      </c>
      <c r="BC1300">
        <v>0</v>
      </c>
      <c r="BD1300">
        <v>0</v>
      </c>
      <c r="BE1300">
        <v>0</v>
      </c>
    </row>
    <row r="1301" spans="1:57" x14ac:dyDescent="0.45">
      <c r="A1301" t="s">
        <v>3274</v>
      </c>
      <c r="B1301" t="s">
        <v>79</v>
      </c>
      <c r="C1301" t="s">
        <v>1371</v>
      </c>
      <c r="D1301" t="s">
        <v>81</v>
      </c>
      <c r="E1301" s="2" t="str">
        <f>HYPERLINK("capsilon://?command=openfolder&amp;siteaddress=FAM.docvelocity-na8.net&amp;folderid=FXB841B970-9B50-0DD4-2C33-D190EAF08556","FX201228979")</f>
        <v>FX201228979</v>
      </c>
      <c r="F1301" t="s">
        <v>19</v>
      </c>
      <c r="G1301" t="s">
        <v>19</v>
      </c>
      <c r="H1301" t="s">
        <v>82</v>
      </c>
      <c r="I1301" t="s">
        <v>3275</v>
      </c>
      <c r="J1301">
        <v>66</v>
      </c>
      <c r="K1301" t="s">
        <v>84</v>
      </c>
      <c r="L1301" t="s">
        <v>85</v>
      </c>
      <c r="M1301" t="s">
        <v>86</v>
      </c>
      <c r="N1301">
        <v>3</v>
      </c>
      <c r="O1301" s="1">
        <v>44210.583124999997</v>
      </c>
      <c r="P1301" s="1">
        <v>44210.645497685182</v>
      </c>
      <c r="Q1301">
        <v>3783</v>
      </c>
      <c r="R1301">
        <v>1606</v>
      </c>
      <c r="S1301" t="b">
        <v>0</v>
      </c>
      <c r="T1301" t="s">
        <v>87</v>
      </c>
      <c r="U1301" t="b">
        <v>0</v>
      </c>
      <c r="V1301" t="s">
        <v>160</v>
      </c>
      <c r="W1301" s="1">
        <v>44210.599733796298</v>
      </c>
      <c r="X1301">
        <v>1434</v>
      </c>
      <c r="Y1301">
        <v>52</v>
      </c>
      <c r="Z1301">
        <v>0</v>
      </c>
      <c r="AA1301">
        <v>52</v>
      </c>
      <c r="AB1301">
        <v>0</v>
      </c>
      <c r="AC1301">
        <v>37</v>
      </c>
      <c r="AD1301">
        <v>14</v>
      </c>
      <c r="AE1301">
        <v>0</v>
      </c>
      <c r="AF1301">
        <v>0</v>
      </c>
      <c r="AG1301">
        <v>0</v>
      </c>
      <c r="AH1301" t="s">
        <v>128</v>
      </c>
      <c r="AI1301" s="1">
        <v>44210.604247685187</v>
      </c>
      <c r="AJ1301">
        <v>149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14</v>
      </c>
      <c r="AQ1301">
        <v>0</v>
      </c>
      <c r="AR1301">
        <v>0</v>
      </c>
      <c r="AS1301">
        <v>0</v>
      </c>
      <c r="AT1301" t="s">
        <v>90</v>
      </c>
      <c r="AU1301" s="1">
        <v>44210.645497685182</v>
      </c>
      <c r="AV1301">
        <v>23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14</v>
      </c>
      <c r="BC1301">
        <v>0</v>
      </c>
      <c r="BD1301">
        <v>0</v>
      </c>
      <c r="BE1301">
        <v>0</v>
      </c>
    </row>
    <row r="1302" spans="1:57" x14ac:dyDescent="0.45">
      <c r="A1302" t="s">
        <v>3276</v>
      </c>
      <c r="B1302" t="s">
        <v>79</v>
      </c>
      <c r="C1302" t="s">
        <v>2323</v>
      </c>
      <c r="D1302" t="s">
        <v>81</v>
      </c>
      <c r="E1302" s="2" t="str">
        <f>HYPERLINK("capsilon://?command=openfolder&amp;siteaddress=FAM.docvelocity-na8.net&amp;folderid=FXF0612C63-D805-ED0A-623D-280E379313FF","FX21014999")</f>
        <v>FX21014999</v>
      </c>
      <c r="F1302" t="s">
        <v>19</v>
      </c>
      <c r="G1302" t="s">
        <v>19</v>
      </c>
      <c r="H1302" t="s">
        <v>82</v>
      </c>
      <c r="I1302" t="s">
        <v>3277</v>
      </c>
      <c r="J1302">
        <v>66</v>
      </c>
      <c r="K1302" t="s">
        <v>84</v>
      </c>
      <c r="L1302" t="s">
        <v>85</v>
      </c>
      <c r="M1302" t="s">
        <v>86</v>
      </c>
      <c r="N1302">
        <v>3</v>
      </c>
      <c r="O1302" s="1">
        <v>44210.585694444446</v>
      </c>
      <c r="P1302" s="1">
        <v>44210.646365740744</v>
      </c>
      <c r="Q1302">
        <v>1014</v>
      </c>
      <c r="R1302">
        <v>4228</v>
      </c>
      <c r="S1302" t="b">
        <v>0</v>
      </c>
      <c r="T1302" t="s">
        <v>87</v>
      </c>
      <c r="U1302" t="b">
        <v>0</v>
      </c>
      <c r="V1302" t="s">
        <v>146</v>
      </c>
      <c r="W1302" s="1">
        <v>44210.632789351854</v>
      </c>
      <c r="X1302">
        <v>4069</v>
      </c>
      <c r="Y1302">
        <v>52</v>
      </c>
      <c r="Z1302">
        <v>0</v>
      </c>
      <c r="AA1302">
        <v>52</v>
      </c>
      <c r="AB1302">
        <v>0</v>
      </c>
      <c r="AC1302">
        <v>42</v>
      </c>
      <c r="AD1302">
        <v>14</v>
      </c>
      <c r="AE1302">
        <v>0</v>
      </c>
      <c r="AF1302">
        <v>0</v>
      </c>
      <c r="AG1302">
        <v>0</v>
      </c>
      <c r="AH1302" t="s">
        <v>132</v>
      </c>
      <c r="AI1302" s="1">
        <v>44210.638078703705</v>
      </c>
      <c r="AJ1302">
        <v>85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14</v>
      </c>
      <c r="AQ1302">
        <v>0</v>
      </c>
      <c r="AR1302">
        <v>0</v>
      </c>
      <c r="AS1302">
        <v>0</v>
      </c>
      <c r="AT1302" t="s">
        <v>90</v>
      </c>
      <c r="AU1302" s="1">
        <v>44210.646365740744</v>
      </c>
      <c r="AV1302">
        <v>74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14</v>
      </c>
      <c r="BC1302">
        <v>0</v>
      </c>
      <c r="BD1302">
        <v>0</v>
      </c>
      <c r="BE1302">
        <v>0</v>
      </c>
    </row>
    <row r="1303" spans="1:57" x14ac:dyDescent="0.45">
      <c r="A1303" t="s">
        <v>3278</v>
      </c>
      <c r="B1303" t="s">
        <v>79</v>
      </c>
      <c r="C1303" t="s">
        <v>3220</v>
      </c>
      <c r="D1303" t="s">
        <v>81</v>
      </c>
      <c r="E1303" s="2" t="str">
        <f>HYPERLINK("capsilon://?command=openfolder&amp;siteaddress=FAM.docvelocity-na8.net&amp;folderid=FXB3149CBC-1180-0139-5120-0D8AAD720CB0","FX21018464")</f>
        <v>FX21018464</v>
      </c>
      <c r="F1303" t="s">
        <v>19</v>
      </c>
      <c r="G1303" t="s">
        <v>19</v>
      </c>
      <c r="H1303" t="s">
        <v>82</v>
      </c>
      <c r="I1303" t="s">
        <v>3279</v>
      </c>
      <c r="J1303">
        <v>172</v>
      </c>
      <c r="K1303" t="s">
        <v>84</v>
      </c>
      <c r="L1303" t="s">
        <v>85</v>
      </c>
      <c r="M1303" t="s">
        <v>86</v>
      </c>
      <c r="N1303">
        <v>3</v>
      </c>
      <c r="O1303" s="1">
        <v>44210.586631944447</v>
      </c>
      <c r="P1303" s="1">
        <v>44210.646678240744</v>
      </c>
      <c r="Q1303">
        <v>1264</v>
      </c>
      <c r="R1303">
        <v>3924</v>
      </c>
      <c r="S1303" t="b">
        <v>0</v>
      </c>
      <c r="T1303" t="s">
        <v>87</v>
      </c>
      <c r="U1303" t="b">
        <v>0</v>
      </c>
      <c r="V1303" t="s">
        <v>179</v>
      </c>
      <c r="W1303" s="1">
        <v>44210.623668981483</v>
      </c>
      <c r="X1303">
        <v>3199</v>
      </c>
      <c r="Y1303">
        <v>152</v>
      </c>
      <c r="Z1303">
        <v>0</v>
      </c>
      <c r="AA1303">
        <v>152</v>
      </c>
      <c r="AB1303">
        <v>0</v>
      </c>
      <c r="AC1303">
        <v>101</v>
      </c>
      <c r="AD1303">
        <v>20</v>
      </c>
      <c r="AE1303">
        <v>0</v>
      </c>
      <c r="AF1303">
        <v>0</v>
      </c>
      <c r="AG1303">
        <v>0</v>
      </c>
      <c r="AH1303" t="s">
        <v>147</v>
      </c>
      <c r="AI1303" s="1">
        <v>44210.637164351851</v>
      </c>
      <c r="AJ1303">
        <v>698</v>
      </c>
      <c r="AK1303">
        <v>2</v>
      </c>
      <c r="AL1303">
        <v>0</v>
      </c>
      <c r="AM1303">
        <v>2</v>
      </c>
      <c r="AN1303">
        <v>0</v>
      </c>
      <c r="AO1303">
        <v>3</v>
      </c>
      <c r="AP1303">
        <v>18</v>
      </c>
      <c r="AQ1303">
        <v>0</v>
      </c>
      <c r="AR1303">
        <v>0</v>
      </c>
      <c r="AS1303">
        <v>0</v>
      </c>
      <c r="AT1303" t="s">
        <v>90</v>
      </c>
      <c r="AU1303" s="1">
        <v>44210.646678240744</v>
      </c>
      <c r="AV1303">
        <v>27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18</v>
      </c>
      <c r="BC1303">
        <v>0</v>
      </c>
      <c r="BD1303">
        <v>0</v>
      </c>
      <c r="BE1303">
        <v>0</v>
      </c>
    </row>
    <row r="1304" spans="1:57" x14ac:dyDescent="0.45">
      <c r="A1304" t="s">
        <v>3280</v>
      </c>
      <c r="B1304" t="s">
        <v>79</v>
      </c>
      <c r="C1304" t="s">
        <v>3281</v>
      </c>
      <c r="D1304" t="s">
        <v>81</v>
      </c>
      <c r="E1304" s="2" t="str">
        <f>HYPERLINK("capsilon://?command=openfolder&amp;siteaddress=FAM.docvelocity-na8.net&amp;folderid=FX99EC845C-AEB1-33DF-777F-EB2A14AD452E","FX21018249")</f>
        <v>FX21018249</v>
      </c>
      <c r="F1304" t="s">
        <v>19</v>
      </c>
      <c r="G1304" t="s">
        <v>19</v>
      </c>
      <c r="H1304" t="s">
        <v>82</v>
      </c>
      <c r="I1304" t="s">
        <v>3282</v>
      </c>
      <c r="J1304">
        <v>412</v>
      </c>
      <c r="K1304" t="s">
        <v>84</v>
      </c>
      <c r="L1304" t="s">
        <v>85</v>
      </c>
      <c r="M1304" t="s">
        <v>86</v>
      </c>
      <c r="N1304">
        <v>3</v>
      </c>
      <c r="O1304" s="1">
        <v>44210.59171296296</v>
      </c>
      <c r="P1304" s="1">
        <v>44210.68340277778</v>
      </c>
      <c r="Q1304">
        <v>222</v>
      </c>
      <c r="R1304">
        <v>7700</v>
      </c>
      <c r="S1304" t="b">
        <v>0</v>
      </c>
      <c r="T1304" t="s">
        <v>87</v>
      </c>
      <c r="U1304" t="b">
        <v>0</v>
      </c>
      <c r="V1304" t="s">
        <v>171</v>
      </c>
      <c r="W1304" s="1">
        <v>44210.667187500003</v>
      </c>
      <c r="X1304">
        <v>6520</v>
      </c>
      <c r="Y1304">
        <v>356</v>
      </c>
      <c r="Z1304">
        <v>0</v>
      </c>
      <c r="AA1304">
        <v>356</v>
      </c>
      <c r="AB1304">
        <v>0</v>
      </c>
      <c r="AC1304">
        <v>159</v>
      </c>
      <c r="AD1304">
        <v>56</v>
      </c>
      <c r="AE1304">
        <v>0</v>
      </c>
      <c r="AF1304">
        <v>0</v>
      </c>
      <c r="AG1304">
        <v>0</v>
      </c>
      <c r="AH1304" t="s">
        <v>128</v>
      </c>
      <c r="AI1304" s="1">
        <v>44210.681388888886</v>
      </c>
      <c r="AJ1304">
        <v>1146</v>
      </c>
      <c r="AK1304">
        <v>5</v>
      </c>
      <c r="AL1304">
        <v>0</v>
      </c>
      <c r="AM1304">
        <v>5</v>
      </c>
      <c r="AN1304">
        <v>0</v>
      </c>
      <c r="AO1304">
        <v>5</v>
      </c>
      <c r="AP1304">
        <v>51</v>
      </c>
      <c r="AQ1304">
        <v>0</v>
      </c>
      <c r="AR1304">
        <v>0</v>
      </c>
      <c r="AS1304">
        <v>0</v>
      </c>
      <c r="AT1304" t="s">
        <v>90</v>
      </c>
      <c r="AU1304" s="1">
        <v>44210.68340277778</v>
      </c>
      <c r="AV1304">
        <v>34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51</v>
      </c>
      <c r="BC1304">
        <v>0</v>
      </c>
      <c r="BD1304">
        <v>0</v>
      </c>
      <c r="BE1304">
        <v>0</v>
      </c>
    </row>
    <row r="1305" spans="1:57" x14ac:dyDescent="0.45">
      <c r="A1305" t="s">
        <v>3283</v>
      </c>
      <c r="B1305" t="s">
        <v>79</v>
      </c>
      <c r="C1305" t="s">
        <v>3284</v>
      </c>
      <c r="D1305" t="s">
        <v>81</v>
      </c>
      <c r="E1305" s="2" t="str">
        <f>HYPERLINK("capsilon://?command=openfolder&amp;siteaddress=FAM.docvelocity-na8.net&amp;folderid=FXB441F6D3-E96D-9E89-EBBF-AF831F2B8451","FX201226987")</f>
        <v>FX201226987</v>
      </c>
      <c r="F1305" t="s">
        <v>19</v>
      </c>
      <c r="G1305" t="s">
        <v>19</v>
      </c>
      <c r="H1305" t="s">
        <v>82</v>
      </c>
      <c r="I1305" t="s">
        <v>3285</v>
      </c>
      <c r="J1305">
        <v>66</v>
      </c>
      <c r="K1305" t="s">
        <v>84</v>
      </c>
      <c r="L1305" t="s">
        <v>85</v>
      </c>
      <c r="M1305" t="s">
        <v>86</v>
      </c>
      <c r="N1305">
        <v>3</v>
      </c>
      <c r="O1305" s="1">
        <v>44200.713240740741</v>
      </c>
      <c r="P1305" s="1">
        <v>44201.426979166667</v>
      </c>
      <c r="Q1305">
        <v>61122</v>
      </c>
      <c r="R1305">
        <v>545</v>
      </c>
      <c r="S1305" t="b">
        <v>0</v>
      </c>
      <c r="T1305" t="s">
        <v>87</v>
      </c>
      <c r="U1305" t="b">
        <v>0</v>
      </c>
      <c r="V1305" t="s">
        <v>266</v>
      </c>
      <c r="W1305" s="1">
        <v>44200.839236111111</v>
      </c>
      <c r="X1305">
        <v>337</v>
      </c>
      <c r="Y1305">
        <v>52</v>
      </c>
      <c r="Z1305">
        <v>0</v>
      </c>
      <c r="AA1305">
        <v>52</v>
      </c>
      <c r="AB1305">
        <v>0</v>
      </c>
      <c r="AC1305">
        <v>32</v>
      </c>
      <c r="AD1305">
        <v>14</v>
      </c>
      <c r="AE1305">
        <v>0</v>
      </c>
      <c r="AF1305">
        <v>0</v>
      </c>
      <c r="AG1305">
        <v>0</v>
      </c>
      <c r="AH1305" t="s">
        <v>94</v>
      </c>
      <c r="AI1305" s="1">
        <v>44200.845173611109</v>
      </c>
      <c r="AJ1305">
        <v>145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14</v>
      </c>
      <c r="AQ1305">
        <v>0</v>
      </c>
      <c r="AR1305">
        <v>0</v>
      </c>
      <c r="AS1305">
        <v>0</v>
      </c>
      <c r="AT1305" t="s">
        <v>90</v>
      </c>
      <c r="AU1305" s="1">
        <v>44201.426979166667</v>
      </c>
      <c r="AV1305">
        <v>63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14</v>
      </c>
      <c r="BC1305">
        <v>0</v>
      </c>
      <c r="BD1305">
        <v>0</v>
      </c>
      <c r="BE1305">
        <v>0</v>
      </c>
    </row>
    <row r="1306" spans="1:57" x14ac:dyDescent="0.45">
      <c r="A1306" t="s">
        <v>3286</v>
      </c>
      <c r="B1306" t="s">
        <v>79</v>
      </c>
      <c r="C1306" t="s">
        <v>1057</v>
      </c>
      <c r="D1306" t="s">
        <v>81</v>
      </c>
      <c r="E1306" s="2" t="str">
        <f>HYPERLINK("capsilon://?command=openfolder&amp;siteaddress=FAM.docvelocity-na8.net&amp;folderid=FX16F2E662-FD8D-9C43-9F03-7C137A2B94D9","FX201228362")</f>
        <v>FX201228362</v>
      </c>
      <c r="F1306" t="s">
        <v>19</v>
      </c>
      <c r="G1306" t="s">
        <v>19</v>
      </c>
      <c r="H1306" t="s">
        <v>82</v>
      </c>
      <c r="I1306" t="s">
        <v>3287</v>
      </c>
      <c r="J1306">
        <v>61</v>
      </c>
      <c r="K1306" t="s">
        <v>84</v>
      </c>
      <c r="L1306" t="s">
        <v>85</v>
      </c>
      <c r="M1306" t="s">
        <v>86</v>
      </c>
      <c r="N1306">
        <v>3</v>
      </c>
      <c r="O1306" s="1">
        <v>44210.602303240739</v>
      </c>
      <c r="P1306" s="1">
        <v>44210.648148148146</v>
      </c>
      <c r="Q1306">
        <v>3329</v>
      </c>
      <c r="R1306">
        <v>632</v>
      </c>
      <c r="S1306" t="b">
        <v>0</v>
      </c>
      <c r="T1306" t="s">
        <v>87</v>
      </c>
      <c r="U1306" t="b">
        <v>0</v>
      </c>
      <c r="V1306" t="s">
        <v>242</v>
      </c>
      <c r="W1306" s="1">
        <v>44210.624965277777</v>
      </c>
      <c r="X1306">
        <v>126</v>
      </c>
      <c r="Y1306">
        <v>39</v>
      </c>
      <c r="Z1306">
        <v>0</v>
      </c>
      <c r="AA1306">
        <v>39</v>
      </c>
      <c r="AB1306">
        <v>0</v>
      </c>
      <c r="AC1306">
        <v>5</v>
      </c>
      <c r="AD1306">
        <v>22</v>
      </c>
      <c r="AE1306">
        <v>0</v>
      </c>
      <c r="AF1306">
        <v>0</v>
      </c>
      <c r="AG1306">
        <v>0</v>
      </c>
      <c r="AH1306" t="s">
        <v>147</v>
      </c>
      <c r="AI1306" s="1">
        <v>44210.641574074078</v>
      </c>
      <c r="AJ1306">
        <v>380</v>
      </c>
      <c r="AK1306">
        <v>2</v>
      </c>
      <c r="AL1306">
        <v>0</v>
      </c>
      <c r="AM1306">
        <v>2</v>
      </c>
      <c r="AN1306">
        <v>0</v>
      </c>
      <c r="AO1306">
        <v>5</v>
      </c>
      <c r="AP1306">
        <v>20</v>
      </c>
      <c r="AQ1306">
        <v>0</v>
      </c>
      <c r="AR1306">
        <v>0</v>
      </c>
      <c r="AS1306">
        <v>0</v>
      </c>
      <c r="AT1306" t="s">
        <v>90</v>
      </c>
      <c r="AU1306" s="1">
        <v>44210.648148148146</v>
      </c>
      <c r="AV1306">
        <v>126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20</v>
      </c>
      <c r="BC1306">
        <v>0</v>
      </c>
      <c r="BD1306">
        <v>0</v>
      </c>
      <c r="BE1306">
        <v>0</v>
      </c>
    </row>
    <row r="1307" spans="1:57" x14ac:dyDescent="0.45">
      <c r="A1307" t="s">
        <v>3288</v>
      </c>
      <c r="B1307" t="s">
        <v>79</v>
      </c>
      <c r="C1307" t="s">
        <v>3289</v>
      </c>
      <c r="D1307" t="s">
        <v>81</v>
      </c>
      <c r="E1307" s="2" t="str">
        <f>HYPERLINK("capsilon://?command=openfolder&amp;siteaddress=FAM.docvelocity-na8.net&amp;folderid=FX123F0F2A-75F5-BABD-E63F-0BB7DD37BBE1","FX20111665")</f>
        <v>FX20111665</v>
      </c>
      <c r="F1307" t="s">
        <v>19</v>
      </c>
      <c r="G1307" t="s">
        <v>19</v>
      </c>
      <c r="H1307" t="s">
        <v>82</v>
      </c>
      <c r="I1307" t="s">
        <v>3290</v>
      </c>
      <c r="J1307">
        <v>31</v>
      </c>
      <c r="K1307" t="s">
        <v>84</v>
      </c>
      <c r="L1307" t="s">
        <v>85</v>
      </c>
      <c r="M1307" t="s">
        <v>86</v>
      </c>
      <c r="N1307">
        <v>3</v>
      </c>
      <c r="O1307" s="1">
        <v>44210.604756944442</v>
      </c>
      <c r="P1307" s="1">
        <v>44210.648518518516</v>
      </c>
      <c r="Q1307">
        <v>2155</v>
      </c>
      <c r="R1307">
        <v>1626</v>
      </c>
      <c r="S1307" t="b">
        <v>0</v>
      </c>
      <c r="T1307" t="s">
        <v>87</v>
      </c>
      <c r="U1307" t="b">
        <v>0</v>
      </c>
      <c r="V1307" t="s">
        <v>168</v>
      </c>
      <c r="W1307" s="1">
        <v>44210.621354166666</v>
      </c>
      <c r="X1307">
        <v>1433</v>
      </c>
      <c r="Y1307">
        <v>44</v>
      </c>
      <c r="Z1307">
        <v>0</v>
      </c>
      <c r="AA1307">
        <v>44</v>
      </c>
      <c r="AB1307">
        <v>0</v>
      </c>
      <c r="AC1307">
        <v>36</v>
      </c>
      <c r="AD1307">
        <v>-13</v>
      </c>
      <c r="AE1307">
        <v>0</v>
      </c>
      <c r="AF1307">
        <v>0</v>
      </c>
      <c r="AG1307">
        <v>0</v>
      </c>
      <c r="AH1307" t="s">
        <v>147</v>
      </c>
      <c r="AI1307" s="1">
        <v>44210.623240740744</v>
      </c>
      <c r="AJ1307">
        <v>162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-13</v>
      </c>
      <c r="AQ1307">
        <v>0</v>
      </c>
      <c r="AR1307">
        <v>0</v>
      </c>
      <c r="AS1307">
        <v>0</v>
      </c>
      <c r="AT1307" t="s">
        <v>90</v>
      </c>
      <c r="AU1307" s="1">
        <v>44210.648518518516</v>
      </c>
      <c r="AV1307">
        <v>31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-13</v>
      </c>
      <c r="BC1307">
        <v>0</v>
      </c>
      <c r="BD1307">
        <v>0</v>
      </c>
      <c r="BE1307">
        <v>0</v>
      </c>
    </row>
    <row r="1308" spans="1:57" x14ac:dyDescent="0.45">
      <c r="A1308" t="s">
        <v>3291</v>
      </c>
      <c r="B1308" t="s">
        <v>79</v>
      </c>
      <c r="C1308" t="s">
        <v>3289</v>
      </c>
      <c r="D1308" t="s">
        <v>81</v>
      </c>
      <c r="E1308" s="2" t="str">
        <f>HYPERLINK("capsilon://?command=openfolder&amp;siteaddress=FAM.docvelocity-na8.net&amp;folderid=FX123F0F2A-75F5-BABD-E63F-0BB7DD37BBE1","FX20111665")</f>
        <v>FX20111665</v>
      </c>
      <c r="F1308" t="s">
        <v>19</v>
      </c>
      <c r="G1308" t="s">
        <v>19</v>
      </c>
      <c r="H1308" t="s">
        <v>82</v>
      </c>
      <c r="I1308" t="s">
        <v>3292</v>
      </c>
      <c r="J1308">
        <v>31</v>
      </c>
      <c r="K1308" t="s">
        <v>84</v>
      </c>
      <c r="L1308" t="s">
        <v>85</v>
      </c>
      <c r="M1308" t="s">
        <v>86</v>
      </c>
      <c r="N1308">
        <v>3</v>
      </c>
      <c r="O1308" s="1">
        <v>44210.605104166665</v>
      </c>
      <c r="P1308" s="1">
        <v>44210.64880787037</v>
      </c>
      <c r="Q1308">
        <v>2816</v>
      </c>
      <c r="R1308">
        <v>960</v>
      </c>
      <c r="S1308" t="b">
        <v>0</v>
      </c>
      <c r="T1308" t="s">
        <v>87</v>
      </c>
      <c r="U1308" t="b">
        <v>0</v>
      </c>
      <c r="V1308" t="s">
        <v>242</v>
      </c>
      <c r="W1308" s="1">
        <v>44210.609722222223</v>
      </c>
      <c r="X1308">
        <v>394</v>
      </c>
      <c r="Y1308">
        <v>44</v>
      </c>
      <c r="Z1308">
        <v>0</v>
      </c>
      <c r="AA1308">
        <v>44</v>
      </c>
      <c r="AB1308">
        <v>0</v>
      </c>
      <c r="AC1308">
        <v>30</v>
      </c>
      <c r="AD1308">
        <v>-13</v>
      </c>
      <c r="AE1308">
        <v>0</v>
      </c>
      <c r="AF1308">
        <v>0</v>
      </c>
      <c r="AG1308">
        <v>0</v>
      </c>
      <c r="AH1308" t="s">
        <v>147</v>
      </c>
      <c r="AI1308" s="1">
        <v>44210.61755787037</v>
      </c>
      <c r="AJ1308">
        <v>541</v>
      </c>
      <c r="AK1308">
        <v>11</v>
      </c>
      <c r="AL1308">
        <v>0</v>
      </c>
      <c r="AM1308">
        <v>11</v>
      </c>
      <c r="AN1308">
        <v>0</v>
      </c>
      <c r="AO1308">
        <v>18</v>
      </c>
      <c r="AP1308">
        <v>-24</v>
      </c>
      <c r="AQ1308">
        <v>0</v>
      </c>
      <c r="AR1308">
        <v>0</v>
      </c>
      <c r="AS1308">
        <v>0</v>
      </c>
      <c r="AT1308" t="s">
        <v>90</v>
      </c>
      <c r="AU1308" s="1">
        <v>44210.64880787037</v>
      </c>
      <c r="AV1308">
        <v>25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-24</v>
      </c>
      <c r="BC1308">
        <v>0</v>
      </c>
      <c r="BD1308">
        <v>0</v>
      </c>
      <c r="BE1308">
        <v>0</v>
      </c>
    </row>
    <row r="1309" spans="1:57" hidden="1" x14ac:dyDescent="0.45">
      <c r="A1309" t="s">
        <v>3293</v>
      </c>
      <c r="B1309" t="s">
        <v>79</v>
      </c>
      <c r="C1309" t="s">
        <v>2830</v>
      </c>
      <c r="D1309" t="s">
        <v>81</v>
      </c>
      <c r="E1309" s="2" t="str">
        <f>HYPERLINK("capsilon://?command=openfolder&amp;siteaddress=FAM.docvelocity-na8.net&amp;folderid=FXD52D349E-0B97-E5F1-225A-67CB088D7381","FX201116691")</f>
        <v>FX201116691</v>
      </c>
      <c r="F1309" t="s">
        <v>19</v>
      </c>
      <c r="G1309" t="s">
        <v>19</v>
      </c>
      <c r="H1309" t="s">
        <v>82</v>
      </c>
      <c r="I1309" t="s">
        <v>3294</v>
      </c>
      <c r="J1309">
        <v>66</v>
      </c>
      <c r="K1309" t="s">
        <v>84</v>
      </c>
      <c r="L1309" t="s">
        <v>85</v>
      </c>
      <c r="M1309" t="s">
        <v>86</v>
      </c>
      <c r="N1309">
        <v>3</v>
      </c>
      <c r="O1309" s="1">
        <v>44210.607222222221</v>
      </c>
      <c r="P1309" s="1">
        <v>44210.648842592593</v>
      </c>
      <c r="Q1309">
        <v>3012</v>
      </c>
      <c r="R1309">
        <v>584</v>
      </c>
      <c r="S1309" t="b">
        <v>0</v>
      </c>
      <c r="T1309" t="s">
        <v>87</v>
      </c>
      <c r="U1309" t="b">
        <v>0</v>
      </c>
      <c r="V1309" t="s">
        <v>343</v>
      </c>
      <c r="W1309" s="1">
        <v>44210.61409722222</v>
      </c>
      <c r="X1309">
        <v>477</v>
      </c>
      <c r="Y1309">
        <v>0</v>
      </c>
      <c r="Z1309">
        <v>0</v>
      </c>
      <c r="AA1309">
        <v>0</v>
      </c>
      <c r="AB1309">
        <v>52</v>
      </c>
      <c r="AC1309">
        <v>14</v>
      </c>
      <c r="AD1309">
        <v>66</v>
      </c>
      <c r="AE1309">
        <v>0</v>
      </c>
      <c r="AF1309">
        <v>0</v>
      </c>
      <c r="AG1309">
        <v>0</v>
      </c>
      <c r="AH1309" t="s">
        <v>132</v>
      </c>
      <c r="AI1309" s="1">
        <v>44210.638344907406</v>
      </c>
      <c r="AJ1309">
        <v>22</v>
      </c>
      <c r="AK1309">
        <v>0</v>
      </c>
      <c r="AL1309">
        <v>0</v>
      </c>
      <c r="AM1309">
        <v>0</v>
      </c>
      <c r="AN1309">
        <v>52</v>
      </c>
      <c r="AO1309">
        <v>0</v>
      </c>
      <c r="AP1309">
        <v>66</v>
      </c>
      <c r="AQ1309">
        <v>0</v>
      </c>
      <c r="AR1309">
        <v>0</v>
      </c>
      <c r="AS1309">
        <v>0</v>
      </c>
      <c r="AT1309" t="s">
        <v>90</v>
      </c>
      <c r="AU1309" s="1">
        <v>44210.648842592593</v>
      </c>
      <c r="AV1309">
        <v>2</v>
      </c>
      <c r="AW1309">
        <v>0</v>
      </c>
      <c r="AX1309">
        <v>0</v>
      </c>
      <c r="AY1309">
        <v>0</v>
      </c>
      <c r="AZ1309">
        <v>52</v>
      </c>
      <c r="BA1309">
        <v>0</v>
      </c>
      <c r="BB1309">
        <v>66</v>
      </c>
      <c r="BC1309">
        <v>0</v>
      </c>
      <c r="BD1309">
        <v>0</v>
      </c>
      <c r="BE1309">
        <v>0</v>
      </c>
    </row>
    <row r="1310" spans="1:57" x14ac:dyDescent="0.45">
      <c r="A1310" t="s">
        <v>3295</v>
      </c>
      <c r="B1310" t="s">
        <v>79</v>
      </c>
      <c r="C1310" t="s">
        <v>2414</v>
      </c>
      <c r="D1310" t="s">
        <v>81</v>
      </c>
      <c r="E1310" s="2" t="str">
        <f>HYPERLINK("capsilon://?command=openfolder&amp;siteaddress=FAM.docvelocity-na8.net&amp;folderid=FX8DCF9F67-41E0-19E4-8BA8-3E31D46A4B1B","FX201229005")</f>
        <v>FX201229005</v>
      </c>
      <c r="F1310" t="s">
        <v>19</v>
      </c>
      <c r="G1310" t="s">
        <v>19</v>
      </c>
      <c r="H1310" t="s">
        <v>82</v>
      </c>
      <c r="I1310" t="s">
        <v>3296</v>
      </c>
      <c r="J1310">
        <v>66</v>
      </c>
      <c r="K1310" t="s">
        <v>84</v>
      </c>
      <c r="L1310" t="s">
        <v>85</v>
      </c>
      <c r="M1310" t="s">
        <v>86</v>
      </c>
      <c r="N1310">
        <v>3</v>
      </c>
      <c r="O1310" s="1">
        <v>44200.715451388889</v>
      </c>
      <c r="P1310" s="1">
        <v>44201.4296875</v>
      </c>
      <c r="Q1310">
        <v>61025</v>
      </c>
      <c r="R1310">
        <v>685</v>
      </c>
      <c r="S1310" t="b">
        <v>0</v>
      </c>
      <c r="T1310" t="s">
        <v>87</v>
      </c>
      <c r="U1310" t="b">
        <v>0</v>
      </c>
      <c r="V1310" t="s">
        <v>255</v>
      </c>
      <c r="W1310" s="1">
        <v>44200.839803240742</v>
      </c>
      <c r="X1310">
        <v>301</v>
      </c>
      <c r="Y1310">
        <v>52</v>
      </c>
      <c r="Z1310">
        <v>0</v>
      </c>
      <c r="AA1310">
        <v>52</v>
      </c>
      <c r="AB1310">
        <v>0</v>
      </c>
      <c r="AC1310">
        <v>30</v>
      </c>
      <c r="AD1310">
        <v>14</v>
      </c>
      <c r="AE1310">
        <v>0</v>
      </c>
      <c r="AF1310">
        <v>0</v>
      </c>
      <c r="AG1310">
        <v>0</v>
      </c>
      <c r="AH1310" t="s">
        <v>267</v>
      </c>
      <c r="AI1310" s="1">
        <v>44200.845300925925</v>
      </c>
      <c r="AJ1310">
        <v>136</v>
      </c>
      <c r="AK1310">
        <v>2</v>
      </c>
      <c r="AL1310">
        <v>0</v>
      </c>
      <c r="AM1310">
        <v>2</v>
      </c>
      <c r="AN1310">
        <v>0</v>
      </c>
      <c r="AO1310">
        <v>1</v>
      </c>
      <c r="AP1310">
        <v>12</v>
      </c>
      <c r="AQ1310">
        <v>0</v>
      </c>
      <c r="AR1310">
        <v>0</v>
      </c>
      <c r="AS1310">
        <v>0</v>
      </c>
      <c r="AT1310" t="s">
        <v>549</v>
      </c>
      <c r="AU1310" s="1">
        <v>44201.4296875</v>
      </c>
      <c r="AV1310">
        <v>248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12</v>
      </c>
      <c r="BC1310">
        <v>0</v>
      </c>
      <c r="BD1310">
        <v>0</v>
      </c>
      <c r="BE1310">
        <v>0</v>
      </c>
    </row>
    <row r="1311" spans="1:57" x14ac:dyDescent="0.45">
      <c r="A1311" t="s">
        <v>3297</v>
      </c>
      <c r="B1311" t="s">
        <v>79</v>
      </c>
      <c r="C1311" t="s">
        <v>3298</v>
      </c>
      <c r="D1311" t="s">
        <v>81</v>
      </c>
      <c r="E1311" s="2" t="str">
        <f>HYPERLINK("capsilon://?command=openfolder&amp;siteaddress=FAM.docvelocity-na8.net&amp;folderid=FXAA5E80A6-C243-64E8-7F85-5648162F5B98","FX201225590")</f>
        <v>FX201225590</v>
      </c>
      <c r="F1311" t="s">
        <v>19</v>
      </c>
      <c r="G1311" t="s">
        <v>19</v>
      </c>
      <c r="H1311" t="s">
        <v>82</v>
      </c>
      <c r="I1311" t="s">
        <v>3299</v>
      </c>
      <c r="J1311">
        <v>66</v>
      </c>
      <c r="K1311" t="s">
        <v>84</v>
      </c>
      <c r="L1311" t="s">
        <v>85</v>
      </c>
      <c r="M1311" t="s">
        <v>86</v>
      </c>
      <c r="N1311">
        <v>3</v>
      </c>
      <c r="O1311" s="1">
        <v>44200.715717592589</v>
      </c>
      <c r="P1311" s="1">
        <v>44201.427141203705</v>
      </c>
      <c r="Q1311">
        <v>60948</v>
      </c>
      <c r="R1311">
        <v>519</v>
      </c>
      <c r="S1311" t="b">
        <v>0</v>
      </c>
      <c r="T1311" t="s">
        <v>87</v>
      </c>
      <c r="U1311" t="b">
        <v>0</v>
      </c>
      <c r="V1311" t="s">
        <v>266</v>
      </c>
      <c r="W1311" s="1">
        <v>44200.8434837963</v>
      </c>
      <c r="X1311">
        <v>366</v>
      </c>
      <c r="Y1311">
        <v>52</v>
      </c>
      <c r="Z1311">
        <v>0</v>
      </c>
      <c r="AA1311">
        <v>52</v>
      </c>
      <c r="AB1311">
        <v>0</v>
      </c>
      <c r="AC1311">
        <v>28</v>
      </c>
      <c r="AD1311">
        <v>14</v>
      </c>
      <c r="AE1311">
        <v>0</v>
      </c>
      <c r="AF1311">
        <v>0</v>
      </c>
      <c r="AG1311">
        <v>0</v>
      </c>
      <c r="AH1311" t="s">
        <v>94</v>
      </c>
      <c r="AI1311" s="1">
        <v>44200.846631944441</v>
      </c>
      <c r="AJ1311">
        <v>125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14</v>
      </c>
      <c r="AQ1311">
        <v>0</v>
      </c>
      <c r="AR1311">
        <v>0</v>
      </c>
      <c r="AS1311">
        <v>0</v>
      </c>
      <c r="AT1311" t="s">
        <v>90</v>
      </c>
      <c r="AU1311" s="1">
        <v>44201.427141203705</v>
      </c>
      <c r="AV1311">
        <v>13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14</v>
      </c>
      <c r="BC1311">
        <v>0</v>
      </c>
      <c r="BD1311">
        <v>0</v>
      </c>
      <c r="BE1311">
        <v>0</v>
      </c>
    </row>
    <row r="1312" spans="1:57" hidden="1" x14ac:dyDescent="0.45">
      <c r="A1312" t="s">
        <v>3300</v>
      </c>
      <c r="B1312" t="s">
        <v>79</v>
      </c>
      <c r="C1312" t="s">
        <v>3301</v>
      </c>
      <c r="D1312" t="s">
        <v>81</v>
      </c>
      <c r="E1312" s="2" t="str">
        <f>HYPERLINK("capsilon://?command=openfolder&amp;siteaddress=FAM.docvelocity-na8.net&amp;folderid=FX567ABB70-B5D9-BFE2-EC18-5896507A3A98","FX201116313")</f>
        <v>FX201116313</v>
      </c>
      <c r="F1312" t="s">
        <v>19</v>
      </c>
      <c r="G1312" t="s">
        <v>19</v>
      </c>
      <c r="H1312" t="s">
        <v>82</v>
      </c>
      <c r="I1312" t="s">
        <v>3302</v>
      </c>
      <c r="J1312">
        <v>66</v>
      </c>
      <c r="K1312" t="s">
        <v>84</v>
      </c>
      <c r="L1312" t="s">
        <v>85</v>
      </c>
      <c r="M1312" t="s">
        <v>86</v>
      </c>
      <c r="N1312">
        <v>3</v>
      </c>
      <c r="O1312" s="1">
        <v>44210.612546296295</v>
      </c>
      <c r="P1312" s="1">
        <v>44210.648877314816</v>
      </c>
      <c r="Q1312">
        <v>3029</v>
      </c>
      <c r="R1312">
        <v>110</v>
      </c>
      <c r="S1312" t="b">
        <v>0</v>
      </c>
      <c r="T1312" t="s">
        <v>87</v>
      </c>
      <c r="U1312" t="b">
        <v>0</v>
      </c>
      <c r="V1312" t="s">
        <v>242</v>
      </c>
      <c r="W1312" s="1">
        <v>44210.614432870374</v>
      </c>
      <c r="X1312">
        <v>67</v>
      </c>
      <c r="Y1312">
        <v>0</v>
      </c>
      <c r="Z1312">
        <v>0</v>
      </c>
      <c r="AA1312">
        <v>0</v>
      </c>
      <c r="AB1312">
        <v>52</v>
      </c>
      <c r="AC1312">
        <v>0</v>
      </c>
      <c r="AD1312">
        <v>66</v>
      </c>
      <c r="AE1312">
        <v>0</v>
      </c>
      <c r="AF1312">
        <v>0</v>
      </c>
      <c r="AG1312">
        <v>0</v>
      </c>
      <c r="AH1312" t="s">
        <v>147</v>
      </c>
      <c r="AI1312" s="1">
        <v>44210.619432870371</v>
      </c>
      <c r="AJ1312">
        <v>14</v>
      </c>
      <c r="AK1312">
        <v>0</v>
      </c>
      <c r="AL1312">
        <v>0</v>
      </c>
      <c r="AM1312">
        <v>0</v>
      </c>
      <c r="AN1312">
        <v>52</v>
      </c>
      <c r="AO1312">
        <v>0</v>
      </c>
      <c r="AP1312">
        <v>66</v>
      </c>
      <c r="AQ1312">
        <v>0</v>
      </c>
      <c r="AR1312">
        <v>0</v>
      </c>
      <c r="AS1312">
        <v>0</v>
      </c>
      <c r="AT1312" t="s">
        <v>90</v>
      </c>
      <c r="AU1312" s="1">
        <v>44210.648877314816</v>
      </c>
      <c r="AV1312">
        <v>2</v>
      </c>
      <c r="AW1312">
        <v>0</v>
      </c>
      <c r="AX1312">
        <v>0</v>
      </c>
      <c r="AY1312">
        <v>0</v>
      </c>
      <c r="AZ1312">
        <v>52</v>
      </c>
      <c r="BA1312">
        <v>0</v>
      </c>
      <c r="BB1312">
        <v>66</v>
      </c>
      <c r="BC1312">
        <v>0</v>
      </c>
      <c r="BD1312">
        <v>0</v>
      </c>
      <c r="BE1312">
        <v>0</v>
      </c>
    </row>
    <row r="1313" spans="1:57" x14ac:dyDescent="0.45">
      <c r="A1313" t="s">
        <v>3303</v>
      </c>
      <c r="B1313" t="s">
        <v>79</v>
      </c>
      <c r="C1313" t="s">
        <v>809</v>
      </c>
      <c r="D1313" t="s">
        <v>81</v>
      </c>
      <c r="E1313" s="2" t="str">
        <f>HYPERLINK("capsilon://?command=openfolder&amp;siteaddress=FAM.docvelocity-na8.net&amp;folderid=FX00633463-7C58-5FDE-2EBE-6FF9646FD86A","FX21012421")</f>
        <v>FX21012421</v>
      </c>
      <c r="F1313" t="s">
        <v>19</v>
      </c>
      <c r="G1313" t="s">
        <v>19</v>
      </c>
      <c r="H1313" t="s">
        <v>82</v>
      </c>
      <c r="I1313" t="s">
        <v>3304</v>
      </c>
      <c r="J1313">
        <v>71</v>
      </c>
      <c r="K1313" t="s">
        <v>84</v>
      </c>
      <c r="L1313" t="s">
        <v>85</v>
      </c>
      <c r="M1313" t="s">
        <v>86</v>
      </c>
      <c r="N1313">
        <v>3</v>
      </c>
      <c r="O1313" s="1">
        <v>44210.618148148147</v>
      </c>
      <c r="P1313" s="1">
        <v>44210.649247685185</v>
      </c>
      <c r="Q1313">
        <v>1869</v>
      </c>
      <c r="R1313">
        <v>818</v>
      </c>
      <c r="S1313" t="b">
        <v>0</v>
      </c>
      <c r="T1313" t="s">
        <v>87</v>
      </c>
      <c r="U1313" t="b">
        <v>0</v>
      </c>
      <c r="V1313" t="s">
        <v>242</v>
      </c>
      <c r="W1313" s="1">
        <v>44210.623495370368</v>
      </c>
      <c r="X1313">
        <v>306</v>
      </c>
      <c r="Y1313">
        <v>79</v>
      </c>
      <c r="Z1313">
        <v>0</v>
      </c>
      <c r="AA1313">
        <v>79</v>
      </c>
      <c r="AB1313">
        <v>0</v>
      </c>
      <c r="AC1313">
        <v>38</v>
      </c>
      <c r="AD1313">
        <v>-8</v>
      </c>
      <c r="AE1313">
        <v>0</v>
      </c>
      <c r="AF1313">
        <v>0</v>
      </c>
      <c r="AG1313">
        <v>0</v>
      </c>
      <c r="AH1313" t="s">
        <v>147</v>
      </c>
      <c r="AI1313" s="1">
        <v>44210.629074074073</v>
      </c>
      <c r="AJ1313">
        <v>481</v>
      </c>
      <c r="AK1313">
        <v>3</v>
      </c>
      <c r="AL1313">
        <v>0</v>
      </c>
      <c r="AM1313">
        <v>3</v>
      </c>
      <c r="AN1313">
        <v>0</v>
      </c>
      <c r="AO1313">
        <v>8</v>
      </c>
      <c r="AP1313">
        <v>-11</v>
      </c>
      <c r="AQ1313">
        <v>0</v>
      </c>
      <c r="AR1313">
        <v>0</v>
      </c>
      <c r="AS1313">
        <v>0</v>
      </c>
      <c r="AT1313" t="s">
        <v>90</v>
      </c>
      <c r="AU1313" s="1">
        <v>44210.649247685185</v>
      </c>
      <c r="AV1313">
        <v>31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-11</v>
      </c>
      <c r="BC1313">
        <v>0</v>
      </c>
      <c r="BD1313">
        <v>0</v>
      </c>
      <c r="BE1313">
        <v>0</v>
      </c>
    </row>
    <row r="1314" spans="1:57" x14ac:dyDescent="0.45">
      <c r="A1314" t="s">
        <v>3305</v>
      </c>
      <c r="B1314" t="s">
        <v>79</v>
      </c>
      <c r="C1314" t="s">
        <v>3301</v>
      </c>
      <c r="D1314" t="s">
        <v>81</v>
      </c>
      <c r="E1314" s="2" t="str">
        <f>HYPERLINK("capsilon://?command=openfolder&amp;siteaddress=FAM.docvelocity-na8.net&amp;folderid=FX567ABB70-B5D9-BFE2-EC18-5896507A3A98","FX201116313")</f>
        <v>FX201116313</v>
      </c>
      <c r="F1314" t="s">
        <v>19</v>
      </c>
      <c r="G1314" t="s">
        <v>19</v>
      </c>
      <c r="H1314" t="s">
        <v>82</v>
      </c>
      <c r="I1314" t="s">
        <v>3306</v>
      </c>
      <c r="J1314">
        <v>96</v>
      </c>
      <c r="K1314" t="s">
        <v>84</v>
      </c>
      <c r="L1314" t="s">
        <v>85</v>
      </c>
      <c r="M1314" t="s">
        <v>86</v>
      </c>
      <c r="N1314">
        <v>3</v>
      </c>
      <c r="O1314" s="1">
        <v>44210.622048611112</v>
      </c>
      <c r="P1314" s="1">
        <v>44210.64947916667</v>
      </c>
      <c r="Q1314">
        <v>861</v>
      </c>
      <c r="R1314">
        <v>1509</v>
      </c>
      <c r="S1314" t="b">
        <v>0</v>
      </c>
      <c r="T1314" t="s">
        <v>87</v>
      </c>
      <c r="U1314" t="b">
        <v>0</v>
      </c>
      <c r="V1314" t="s">
        <v>168</v>
      </c>
      <c r="W1314" s="1">
        <v>44210.638252314813</v>
      </c>
      <c r="X1314">
        <v>1369</v>
      </c>
      <c r="Y1314">
        <v>89</v>
      </c>
      <c r="Z1314">
        <v>0</v>
      </c>
      <c r="AA1314">
        <v>89</v>
      </c>
      <c r="AB1314">
        <v>0</v>
      </c>
      <c r="AC1314">
        <v>42</v>
      </c>
      <c r="AD1314">
        <v>7</v>
      </c>
      <c r="AE1314">
        <v>0</v>
      </c>
      <c r="AF1314">
        <v>0</v>
      </c>
      <c r="AG1314">
        <v>0</v>
      </c>
      <c r="AH1314" t="s">
        <v>132</v>
      </c>
      <c r="AI1314" s="1">
        <v>44210.639756944445</v>
      </c>
      <c r="AJ1314">
        <v>121</v>
      </c>
      <c r="AK1314">
        <v>3</v>
      </c>
      <c r="AL1314">
        <v>0</v>
      </c>
      <c r="AM1314">
        <v>3</v>
      </c>
      <c r="AN1314">
        <v>0</v>
      </c>
      <c r="AO1314">
        <v>2</v>
      </c>
      <c r="AP1314">
        <v>4</v>
      </c>
      <c r="AQ1314">
        <v>0</v>
      </c>
      <c r="AR1314">
        <v>0</v>
      </c>
      <c r="AS1314">
        <v>0</v>
      </c>
      <c r="AT1314" t="s">
        <v>90</v>
      </c>
      <c r="AU1314" s="1">
        <v>44210.64947916667</v>
      </c>
      <c r="AV1314">
        <v>19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4</v>
      </c>
      <c r="BC1314">
        <v>0</v>
      </c>
      <c r="BD1314">
        <v>0</v>
      </c>
      <c r="BE1314">
        <v>0</v>
      </c>
    </row>
    <row r="1315" spans="1:57" x14ac:dyDescent="0.45">
      <c r="A1315" t="s">
        <v>3307</v>
      </c>
      <c r="B1315" t="s">
        <v>79</v>
      </c>
      <c r="C1315" t="s">
        <v>3301</v>
      </c>
      <c r="D1315" t="s">
        <v>81</v>
      </c>
      <c r="E1315" s="2" t="str">
        <f>HYPERLINK("capsilon://?command=openfolder&amp;siteaddress=FAM.docvelocity-na8.net&amp;folderid=FX567ABB70-B5D9-BFE2-EC18-5896507A3A98","FX201116313")</f>
        <v>FX201116313</v>
      </c>
      <c r="F1315" t="s">
        <v>19</v>
      </c>
      <c r="G1315" t="s">
        <v>19</v>
      </c>
      <c r="H1315" t="s">
        <v>82</v>
      </c>
      <c r="I1315" t="s">
        <v>3308</v>
      </c>
      <c r="J1315">
        <v>51</v>
      </c>
      <c r="K1315" t="s">
        <v>84</v>
      </c>
      <c r="L1315" t="s">
        <v>85</v>
      </c>
      <c r="M1315" t="s">
        <v>86</v>
      </c>
      <c r="N1315">
        <v>3</v>
      </c>
      <c r="O1315" s="1">
        <v>44210.622523148151</v>
      </c>
      <c r="P1315" s="1">
        <v>44210.649571759262</v>
      </c>
      <c r="Q1315">
        <v>1241</v>
      </c>
      <c r="R1315">
        <v>1096</v>
      </c>
      <c r="S1315" t="b">
        <v>0</v>
      </c>
      <c r="T1315" t="s">
        <v>87</v>
      </c>
      <c r="U1315" t="b">
        <v>0</v>
      </c>
      <c r="V1315" t="s">
        <v>179</v>
      </c>
      <c r="W1315" s="1">
        <v>44210.634641203702</v>
      </c>
      <c r="X1315">
        <v>947</v>
      </c>
      <c r="Y1315">
        <v>47</v>
      </c>
      <c r="Z1315">
        <v>0</v>
      </c>
      <c r="AA1315">
        <v>47</v>
      </c>
      <c r="AB1315">
        <v>0</v>
      </c>
      <c r="AC1315">
        <v>22</v>
      </c>
      <c r="AD1315">
        <v>4</v>
      </c>
      <c r="AE1315">
        <v>0</v>
      </c>
      <c r="AF1315">
        <v>0</v>
      </c>
      <c r="AG1315">
        <v>0</v>
      </c>
      <c r="AH1315" t="s">
        <v>132</v>
      </c>
      <c r="AI1315" s="1">
        <v>44210.641192129631</v>
      </c>
      <c r="AJ1315">
        <v>123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4</v>
      </c>
      <c r="AQ1315">
        <v>0</v>
      </c>
      <c r="AR1315">
        <v>0</v>
      </c>
      <c r="AS1315">
        <v>0</v>
      </c>
      <c r="AT1315" t="s">
        <v>90</v>
      </c>
      <c r="AU1315" s="1">
        <v>44210.649571759262</v>
      </c>
      <c r="AV1315">
        <v>7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4</v>
      </c>
      <c r="BC1315">
        <v>0</v>
      </c>
      <c r="BD1315">
        <v>0</v>
      </c>
      <c r="BE1315">
        <v>0</v>
      </c>
    </row>
    <row r="1316" spans="1:57" x14ac:dyDescent="0.45">
      <c r="A1316" t="s">
        <v>3309</v>
      </c>
      <c r="B1316" t="s">
        <v>79</v>
      </c>
      <c r="C1316" t="s">
        <v>3301</v>
      </c>
      <c r="D1316" t="s">
        <v>81</v>
      </c>
      <c r="E1316" s="2" t="str">
        <f>HYPERLINK("capsilon://?command=openfolder&amp;siteaddress=FAM.docvelocity-na8.net&amp;folderid=FX567ABB70-B5D9-BFE2-EC18-5896507A3A98","FX201116313")</f>
        <v>FX201116313</v>
      </c>
      <c r="F1316" t="s">
        <v>19</v>
      </c>
      <c r="G1316" t="s">
        <v>19</v>
      </c>
      <c r="H1316" t="s">
        <v>82</v>
      </c>
      <c r="I1316" t="s">
        <v>3310</v>
      </c>
      <c r="J1316">
        <v>46</v>
      </c>
      <c r="K1316" t="s">
        <v>84</v>
      </c>
      <c r="L1316" t="s">
        <v>85</v>
      </c>
      <c r="M1316" t="s">
        <v>86</v>
      </c>
      <c r="N1316">
        <v>3</v>
      </c>
      <c r="O1316" s="1">
        <v>44210.623090277775</v>
      </c>
      <c r="P1316" s="1">
        <v>44210.649606481478</v>
      </c>
      <c r="Q1316">
        <v>1849</v>
      </c>
      <c r="R1316">
        <v>442</v>
      </c>
      <c r="S1316" t="b">
        <v>0</v>
      </c>
      <c r="T1316" t="s">
        <v>87</v>
      </c>
      <c r="U1316" t="b">
        <v>0</v>
      </c>
      <c r="V1316" t="s">
        <v>343</v>
      </c>
      <c r="W1316" s="1">
        <v>44210.629189814812</v>
      </c>
      <c r="X1316">
        <v>386</v>
      </c>
      <c r="Y1316">
        <v>39</v>
      </c>
      <c r="Z1316">
        <v>0</v>
      </c>
      <c r="AA1316">
        <v>39</v>
      </c>
      <c r="AB1316">
        <v>0</v>
      </c>
      <c r="AC1316">
        <v>7</v>
      </c>
      <c r="AD1316">
        <v>7</v>
      </c>
      <c r="AE1316">
        <v>0</v>
      </c>
      <c r="AF1316">
        <v>0</v>
      </c>
      <c r="AG1316">
        <v>0</v>
      </c>
      <c r="AH1316" t="s">
        <v>132</v>
      </c>
      <c r="AI1316" s="1">
        <v>44210.641817129632</v>
      </c>
      <c r="AJ1316">
        <v>53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7</v>
      </c>
      <c r="AQ1316">
        <v>0</v>
      </c>
      <c r="AR1316">
        <v>0</v>
      </c>
      <c r="AS1316">
        <v>0</v>
      </c>
      <c r="AT1316" t="s">
        <v>90</v>
      </c>
      <c r="AU1316" s="1">
        <v>44210.649606481478</v>
      </c>
      <c r="AV1316">
        <v>3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7</v>
      </c>
      <c r="BC1316">
        <v>0</v>
      </c>
      <c r="BD1316">
        <v>0</v>
      </c>
      <c r="BE1316">
        <v>0</v>
      </c>
    </row>
    <row r="1317" spans="1:57" x14ac:dyDescent="0.45">
      <c r="A1317" t="s">
        <v>3311</v>
      </c>
      <c r="B1317" t="s">
        <v>79</v>
      </c>
      <c r="C1317" t="s">
        <v>3301</v>
      </c>
      <c r="D1317" t="s">
        <v>81</v>
      </c>
      <c r="E1317" s="2" t="str">
        <f>HYPERLINK("capsilon://?command=openfolder&amp;siteaddress=FAM.docvelocity-na8.net&amp;folderid=FX567ABB70-B5D9-BFE2-EC18-5896507A3A98","FX201116313")</f>
        <v>FX201116313</v>
      </c>
      <c r="F1317" t="s">
        <v>19</v>
      </c>
      <c r="G1317" t="s">
        <v>19</v>
      </c>
      <c r="H1317" t="s">
        <v>82</v>
      </c>
      <c r="I1317" t="s">
        <v>3312</v>
      </c>
      <c r="J1317">
        <v>61</v>
      </c>
      <c r="K1317" t="s">
        <v>84</v>
      </c>
      <c r="L1317" t="s">
        <v>85</v>
      </c>
      <c r="M1317" t="s">
        <v>86</v>
      </c>
      <c r="N1317">
        <v>3</v>
      </c>
      <c r="O1317" s="1">
        <v>44210.623726851853</v>
      </c>
      <c r="P1317" s="1">
        <v>44210.649664351855</v>
      </c>
      <c r="Q1317">
        <v>1715</v>
      </c>
      <c r="R1317">
        <v>526</v>
      </c>
      <c r="S1317" t="b">
        <v>0</v>
      </c>
      <c r="T1317" t="s">
        <v>87</v>
      </c>
      <c r="U1317" t="b">
        <v>0</v>
      </c>
      <c r="V1317" t="s">
        <v>242</v>
      </c>
      <c r="W1317" s="1">
        <v>44210.626863425925</v>
      </c>
      <c r="X1317">
        <v>163</v>
      </c>
      <c r="Y1317">
        <v>57</v>
      </c>
      <c r="Z1317">
        <v>0</v>
      </c>
      <c r="AA1317">
        <v>57</v>
      </c>
      <c r="AB1317">
        <v>0</v>
      </c>
      <c r="AC1317">
        <v>13</v>
      </c>
      <c r="AD1317">
        <v>4</v>
      </c>
      <c r="AE1317">
        <v>0</v>
      </c>
      <c r="AF1317">
        <v>0</v>
      </c>
      <c r="AG1317">
        <v>0</v>
      </c>
      <c r="AH1317" t="s">
        <v>147</v>
      </c>
      <c r="AI1317" s="1">
        <v>44210.645046296297</v>
      </c>
      <c r="AJ1317">
        <v>299</v>
      </c>
      <c r="AK1317">
        <v>2</v>
      </c>
      <c r="AL1317">
        <v>0</v>
      </c>
      <c r="AM1317">
        <v>2</v>
      </c>
      <c r="AN1317">
        <v>0</v>
      </c>
      <c r="AO1317">
        <v>13</v>
      </c>
      <c r="AP1317">
        <v>2</v>
      </c>
      <c r="AQ1317">
        <v>0</v>
      </c>
      <c r="AR1317">
        <v>0</v>
      </c>
      <c r="AS1317">
        <v>0</v>
      </c>
      <c r="AT1317" t="s">
        <v>90</v>
      </c>
      <c r="AU1317" s="1">
        <v>44210.649664351855</v>
      </c>
      <c r="AV1317">
        <v>4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2</v>
      </c>
      <c r="BC1317">
        <v>0</v>
      </c>
      <c r="BD1317">
        <v>0</v>
      </c>
      <c r="BE1317">
        <v>0</v>
      </c>
    </row>
    <row r="1318" spans="1:57" x14ac:dyDescent="0.45">
      <c r="A1318" t="s">
        <v>3313</v>
      </c>
      <c r="B1318" t="s">
        <v>79</v>
      </c>
      <c r="C1318" t="s">
        <v>2362</v>
      </c>
      <c r="D1318" t="s">
        <v>81</v>
      </c>
      <c r="E1318" s="2" t="str">
        <f>HYPERLINK("capsilon://?command=openfolder&amp;siteaddress=FAM.docvelocity-na8.net&amp;folderid=FX9AF999B0-86F9-7762-14CC-25BCBDB1E777","FX20116542")</f>
        <v>FX20116542</v>
      </c>
      <c r="F1318" t="s">
        <v>19</v>
      </c>
      <c r="G1318" t="s">
        <v>19</v>
      </c>
      <c r="H1318" t="s">
        <v>82</v>
      </c>
      <c r="I1318" t="s">
        <v>3314</v>
      </c>
      <c r="J1318">
        <v>51</v>
      </c>
      <c r="K1318" t="s">
        <v>84</v>
      </c>
      <c r="L1318" t="s">
        <v>85</v>
      </c>
      <c r="M1318" t="s">
        <v>86</v>
      </c>
      <c r="N1318">
        <v>3</v>
      </c>
      <c r="O1318" s="1">
        <v>44210.628900462965</v>
      </c>
      <c r="P1318" s="1">
        <v>44210.683611111112</v>
      </c>
      <c r="Q1318">
        <v>1733</v>
      </c>
      <c r="R1318">
        <v>2994</v>
      </c>
      <c r="S1318" t="b">
        <v>0</v>
      </c>
      <c r="T1318" t="s">
        <v>87</v>
      </c>
      <c r="U1318" t="b">
        <v>0</v>
      </c>
      <c r="V1318" t="s">
        <v>160</v>
      </c>
      <c r="W1318" s="1">
        <v>44210.661817129629</v>
      </c>
      <c r="X1318">
        <v>2843</v>
      </c>
      <c r="Y1318">
        <v>41</v>
      </c>
      <c r="Z1318">
        <v>0</v>
      </c>
      <c r="AA1318">
        <v>41</v>
      </c>
      <c r="AB1318">
        <v>0</v>
      </c>
      <c r="AC1318">
        <v>33</v>
      </c>
      <c r="AD1318">
        <v>10</v>
      </c>
      <c r="AE1318">
        <v>0</v>
      </c>
      <c r="AF1318">
        <v>0</v>
      </c>
      <c r="AG1318">
        <v>0</v>
      </c>
      <c r="AH1318" t="s">
        <v>128</v>
      </c>
      <c r="AI1318" s="1">
        <v>44210.6640625</v>
      </c>
      <c r="AJ1318">
        <v>134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10</v>
      </c>
      <c r="AQ1318">
        <v>0</v>
      </c>
      <c r="AR1318">
        <v>0</v>
      </c>
      <c r="AS1318">
        <v>0</v>
      </c>
      <c r="AT1318" t="s">
        <v>90</v>
      </c>
      <c r="AU1318" s="1">
        <v>44210.683611111112</v>
      </c>
      <c r="AV1318">
        <v>17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10</v>
      </c>
      <c r="BC1318">
        <v>0</v>
      </c>
      <c r="BD1318">
        <v>0</v>
      </c>
      <c r="BE1318">
        <v>0</v>
      </c>
    </row>
    <row r="1319" spans="1:57" hidden="1" x14ac:dyDescent="0.45">
      <c r="A1319" t="s">
        <v>3315</v>
      </c>
      <c r="B1319" t="s">
        <v>79</v>
      </c>
      <c r="C1319" t="s">
        <v>3196</v>
      </c>
      <c r="D1319" t="s">
        <v>81</v>
      </c>
      <c r="E1319" s="2" t="str">
        <f>HYPERLINK("capsilon://?command=openfolder&amp;siteaddress=FAM.docvelocity-na8.net&amp;folderid=FXE96D1DE3-E152-BE58-362A-A5BE3EC46AB9","FX21012289")</f>
        <v>FX21012289</v>
      </c>
      <c r="F1319" t="s">
        <v>19</v>
      </c>
      <c r="G1319" t="s">
        <v>19</v>
      </c>
      <c r="H1319" t="s">
        <v>82</v>
      </c>
      <c r="I1319" t="s">
        <v>3316</v>
      </c>
      <c r="J1319">
        <v>66</v>
      </c>
      <c r="K1319" t="s">
        <v>84</v>
      </c>
      <c r="L1319" t="s">
        <v>85</v>
      </c>
      <c r="M1319" t="s">
        <v>86</v>
      </c>
      <c r="N1319">
        <v>3</v>
      </c>
      <c r="O1319" s="1">
        <v>44210.649062500001</v>
      </c>
      <c r="P1319" s="1">
        <v>44210.683657407404</v>
      </c>
      <c r="Q1319">
        <v>2716</v>
      </c>
      <c r="R1319">
        <v>273</v>
      </c>
      <c r="S1319" t="b">
        <v>0</v>
      </c>
      <c r="T1319" t="s">
        <v>87</v>
      </c>
      <c r="U1319" t="b">
        <v>0</v>
      </c>
      <c r="V1319" t="s">
        <v>146</v>
      </c>
      <c r="W1319" s="1">
        <v>44210.651446759257</v>
      </c>
      <c r="X1319">
        <v>206</v>
      </c>
      <c r="Y1319">
        <v>0</v>
      </c>
      <c r="Z1319">
        <v>0</v>
      </c>
      <c r="AA1319">
        <v>0</v>
      </c>
      <c r="AB1319">
        <v>52</v>
      </c>
      <c r="AC1319">
        <v>0</v>
      </c>
      <c r="AD1319">
        <v>66</v>
      </c>
      <c r="AE1319">
        <v>0</v>
      </c>
      <c r="AF1319">
        <v>0</v>
      </c>
      <c r="AG1319">
        <v>0</v>
      </c>
      <c r="AH1319" t="s">
        <v>128</v>
      </c>
      <c r="AI1319" s="1">
        <v>44210.662499999999</v>
      </c>
      <c r="AJ1319">
        <v>64</v>
      </c>
      <c r="AK1319">
        <v>0</v>
      </c>
      <c r="AL1319">
        <v>0</v>
      </c>
      <c r="AM1319">
        <v>0</v>
      </c>
      <c r="AN1319">
        <v>52</v>
      </c>
      <c r="AO1319">
        <v>0</v>
      </c>
      <c r="AP1319">
        <v>66</v>
      </c>
      <c r="AQ1319">
        <v>0</v>
      </c>
      <c r="AR1319">
        <v>0</v>
      </c>
      <c r="AS1319">
        <v>0</v>
      </c>
      <c r="AT1319" t="s">
        <v>90</v>
      </c>
      <c r="AU1319" s="1">
        <v>44210.683657407404</v>
      </c>
      <c r="AV1319">
        <v>3</v>
      </c>
      <c r="AW1319">
        <v>0</v>
      </c>
      <c r="AX1319">
        <v>0</v>
      </c>
      <c r="AY1319">
        <v>0</v>
      </c>
      <c r="AZ1319">
        <v>52</v>
      </c>
      <c r="BA1319">
        <v>0</v>
      </c>
      <c r="BB1319">
        <v>66</v>
      </c>
      <c r="BC1319">
        <v>0</v>
      </c>
      <c r="BD1319">
        <v>0</v>
      </c>
      <c r="BE1319">
        <v>0</v>
      </c>
    </row>
    <row r="1320" spans="1:57" hidden="1" x14ac:dyDescent="0.45">
      <c r="A1320" t="s">
        <v>3317</v>
      </c>
      <c r="B1320" t="s">
        <v>79</v>
      </c>
      <c r="C1320" t="s">
        <v>3318</v>
      </c>
      <c r="D1320" t="s">
        <v>81</v>
      </c>
      <c r="E1320" s="2" t="str">
        <f>HYPERLINK("capsilon://?command=openfolder&amp;siteaddress=FAM.docvelocity-na8.net&amp;folderid=FX3F0A7BF5-6F4A-854E-0D3E-213156B1247C","FX20127074")</f>
        <v>FX20127074</v>
      </c>
      <c r="F1320" t="s">
        <v>19</v>
      </c>
      <c r="G1320" t="s">
        <v>19</v>
      </c>
      <c r="H1320" t="s">
        <v>82</v>
      </c>
      <c r="I1320" t="s">
        <v>3319</v>
      </c>
      <c r="J1320">
        <v>31</v>
      </c>
      <c r="K1320" t="s">
        <v>84</v>
      </c>
      <c r="L1320" t="s">
        <v>85</v>
      </c>
      <c r="M1320" t="s">
        <v>86</v>
      </c>
      <c r="N1320">
        <v>3</v>
      </c>
      <c r="O1320" s="1">
        <v>44210.654120370367</v>
      </c>
      <c r="P1320" s="1">
        <v>44210.683692129627</v>
      </c>
      <c r="Q1320">
        <v>2119</v>
      </c>
      <c r="R1320">
        <v>436</v>
      </c>
      <c r="S1320" t="b">
        <v>0</v>
      </c>
      <c r="T1320" t="s">
        <v>87</v>
      </c>
      <c r="U1320" t="b">
        <v>0</v>
      </c>
      <c r="V1320" t="s">
        <v>146</v>
      </c>
      <c r="W1320" s="1">
        <v>44210.658553240741</v>
      </c>
      <c r="X1320">
        <v>382</v>
      </c>
      <c r="Y1320">
        <v>0</v>
      </c>
      <c r="Z1320">
        <v>0</v>
      </c>
      <c r="AA1320">
        <v>0</v>
      </c>
      <c r="AB1320">
        <v>27</v>
      </c>
      <c r="AC1320">
        <v>0</v>
      </c>
      <c r="AD1320">
        <v>31</v>
      </c>
      <c r="AE1320">
        <v>0</v>
      </c>
      <c r="AF1320">
        <v>0</v>
      </c>
      <c r="AG1320">
        <v>0</v>
      </c>
      <c r="AH1320" t="s">
        <v>128</v>
      </c>
      <c r="AI1320" s="1">
        <v>44210.664652777778</v>
      </c>
      <c r="AJ1320">
        <v>51</v>
      </c>
      <c r="AK1320">
        <v>0</v>
      </c>
      <c r="AL1320">
        <v>0</v>
      </c>
      <c r="AM1320">
        <v>0</v>
      </c>
      <c r="AN1320">
        <v>27</v>
      </c>
      <c r="AO1320">
        <v>0</v>
      </c>
      <c r="AP1320">
        <v>31</v>
      </c>
      <c r="AQ1320">
        <v>0</v>
      </c>
      <c r="AR1320">
        <v>0</v>
      </c>
      <c r="AS1320">
        <v>0</v>
      </c>
      <c r="AT1320" t="s">
        <v>90</v>
      </c>
      <c r="AU1320" s="1">
        <v>44210.683692129627</v>
      </c>
      <c r="AV1320">
        <v>3</v>
      </c>
      <c r="AW1320">
        <v>0</v>
      </c>
      <c r="AX1320">
        <v>0</v>
      </c>
      <c r="AY1320">
        <v>0</v>
      </c>
      <c r="AZ1320">
        <v>27</v>
      </c>
      <c r="BA1320">
        <v>0</v>
      </c>
      <c r="BB1320">
        <v>31</v>
      </c>
      <c r="BC1320">
        <v>0</v>
      </c>
      <c r="BD1320">
        <v>0</v>
      </c>
      <c r="BE1320">
        <v>0</v>
      </c>
    </row>
    <row r="1321" spans="1:57" x14ac:dyDescent="0.45">
      <c r="A1321" t="s">
        <v>3320</v>
      </c>
      <c r="B1321" t="s">
        <v>79</v>
      </c>
      <c r="C1321" t="s">
        <v>570</v>
      </c>
      <c r="D1321" t="s">
        <v>81</v>
      </c>
      <c r="E1321" s="2" t="str">
        <f>HYPERLINK("capsilon://?command=openfolder&amp;siteaddress=FAM.docvelocity-na8.net&amp;folderid=FXD7F1ED2A-5D9C-0637-B81B-BC35AC3509A8","FX21011752")</f>
        <v>FX21011752</v>
      </c>
      <c r="F1321" t="s">
        <v>19</v>
      </c>
      <c r="G1321" t="s">
        <v>19</v>
      </c>
      <c r="H1321" t="s">
        <v>82</v>
      </c>
      <c r="I1321" t="s">
        <v>3321</v>
      </c>
      <c r="J1321">
        <v>66</v>
      </c>
      <c r="K1321" t="s">
        <v>84</v>
      </c>
      <c r="L1321" t="s">
        <v>85</v>
      </c>
      <c r="M1321" t="s">
        <v>86</v>
      </c>
      <c r="N1321">
        <v>3</v>
      </c>
      <c r="O1321" s="1">
        <v>44210.655312499999</v>
      </c>
      <c r="P1321" s="1">
        <v>44210.686284722222</v>
      </c>
      <c r="Q1321">
        <v>1304</v>
      </c>
      <c r="R1321">
        <v>1372</v>
      </c>
      <c r="S1321" t="b">
        <v>0</v>
      </c>
      <c r="T1321" t="s">
        <v>87</v>
      </c>
      <c r="U1321" t="b">
        <v>0</v>
      </c>
      <c r="V1321" t="s">
        <v>168</v>
      </c>
      <c r="W1321" s="1">
        <v>44210.666180555556</v>
      </c>
      <c r="X1321">
        <v>938</v>
      </c>
      <c r="Y1321">
        <v>52</v>
      </c>
      <c r="Z1321">
        <v>0</v>
      </c>
      <c r="AA1321">
        <v>52</v>
      </c>
      <c r="AB1321">
        <v>0</v>
      </c>
      <c r="AC1321">
        <v>28</v>
      </c>
      <c r="AD1321">
        <v>14</v>
      </c>
      <c r="AE1321">
        <v>0</v>
      </c>
      <c r="AF1321">
        <v>0</v>
      </c>
      <c r="AG1321">
        <v>0</v>
      </c>
      <c r="AH1321" t="s">
        <v>147</v>
      </c>
      <c r="AI1321" s="1">
        <v>44210.670891203707</v>
      </c>
      <c r="AJ1321">
        <v>211</v>
      </c>
      <c r="AK1321">
        <v>2</v>
      </c>
      <c r="AL1321">
        <v>0</v>
      </c>
      <c r="AM1321">
        <v>2</v>
      </c>
      <c r="AN1321">
        <v>0</v>
      </c>
      <c r="AO1321">
        <v>1</v>
      </c>
      <c r="AP1321">
        <v>12</v>
      </c>
      <c r="AQ1321">
        <v>0</v>
      </c>
      <c r="AR1321">
        <v>0</v>
      </c>
      <c r="AS1321">
        <v>0</v>
      </c>
      <c r="AT1321" t="s">
        <v>90</v>
      </c>
      <c r="AU1321" s="1">
        <v>44210.686284722222</v>
      </c>
      <c r="AV1321">
        <v>223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12</v>
      </c>
      <c r="BC1321">
        <v>0</v>
      </c>
      <c r="BD1321">
        <v>0</v>
      </c>
      <c r="BE1321">
        <v>0</v>
      </c>
    </row>
    <row r="1322" spans="1:57" x14ac:dyDescent="0.45">
      <c r="A1322" t="s">
        <v>3322</v>
      </c>
      <c r="B1322" t="s">
        <v>79</v>
      </c>
      <c r="C1322" t="s">
        <v>3318</v>
      </c>
      <c r="D1322" t="s">
        <v>81</v>
      </c>
      <c r="E1322" s="2" t="str">
        <f>HYPERLINK("capsilon://?command=openfolder&amp;siteaddress=FAM.docvelocity-na8.net&amp;folderid=FX3F0A7BF5-6F4A-854E-0D3E-213156B1247C","FX20127074")</f>
        <v>FX20127074</v>
      </c>
      <c r="F1322" t="s">
        <v>19</v>
      </c>
      <c r="G1322" t="s">
        <v>19</v>
      </c>
      <c r="H1322" t="s">
        <v>82</v>
      </c>
      <c r="I1322" t="s">
        <v>3323</v>
      </c>
      <c r="J1322">
        <v>76</v>
      </c>
      <c r="K1322" t="s">
        <v>84</v>
      </c>
      <c r="L1322" t="s">
        <v>85</v>
      </c>
      <c r="M1322" t="s">
        <v>86</v>
      </c>
      <c r="N1322">
        <v>3</v>
      </c>
      <c r="O1322" s="1">
        <v>44210.656840277778</v>
      </c>
      <c r="P1322" s="1">
        <v>44210.70380787037</v>
      </c>
      <c r="Q1322">
        <v>1372</v>
      </c>
      <c r="R1322">
        <v>2686</v>
      </c>
      <c r="S1322" t="b">
        <v>0</v>
      </c>
      <c r="T1322" t="s">
        <v>87</v>
      </c>
      <c r="U1322" t="b">
        <v>0</v>
      </c>
      <c r="V1322" t="s">
        <v>179</v>
      </c>
      <c r="W1322" s="1">
        <v>44210.685324074075</v>
      </c>
      <c r="X1322">
        <v>2460</v>
      </c>
      <c r="Y1322">
        <v>84</v>
      </c>
      <c r="Z1322">
        <v>0</v>
      </c>
      <c r="AA1322">
        <v>84</v>
      </c>
      <c r="AB1322">
        <v>0</v>
      </c>
      <c r="AC1322">
        <v>81</v>
      </c>
      <c r="AD1322">
        <v>-8</v>
      </c>
      <c r="AE1322">
        <v>0</v>
      </c>
      <c r="AF1322">
        <v>0</v>
      </c>
      <c r="AG1322">
        <v>0</v>
      </c>
      <c r="AH1322" t="s">
        <v>128</v>
      </c>
      <c r="AI1322" s="1">
        <v>44210.690104166664</v>
      </c>
      <c r="AJ1322">
        <v>207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-8</v>
      </c>
      <c r="AQ1322">
        <v>0</v>
      </c>
      <c r="AR1322">
        <v>0</v>
      </c>
      <c r="AS1322">
        <v>0</v>
      </c>
      <c r="AT1322" t="s">
        <v>90</v>
      </c>
      <c r="AU1322" s="1">
        <v>44210.70380787037</v>
      </c>
      <c r="AV1322">
        <v>19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-8</v>
      </c>
      <c r="BC1322">
        <v>0</v>
      </c>
      <c r="BD1322">
        <v>0</v>
      </c>
      <c r="BE1322">
        <v>0</v>
      </c>
    </row>
    <row r="1323" spans="1:57" x14ac:dyDescent="0.45">
      <c r="A1323" t="s">
        <v>3324</v>
      </c>
      <c r="B1323" t="s">
        <v>79</v>
      </c>
      <c r="C1323" t="s">
        <v>3318</v>
      </c>
      <c r="D1323" t="s">
        <v>81</v>
      </c>
      <c r="E1323" s="2" t="str">
        <f>HYPERLINK("capsilon://?command=openfolder&amp;siteaddress=FAM.docvelocity-na8.net&amp;folderid=FX3F0A7BF5-6F4A-854E-0D3E-213156B1247C","FX20127074")</f>
        <v>FX20127074</v>
      </c>
      <c r="F1323" t="s">
        <v>19</v>
      </c>
      <c r="G1323" t="s">
        <v>19</v>
      </c>
      <c r="H1323" t="s">
        <v>82</v>
      </c>
      <c r="I1323" t="s">
        <v>3325</v>
      </c>
      <c r="J1323">
        <v>85</v>
      </c>
      <c r="K1323" t="s">
        <v>84</v>
      </c>
      <c r="L1323" t="s">
        <v>85</v>
      </c>
      <c r="M1323" t="s">
        <v>86</v>
      </c>
      <c r="N1323">
        <v>3</v>
      </c>
      <c r="O1323" s="1">
        <v>44210.656875000001</v>
      </c>
      <c r="P1323" s="1">
        <v>44210.687314814815</v>
      </c>
      <c r="Q1323">
        <v>1046</v>
      </c>
      <c r="R1323">
        <v>1584</v>
      </c>
      <c r="S1323" t="b">
        <v>0</v>
      </c>
      <c r="T1323" t="s">
        <v>87</v>
      </c>
      <c r="U1323" t="b">
        <v>0</v>
      </c>
      <c r="V1323" t="s">
        <v>262</v>
      </c>
      <c r="W1323" s="1">
        <v>44210.667731481481</v>
      </c>
      <c r="X1323">
        <v>802</v>
      </c>
      <c r="Y1323">
        <v>84</v>
      </c>
      <c r="Z1323">
        <v>0</v>
      </c>
      <c r="AA1323">
        <v>84</v>
      </c>
      <c r="AB1323">
        <v>0</v>
      </c>
      <c r="AC1323">
        <v>69</v>
      </c>
      <c r="AD1323">
        <v>1</v>
      </c>
      <c r="AE1323">
        <v>0</v>
      </c>
      <c r="AF1323">
        <v>0</v>
      </c>
      <c r="AG1323">
        <v>0</v>
      </c>
      <c r="AH1323" t="s">
        <v>147</v>
      </c>
      <c r="AI1323" s="1">
        <v>44210.679872685185</v>
      </c>
      <c r="AJ1323">
        <v>775</v>
      </c>
      <c r="AK1323">
        <v>3</v>
      </c>
      <c r="AL1323">
        <v>0</v>
      </c>
      <c r="AM1323">
        <v>3</v>
      </c>
      <c r="AN1323">
        <v>0</v>
      </c>
      <c r="AO1323">
        <v>20</v>
      </c>
      <c r="AP1323">
        <v>-2</v>
      </c>
      <c r="AQ1323">
        <v>0</v>
      </c>
      <c r="AR1323">
        <v>0</v>
      </c>
      <c r="AS1323">
        <v>0</v>
      </c>
      <c r="AT1323" t="s">
        <v>90</v>
      </c>
      <c r="AU1323" s="1">
        <v>44210.687314814815</v>
      </c>
      <c r="AV1323">
        <v>7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-2</v>
      </c>
      <c r="BC1323">
        <v>0</v>
      </c>
      <c r="BD1323">
        <v>0</v>
      </c>
      <c r="BE1323">
        <v>0</v>
      </c>
    </row>
    <row r="1324" spans="1:57" x14ac:dyDescent="0.45">
      <c r="A1324" t="s">
        <v>3326</v>
      </c>
      <c r="B1324" t="s">
        <v>79</v>
      </c>
      <c r="C1324" t="s">
        <v>1498</v>
      </c>
      <c r="D1324" t="s">
        <v>81</v>
      </c>
      <c r="E1324" s="2" t="str">
        <f>HYPERLINK("capsilon://?command=openfolder&amp;siteaddress=FAM.docvelocity-na8.net&amp;folderid=FX6683042E-91D2-38EA-5F27-E9686FF7C5E3","FX201224094")</f>
        <v>FX201224094</v>
      </c>
      <c r="F1324" t="s">
        <v>19</v>
      </c>
      <c r="G1324" t="s">
        <v>19</v>
      </c>
      <c r="H1324" t="s">
        <v>82</v>
      </c>
      <c r="I1324" t="s">
        <v>3327</v>
      </c>
      <c r="J1324">
        <v>76</v>
      </c>
      <c r="K1324" t="s">
        <v>84</v>
      </c>
      <c r="L1324" t="s">
        <v>85</v>
      </c>
      <c r="M1324" t="s">
        <v>86</v>
      </c>
      <c r="N1324">
        <v>3</v>
      </c>
      <c r="O1324" s="1">
        <v>44210.657222222224</v>
      </c>
      <c r="P1324" s="1">
        <v>44210.687407407408</v>
      </c>
      <c r="Q1324">
        <v>1529</v>
      </c>
      <c r="R1324">
        <v>1079</v>
      </c>
      <c r="S1324" t="b">
        <v>0</v>
      </c>
      <c r="T1324" t="s">
        <v>87</v>
      </c>
      <c r="U1324" t="b">
        <v>0</v>
      </c>
      <c r="V1324" t="s">
        <v>343</v>
      </c>
      <c r="W1324" s="1">
        <v>44210.670358796298</v>
      </c>
      <c r="X1324">
        <v>880</v>
      </c>
      <c r="Y1324">
        <v>74</v>
      </c>
      <c r="Z1324">
        <v>0</v>
      </c>
      <c r="AA1324">
        <v>74</v>
      </c>
      <c r="AB1324">
        <v>0</v>
      </c>
      <c r="AC1324">
        <v>38</v>
      </c>
      <c r="AD1324">
        <v>2</v>
      </c>
      <c r="AE1324">
        <v>0</v>
      </c>
      <c r="AF1324">
        <v>0</v>
      </c>
      <c r="AG1324">
        <v>0</v>
      </c>
      <c r="AH1324" t="s">
        <v>132</v>
      </c>
      <c r="AI1324" s="1">
        <v>44210.679722222223</v>
      </c>
      <c r="AJ1324">
        <v>67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2</v>
      </c>
      <c r="AQ1324">
        <v>0</v>
      </c>
      <c r="AR1324">
        <v>0</v>
      </c>
      <c r="AS1324">
        <v>0</v>
      </c>
      <c r="AT1324" t="s">
        <v>90</v>
      </c>
      <c r="AU1324" s="1">
        <v>44210.687407407408</v>
      </c>
      <c r="AV1324">
        <v>8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2</v>
      </c>
      <c r="BC1324">
        <v>0</v>
      </c>
      <c r="BD1324">
        <v>0</v>
      </c>
      <c r="BE1324">
        <v>0</v>
      </c>
    </row>
    <row r="1325" spans="1:57" x14ac:dyDescent="0.45">
      <c r="A1325" t="s">
        <v>3328</v>
      </c>
      <c r="B1325" t="s">
        <v>79</v>
      </c>
      <c r="C1325" t="s">
        <v>2199</v>
      </c>
      <c r="D1325" t="s">
        <v>81</v>
      </c>
      <c r="E1325" s="2" t="str">
        <f>HYPERLINK("capsilon://?command=openfolder&amp;siteaddress=FAM.docvelocity-na8.net&amp;folderid=FX3E508EA4-D795-A5DE-8974-97DB8256FC06","FX201223829")</f>
        <v>FX201223829</v>
      </c>
      <c r="F1325" t="s">
        <v>19</v>
      </c>
      <c r="G1325" t="s">
        <v>19</v>
      </c>
      <c r="H1325" t="s">
        <v>82</v>
      </c>
      <c r="I1325" t="s">
        <v>2200</v>
      </c>
      <c r="J1325">
        <v>52</v>
      </c>
      <c r="K1325" t="s">
        <v>84</v>
      </c>
      <c r="L1325" t="s">
        <v>85</v>
      </c>
      <c r="M1325" t="s">
        <v>86</v>
      </c>
      <c r="N1325">
        <v>3</v>
      </c>
      <c r="O1325" s="1">
        <v>44200.720949074072</v>
      </c>
      <c r="P1325" s="1">
        <v>44201.338425925926</v>
      </c>
      <c r="Q1325">
        <v>52703</v>
      </c>
      <c r="R1325">
        <v>647</v>
      </c>
      <c r="S1325" t="b">
        <v>0</v>
      </c>
      <c r="T1325" t="s">
        <v>87</v>
      </c>
      <c r="U1325" t="b">
        <v>1</v>
      </c>
      <c r="V1325" t="s">
        <v>142</v>
      </c>
      <c r="W1325" s="1">
        <v>44200.730439814812</v>
      </c>
      <c r="X1325">
        <v>515</v>
      </c>
      <c r="Y1325">
        <v>42</v>
      </c>
      <c r="Z1325">
        <v>0</v>
      </c>
      <c r="AA1325">
        <v>42</v>
      </c>
      <c r="AB1325">
        <v>0</v>
      </c>
      <c r="AC1325">
        <v>36</v>
      </c>
      <c r="AD1325">
        <v>10</v>
      </c>
      <c r="AE1325">
        <v>0</v>
      </c>
      <c r="AF1325">
        <v>0</v>
      </c>
      <c r="AG1325">
        <v>0</v>
      </c>
      <c r="AH1325" t="s">
        <v>267</v>
      </c>
      <c r="AI1325" s="1">
        <v>44200.732152777775</v>
      </c>
      <c r="AJ1325">
        <v>125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10</v>
      </c>
      <c r="AQ1325">
        <v>0</v>
      </c>
      <c r="AR1325">
        <v>0</v>
      </c>
      <c r="AS1325">
        <v>0</v>
      </c>
      <c r="AT1325" t="s">
        <v>90</v>
      </c>
      <c r="AU1325" s="1">
        <v>44201.338425925926</v>
      </c>
      <c r="AV1325">
        <v>7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10</v>
      </c>
      <c r="BC1325">
        <v>0</v>
      </c>
      <c r="BD1325">
        <v>0</v>
      </c>
      <c r="BE1325">
        <v>0</v>
      </c>
    </row>
    <row r="1326" spans="1:57" x14ac:dyDescent="0.45">
      <c r="A1326" t="s">
        <v>3329</v>
      </c>
      <c r="B1326" t="s">
        <v>79</v>
      </c>
      <c r="C1326" t="s">
        <v>1979</v>
      </c>
      <c r="D1326" t="s">
        <v>81</v>
      </c>
      <c r="E1326" s="2" t="str">
        <f>HYPERLINK("capsilon://?command=openfolder&amp;siteaddress=FAM.docvelocity-na8.net&amp;folderid=FX556D0F90-FBAE-03EF-0A1A-EBB49AA926DC","FX201221235")</f>
        <v>FX201221235</v>
      </c>
      <c r="F1326" t="s">
        <v>19</v>
      </c>
      <c r="G1326" t="s">
        <v>19</v>
      </c>
      <c r="H1326" t="s">
        <v>82</v>
      </c>
      <c r="I1326" t="s">
        <v>3330</v>
      </c>
      <c r="J1326">
        <v>66</v>
      </c>
      <c r="K1326" t="s">
        <v>84</v>
      </c>
      <c r="L1326" t="s">
        <v>85</v>
      </c>
      <c r="M1326" t="s">
        <v>86</v>
      </c>
      <c r="N1326">
        <v>3</v>
      </c>
      <c r="O1326" s="1">
        <v>44200.721493055556</v>
      </c>
      <c r="P1326" s="1">
        <v>44201.427800925929</v>
      </c>
      <c r="Q1326">
        <v>60132</v>
      </c>
      <c r="R1326">
        <v>893</v>
      </c>
      <c r="S1326" t="b">
        <v>0</v>
      </c>
      <c r="T1326" t="s">
        <v>87</v>
      </c>
      <c r="U1326" t="b">
        <v>0</v>
      </c>
      <c r="V1326" t="s">
        <v>266</v>
      </c>
      <c r="W1326" s="1">
        <v>44200.851261574076</v>
      </c>
      <c r="X1326">
        <v>600</v>
      </c>
      <c r="Y1326">
        <v>52</v>
      </c>
      <c r="Z1326">
        <v>0</v>
      </c>
      <c r="AA1326">
        <v>52</v>
      </c>
      <c r="AB1326">
        <v>0</v>
      </c>
      <c r="AC1326">
        <v>33</v>
      </c>
      <c r="AD1326">
        <v>14</v>
      </c>
      <c r="AE1326">
        <v>0</v>
      </c>
      <c r="AF1326">
        <v>0</v>
      </c>
      <c r="AG1326">
        <v>0</v>
      </c>
      <c r="AH1326" t="s">
        <v>128</v>
      </c>
      <c r="AI1326" s="1">
        <v>44200.854826388888</v>
      </c>
      <c r="AJ1326">
        <v>237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14</v>
      </c>
      <c r="AQ1326">
        <v>0</v>
      </c>
      <c r="AR1326">
        <v>0</v>
      </c>
      <c r="AS1326">
        <v>0</v>
      </c>
      <c r="AT1326" t="s">
        <v>90</v>
      </c>
      <c r="AU1326" s="1">
        <v>44201.427800925929</v>
      </c>
      <c r="AV1326">
        <v>56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14</v>
      </c>
      <c r="BC1326">
        <v>0</v>
      </c>
      <c r="BD1326">
        <v>0</v>
      </c>
      <c r="BE1326">
        <v>0</v>
      </c>
    </row>
    <row r="1327" spans="1:57" x14ac:dyDescent="0.45">
      <c r="A1327" t="s">
        <v>3331</v>
      </c>
      <c r="B1327" t="s">
        <v>79</v>
      </c>
      <c r="C1327" t="s">
        <v>3332</v>
      </c>
      <c r="D1327" t="s">
        <v>81</v>
      </c>
      <c r="E1327" s="2" t="str">
        <f>HYPERLINK("capsilon://?command=openfolder&amp;siteaddress=FAM.docvelocity-na8.net&amp;folderid=FXE0217CFB-F5FC-A624-5152-2CDB85AFD6E8","FX21017833")</f>
        <v>FX21017833</v>
      </c>
      <c r="F1327" t="s">
        <v>19</v>
      </c>
      <c r="G1327" t="s">
        <v>19</v>
      </c>
      <c r="H1327" t="s">
        <v>82</v>
      </c>
      <c r="I1327" t="s">
        <v>3333</v>
      </c>
      <c r="J1327">
        <v>228</v>
      </c>
      <c r="K1327" t="s">
        <v>84</v>
      </c>
      <c r="L1327" t="s">
        <v>85</v>
      </c>
      <c r="M1327" t="s">
        <v>86</v>
      </c>
      <c r="N1327">
        <v>3</v>
      </c>
      <c r="O1327" s="1">
        <v>44210.665011574078</v>
      </c>
      <c r="P1327" s="1">
        <v>44211.343807870369</v>
      </c>
      <c r="Q1327">
        <v>54580</v>
      </c>
      <c r="R1327">
        <v>4068</v>
      </c>
      <c r="S1327" t="b">
        <v>0</v>
      </c>
      <c r="T1327" t="s">
        <v>87</v>
      </c>
      <c r="U1327" t="b">
        <v>0</v>
      </c>
      <c r="V1327" t="s">
        <v>171</v>
      </c>
      <c r="W1327" s="1">
        <v>44210.705775462964</v>
      </c>
      <c r="X1327">
        <v>3333</v>
      </c>
      <c r="Y1327">
        <v>228</v>
      </c>
      <c r="Z1327">
        <v>0</v>
      </c>
      <c r="AA1327">
        <v>228</v>
      </c>
      <c r="AB1327">
        <v>0</v>
      </c>
      <c r="AC1327">
        <v>98</v>
      </c>
      <c r="AD1327">
        <v>0</v>
      </c>
      <c r="AE1327">
        <v>0</v>
      </c>
      <c r="AF1327">
        <v>0</v>
      </c>
      <c r="AG1327">
        <v>0</v>
      </c>
      <c r="AH1327" t="s">
        <v>128</v>
      </c>
      <c r="AI1327" s="1">
        <v>44210.715798611112</v>
      </c>
      <c r="AJ1327">
        <v>597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 t="s">
        <v>90</v>
      </c>
      <c r="AU1327" s="1">
        <v>44211.343807870369</v>
      </c>
      <c r="AV1327">
        <v>115</v>
      </c>
      <c r="AW1327">
        <v>4</v>
      </c>
      <c r="AX1327">
        <v>0</v>
      </c>
      <c r="AY1327">
        <v>4</v>
      </c>
      <c r="AZ1327">
        <v>0</v>
      </c>
      <c r="BA1327">
        <v>4</v>
      </c>
      <c r="BB1327">
        <v>-4</v>
      </c>
      <c r="BC1327">
        <v>0</v>
      </c>
      <c r="BD1327">
        <v>0</v>
      </c>
      <c r="BE1327">
        <v>0</v>
      </c>
    </row>
    <row r="1328" spans="1:57" hidden="1" x14ac:dyDescent="0.45">
      <c r="A1328" t="s">
        <v>3334</v>
      </c>
      <c r="B1328" t="s">
        <v>79</v>
      </c>
      <c r="C1328" t="s">
        <v>3318</v>
      </c>
      <c r="D1328" t="s">
        <v>81</v>
      </c>
      <c r="E1328" s="2" t="str">
        <f>HYPERLINK("capsilon://?command=openfolder&amp;siteaddress=FAM.docvelocity-na8.net&amp;folderid=FX3F0A7BF5-6F4A-854E-0D3E-213156B1247C","FX20127074")</f>
        <v>FX20127074</v>
      </c>
      <c r="F1328" t="s">
        <v>19</v>
      </c>
      <c r="G1328" t="s">
        <v>19</v>
      </c>
      <c r="H1328" t="s">
        <v>82</v>
      </c>
      <c r="I1328" t="s">
        <v>3335</v>
      </c>
      <c r="J1328">
        <v>66</v>
      </c>
      <c r="K1328" t="s">
        <v>84</v>
      </c>
      <c r="L1328" t="s">
        <v>85</v>
      </c>
      <c r="M1328" t="s">
        <v>86</v>
      </c>
      <c r="N1328">
        <v>1</v>
      </c>
      <c r="O1328" s="1">
        <v>44210.667962962965</v>
      </c>
      <c r="P1328" s="1">
        <v>44210.669490740744</v>
      </c>
      <c r="Q1328">
        <v>5</v>
      </c>
      <c r="R1328">
        <v>127</v>
      </c>
      <c r="S1328" t="b">
        <v>0</v>
      </c>
      <c r="T1328" t="s">
        <v>87</v>
      </c>
      <c r="U1328" t="b">
        <v>0</v>
      </c>
      <c r="V1328" t="s">
        <v>255</v>
      </c>
      <c r="W1328" s="1">
        <v>44210.669490740744</v>
      </c>
      <c r="X1328">
        <v>127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66</v>
      </c>
      <c r="AE1328">
        <v>52</v>
      </c>
      <c r="AF1328">
        <v>0</v>
      </c>
      <c r="AG1328">
        <v>1</v>
      </c>
      <c r="AH1328" t="s">
        <v>87</v>
      </c>
      <c r="AI1328" t="s">
        <v>87</v>
      </c>
      <c r="AJ1328" t="s">
        <v>87</v>
      </c>
      <c r="AK1328" t="s">
        <v>87</v>
      </c>
      <c r="AL1328" t="s">
        <v>87</v>
      </c>
      <c r="AM1328" t="s">
        <v>87</v>
      </c>
      <c r="AN1328" t="s">
        <v>87</v>
      </c>
      <c r="AO1328" t="s">
        <v>87</v>
      </c>
      <c r="AP1328" t="s">
        <v>87</v>
      </c>
      <c r="AQ1328" t="s">
        <v>87</v>
      </c>
      <c r="AR1328" t="s">
        <v>87</v>
      </c>
      <c r="AS1328" t="s">
        <v>87</v>
      </c>
      <c r="AT1328" t="s">
        <v>87</v>
      </c>
      <c r="AU1328" t="s">
        <v>87</v>
      </c>
      <c r="AV1328" t="s">
        <v>87</v>
      </c>
      <c r="AW1328" t="s">
        <v>87</v>
      </c>
      <c r="AX1328" t="s">
        <v>87</v>
      </c>
      <c r="AY1328" t="s">
        <v>87</v>
      </c>
      <c r="AZ1328" t="s">
        <v>87</v>
      </c>
      <c r="BA1328" t="s">
        <v>87</v>
      </c>
      <c r="BB1328" t="s">
        <v>87</v>
      </c>
      <c r="BC1328" t="s">
        <v>87</v>
      </c>
      <c r="BD1328" t="s">
        <v>87</v>
      </c>
      <c r="BE1328" t="s">
        <v>87</v>
      </c>
    </row>
    <row r="1329" spans="1:57" hidden="1" x14ac:dyDescent="0.45">
      <c r="A1329" t="s">
        <v>3336</v>
      </c>
      <c r="B1329" t="s">
        <v>79</v>
      </c>
      <c r="C1329" t="s">
        <v>3318</v>
      </c>
      <c r="D1329" t="s">
        <v>81</v>
      </c>
      <c r="E1329" s="2" t="str">
        <f>HYPERLINK("capsilon://?command=openfolder&amp;siteaddress=FAM.docvelocity-na8.net&amp;folderid=FX3F0A7BF5-6F4A-854E-0D3E-213156B1247C","FX20127074")</f>
        <v>FX20127074</v>
      </c>
      <c r="F1329" t="s">
        <v>19</v>
      </c>
      <c r="G1329" t="s">
        <v>19</v>
      </c>
      <c r="H1329" t="s">
        <v>82</v>
      </c>
      <c r="I1329" t="s">
        <v>3337</v>
      </c>
      <c r="J1329">
        <v>66</v>
      </c>
      <c r="K1329" t="s">
        <v>84</v>
      </c>
      <c r="L1329" t="s">
        <v>85</v>
      </c>
      <c r="M1329" t="s">
        <v>86</v>
      </c>
      <c r="N1329">
        <v>1</v>
      </c>
      <c r="O1329" s="1">
        <v>44210.668298611112</v>
      </c>
      <c r="P1329" s="1">
        <v>44210.669756944444</v>
      </c>
      <c r="Q1329">
        <v>8</v>
      </c>
      <c r="R1329">
        <v>118</v>
      </c>
      <c r="S1329" t="b">
        <v>0</v>
      </c>
      <c r="T1329" t="s">
        <v>87</v>
      </c>
      <c r="U1329" t="b">
        <v>0</v>
      </c>
      <c r="V1329" t="s">
        <v>262</v>
      </c>
      <c r="W1329" s="1">
        <v>44210.669756944444</v>
      </c>
      <c r="X1329">
        <v>118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66</v>
      </c>
      <c r="AE1329">
        <v>52</v>
      </c>
      <c r="AF1329">
        <v>0</v>
      </c>
      <c r="AG1329">
        <v>1</v>
      </c>
      <c r="AH1329" t="s">
        <v>87</v>
      </c>
      <c r="AI1329" t="s">
        <v>87</v>
      </c>
      <c r="AJ1329" t="s">
        <v>87</v>
      </c>
      <c r="AK1329" t="s">
        <v>87</v>
      </c>
      <c r="AL1329" t="s">
        <v>87</v>
      </c>
      <c r="AM1329" t="s">
        <v>87</v>
      </c>
      <c r="AN1329" t="s">
        <v>87</v>
      </c>
      <c r="AO1329" t="s">
        <v>87</v>
      </c>
      <c r="AP1329" t="s">
        <v>87</v>
      </c>
      <c r="AQ1329" t="s">
        <v>87</v>
      </c>
      <c r="AR1329" t="s">
        <v>87</v>
      </c>
      <c r="AS1329" t="s">
        <v>87</v>
      </c>
      <c r="AT1329" t="s">
        <v>87</v>
      </c>
      <c r="AU1329" t="s">
        <v>87</v>
      </c>
      <c r="AV1329" t="s">
        <v>87</v>
      </c>
      <c r="AW1329" t="s">
        <v>87</v>
      </c>
      <c r="AX1329" t="s">
        <v>87</v>
      </c>
      <c r="AY1329" t="s">
        <v>87</v>
      </c>
      <c r="AZ1329" t="s">
        <v>87</v>
      </c>
      <c r="BA1329" t="s">
        <v>87</v>
      </c>
      <c r="BB1329" t="s">
        <v>87</v>
      </c>
      <c r="BC1329" t="s">
        <v>87</v>
      </c>
      <c r="BD1329" t="s">
        <v>87</v>
      </c>
      <c r="BE1329" t="s">
        <v>87</v>
      </c>
    </row>
    <row r="1330" spans="1:57" hidden="1" x14ac:dyDescent="0.45">
      <c r="A1330" t="s">
        <v>3338</v>
      </c>
      <c r="B1330" t="s">
        <v>79</v>
      </c>
      <c r="C1330" t="s">
        <v>3318</v>
      </c>
      <c r="D1330" t="s">
        <v>81</v>
      </c>
      <c r="E1330" s="2" t="str">
        <f>HYPERLINK("capsilon://?command=openfolder&amp;siteaddress=FAM.docvelocity-na8.net&amp;folderid=FX3F0A7BF5-6F4A-854E-0D3E-213156B1247C","FX20127074")</f>
        <v>FX20127074</v>
      </c>
      <c r="F1330" t="s">
        <v>19</v>
      </c>
      <c r="G1330" t="s">
        <v>19</v>
      </c>
      <c r="H1330" t="s">
        <v>82</v>
      </c>
      <c r="I1330" t="s">
        <v>3339</v>
      </c>
      <c r="J1330">
        <v>66</v>
      </c>
      <c r="K1330" t="s">
        <v>84</v>
      </c>
      <c r="L1330" t="s">
        <v>85</v>
      </c>
      <c r="M1330" t="s">
        <v>86</v>
      </c>
      <c r="N1330">
        <v>3</v>
      </c>
      <c r="O1330" s="1">
        <v>44210.668738425928</v>
      </c>
      <c r="P1330" s="1">
        <v>44210.6874537037</v>
      </c>
      <c r="Q1330">
        <v>1515</v>
      </c>
      <c r="R1330">
        <v>102</v>
      </c>
      <c r="S1330" t="b">
        <v>0</v>
      </c>
      <c r="T1330" t="s">
        <v>87</v>
      </c>
      <c r="U1330" t="b">
        <v>0</v>
      </c>
      <c r="V1330" t="s">
        <v>255</v>
      </c>
      <c r="W1330" s="1">
        <v>44210.670289351852</v>
      </c>
      <c r="X1330">
        <v>68</v>
      </c>
      <c r="Y1330">
        <v>0</v>
      </c>
      <c r="Z1330">
        <v>0</v>
      </c>
      <c r="AA1330">
        <v>0</v>
      </c>
      <c r="AB1330">
        <v>52</v>
      </c>
      <c r="AC1330">
        <v>0</v>
      </c>
      <c r="AD1330">
        <v>66</v>
      </c>
      <c r="AE1330">
        <v>0</v>
      </c>
      <c r="AF1330">
        <v>0</v>
      </c>
      <c r="AG1330">
        <v>0</v>
      </c>
      <c r="AH1330" t="s">
        <v>132</v>
      </c>
      <c r="AI1330" s="1">
        <v>44210.680092592593</v>
      </c>
      <c r="AJ1330">
        <v>31</v>
      </c>
      <c r="AK1330">
        <v>0</v>
      </c>
      <c r="AL1330">
        <v>0</v>
      </c>
      <c r="AM1330">
        <v>0</v>
      </c>
      <c r="AN1330">
        <v>52</v>
      </c>
      <c r="AO1330">
        <v>0</v>
      </c>
      <c r="AP1330">
        <v>66</v>
      </c>
      <c r="AQ1330">
        <v>0</v>
      </c>
      <c r="AR1330">
        <v>0</v>
      </c>
      <c r="AS1330">
        <v>0</v>
      </c>
      <c r="AT1330" t="s">
        <v>90</v>
      </c>
      <c r="AU1330" s="1">
        <v>44210.6874537037</v>
      </c>
      <c r="AV1330">
        <v>3</v>
      </c>
      <c r="AW1330">
        <v>0</v>
      </c>
      <c r="AX1330">
        <v>0</v>
      </c>
      <c r="AY1330">
        <v>0</v>
      </c>
      <c r="AZ1330">
        <v>52</v>
      </c>
      <c r="BA1330">
        <v>0</v>
      </c>
      <c r="BB1330">
        <v>66</v>
      </c>
      <c r="BC1330">
        <v>0</v>
      </c>
      <c r="BD1330">
        <v>0</v>
      </c>
      <c r="BE1330">
        <v>0</v>
      </c>
    </row>
    <row r="1331" spans="1:57" x14ac:dyDescent="0.45">
      <c r="A1331" t="s">
        <v>3340</v>
      </c>
      <c r="B1331" t="s">
        <v>79</v>
      </c>
      <c r="C1331" t="s">
        <v>3341</v>
      </c>
      <c r="D1331" t="s">
        <v>81</v>
      </c>
      <c r="E1331" s="2" t="str">
        <f>HYPERLINK("capsilon://?command=openfolder&amp;siteaddress=FAM.docvelocity-na8.net&amp;folderid=FXE3496635-A227-C0F3-17E9-70A673E7B2AA","FX20124858")</f>
        <v>FX20124858</v>
      </c>
      <c r="F1331" t="s">
        <v>19</v>
      </c>
      <c r="G1331" t="s">
        <v>19</v>
      </c>
      <c r="H1331" t="s">
        <v>82</v>
      </c>
      <c r="I1331" t="s">
        <v>3342</v>
      </c>
      <c r="J1331">
        <v>66</v>
      </c>
      <c r="K1331" t="s">
        <v>84</v>
      </c>
      <c r="L1331" t="s">
        <v>85</v>
      </c>
      <c r="M1331" t="s">
        <v>86</v>
      </c>
      <c r="N1331">
        <v>3</v>
      </c>
      <c r="O1331" s="1">
        <v>44210.669537037036</v>
      </c>
      <c r="P1331" s="1">
        <v>44210.688287037039</v>
      </c>
      <c r="Q1331">
        <v>538</v>
      </c>
      <c r="R1331">
        <v>1082</v>
      </c>
      <c r="S1331" t="b">
        <v>0</v>
      </c>
      <c r="T1331" t="s">
        <v>87</v>
      </c>
      <c r="U1331" t="b">
        <v>0</v>
      </c>
      <c r="V1331" t="s">
        <v>262</v>
      </c>
      <c r="W1331" s="1">
        <v>44210.680127314816</v>
      </c>
      <c r="X1331">
        <v>895</v>
      </c>
      <c r="Y1331">
        <v>52</v>
      </c>
      <c r="Z1331">
        <v>0</v>
      </c>
      <c r="AA1331">
        <v>52</v>
      </c>
      <c r="AB1331">
        <v>0</v>
      </c>
      <c r="AC1331">
        <v>39</v>
      </c>
      <c r="AD1331">
        <v>14</v>
      </c>
      <c r="AE1331">
        <v>0</v>
      </c>
      <c r="AF1331">
        <v>0</v>
      </c>
      <c r="AG1331">
        <v>0</v>
      </c>
      <c r="AH1331" t="s">
        <v>132</v>
      </c>
      <c r="AI1331" s="1">
        <v>44210.681574074071</v>
      </c>
      <c r="AJ1331">
        <v>116</v>
      </c>
      <c r="AK1331">
        <v>2</v>
      </c>
      <c r="AL1331">
        <v>0</v>
      </c>
      <c r="AM1331">
        <v>2</v>
      </c>
      <c r="AN1331">
        <v>0</v>
      </c>
      <c r="AO1331">
        <v>1</v>
      </c>
      <c r="AP1331">
        <v>12</v>
      </c>
      <c r="AQ1331">
        <v>0</v>
      </c>
      <c r="AR1331">
        <v>0</v>
      </c>
      <c r="AS1331">
        <v>0</v>
      </c>
      <c r="AT1331" t="s">
        <v>90</v>
      </c>
      <c r="AU1331" s="1">
        <v>44210.688287037039</v>
      </c>
      <c r="AV1331">
        <v>71</v>
      </c>
      <c r="AW1331">
        <v>1</v>
      </c>
      <c r="AX1331">
        <v>0</v>
      </c>
      <c r="AY1331">
        <v>1</v>
      </c>
      <c r="AZ1331">
        <v>0</v>
      </c>
      <c r="BA1331">
        <v>1</v>
      </c>
      <c r="BB1331">
        <v>11</v>
      </c>
      <c r="BC1331">
        <v>0</v>
      </c>
      <c r="BD1331">
        <v>0</v>
      </c>
      <c r="BE1331">
        <v>0</v>
      </c>
    </row>
    <row r="1332" spans="1:57" x14ac:dyDescent="0.45">
      <c r="A1332" t="s">
        <v>3343</v>
      </c>
      <c r="B1332" t="s">
        <v>79</v>
      </c>
      <c r="C1332" t="s">
        <v>3318</v>
      </c>
      <c r="D1332" t="s">
        <v>81</v>
      </c>
      <c r="E1332" s="2" t="str">
        <f>HYPERLINK("capsilon://?command=openfolder&amp;siteaddress=FAM.docvelocity-na8.net&amp;folderid=FX3F0A7BF5-6F4A-854E-0D3E-213156B1247C","FX20127074")</f>
        <v>FX20127074</v>
      </c>
      <c r="F1332" t="s">
        <v>19</v>
      </c>
      <c r="G1332" t="s">
        <v>19</v>
      </c>
      <c r="H1332" t="s">
        <v>82</v>
      </c>
      <c r="I1332" t="s">
        <v>3344</v>
      </c>
      <c r="J1332">
        <v>73</v>
      </c>
      <c r="K1332" t="s">
        <v>84</v>
      </c>
      <c r="L1332" t="s">
        <v>85</v>
      </c>
      <c r="M1332" t="s">
        <v>86</v>
      </c>
      <c r="N1332">
        <v>3</v>
      </c>
      <c r="O1332" s="1">
        <v>44210.670752314814</v>
      </c>
      <c r="P1332" s="1">
        <v>44210.703877314816</v>
      </c>
      <c r="Q1332">
        <v>819</v>
      </c>
      <c r="R1332">
        <v>2043</v>
      </c>
      <c r="S1332" t="b">
        <v>0</v>
      </c>
      <c r="T1332" t="s">
        <v>87</v>
      </c>
      <c r="U1332" t="b">
        <v>0</v>
      </c>
      <c r="V1332" t="s">
        <v>343</v>
      </c>
      <c r="W1332" s="1">
        <v>44210.68472222222</v>
      </c>
      <c r="X1332">
        <v>1204</v>
      </c>
      <c r="Y1332">
        <v>119</v>
      </c>
      <c r="Z1332">
        <v>0</v>
      </c>
      <c r="AA1332">
        <v>119</v>
      </c>
      <c r="AB1332">
        <v>0</v>
      </c>
      <c r="AC1332">
        <v>107</v>
      </c>
      <c r="AD1332">
        <v>-46</v>
      </c>
      <c r="AE1332">
        <v>0</v>
      </c>
      <c r="AF1332">
        <v>0</v>
      </c>
      <c r="AG1332">
        <v>0</v>
      </c>
      <c r="AH1332" t="s">
        <v>147</v>
      </c>
      <c r="AI1332" s="1">
        <v>44210.694675925923</v>
      </c>
      <c r="AJ1332">
        <v>834</v>
      </c>
      <c r="AK1332">
        <v>11</v>
      </c>
      <c r="AL1332">
        <v>0</v>
      </c>
      <c r="AM1332">
        <v>11</v>
      </c>
      <c r="AN1332">
        <v>0</v>
      </c>
      <c r="AO1332">
        <v>38</v>
      </c>
      <c r="AP1332">
        <v>-57</v>
      </c>
      <c r="AQ1332">
        <v>0</v>
      </c>
      <c r="AR1332">
        <v>0</v>
      </c>
      <c r="AS1332">
        <v>0</v>
      </c>
      <c r="AT1332" t="s">
        <v>90</v>
      </c>
      <c r="AU1332" s="1">
        <v>44210.703877314816</v>
      </c>
      <c r="AV1332">
        <v>5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-57</v>
      </c>
      <c r="BC1332">
        <v>0</v>
      </c>
      <c r="BD1332">
        <v>0</v>
      </c>
      <c r="BE1332">
        <v>0</v>
      </c>
    </row>
    <row r="1333" spans="1:57" x14ac:dyDescent="0.45">
      <c r="A1333" t="s">
        <v>3345</v>
      </c>
      <c r="B1333" t="s">
        <v>79</v>
      </c>
      <c r="C1333" t="s">
        <v>3318</v>
      </c>
      <c r="D1333" t="s">
        <v>81</v>
      </c>
      <c r="E1333" s="2" t="str">
        <f>HYPERLINK("capsilon://?command=openfolder&amp;siteaddress=FAM.docvelocity-na8.net&amp;folderid=FX3F0A7BF5-6F4A-854E-0D3E-213156B1247C","FX20127074")</f>
        <v>FX20127074</v>
      </c>
      <c r="F1333" t="s">
        <v>19</v>
      </c>
      <c r="G1333" t="s">
        <v>19</v>
      </c>
      <c r="H1333" t="s">
        <v>82</v>
      </c>
      <c r="I1333" t="s">
        <v>3346</v>
      </c>
      <c r="J1333">
        <v>85</v>
      </c>
      <c r="K1333" t="s">
        <v>84</v>
      </c>
      <c r="L1333" t="s">
        <v>85</v>
      </c>
      <c r="M1333" t="s">
        <v>86</v>
      </c>
      <c r="N1333">
        <v>3</v>
      </c>
      <c r="O1333" s="1">
        <v>44210.67087962963</v>
      </c>
      <c r="P1333" s="1">
        <v>44210.688599537039</v>
      </c>
      <c r="Q1333">
        <v>494</v>
      </c>
      <c r="R1333">
        <v>1037</v>
      </c>
      <c r="S1333" t="b">
        <v>0</v>
      </c>
      <c r="T1333" t="s">
        <v>87</v>
      </c>
      <c r="U1333" t="b">
        <v>0</v>
      </c>
      <c r="V1333" t="s">
        <v>255</v>
      </c>
      <c r="W1333" s="1">
        <v>44210.677731481483</v>
      </c>
      <c r="X1333">
        <v>589</v>
      </c>
      <c r="Y1333">
        <v>84</v>
      </c>
      <c r="Z1333">
        <v>0</v>
      </c>
      <c r="AA1333">
        <v>84</v>
      </c>
      <c r="AB1333">
        <v>0</v>
      </c>
      <c r="AC1333">
        <v>71</v>
      </c>
      <c r="AD1333">
        <v>1</v>
      </c>
      <c r="AE1333">
        <v>0</v>
      </c>
      <c r="AF1333">
        <v>0</v>
      </c>
      <c r="AG1333">
        <v>0</v>
      </c>
      <c r="AH1333" t="s">
        <v>147</v>
      </c>
      <c r="AI1333" s="1">
        <v>44210.685023148151</v>
      </c>
      <c r="AJ1333">
        <v>444</v>
      </c>
      <c r="AK1333">
        <v>2</v>
      </c>
      <c r="AL1333">
        <v>0</v>
      </c>
      <c r="AM1333">
        <v>2</v>
      </c>
      <c r="AN1333">
        <v>0</v>
      </c>
      <c r="AO1333">
        <v>20</v>
      </c>
      <c r="AP1333">
        <v>-1</v>
      </c>
      <c r="AQ1333">
        <v>0</v>
      </c>
      <c r="AR1333">
        <v>0</v>
      </c>
      <c r="AS1333">
        <v>0</v>
      </c>
      <c r="AT1333" t="s">
        <v>90</v>
      </c>
      <c r="AU1333" s="1">
        <v>44210.688599537039</v>
      </c>
      <c r="AV1333">
        <v>4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-1</v>
      </c>
      <c r="BC1333">
        <v>0</v>
      </c>
      <c r="BD1333">
        <v>0</v>
      </c>
      <c r="BE1333">
        <v>0</v>
      </c>
    </row>
    <row r="1334" spans="1:57" x14ac:dyDescent="0.45">
      <c r="A1334" t="s">
        <v>3347</v>
      </c>
      <c r="B1334" t="s">
        <v>79</v>
      </c>
      <c r="C1334" t="s">
        <v>3318</v>
      </c>
      <c r="D1334" t="s">
        <v>81</v>
      </c>
      <c r="E1334" s="2" t="str">
        <f>HYPERLINK("capsilon://?command=openfolder&amp;siteaddress=FAM.docvelocity-na8.net&amp;folderid=FX3F0A7BF5-6F4A-854E-0D3E-213156B1247C","FX20127074")</f>
        <v>FX20127074</v>
      </c>
      <c r="F1334" t="s">
        <v>19</v>
      </c>
      <c r="G1334" t="s">
        <v>19</v>
      </c>
      <c r="H1334" t="s">
        <v>82</v>
      </c>
      <c r="I1334" t="s">
        <v>3337</v>
      </c>
      <c r="J1334">
        <v>85</v>
      </c>
      <c r="K1334" t="s">
        <v>84</v>
      </c>
      <c r="L1334" t="s">
        <v>85</v>
      </c>
      <c r="M1334" t="s">
        <v>86</v>
      </c>
      <c r="N1334">
        <v>3</v>
      </c>
      <c r="O1334" s="1">
        <v>44210.672280092593</v>
      </c>
      <c r="P1334" s="1">
        <v>44210.687222222223</v>
      </c>
      <c r="Q1334">
        <v>312</v>
      </c>
      <c r="R1334">
        <v>979</v>
      </c>
      <c r="S1334" t="b">
        <v>0</v>
      </c>
      <c r="T1334" t="s">
        <v>87</v>
      </c>
      <c r="U1334" t="b">
        <v>1</v>
      </c>
      <c r="V1334" t="s">
        <v>242</v>
      </c>
      <c r="W1334" s="1">
        <v>44210.680775462963</v>
      </c>
      <c r="X1334">
        <v>643</v>
      </c>
      <c r="Y1334">
        <v>84</v>
      </c>
      <c r="Z1334">
        <v>0</v>
      </c>
      <c r="AA1334">
        <v>84</v>
      </c>
      <c r="AB1334">
        <v>0</v>
      </c>
      <c r="AC1334">
        <v>72</v>
      </c>
      <c r="AD1334">
        <v>1</v>
      </c>
      <c r="AE1334">
        <v>0</v>
      </c>
      <c r="AF1334">
        <v>0</v>
      </c>
      <c r="AG1334">
        <v>0</v>
      </c>
      <c r="AH1334" t="s">
        <v>128</v>
      </c>
      <c r="AI1334" s="1">
        <v>44210.684363425928</v>
      </c>
      <c r="AJ1334">
        <v>256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 t="s">
        <v>90</v>
      </c>
      <c r="AU1334" s="1">
        <v>44210.687222222223</v>
      </c>
      <c r="AV1334">
        <v>80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</row>
    <row r="1335" spans="1:57" x14ac:dyDescent="0.45">
      <c r="A1335" t="s">
        <v>3348</v>
      </c>
      <c r="B1335" t="s">
        <v>79</v>
      </c>
      <c r="C1335" t="s">
        <v>3318</v>
      </c>
      <c r="D1335" t="s">
        <v>81</v>
      </c>
      <c r="E1335" s="2" t="str">
        <f>HYPERLINK("capsilon://?command=openfolder&amp;siteaddress=FAM.docvelocity-na8.net&amp;folderid=FX3F0A7BF5-6F4A-854E-0D3E-213156B1247C","FX20127074")</f>
        <v>FX20127074</v>
      </c>
      <c r="F1335" t="s">
        <v>19</v>
      </c>
      <c r="G1335" t="s">
        <v>19</v>
      </c>
      <c r="H1335" t="s">
        <v>82</v>
      </c>
      <c r="I1335" t="s">
        <v>3335</v>
      </c>
      <c r="J1335">
        <v>73</v>
      </c>
      <c r="K1335" t="s">
        <v>84</v>
      </c>
      <c r="L1335" t="s">
        <v>85</v>
      </c>
      <c r="M1335" t="s">
        <v>86</v>
      </c>
      <c r="N1335">
        <v>3</v>
      </c>
      <c r="O1335" s="1">
        <v>44210.672337962962</v>
      </c>
      <c r="P1335" s="1">
        <v>44210.68854166667</v>
      </c>
      <c r="Q1335">
        <v>531</v>
      </c>
      <c r="R1335">
        <v>869</v>
      </c>
      <c r="S1335" t="b">
        <v>0</v>
      </c>
      <c r="T1335" t="s">
        <v>87</v>
      </c>
      <c r="U1335" t="b">
        <v>1</v>
      </c>
      <c r="V1335" t="s">
        <v>255</v>
      </c>
      <c r="W1335" s="1">
        <v>44210.684224537035</v>
      </c>
      <c r="X1335">
        <v>561</v>
      </c>
      <c r="Y1335">
        <v>119</v>
      </c>
      <c r="Z1335">
        <v>0</v>
      </c>
      <c r="AA1335">
        <v>119</v>
      </c>
      <c r="AB1335">
        <v>0</v>
      </c>
      <c r="AC1335">
        <v>93</v>
      </c>
      <c r="AD1335">
        <v>-46</v>
      </c>
      <c r="AE1335">
        <v>0</v>
      </c>
      <c r="AF1335">
        <v>0</v>
      </c>
      <c r="AG1335">
        <v>0</v>
      </c>
      <c r="AH1335" t="s">
        <v>128</v>
      </c>
      <c r="AI1335" s="1">
        <v>44210.687696759262</v>
      </c>
      <c r="AJ1335">
        <v>287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-46</v>
      </c>
      <c r="AQ1335">
        <v>0</v>
      </c>
      <c r="AR1335">
        <v>0</v>
      </c>
      <c r="AS1335">
        <v>0</v>
      </c>
      <c r="AT1335" t="s">
        <v>90</v>
      </c>
      <c r="AU1335" s="1">
        <v>44210.68854166667</v>
      </c>
      <c r="AV1335">
        <v>21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-46</v>
      </c>
      <c r="BC1335">
        <v>0</v>
      </c>
      <c r="BD1335">
        <v>0</v>
      </c>
      <c r="BE1335">
        <v>0</v>
      </c>
    </row>
    <row r="1336" spans="1:57" x14ac:dyDescent="0.45">
      <c r="A1336" t="s">
        <v>3349</v>
      </c>
      <c r="B1336" t="s">
        <v>79</v>
      </c>
      <c r="C1336" t="s">
        <v>3350</v>
      </c>
      <c r="D1336" t="s">
        <v>81</v>
      </c>
      <c r="E1336" s="2" t="str">
        <f>HYPERLINK("capsilon://?command=openfolder&amp;siteaddress=FAM.docvelocity-na8.net&amp;folderid=FX1D888946-AC8D-5980-2EC2-0D029BE0E1BC","FX21017894")</f>
        <v>FX21017894</v>
      </c>
      <c r="F1336" t="s">
        <v>19</v>
      </c>
      <c r="G1336" t="s">
        <v>19</v>
      </c>
      <c r="H1336" t="s">
        <v>82</v>
      </c>
      <c r="I1336" t="s">
        <v>3351</v>
      </c>
      <c r="J1336">
        <v>310</v>
      </c>
      <c r="K1336" t="s">
        <v>84</v>
      </c>
      <c r="L1336" t="s">
        <v>85</v>
      </c>
      <c r="M1336" t="s">
        <v>86</v>
      </c>
      <c r="N1336">
        <v>3</v>
      </c>
      <c r="O1336" s="1">
        <v>44210.680428240739</v>
      </c>
      <c r="P1336" s="1">
        <v>44211.344097222223</v>
      </c>
      <c r="Q1336">
        <v>55023</v>
      </c>
      <c r="R1336">
        <v>2318</v>
      </c>
      <c r="S1336" t="b">
        <v>0</v>
      </c>
      <c r="T1336" t="s">
        <v>87</v>
      </c>
      <c r="U1336" t="b">
        <v>0</v>
      </c>
      <c r="V1336" t="s">
        <v>262</v>
      </c>
      <c r="W1336" s="1">
        <v>44210.699363425927</v>
      </c>
      <c r="X1336">
        <v>1620</v>
      </c>
      <c r="Y1336">
        <v>272</v>
      </c>
      <c r="Z1336">
        <v>0</v>
      </c>
      <c r="AA1336">
        <v>272</v>
      </c>
      <c r="AB1336">
        <v>0</v>
      </c>
      <c r="AC1336">
        <v>55</v>
      </c>
      <c r="AD1336">
        <v>38</v>
      </c>
      <c r="AE1336">
        <v>0</v>
      </c>
      <c r="AF1336">
        <v>0</v>
      </c>
      <c r="AG1336">
        <v>0</v>
      </c>
      <c r="AH1336" t="s">
        <v>128</v>
      </c>
      <c r="AI1336" s="1">
        <v>44210.708877314813</v>
      </c>
      <c r="AJ1336">
        <v>674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38</v>
      </c>
      <c r="AQ1336">
        <v>0</v>
      </c>
      <c r="AR1336">
        <v>0</v>
      </c>
      <c r="AS1336">
        <v>0</v>
      </c>
      <c r="AT1336" t="s">
        <v>90</v>
      </c>
      <c r="AU1336" s="1">
        <v>44211.344097222223</v>
      </c>
      <c r="AV1336">
        <v>24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38</v>
      </c>
      <c r="BC1336">
        <v>0</v>
      </c>
      <c r="BD1336">
        <v>0</v>
      </c>
      <c r="BE1336">
        <v>0</v>
      </c>
    </row>
    <row r="1337" spans="1:57" x14ac:dyDescent="0.45">
      <c r="A1337" t="s">
        <v>3352</v>
      </c>
      <c r="B1337" t="s">
        <v>79</v>
      </c>
      <c r="C1337" t="s">
        <v>3353</v>
      </c>
      <c r="D1337" t="s">
        <v>81</v>
      </c>
      <c r="E1337" s="2" t="str">
        <f>HYPERLINK("capsilon://?command=openfolder&amp;siteaddress=FAM.docvelocity-na8.net&amp;folderid=FX101D6875-FD53-F997-18EC-B8182B7C7414","FX201228678")</f>
        <v>FX201228678</v>
      </c>
      <c r="F1337" t="s">
        <v>19</v>
      </c>
      <c r="G1337" t="s">
        <v>19</v>
      </c>
      <c r="H1337" t="s">
        <v>82</v>
      </c>
      <c r="I1337" t="s">
        <v>3354</v>
      </c>
      <c r="J1337">
        <v>298</v>
      </c>
      <c r="K1337" t="s">
        <v>84</v>
      </c>
      <c r="L1337" t="s">
        <v>85</v>
      </c>
      <c r="M1337" t="s">
        <v>86</v>
      </c>
      <c r="N1337">
        <v>3</v>
      </c>
      <c r="O1337" s="1">
        <v>44200.725185185183</v>
      </c>
      <c r="P1337" s="1">
        <v>44201.42863425926</v>
      </c>
      <c r="Q1337">
        <v>58883</v>
      </c>
      <c r="R1337">
        <v>1895</v>
      </c>
      <c r="S1337" t="b">
        <v>0</v>
      </c>
      <c r="T1337" t="s">
        <v>87</v>
      </c>
      <c r="U1337" t="b">
        <v>0</v>
      </c>
      <c r="V1337" t="s">
        <v>142</v>
      </c>
      <c r="W1337" s="1">
        <v>44200.863993055558</v>
      </c>
      <c r="X1337">
        <v>1382</v>
      </c>
      <c r="Y1337">
        <v>253</v>
      </c>
      <c r="Z1337">
        <v>0</v>
      </c>
      <c r="AA1337">
        <v>253</v>
      </c>
      <c r="AB1337">
        <v>0</v>
      </c>
      <c r="AC1337">
        <v>117</v>
      </c>
      <c r="AD1337">
        <v>45</v>
      </c>
      <c r="AE1337">
        <v>0</v>
      </c>
      <c r="AF1337">
        <v>0</v>
      </c>
      <c r="AG1337">
        <v>0</v>
      </c>
      <c r="AH1337" t="s">
        <v>267</v>
      </c>
      <c r="AI1337" s="1">
        <v>44200.870972222219</v>
      </c>
      <c r="AJ1337">
        <v>441</v>
      </c>
      <c r="AK1337">
        <v>3</v>
      </c>
      <c r="AL1337">
        <v>0</v>
      </c>
      <c r="AM1337">
        <v>3</v>
      </c>
      <c r="AN1337">
        <v>0</v>
      </c>
      <c r="AO1337">
        <v>2</v>
      </c>
      <c r="AP1337">
        <v>42</v>
      </c>
      <c r="AQ1337">
        <v>0</v>
      </c>
      <c r="AR1337">
        <v>0</v>
      </c>
      <c r="AS1337">
        <v>0</v>
      </c>
      <c r="AT1337" t="s">
        <v>90</v>
      </c>
      <c r="AU1337" s="1">
        <v>44201.42863425926</v>
      </c>
      <c r="AV1337">
        <v>72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42</v>
      </c>
      <c r="BC1337">
        <v>0</v>
      </c>
      <c r="BD1337">
        <v>0</v>
      </c>
      <c r="BE1337">
        <v>0</v>
      </c>
    </row>
    <row r="1338" spans="1:57" x14ac:dyDescent="0.45">
      <c r="A1338" t="s">
        <v>3355</v>
      </c>
      <c r="B1338" t="s">
        <v>79</v>
      </c>
      <c r="C1338" t="s">
        <v>3356</v>
      </c>
      <c r="D1338" t="s">
        <v>81</v>
      </c>
      <c r="E1338" s="2" t="str">
        <f>HYPERLINK("capsilon://?command=openfolder&amp;siteaddress=FAM.docvelocity-na8.net&amp;folderid=FX779766FC-C881-A70E-7709-1C93DCAA34F7","FX21016635")</f>
        <v>FX21016635</v>
      </c>
      <c r="F1338" t="s">
        <v>19</v>
      </c>
      <c r="G1338" t="s">
        <v>19</v>
      </c>
      <c r="H1338" t="s">
        <v>82</v>
      </c>
      <c r="I1338" t="s">
        <v>3357</v>
      </c>
      <c r="J1338">
        <v>192</v>
      </c>
      <c r="K1338" t="s">
        <v>84</v>
      </c>
      <c r="L1338" t="s">
        <v>85</v>
      </c>
      <c r="M1338" t="s">
        <v>86</v>
      </c>
      <c r="N1338">
        <v>3</v>
      </c>
      <c r="O1338" s="1">
        <v>44210.694016203706</v>
      </c>
      <c r="P1338" s="1">
        <v>44211.344699074078</v>
      </c>
      <c r="Q1338">
        <v>51231</v>
      </c>
      <c r="R1338">
        <v>4988</v>
      </c>
      <c r="S1338" t="b">
        <v>0</v>
      </c>
      <c r="T1338" t="s">
        <v>87</v>
      </c>
      <c r="U1338" t="b">
        <v>0</v>
      </c>
      <c r="V1338" t="s">
        <v>146</v>
      </c>
      <c r="W1338" s="1">
        <v>44210.743946759256</v>
      </c>
      <c r="X1338">
        <v>4281</v>
      </c>
      <c r="Y1338">
        <v>183</v>
      </c>
      <c r="Z1338">
        <v>0</v>
      </c>
      <c r="AA1338">
        <v>183</v>
      </c>
      <c r="AB1338">
        <v>0</v>
      </c>
      <c r="AC1338">
        <v>128</v>
      </c>
      <c r="AD1338">
        <v>9</v>
      </c>
      <c r="AE1338">
        <v>0</v>
      </c>
      <c r="AF1338">
        <v>0</v>
      </c>
      <c r="AG1338">
        <v>0</v>
      </c>
      <c r="AH1338" t="s">
        <v>128</v>
      </c>
      <c r="AI1338" s="1">
        <v>44210.751307870371</v>
      </c>
      <c r="AJ1338">
        <v>624</v>
      </c>
      <c r="AK1338">
        <v>4</v>
      </c>
      <c r="AL1338">
        <v>0</v>
      </c>
      <c r="AM1338">
        <v>4</v>
      </c>
      <c r="AN1338">
        <v>0</v>
      </c>
      <c r="AO1338">
        <v>4</v>
      </c>
      <c r="AP1338">
        <v>5</v>
      </c>
      <c r="AQ1338">
        <v>0</v>
      </c>
      <c r="AR1338">
        <v>0</v>
      </c>
      <c r="AS1338">
        <v>0</v>
      </c>
      <c r="AT1338" t="s">
        <v>90</v>
      </c>
      <c r="AU1338" s="1">
        <v>44211.344699074078</v>
      </c>
      <c r="AV1338">
        <v>52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5</v>
      </c>
      <c r="BC1338">
        <v>0</v>
      </c>
      <c r="BD1338">
        <v>0</v>
      </c>
      <c r="BE1338">
        <v>0</v>
      </c>
    </row>
    <row r="1339" spans="1:57" x14ac:dyDescent="0.45">
      <c r="A1339" t="s">
        <v>3358</v>
      </c>
      <c r="B1339" t="s">
        <v>79</v>
      </c>
      <c r="C1339" t="s">
        <v>3359</v>
      </c>
      <c r="D1339" t="s">
        <v>81</v>
      </c>
      <c r="E1339" s="2" t="str">
        <f>HYPERLINK("capsilon://?command=openfolder&amp;siteaddress=FAM.docvelocity-na8.net&amp;folderid=FX824577F8-A605-5A90-4AE7-E94FEF39F720","FX21018400")</f>
        <v>FX21018400</v>
      </c>
      <c r="F1339" t="s">
        <v>19</v>
      </c>
      <c r="G1339" t="s">
        <v>19</v>
      </c>
      <c r="H1339" t="s">
        <v>82</v>
      </c>
      <c r="I1339" t="s">
        <v>3360</v>
      </c>
      <c r="J1339">
        <v>593</v>
      </c>
      <c r="K1339" t="s">
        <v>84</v>
      </c>
      <c r="L1339" t="s">
        <v>85</v>
      </c>
      <c r="M1339" t="s">
        <v>86</v>
      </c>
      <c r="N1339">
        <v>3</v>
      </c>
      <c r="O1339" s="1">
        <v>44210.696203703701</v>
      </c>
      <c r="P1339" s="1">
        <v>44211.345046296294</v>
      </c>
      <c r="Q1339">
        <v>48980</v>
      </c>
      <c r="R1339">
        <v>7080</v>
      </c>
      <c r="S1339" t="b">
        <v>0</v>
      </c>
      <c r="T1339" t="s">
        <v>87</v>
      </c>
      <c r="U1339" t="b">
        <v>0</v>
      </c>
      <c r="V1339" t="s">
        <v>160</v>
      </c>
      <c r="W1339" s="1">
        <v>44210.767453703702</v>
      </c>
      <c r="X1339">
        <v>6155</v>
      </c>
      <c r="Y1339">
        <v>514</v>
      </c>
      <c r="Z1339">
        <v>0</v>
      </c>
      <c r="AA1339">
        <v>514</v>
      </c>
      <c r="AB1339">
        <v>0</v>
      </c>
      <c r="AC1339">
        <v>416</v>
      </c>
      <c r="AD1339">
        <v>79</v>
      </c>
      <c r="AE1339">
        <v>0</v>
      </c>
      <c r="AF1339">
        <v>0</v>
      </c>
      <c r="AG1339">
        <v>0</v>
      </c>
      <c r="AH1339" t="s">
        <v>128</v>
      </c>
      <c r="AI1339" s="1">
        <v>44210.807951388888</v>
      </c>
      <c r="AJ1339">
        <v>896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79</v>
      </c>
      <c r="AQ1339">
        <v>0</v>
      </c>
      <c r="AR1339">
        <v>0</v>
      </c>
      <c r="AS1339">
        <v>0</v>
      </c>
      <c r="AT1339" t="s">
        <v>90</v>
      </c>
      <c r="AU1339" s="1">
        <v>44211.345046296294</v>
      </c>
      <c r="AV1339">
        <v>29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79</v>
      </c>
      <c r="BC1339">
        <v>0</v>
      </c>
      <c r="BD1339">
        <v>0</v>
      </c>
      <c r="BE1339">
        <v>0</v>
      </c>
    </row>
    <row r="1340" spans="1:57" x14ac:dyDescent="0.45">
      <c r="A1340" t="s">
        <v>3361</v>
      </c>
      <c r="B1340" t="s">
        <v>79</v>
      </c>
      <c r="C1340" t="s">
        <v>2885</v>
      </c>
      <c r="D1340" t="s">
        <v>81</v>
      </c>
      <c r="E1340" s="2" t="str">
        <f>HYPERLINK("capsilon://?command=openfolder&amp;siteaddress=FAM.docvelocity-na8.net&amp;folderid=FX7A1DEE5D-8757-06BD-A283-CF1CAF6068E8","FX21017668")</f>
        <v>FX21017668</v>
      </c>
      <c r="F1340" t="s">
        <v>19</v>
      </c>
      <c r="G1340" t="s">
        <v>19</v>
      </c>
      <c r="H1340" t="s">
        <v>82</v>
      </c>
      <c r="I1340" t="s">
        <v>3362</v>
      </c>
      <c r="J1340">
        <v>66</v>
      </c>
      <c r="K1340" t="s">
        <v>84</v>
      </c>
      <c r="L1340" t="s">
        <v>85</v>
      </c>
      <c r="M1340" t="s">
        <v>86</v>
      </c>
      <c r="N1340">
        <v>3</v>
      </c>
      <c r="O1340" s="1">
        <v>44210.698518518519</v>
      </c>
      <c r="P1340" s="1">
        <v>44211.354409722226</v>
      </c>
      <c r="Q1340">
        <v>55086</v>
      </c>
      <c r="R1340">
        <v>1583</v>
      </c>
      <c r="S1340" t="b">
        <v>0</v>
      </c>
      <c r="T1340" t="s">
        <v>87</v>
      </c>
      <c r="U1340" t="b">
        <v>0</v>
      </c>
      <c r="V1340" t="s">
        <v>262</v>
      </c>
      <c r="W1340" s="1">
        <v>44210.706331018519</v>
      </c>
      <c r="X1340">
        <v>602</v>
      </c>
      <c r="Y1340">
        <v>52</v>
      </c>
      <c r="Z1340">
        <v>0</v>
      </c>
      <c r="AA1340">
        <v>52</v>
      </c>
      <c r="AB1340">
        <v>0</v>
      </c>
      <c r="AC1340">
        <v>22</v>
      </c>
      <c r="AD1340">
        <v>14</v>
      </c>
      <c r="AE1340">
        <v>0</v>
      </c>
      <c r="AF1340">
        <v>0</v>
      </c>
      <c r="AG1340">
        <v>0</v>
      </c>
      <c r="AH1340" t="s">
        <v>128</v>
      </c>
      <c r="AI1340" s="1">
        <v>44210.717800925922</v>
      </c>
      <c r="AJ1340">
        <v>172</v>
      </c>
      <c r="AK1340">
        <v>0</v>
      </c>
      <c r="AL1340">
        <v>0</v>
      </c>
      <c r="AM1340">
        <v>0</v>
      </c>
      <c r="AN1340">
        <v>0</v>
      </c>
      <c r="AO1340">
        <v>4</v>
      </c>
      <c r="AP1340">
        <v>14</v>
      </c>
      <c r="AQ1340">
        <v>0</v>
      </c>
      <c r="AR1340">
        <v>0</v>
      </c>
      <c r="AS1340">
        <v>0</v>
      </c>
      <c r="AT1340" t="s">
        <v>90</v>
      </c>
      <c r="AU1340" s="1">
        <v>44211.354409722226</v>
      </c>
      <c r="AV1340">
        <v>809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14</v>
      </c>
      <c r="BC1340">
        <v>0</v>
      </c>
      <c r="BD1340">
        <v>0</v>
      </c>
      <c r="BE1340">
        <v>0</v>
      </c>
    </row>
    <row r="1341" spans="1:57" hidden="1" x14ac:dyDescent="0.45">
      <c r="A1341" t="s">
        <v>3363</v>
      </c>
      <c r="B1341" t="s">
        <v>79</v>
      </c>
      <c r="C1341" t="s">
        <v>3364</v>
      </c>
      <c r="D1341" t="s">
        <v>81</v>
      </c>
      <c r="E1341" s="2" t="str">
        <f>HYPERLINK("capsilon://?command=openfolder&amp;siteaddress=FAM.docvelocity-na8.net&amp;folderid=FXCB50852C-CFC1-0FCE-3740-2BF26F45E418","FX20122163")</f>
        <v>FX20122163</v>
      </c>
      <c r="F1341" t="s">
        <v>19</v>
      </c>
      <c r="G1341" t="s">
        <v>19</v>
      </c>
      <c r="H1341" t="s">
        <v>82</v>
      </c>
      <c r="I1341" t="s">
        <v>3365</v>
      </c>
      <c r="J1341">
        <v>66</v>
      </c>
      <c r="K1341" t="s">
        <v>84</v>
      </c>
      <c r="L1341" t="s">
        <v>85</v>
      </c>
      <c r="M1341" t="s">
        <v>86</v>
      </c>
      <c r="N1341">
        <v>3</v>
      </c>
      <c r="O1341" s="1">
        <v>44210.698946759258</v>
      </c>
      <c r="P1341" s="1">
        <v>44211.354456018518</v>
      </c>
      <c r="Q1341">
        <v>56460</v>
      </c>
      <c r="R1341">
        <v>176</v>
      </c>
      <c r="S1341" t="b">
        <v>0</v>
      </c>
      <c r="T1341" t="s">
        <v>87</v>
      </c>
      <c r="U1341" t="b">
        <v>0</v>
      </c>
      <c r="V1341" t="s">
        <v>168</v>
      </c>
      <c r="W1341" s="1">
        <v>44210.701527777775</v>
      </c>
      <c r="X1341">
        <v>130</v>
      </c>
      <c r="Y1341">
        <v>0</v>
      </c>
      <c r="Z1341">
        <v>0</v>
      </c>
      <c r="AA1341">
        <v>0</v>
      </c>
      <c r="AB1341">
        <v>52</v>
      </c>
      <c r="AC1341">
        <v>0</v>
      </c>
      <c r="AD1341">
        <v>66</v>
      </c>
      <c r="AE1341">
        <v>0</v>
      </c>
      <c r="AF1341">
        <v>0</v>
      </c>
      <c r="AG1341">
        <v>0</v>
      </c>
      <c r="AH1341" t="s">
        <v>128</v>
      </c>
      <c r="AI1341" s="1">
        <v>44210.718298611115</v>
      </c>
      <c r="AJ1341">
        <v>42</v>
      </c>
      <c r="AK1341">
        <v>0</v>
      </c>
      <c r="AL1341">
        <v>0</v>
      </c>
      <c r="AM1341">
        <v>0</v>
      </c>
      <c r="AN1341">
        <v>52</v>
      </c>
      <c r="AO1341">
        <v>0</v>
      </c>
      <c r="AP1341">
        <v>66</v>
      </c>
      <c r="AQ1341">
        <v>0</v>
      </c>
      <c r="AR1341">
        <v>0</v>
      </c>
      <c r="AS1341">
        <v>0</v>
      </c>
      <c r="AT1341" t="s">
        <v>90</v>
      </c>
      <c r="AU1341" s="1">
        <v>44211.354456018518</v>
      </c>
      <c r="AV1341">
        <v>4</v>
      </c>
      <c r="AW1341">
        <v>0</v>
      </c>
      <c r="AX1341">
        <v>0</v>
      </c>
      <c r="AY1341">
        <v>0</v>
      </c>
      <c r="AZ1341">
        <v>52</v>
      </c>
      <c r="BA1341">
        <v>0</v>
      </c>
      <c r="BB1341">
        <v>66</v>
      </c>
      <c r="BC1341">
        <v>0</v>
      </c>
      <c r="BD1341">
        <v>0</v>
      </c>
      <c r="BE1341">
        <v>0</v>
      </c>
    </row>
    <row r="1342" spans="1:57" hidden="1" x14ac:dyDescent="0.45">
      <c r="A1342" t="s">
        <v>3366</v>
      </c>
      <c r="B1342" t="s">
        <v>79</v>
      </c>
      <c r="C1342" t="s">
        <v>1589</v>
      </c>
      <c r="D1342" t="s">
        <v>81</v>
      </c>
      <c r="E1342" s="2" t="str">
        <f>HYPERLINK("capsilon://?command=openfolder&amp;siteaddress=FAM.docvelocity-na8.net&amp;folderid=FXEF4BDE40-2363-1DA0-3827-67F4901A2E21","FX20123724")</f>
        <v>FX20123724</v>
      </c>
      <c r="F1342" t="s">
        <v>19</v>
      </c>
      <c r="G1342" t="s">
        <v>19</v>
      </c>
      <c r="H1342" t="s">
        <v>82</v>
      </c>
      <c r="I1342" t="s">
        <v>3367</v>
      </c>
      <c r="J1342">
        <v>66</v>
      </c>
      <c r="K1342" t="s">
        <v>84</v>
      </c>
      <c r="L1342" t="s">
        <v>85</v>
      </c>
      <c r="M1342" t="s">
        <v>86</v>
      </c>
      <c r="N1342">
        <v>1</v>
      </c>
      <c r="O1342" s="1">
        <v>44200.726099537038</v>
      </c>
      <c r="P1342" s="1">
        <v>44200.852303240739</v>
      </c>
      <c r="Q1342">
        <v>10815</v>
      </c>
      <c r="R1342">
        <v>89</v>
      </c>
      <c r="S1342" t="b">
        <v>0</v>
      </c>
      <c r="T1342" t="s">
        <v>87</v>
      </c>
      <c r="U1342" t="b">
        <v>0</v>
      </c>
      <c r="V1342" t="s">
        <v>266</v>
      </c>
      <c r="W1342" s="1">
        <v>44200.852303240739</v>
      </c>
      <c r="X1342">
        <v>89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66</v>
      </c>
      <c r="AE1342">
        <v>52</v>
      </c>
      <c r="AF1342">
        <v>0</v>
      </c>
      <c r="AG1342">
        <v>1</v>
      </c>
      <c r="AH1342" t="s">
        <v>87</v>
      </c>
      <c r="AI1342" t="s">
        <v>87</v>
      </c>
      <c r="AJ1342" t="s">
        <v>87</v>
      </c>
      <c r="AK1342" t="s">
        <v>87</v>
      </c>
      <c r="AL1342" t="s">
        <v>87</v>
      </c>
      <c r="AM1342" t="s">
        <v>87</v>
      </c>
      <c r="AN1342" t="s">
        <v>87</v>
      </c>
      <c r="AO1342" t="s">
        <v>87</v>
      </c>
      <c r="AP1342" t="s">
        <v>87</v>
      </c>
      <c r="AQ1342" t="s">
        <v>87</v>
      </c>
      <c r="AR1342" t="s">
        <v>87</v>
      </c>
      <c r="AS1342" t="s">
        <v>87</v>
      </c>
      <c r="AT1342" t="s">
        <v>87</v>
      </c>
      <c r="AU1342" t="s">
        <v>87</v>
      </c>
      <c r="AV1342" t="s">
        <v>87</v>
      </c>
      <c r="AW1342" t="s">
        <v>87</v>
      </c>
      <c r="AX1342" t="s">
        <v>87</v>
      </c>
      <c r="AY1342" t="s">
        <v>87</v>
      </c>
      <c r="AZ1342" t="s">
        <v>87</v>
      </c>
      <c r="BA1342" t="s">
        <v>87</v>
      </c>
      <c r="BB1342" t="s">
        <v>87</v>
      </c>
      <c r="BC1342" t="s">
        <v>87</v>
      </c>
      <c r="BD1342" t="s">
        <v>87</v>
      </c>
      <c r="BE1342" t="s">
        <v>87</v>
      </c>
    </row>
    <row r="1343" spans="1:57" x14ac:dyDescent="0.45">
      <c r="A1343" t="s">
        <v>3368</v>
      </c>
      <c r="B1343" t="s">
        <v>79</v>
      </c>
      <c r="C1343" t="s">
        <v>439</v>
      </c>
      <c r="D1343" t="s">
        <v>81</v>
      </c>
      <c r="E1343" s="2" t="str">
        <f>HYPERLINK("capsilon://?command=openfolder&amp;siteaddress=FAM.docvelocity-na8.net&amp;folderid=FX5D0A6F78-9011-AFF2-CE3C-7512CB05F010","FX201220788")</f>
        <v>FX201220788</v>
      </c>
      <c r="F1343" t="s">
        <v>19</v>
      </c>
      <c r="G1343" t="s">
        <v>19</v>
      </c>
      <c r="H1343" t="s">
        <v>82</v>
      </c>
      <c r="I1343" t="s">
        <v>3369</v>
      </c>
      <c r="J1343">
        <v>268</v>
      </c>
      <c r="K1343" t="s">
        <v>84</v>
      </c>
      <c r="L1343" t="s">
        <v>85</v>
      </c>
      <c r="M1343" t="s">
        <v>86</v>
      </c>
      <c r="N1343">
        <v>3</v>
      </c>
      <c r="O1343" s="1">
        <v>44210.714525462965</v>
      </c>
      <c r="P1343" s="1">
        <v>44211.354814814818</v>
      </c>
      <c r="Q1343">
        <v>52722</v>
      </c>
      <c r="R1343">
        <v>2599</v>
      </c>
      <c r="S1343" t="b">
        <v>0</v>
      </c>
      <c r="T1343" t="s">
        <v>87</v>
      </c>
      <c r="U1343" t="b">
        <v>0</v>
      </c>
      <c r="V1343" t="s">
        <v>179</v>
      </c>
      <c r="W1343" s="1">
        <v>44210.741550925923</v>
      </c>
      <c r="X1343">
        <v>2152</v>
      </c>
      <c r="Y1343">
        <v>161</v>
      </c>
      <c r="Z1343">
        <v>0</v>
      </c>
      <c r="AA1343">
        <v>161</v>
      </c>
      <c r="AB1343">
        <v>0</v>
      </c>
      <c r="AC1343">
        <v>87</v>
      </c>
      <c r="AD1343">
        <v>107</v>
      </c>
      <c r="AE1343">
        <v>0</v>
      </c>
      <c r="AF1343">
        <v>0</v>
      </c>
      <c r="AG1343">
        <v>0</v>
      </c>
      <c r="AH1343" t="s">
        <v>147</v>
      </c>
      <c r="AI1343" s="1">
        <v>44210.753506944442</v>
      </c>
      <c r="AJ1343">
        <v>417</v>
      </c>
      <c r="AK1343">
        <v>0</v>
      </c>
      <c r="AL1343">
        <v>0</v>
      </c>
      <c r="AM1343">
        <v>0</v>
      </c>
      <c r="AN1343">
        <v>0</v>
      </c>
      <c r="AO1343">
        <v>2</v>
      </c>
      <c r="AP1343">
        <v>107</v>
      </c>
      <c r="AQ1343">
        <v>0</v>
      </c>
      <c r="AR1343">
        <v>0</v>
      </c>
      <c r="AS1343">
        <v>0</v>
      </c>
      <c r="AT1343" t="s">
        <v>90</v>
      </c>
      <c r="AU1343" s="1">
        <v>44211.354814814818</v>
      </c>
      <c r="AV1343">
        <v>30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107</v>
      </c>
      <c r="BC1343">
        <v>0</v>
      </c>
      <c r="BD1343">
        <v>0</v>
      </c>
      <c r="BE1343">
        <v>0</v>
      </c>
    </row>
    <row r="1344" spans="1:57" hidden="1" x14ac:dyDescent="0.45">
      <c r="A1344" t="s">
        <v>3370</v>
      </c>
      <c r="B1344" t="s">
        <v>79</v>
      </c>
      <c r="C1344" t="s">
        <v>1360</v>
      </c>
      <c r="D1344" t="s">
        <v>81</v>
      </c>
      <c r="E1344" s="2" t="str">
        <f>HYPERLINK("capsilon://?command=openfolder&amp;siteaddress=FAM.docvelocity-na8.net&amp;folderid=FX1C24D772-DF79-9A8C-64E1-FBA7876A9537","FX20122688")</f>
        <v>FX20122688</v>
      </c>
      <c r="F1344" t="s">
        <v>19</v>
      </c>
      <c r="G1344" t="s">
        <v>19</v>
      </c>
      <c r="H1344" t="s">
        <v>82</v>
      </c>
      <c r="I1344" t="s">
        <v>3371</v>
      </c>
      <c r="J1344">
        <v>66</v>
      </c>
      <c r="K1344" t="s">
        <v>84</v>
      </c>
      <c r="L1344" t="s">
        <v>85</v>
      </c>
      <c r="M1344" t="s">
        <v>86</v>
      </c>
      <c r="N1344">
        <v>3</v>
      </c>
      <c r="O1344" s="1">
        <v>44210.725358796299</v>
      </c>
      <c r="P1344" s="1">
        <v>44211.354849537034</v>
      </c>
      <c r="Q1344">
        <v>54274</v>
      </c>
      <c r="R1344">
        <v>114</v>
      </c>
      <c r="S1344" t="b">
        <v>0</v>
      </c>
      <c r="T1344" t="s">
        <v>87</v>
      </c>
      <c r="U1344" t="b">
        <v>0</v>
      </c>
      <c r="V1344" t="s">
        <v>171</v>
      </c>
      <c r="W1344" s="1">
        <v>44210.726076388892</v>
      </c>
      <c r="X1344">
        <v>61</v>
      </c>
      <c r="Y1344">
        <v>0</v>
      </c>
      <c r="Z1344">
        <v>0</v>
      </c>
      <c r="AA1344">
        <v>0</v>
      </c>
      <c r="AB1344">
        <v>52</v>
      </c>
      <c r="AC1344">
        <v>0</v>
      </c>
      <c r="AD1344">
        <v>66</v>
      </c>
      <c r="AE1344">
        <v>0</v>
      </c>
      <c r="AF1344">
        <v>0</v>
      </c>
      <c r="AG1344">
        <v>0</v>
      </c>
      <c r="AH1344" t="s">
        <v>128</v>
      </c>
      <c r="AI1344" s="1">
        <v>44210.727233796293</v>
      </c>
      <c r="AJ1344">
        <v>50</v>
      </c>
      <c r="AK1344">
        <v>0</v>
      </c>
      <c r="AL1344">
        <v>0</v>
      </c>
      <c r="AM1344">
        <v>0</v>
      </c>
      <c r="AN1344">
        <v>52</v>
      </c>
      <c r="AO1344">
        <v>0</v>
      </c>
      <c r="AP1344">
        <v>66</v>
      </c>
      <c r="AQ1344">
        <v>0</v>
      </c>
      <c r="AR1344">
        <v>0</v>
      </c>
      <c r="AS1344">
        <v>0</v>
      </c>
      <c r="AT1344" t="s">
        <v>90</v>
      </c>
      <c r="AU1344" s="1">
        <v>44211.354849537034</v>
      </c>
      <c r="AV1344">
        <v>3</v>
      </c>
      <c r="AW1344">
        <v>0</v>
      </c>
      <c r="AX1344">
        <v>0</v>
      </c>
      <c r="AY1344">
        <v>0</v>
      </c>
      <c r="AZ1344">
        <v>52</v>
      </c>
      <c r="BA1344">
        <v>0</v>
      </c>
      <c r="BB1344">
        <v>66</v>
      </c>
      <c r="BC1344">
        <v>0</v>
      </c>
      <c r="BD1344">
        <v>0</v>
      </c>
      <c r="BE1344">
        <v>0</v>
      </c>
    </row>
    <row r="1345" spans="1:57" x14ac:dyDescent="0.45">
      <c r="A1345" t="s">
        <v>3372</v>
      </c>
      <c r="B1345" t="s">
        <v>79</v>
      </c>
      <c r="C1345" t="s">
        <v>297</v>
      </c>
      <c r="D1345" t="s">
        <v>81</v>
      </c>
      <c r="E1345" s="2" t="str">
        <f>HYPERLINK("capsilon://?command=openfolder&amp;siteaddress=FAM.docvelocity-na8.net&amp;folderid=FX2479CCCD-400C-6FBA-D49B-1C32E065F806","FX2012244")</f>
        <v>FX2012244</v>
      </c>
      <c r="F1345" t="s">
        <v>19</v>
      </c>
      <c r="G1345" t="s">
        <v>19</v>
      </c>
      <c r="H1345" t="s">
        <v>82</v>
      </c>
      <c r="I1345" t="s">
        <v>3373</v>
      </c>
      <c r="J1345">
        <v>38</v>
      </c>
      <c r="K1345" t="s">
        <v>84</v>
      </c>
      <c r="L1345" t="s">
        <v>85</v>
      </c>
      <c r="M1345" t="s">
        <v>86</v>
      </c>
      <c r="N1345">
        <v>3</v>
      </c>
      <c r="O1345" s="1">
        <v>44210.737557870372</v>
      </c>
      <c r="P1345" s="1">
        <v>44211.354907407411</v>
      </c>
      <c r="Q1345">
        <v>52713</v>
      </c>
      <c r="R1345">
        <v>626</v>
      </c>
      <c r="S1345" t="b">
        <v>0</v>
      </c>
      <c r="T1345" t="s">
        <v>87</v>
      </c>
      <c r="U1345" t="b">
        <v>0</v>
      </c>
      <c r="V1345" t="s">
        <v>171</v>
      </c>
      <c r="W1345" s="1">
        <v>44210.743252314816</v>
      </c>
      <c r="X1345">
        <v>491</v>
      </c>
      <c r="Y1345">
        <v>37</v>
      </c>
      <c r="Z1345">
        <v>0</v>
      </c>
      <c r="AA1345">
        <v>37</v>
      </c>
      <c r="AB1345">
        <v>0</v>
      </c>
      <c r="AC1345">
        <v>12</v>
      </c>
      <c r="AD1345">
        <v>1</v>
      </c>
      <c r="AE1345">
        <v>0</v>
      </c>
      <c r="AF1345">
        <v>0</v>
      </c>
      <c r="AG1345">
        <v>0</v>
      </c>
      <c r="AH1345" t="s">
        <v>128</v>
      </c>
      <c r="AI1345" s="1">
        <v>44210.752835648149</v>
      </c>
      <c r="AJ1345">
        <v>131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 t="s">
        <v>90</v>
      </c>
      <c r="AU1345" s="1">
        <v>44211.354907407411</v>
      </c>
      <c r="AV1345">
        <v>4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</row>
    <row r="1346" spans="1:57" x14ac:dyDescent="0.45">
      <c r="A1346" t="s">
        <v>3374</v>
      </c>
      <c r="B1346" t="s">
        <v>79</v>
      </c>
      <c r="C1346" t="s">
        <v>690</v>
      </c>
      <c r="D1346" t="s">
        <v>81</v>
      </c>
      <c r="E1346" s="2" t="str">
        <f>HYPERLINK("capsilon://?command=openfolder&amp;siteaddress=FAM.docvelocity-na8.net&amp;folderid=FX4251DFEF-6A7A-1F32-6E0F-4C8AE9C5F515","FX201227021")</f>
        <v>FX201227021</v>
      </c>
      <c r="F1346" t="s">
        <v>19</v>
      </c>
      <c r="G1346" t="s">
        <v>19</v>
      </c>
      <c r="H1346" t="s">
        <v>82</v>
      </c>
      <c r="I1346" t="s">
        <v>3375</v>
      </c>
      <c r="J1346">
        <v>38</v>
      </c>
      <c r="K1346" t="s">
        <v>84</v>
      </c>
      <c r="L1346" t="s">
        <v>85</v>
      </c>
      <c r="M1346" t="s">
        <v>86</v>
      </c>
      <c r="N1346">
        <v>3</v>
      </c>
      <c r="O1346" s="1">
        <v>44210.737696759257</v>
      </c>
      <c r="P1346" s="1">
        <v>44211.355000000003</v>
      </c>
      <c r="Q1346">
        <v>52238</v>
      </c>
      <c r="R1346">
        <v>1097</v>
      </c>
      <c r="S1346" t="b">
        <v>0</v>
      </c>
      <c r="T1346" t="s">
        <v>87</v>
      </c>
      <c r="U1346" t="b">
        <v>0</v>
      </c>
      <c r="V1346" t="s">
        <v>168</v>
      </c>
      <c r="W1346" s="1">
        <v>44210.748773148145</v>
      </c>
      <c r="X1346">
        <v>956</v>
      </c>
      <c r="Y1346">
        <v>37</v>
      </c>
      <c r="Z1346">
        <v>0</v>
      </c>
      <c r="AA1346">
        <v>37</v>
      </c>
      <c r="AB1346">
        <v>0</v>
      </c>
      <c r="AC1346">
        <v>34</v>
      </c>
      <c r="AD1346">
        <v>1</v>
      </c>
      <c r="AE1346">
        <v>0</v>
      </c>
      <c r="AF1346">
        <v>0</v>
      </c>
      <c r="AG1346">
        <v>0</v>
      </c>
      <c r="AH1346" t="s">
        <v>128</v>
      </c>
      <c r="AI1346" s="1">
        <v>44210.75439814815</v>
      </c>
      <c r="AJ1346">
        <v>134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 t="s">
        <v>90</v>
      </c>
      <c r="AU1346" s="1">
        <v>44211.355000000003</v>
      </c>
      <c r="AV1346">
        <v>7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</row>
    <row r="1347" spans="1:57" x14ac:dyDescent="0.45">
      <c r="A1347" t="s">
        <v>3376</v>
      </c>
      <c r="B1347" t="s">
        <v>79</v>
      </c>
      <c r="C1347" t="s">
        <v>1599</v>
      </c>
      <c r="D1347" t="s">
        <v>81</v>
      </c>
      <c r="E1347" s="2" t="str">
        <f>HYPERLINK("capsilon://?command=openfolder&amp;siteaddress=FAM.docvelocity-na8.net&amp;folderid=FX1AB0EAE9-29C1-E14A-0FBC-B85B5289BE22","FX201227807")</f>
        <v>FX201227807</v>
      </c>
      <c r="F1347" t="s">
        <v>19</v>
      </c>
      <c r="G1347" t="s">
        <v>19</v>
      </c>
      <c r="H1347" t="s">
        <v>82</v>
      </c>
      <c r="I1347" t="s">
        <v>3377</v>
      </c>
      <c r="J1347">
        <v>26</v>
      </c>
      <c r="K1347" t="s">
        <v>84</v>
      </c>
      <c r="L1347" t="s">
        <v>85</v>
      </c>
      <c r="M1347" t="s">
        <v>86</v>
      </c>
      <c r="N1347">
        <v>3</v>
      </c>
      <c r="O1347" s="1">
        <v>44200.729930555557</v>
      </c>
      <c r="P1347" s="1">
        <v>44201.428703703707</v>
      </c>
      <c r="Q1347">
        <v>60163</v>
      </c>
      <c r="R1347">
        <v>211</v>
      </c>
      <c r="S1347" t="b">
        <v>0</v>
      </c>
      <c r="T1347" t="s">
        <v>87</v>
      </c>
      <c r="U1347" t="b">
        <v>0</v>
      </c>
      <c r="V1347" t="s">
        <v>266</v>
      </c>
      <c r="W1347" s="1">
        <v>44200.858634259261</v>
      </c>
      <c r="X1347">
        <v>127</v>
      </c>
      <c r="Y1347">
        <v>21</v>
      </c>
      <c r="Z1347">
        <v>0</v>
      </c>
      <c r="AA1347">
        <v>21</v>
      </c>
      <c r="AB1347">
        <v>0</v>
      </c>
      <c r="AC1347">
        <v>1</v>
      </c>
      <c r="AD1347">
        <v>5</v>
      </c>
      <c r="AE1347">
        <v>0</v>
      </c>
      <c r="AF1347">
        <v>0</v>
      </c>
      <c r="AG1347">
        <v>0</v>
      </c>
      <c r="AH1347" t="s">
        <v>267</v>
      </c>
      <c r="AI1347" s="1">
        <v>44200.859606481485</v>
      </c>
      <c r="AJ1347">
        <v>79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5</v>
      </c>
      <c r="AQ1347">
        <v>0</v>
      </c>
      <c r="AR1347">
        <v>0</v>
      </c>
      <c r="AS1347">
        <v>0</v>
      </c>
      <c r="AT1347" t="s">
        <v>90</v>
      </c>
      <c r="AU1347" s="1">
        <v>44201.428703703707</v>
      </c>
      <c r="AV1347">
        <v>5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5</v>
      </c>
      <c r="BC1347">
        <v>0</v>
      </c>
      <c r="BD1347">
        <v>0</v>
      </c>
      <c r="BE1347">
        <v>0</v>
      </c>
    </row>
    <row r="1348" spans="1:57" x14ac:dyDescent="0.45">
      <c r="A1348" t="s">
        <v>3378</v>
      </c>
      <c r="B1348" t="s">
        <v>79</v>
      </c>
      <c r="C1348" t="s">
        <v>3379</v>
      </c>
      <c r="D1348" t="s">
        <v>81</v>
      </c>
      <c r="E1348" s="2" t="str">
        <f>HYPERLINK("capsilon://?command=openfolder&amp;siteaddress=FAM.docvelocity-na8.net&amp;folderid=FX057E4F73-B452-F16B-9322-EFC9AD8A0A9D","FX201224951")</f>
        <v>FX201224951</v>
      </c>
      <c r="F1348" t="s">
        <v>19</v>
      </c>
      <c r="G1348" t="s">
        <v>19</v>
      </c>
      <c r="H1348" t="s">
        <v>82</v>
      </c>
      <c r="I1348" t="s">
        <v>3380</v>
      </c>
      <c r="J1348">
        <v>31</v>
      </c>
      <c r="K1348" t="s">
        <v>84</v>
      </c>
      <c r="L1348" t="s">
        <v>85</v>
      </c>
      <c r="M1348" t="s">
        <v>86</v>
      </c>
      <c r="N1348">
        <v>3</v>
      </c>
      <c r="O1348" s="1">
        <v>44210.753148148149</v>
      </c>
      <c r="P1348" s="1">
        <v>44211.355358796296</v>
      </c>
      <c r="Q1348">
        <v>49370</v>
      </c>
      <c r="R1348">
        <v>2661</v>
      </c>
      <c r="S1348" t="b">
        <v>0</v>
      </c>
      <c r="T1348" t="s">
        <v>87</v>
      </c>
      <c r="U1348" t="b">
        <v>0</v>
      </c>
      <c r="V1348" t="s">
        <v>179</v>
      </c>
      <c r="W1348" s="1">
        <v>44210.77747685185</v>
      </c>
      <c r="X1348">
        <v>2102</v>
      </c>
      <c r="Y1348">
        <v>38</v>
      </c>
      <c r="Z1348">
        <v>0</v>
      </c>
      <c r="AA1348">
        <v>38</v>
      </c>
      <c r="AB1348">
        <v>0</v>
      </c>
      <c r="AC1348">
        <v>36</v>
      </c>
      <c r="AD1348">
        <v>-7</v>
      </c>
      <c r="AE1348">
        <v>0</v>
      </c>
      <c r="AF1348">
        <v>0</v>
      </c>
      <c r="AG1348">
        <v>0</v>
      </c>
      <c r="AH1348" t="s">
        <v>147</v>
      </c>
      <c r="AI1348" s="1">
        <v>44210.805393518516</v>
      </c>
      <c r="AJ1348">
        <v>528</v>
      </c>
      <c r="AK1348">
        <v>3</v>
      </c>
      <c r="AL1348">
        <v>0</v>
      </c>
      <c r="AM1348">
        <v>3</v>
      </c>
      <c r="AN1348">
        <v>0</v>
      </c>
      <c r="AO1348">
        <v>3</v>
      </c>
      <c r="AP1348">
        <v>-10</v>
      </c>
      <c r="AQ1348">
        <v>0</v>
      </c>
      <c r="AR1348">
        <v>0</v>
      </c>
      <c r="AS1348">
        <v>0</v>
      </c>
      <c r="AT1348" t="s">
        <v>90</v>
      </c>
      <c r="AU1348" s="1">
        <v>44211.355358796296</v>
      </c>
      <c r="AV1348">
        <v>31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-10</v>
      </c>
      <c r="BC1348">
        <v>0</v>
      </c>
      <c r="BD1348">
        <v>0</v>
      </c>
      <c r="BE1348">
        <v>0</v>
      </c>
    </row>
    <row r="1349" spans="1:57" x14ac:dyDescent="0.45">
      <c r="A1349" t="s">
        <v>3381</v>
      </c>
      <c r="B1349" t="s">
        <v>79</v>
      </c>
      <c r="C1349" t="s">
        <v>3379</v>
      </c>
      <c r="D1349" t="s">
        <v>81</v>
      </c>
      <c r="E1349" s="2" t="str">
        <f>HYPERLINK("capsilon://?command=openfolder&amp;siteaddress=FAM.docvelocity-na8.net&amp;folderid=FX057E4F73-B452-F16B-9322-EFC9AD8A0A9D","FX201224951")</f>
        <v>FX201224951</v>
      </c>
      <c r="F1349" t="s">
        <v>19</v>
      </c>
      <c r="G1349" t="s">
        <v>19</v>
      </c>
      <c r="H1349" t="s">
        <v>82</v>
      </c>
      <c r="I1349" t="s">
        <v>3382</v>
      </c>
      <c r="J1349">
        <v>31</v>
      </c>
      <c r="K1349" t="s">
        <v>84</v>
      </c>
      <c r="L1349" t="s">
        <v>85</v>
      </c>
      <c r="M1349" t="s">
        <v>86</v>
      </c>
      <c r="N1349">
        <v>3</v>
      </c>
      <c r="O1349" s="1">
        <v>44210.75439814815</v>
      </c>
      <c r="P1349" s="1">
        <v>44211.355462962965</v>
      </c>
      <c r="Q1349">
        <v>50071</v>
      </c>
      <c r="R1349">
        <v>1861</v>
      </c>
      <c r="S1349" t="b">
        <v>0</v>
      </c>
      <c r="T1349" t="s">
        <v>87</v>
      </c>
      <c r="U1349" t="b">
        <v>0</v>
      </c>
      <c r="V1349" t="s">
        <v>171</v>
      </c>
      <c r="W1349" s="1">
        <v>44210.774247685185</v>
      </c>
      <c r="X1349">
        <v>1714</v>
      </c>
      <c r="Y1349">
        <v>38</v>
      </c>
      <c r="Z1349">
        <v>0</v>
      </c>
      <c r="AA1349">
        <v>38</v>
      </c>
      <c r="AB1349">
        <v>0</v>
      </c>
      <c r="AC1349">
        <v>31</v>
      </c>
      <c r="AD1349">
        <v>-7</v>
      </c>
      <c r="AE1349">
        <v>0</v>
      </c>
      <c r="AF1349">
        <v>0</v>
      </c>
      <c r="AG1349">
        <v>0</v>
      </c>
      <c r="AH1349" t="s">
        <v>132</v>
      </c>
      <c r="AI1349" s="1">
        <v>44210.801469907405</v>
      </c>
      <c r="AJ1349">
        <v>97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-7</v>
      </c>
      <c r="AQ1349">
        <v>0</v>
      </c>
      <c r="AR1349">
        <v>0</v>
      </c>
      <c r="AS1349">
        <v>0</v>
      </c>
      <c r="AT1349" t="s">
        <v>90</v>
      </c>
      <c r="AU1349" s="1">
        <v>44211.355462962965</v>
      </c>
      <c r="AV1349">
        <v>8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-7</v>
      </c>
      <c r="BC1349">
        <v>0</v>
      </c>
      <c r="BD1349">
        <v>0</v>
      </c>
      <c r="BE1349">
        <v>0</v>
      </c>
    </row>
    <row r="1350" spans="1:57" x14ac:dyDescent="0.45">
      <c r="A1350" t="s">
        <v>3383</v>
      </c>
      <c r="B1350" t="s">
        <v>79</v>
      </c>
      <c r="C1350" t="s">
        <v>1599</v>
      </c>
      <c r="D1350" t="s">
        <v>81</v>
      </c>
      <c r="E1350" s="2" t="str">
        <f>HYPERLINK("capsilon://?command=openfolder&amp;siteaddress=FAM.docvelocity-na8.net&amp;folderid=FX1AB0EAE9-29C1-E14A-0FBC-B85B5289BE22","FX201227807")</f>
        <v>FX201227807</v>
      </c>
      <c r="F1350" t="s">
        <v>19</v>
      </c>
      <c r="G1350" t="s">
        <v>19</v>
      </c>
      <c r="H1350" t="s">
        <v>82</v>
      </c>
      <c r="I1350" t="s">
        <v>3384</v>
      </c>
      <c r="J1350">
        <v>26</v>
      </c>
      <c r="K1350" t="s">
        <v>84</v>
      </c>
      <c r="L1350" t="s">
        <v>85</v>
      </c>
      <c r="M1350" t="s">
        <v>86</v>
      </c>
      <c r="N1350">
        <v>3</v>
      </c>
      <c r="O1350" s="1">
        <v>44200.730995370373</v>
      </c>
      <c r="P1350" s="1">
        <v>44201.428761574076</v>
      </c>
      <c r="Q1350">
        <v>60106</v>
      </c>
      <c r="R1350">
        <v>181</v>
      </c>
      <c r="S1350" t="b">
        <v>0</v>
      </c>
      <c r="T1350" t="s">
        <v>87</v>
      </c>
      <c r="U1350" t="b">
        <v>0</v>
      </c>
      <c r="V1350" t="s">
        <v>266</v>
      </c>
      <c r="W1350" s="1">
        <v>44200.859884259262</v>
      </c>
      <c r="X1350">
        <v>108</v>
      </c>
      <c r="Y1350">
        <v>21</v>
      </c>
      <c r="Z1350">
        <v>0</v>
      </c>
      <c r="AA1350">
        <v>21</v>
      </c>
      <c r="AB1350">
        <v>0</v>
      </c>
      <c r="AC1350">
        <v>1</v>
      </c>
      <c r="AD1350">
        <v>5</v>
      </c>
      <c r="AE1350">
        <v>0</v>
      </c>
      <c r="AF1350">
        <v>0</v>
      </c>
      <c r="AG1350">
        <v>0</v>
      </c>
      <c r="AH1350" t="s">
        <v>267</v>
      </c>
      <c r="AI1350" s="1">
        <v>44200.86074074074</v>
      </c>
      <c r="AJ1350">
        <v>68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5</v>
      </c>
      <c r="AQ1350">
        <v>0</v>
      </c>
      <c r="AR1350">
        <v>0</v>
      </c>
      <c r="AS1350">
        <v>0</v>
      </c>
      <c r="AT1350" t="s">
        <v>90</v>
      </c>
      <c r="AU1350" s="1">
        <v>44201.428761574076</v>
      </c>
      <c r="AV1350">
        <v>5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5</v>
      </c>
      <c r="BC1350">
        <v>0</v>
      </c>
      <c r="BD1350">
        <v>0</v>
      </c>
      <c r="BE1350">
        <v>0</v>
      </c>
    </row>
    <row r="1351" spans="1:57" x14ac:dyDescent="0.45">
      <c r="A1351" t="s">
        <v>3385</v>
      </c>
      <c r="B1351" t="s">
        <v>79</v>
      </c>
      <c r="C1351" t="s">
        <v>3379</v>
      </c>
      <c r="D1351" t="s">
        <v>81</v>
      </c>
      <c r="E1351" s="2" t="str">
        <f>HYPERLINK("capsilon://?command=openfolder&amp;siteaddress=FAM.docvelocity-na8.net&amp;folderid=FX057E4F73-B452-F16B-9322-EFC9AD8A0A9D","FX201224951")</f>
        <v>FX201224951</v>
      </c>
      <c r="F1351" t="s">
        <v>19</v>
      </c>
      <c r="G1351" t="s">
        <v>19</v>
      </c>
      <c r="H1351" t="s">
        <v>82</v>
      </c>
      <c r="I1351" t="s">
        <v>3386</v>
      </c>
      <c r="J1351">
        <v>26</v>
      </c>
      <c r="K1351" t="s">
        <v>84</v>
      </c>
      <c r="L1351" t="s">
        <v>85</v>
      </c>
      <c r="M1351" t="s">
        <v>86</v>
      </c>
      <c r="N1351">
        <v>3</v>
      </c>
      <c r="O1351" s="1">
        <v>44210.762118055558</v>
      </c>
      <c r="P1351" s="1">
        <v>44211.355497685188</v>
      </c>
      <c r="Q1351">
        <v>49901</v>
      </c>
      <c r="R1351">
        <v>1367</v>
      </c>
      <c r="S1351" t="b">
        <v>0</v>
      </c>
      <c r="T1351" t="s">
        <v>87</v>
      </c>
      <c r="U1351" t="b">
        <v>0</v>
      </c>
      <c r="V1351" t="s">
        <v>146</v>
      </c>
      <c r="W1351" s="1">
        <v>44210.777581018519</v>
      </c>
      <c r="X1351">
        <v>1335</v>
      </c>
      <c r="Y1351">
        <v>21</v>
      </c>
      <c r="Z1351">
        <v>0</v>
      </c>
      <c r="AA1351">
        <v>21</v>
      </c>
      <c r="AB1351">
        <v>21</v>
      </c>
      <c r="AC1351">
        <v>20</v>
      </c>
      <c r="AD1351">
        <v>5</v>
      </c>
      <c r="AE1351">
        <v>0</v>
      </c>
      <c r="AF1351">
        <v>0</v>
      </c>
      <c r="AG1351">
        <v>0</v>
      </c>
      <c r="AH1351" t="s">
        <v>132</v>
      </c>
      <c r="AI1351" s="1">
        <v>44210.801805555559</v>
      </c>
      <c r="AJ1351">
        <v>29</v>
      </c>
      <c r="AK1351">
        <v>0</v>
      </c>
      <c r="AL1351">
        <v>0</v>
      </c>
      <c r="AM1351">
        <v>0</v>
      </c>
      <c r="AN1351">
        <v>21</v>
      </c>
      <c r="AO1351">
        <v>0</v>
      </c>
      <c r="AP1351">
        <v>5</v>
      </c>
      <c r="AQ1351">
        <v>0</v>
      </c>
      <c r="AR1351">
        <v>0</v>
      </c>
      <c r="AS1351">
        <v>0</v>
      </c>
      <c r="AT1351" t="s">
        <v>90</v>
      </c>
      <c r="AU1351" s="1">
        <v>44211.355497685188</v>
      </c>
      <c r="AV1351">
        <v>3</v>
      </c>
      <c r="AW1351">
        <v>0</v>
      </c>
      <c r="AX1351">
        <v>0</v>
      </c>
      <c r="AY1351">
        <v>0</v>
      </c>
      <c r="AZ1351">
        <v>21</v>
      </c>
      <c r="BA1351">
        <v>0</v>
      </c>
      <c r="BB1351">
        <v>5</v>
      </c>
      <c r="BC1351">
        <v>0</v>
      </c>
      <c r="BD1351">
        <v>0</v>
      </c>
      <c r="BE1351">
        <v>0</v>
      </c>
    </row>
    <row r="1352" spans="1:57" x14ac:dyDescent="0.45">
      <c r="A1352" t="s">
        <v>3387</v>
      </c>
      <c r="B1352" t="s">
        <v>79</v>
      </c>
      <c r="C1352" t="s">
        <v>3379</v>
      </c>
      <c r="D1352" t="s">
        <v>81</v>
      </c>
      <c r="E1352" s="2" t="str">
        <f>HYPERLINK("capsilon://?command=openfolder&amp;siteaddress=FAM.docvelocity-na8.net&amp;folderid=FX057E4F73-B452-F16B-9322-EFC9AD8A0A9D","FX201224951")</f>
        <v>FX201224951</v>
      </c>
      <c r="F1352" t="s">
        <v>19</v>
      </c>
      <c r="G1352" t="s">
        <v>19</v>
      </c>
      <c r="H1352" t="s">
        <v>82</v>
      </c>
      <c r="I1352" t="s">
        <v>3388</v>
      </c>
      <c r="J1352">
        <v>26</v>
      </c>
      <c r="K1352" t="s">
        <v>84</v>
      </c>
      <c r="L1352" t="s">
        <v>85</v>
      </c>
      <c r="M1352" t="s">
        <v>86</v>
      </c>
      <c r="N1352">
        <v>3</v>
      </c>
      <c r="O1352" s="1">
        <v>44210.763923611114</v>
      </c>
      <c r="P1352" s="1">
        <v>44211.355555555558</v>
      </c>
      <c r="Q1352">
        <v>49995</v>
      </c>
      <c r="R1352">
        <v>1122</v>
      </c>
      <c r="S1352" t="b">
        <v>0</v>
      </c>
      <c r="T1352" t="s">
        <v>87</v>
      </c>
      <c r="U1352" t="b">
        <v>0</v>
      </c>
      <c r="V1352" t="s">
        <v>168</v>
      </c>
      <c r="W1352" s="1">
        <v>44210.776099537034</v>
      </c>
      <c r="X1352">
        <v>1051</v>
      </c>
      <c r="Y1352">
        <v>21</v>
      </c>
      <c r="Z1352">
        <v>0</v>
      </c>
      <c r="AA1352">
        <v>21</v>
      </c>
      <c r="AB1352">
        <v>0</v>
      </c>
      <c r="AC1352">
        <v>6</v>
      </c>
      <c r="AD1352">
        <v>5</v>
      </c>
      <c r="AE1352">
        <v>0</v>
      </c>
      <c r="AF1352">
        <v>0</v>
      </c>
      <c r="AG1352">
        <v>0</v>
      </c>
      <c r="AH1352" t="s">
        <v>132</v>
      </c>
      <c r="AI1352" s="1">
        <v>44210.802581018521</v>
      </c>
      <c r="AJ1352">
        <v>67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5</v>
      </c>
      <c r="AQ1352">
        <v>0</v>
      </c>
      <c r="AR1352">
        <v>0</v>
      </c>
      <c r="AS1352">
        <v>0</v>
      </c>
      <c r="AT1352" t="s">
        <v>90</v>
      </c>
      <c r="AU1352" s="1">
        <v>44211.355555555558</v>
      </c>
      <c r="AV1352">
        <v>4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5</v>
      </c>
      <c r="BC1352">
        <v>0</v>
      </c>
      <c r="BD1352">
        <v>0</v>
      </c>
      <c r="BE1352">
        <v>0</v>
      </c>
    </row>
    <row r="1353" spans="1:57" hidden="1" x14ac:dyDescent="0.45">
      <c r="A1353" t="s">
        <v>3389</v>
      </c>
      <c r="B1353" t="s">
        <v>79</v>
      </c>
      <c r="C1353" t="s">
        <v>3390</v>
      </c>
      <c r="D1353" t="s">
        <v>81</v>
      </c>
      <c r="E1353" s="2" t="str">
        <f>HYPERLINK("capsilon://?command=openfolder&amp;siteaddress=FAM.docvelocity-na8.net&amp;folderid=FX470CC8BF-171E-DD96-86A3-EBA9C3B49B23","FX201222099")</f>
        <v>FX201222099</v>
      </c>
      <c r="F1353" t="s">
        <v>19</v>
      </c>
      <c r="G1353" t="s">
        <v>19</v>
      </c>
      <c r="H1353" t="s">
        <v>82</v>
      </c>
      <c r="I1353" t="s">
        <v>3391</v>
      </c>
      <c r="J1353">
        <v>109</v>
      </c>
      <c r="K1353" t="s">
        <v>84</v>
      </c>
      <c r="L1353" t="s">
        <v>85</v>
      </c>
      <c r="M1353" t="s">
        <v>86</v>
      </c>
      <c r="N1353">
        <v>1</v>
      </c>
      <c r="O1353" s="1">
        <v>44210.85528935185</v>
      </c>
      <c r="P1353" s="1">
        <v>44211.145902777775</v>
      </c>
      <c r="Q1353">
        <v>24966</v>
      </c>
      <c r="R1353">
        <v>143</v>
      </c>
      <c r="S1353" t="b">
        <v>0</v>
      </c>
      <c r="T1353" t="s">
        <v>87</v>
      </c>
      <c r="U1353" t="b">
        <v>0</v>
      </c>
      <c r="V1353" t="s">
        <v>1418</v>
      </c>
      <c r="W1353" s="1">
        <v>44211.145902777775</v>
      </c>
      <c r="X1353">
        <v>143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109</v>
      </c>
      <c r="AE1353">
        <v>105</v>
      </c>
      <c r="AF1353">
        <v>0</v>
      </c>
      <c r="AG1353">
        <v>2</v>
      </c>
      <c r="AH1353" t="s">
        <v>87</v>
      </c>
      <c r="AI1353" t="s">
        <v>87</v>
      </c>
      <c r="AJ1353" t="s">
        <v>87</v>
      </c>
      <c r="AK1353" t="s">
        <v>87</v>
      </c>
      <c r="AL1353" t="s">
        <v>87</v>
      </c>
      <c r="AM1353" t="s">
        <v>87</v>
      </c>
      <c r="AN1353" t="s">
        <v>87</v>
      </c>
      <c r="AO1353" t="s">
        <v>87</v>
      </c>
      <c r="AP1353" t="s">
        <v>87</v>
      </c>
      <c r="AQ1353" t="s">
        <v>87</v>
      </c>
      <c r="AR1353" t="s">
        <v>87</v>
      </c>
      <c r="AS1353" t="s">
        <v>87</v>
      </c>
      <c r="AT1353" t="s">
        <v>87</v>
      </c>
      <c r="AU1353" t="s">
        <v>87</v>
      </c>
      <c r="AV1353" t="s">
        <v>87</v>
      </c>
      <c r="AW1353" t="s">
        <v>87</v>
      </c>
      <c r="AX1353" t="s">
        <v>87</v>
      </c>
      <c r="AY1353" t="s">
        <v>87</v>
      </c>
      <c r="AZ1353" t="s">
        <v>87</v>
      </c>
      <c r="BA1353" t="s">
        <v>87</v>
      </c>
      <c r="BB1353" t="s">
        <v>87</v>
      </c>
      <c r="BC1353" t="s">
        <v>87</v>
      </c>
      <c r="BD1353" t="s">
        <v>87</v>
      </c>
      <c r="BE1353" t="s">
        <v>87</v>
      </c>
    </row>
    <row r="1354" spans="1:57" x14ac:dyDescent="0.45">
      <c r="A1354" t="s">
        <v>3392</v>
      </c>
      <c r="B1354" t="s">
        <v>79</v>
      </c>
      <c r="C1354" t="s">
        <v>1599</v>
      </c>
      <c r="D1354" t="s">
        <v>81</v>
      </c>
      <c r="E1354" s="2" t="str">
        <f>HYPERLINK("capsilon://?command=openfolder&amp;siteaddress=FAM.docvelocity-na8.net&amp;folderid=FX1AB0EAE9-29C1-E14A-0FBC-B85B5289BE22","FX201227807")</f>
        <v>FX201227807</v>
      </c>
      <c r="F1354" t="s">
        <v>19</v>
      </c>
      <c r="G1354" t="s">
        <v>19</v>
      </c>
      <c r="H1354" t="s">
        <v>82</v>
      </c>
      <c r="I1354" t="s">
        <v>3393</v>
      </c>
      <c r="J1354">
        <v>66</v>
      </c>
      <c r="K1354" t="s">
        <v>84</v>
      </c>
      <c r="L1354" t="s">
        <v>85</v>
      </c>
      <c r="M1354" t="s">
        <v>86</v>
      </c>
      <c r="N1354">
        <v>3</v>
      </c>
      <c r="O1354" s="1">
        <v>44200.737511574072</v>
      </c>
      <c r="P1354" s="1">
        <v>44201.430497685185</v>
      </c>
      <c r="Q1354">
        <v>59408</v>
      </c>
      <c r="R1354">
        <v>466</v>
      </c>
      <c r="S1354" t="b">
        <v>0</v>
      </c>
      <c r="T1354" t="s">
        <v>87</v>
      </c>
      <c r="U1354" t="b">
        <v>0</v>
      </c>
      <c r="V1354" t="s">
        <v>266</v>
      </c>
      <c r="W1354" s="1">
        <v>44200.862523148149</v>
      </c>
      <c r="X1354">
        <v>227</v>
      </c>
      <c r="Y1354">
        <v>52</v>
      </c>
      <c r="Z1354">
        <v>0</v>
      </c>
      <c r="AA1354">
        <v>52</v>
      </c>
      <c r="AB1354">
        <v>0</v>
      </c>
      <c r="AC1354">
        <v>25</v>
      </c>
      <c r="AD1354">
        <v>14</v>
      </c>
      <c r="AE1354">
        <v>0</v>
      </c>
      <c r="AF1354">
        <v>0</v>
      </c>
      <c r="AG1354">
        <v>0</v>
      </c>
      <c r="AH1354" t="s">
        <v>267</v>
      </c>
      <c r="AI1354" s="1">
        <v>44200.863668981481</v>
      </c>
      <c r="AJ1354">
        <v>89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14</v>
      </c>
      <c r="AQ1354">
        <v>0</v>
      </c>
      <c r="AR1354">
        <v>0</v>
      </c>
      <c r="AS1354">
        <v>0</v>
      </c>
      <c r="AT1354" t="s">
        <v>90</v>
      </c>
      <c r="AU1354" s="1">
        <v>44201.430497685185</v>
      </c>
      <c r="AV1354">
        <v>150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14</v>
      </c>
      <c r="BC1354">
        <v>0</v>
      </c>
      <c r="BD1354">
        <v>0</v>
      </c>
      <c r="BE1354">
        <v>0</v>
      </c>
    </row>
    <row r="1355" spans="1:57" x14ac:dyDescent="0.45">
      <c r="A1355" t="s">
        <v>3394</v>
      </c>
      <c r="B1355" t="s">
        <v>79</v>
      </c>
      <c r="C1355" t="s">
        <v>2052</v>
      </c>
      <c r="D1355" t="s">
        <v>81</v>
      </c>
      <c r="E1355" s="2" t="str">
        <f>HYPERLINK("capsilon://?command=openfolder&amp;siteaddress=FAM.docvelocity-na8.net&amp;folderid=FX10928785-14AF-1A43-3A68-B0B358F4B31E","FX201228472")</f>
        <v>FX201228472</v>
      </c>
      <c r="F1355" t="s">
        <v>19</v>
      </c>
      <c r="G1355" t="s">
        <v>19</v>
      </c>
      <c r="H1355" t="s">
        <v>82</v>
      </c>
      <c r="I1355" t="s">
        <v>3395</v>
      </c>
      <c r="J1355">
        <v>66</v>
      </c>
      <c r="K1355" t="s">
        <v>84</v>
      </c>
      <c r="L1355" t="s">
        <v>85</v>
      </c>
      <c r="M1355" t="s">
        <v>86</v>
      </c>
      <c r="N1355">
        <v>3</v>
      </c>
      <c r="O1355" s="1">
        <v>44200.73809027778</v>
      </c>
      <c r="P1355" s="1">
        <v>44201.431250000001</v>
      </c>
      <c r="Q1355">
        <v>59341</v>
      </c>
      <c r="R1355">
        <v>548</v>
      </c>
      <c r="S1355" t="b">
        <v>0</v>
      </c>
      <c r="T1355" t="s">
        <v>87</v>
      </c>
      <c r="U1355" t="b">
        <v>0</v>
      </c>
      <c r="V1355" t="s">
        <v>266</v>
      </c>
      <c r="W1355" s="1">
        <v>44200.866030092591</v>
      </c>
      <c r="X1355">
        <v>302</v>
      </c>
      <c r="Y1355">
        <v>52</v>
      </c>
      <c r="Z1355">
        <v>0</v>
      </c>
      <c r="AA1355">
        <v>52</v>
      </c>
      <c r="AB1355">
        <v>0</v>
      </c>
      <c r="AC1355">
        <v>22</v>
      </c>
      <c r="AD1355">
        <v>14</v>
      </c>
      <c r="AE1355">
        <v>0</v>
      </c>
      <c r="AF1355">
        <v>0</v>
      </c>
      <c r="AG1355">
        <v>0</v>
      </c>
      <c r="AH1355" t="s">
        <v>267</v>
      </c>
      <c r="AI1355" s="1">
        <v>44200.87226851852</v>
      </c>
      <c r="AJ1355">
        <v>111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14</v>
      </c>
      <c r="AQ1355">
        <v>0</v>
      </c>
      <c r="AR1355">
        <v>0</v>
      </c>
      <c r="AS1355">
        <v>0</v>
      </c>
      <c r="AT1355" t="s">
        <v>549</v>
      </c>
      <c r="AU1355" s="1">
        <v>44201.431250000001</v>
      </c>
      <c r="AV1355">
        <v>135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14</v>
      </c>
      <c r="BC1355">
        <v>0</v>
      </c>
      <c r="BD1355">
        <v>0</v>
      </c>
      <c r="BE1355">
        <v>0</v>
      </c>
    </row>
    <row r="1356" spans="1:57" x14ac:dyDescent="0.45">
      <c r="A1356" t="s">
        <v>3396</v>
      </c>
      <c r="B1356" t="s">
        <v>79</v>
      </c>
      <c r="C1356" t="s">
        <v>2522</v>
      </c>
      <c r="D1356" t="s">
        <v>81</v>
      </c>
      <c r="E1356" s="2" t="str">
        <f>HYPERLINK("capsilon://?command=openfolder&amp;siteaddress=FAM.docvelocity-na8.net&amp;folderid=FX44C85DC8-C526-F9B3-C2A6-D6DD83F92DD7","FX201113939")</f>
        <v>FX201113939</v>
      </c>
      <c r="F1356" t="s">
        <v>19</v>
      </c>
      <c r="G1356" t="s">
        <v>19</v>
      </c>
      <c r="H1356" t="s">
        <v>82</v>
      </c>
      <c r="I1356" t="s">
        <v>2523</v>
      </c>
      <c r="J1356">
        <v>154</v>
      </c>
      <c r="K1356" t="s">
        <v>84</v>
      </c>
      <c r="L1356" t="s">
        <v>85</v>
      </c>
      <c r="M1356" t="s">
        <v>86</v>
      </c>
      <c r="N1356">
        <v>3</v>
      </c>
      <c r="O1356" s="1">
        <v>44200.740891203706</v>
      </c>
      <c r="P1356" s="1">
        <v>44201.339780092596</v>
      </c>
      <c r="Q1356">
        <v>50271</v>
      </c>
      <c r="R1356">
        <v>1473</v>
      </c>
      <c r="S1356" t="b">
        <v>0</v>
      </c>
      <c r="T1356" t="s">
        <v>87</v>
      </c>
      <c r="U1356" t="b">
        <v>1</v>
      </c>
      <c r="V1356" t="s">
        <v>262</v>
      </c>
      <c r="W1356" s="1">
        <v>44200.754918981482</v>
      </c>
      <c r="X1356">
        <v>1085</v>
      </c>
      <c r="Y1356">
        <v>87</v>
      </c>
      <c r="Z1356">
        <v>0</v>
      </c>
      <c r="AA1356">
        <v>87</v>
      </c>
      <c r="AB1356">
        <v>0</v>
      </c>
      <c r="AC1356">
        <v>10</v>
      </c>
      <c r="AD1356">
        <v>67</v>
      </c>
      <c r="AE1356">
        <v>0</v>
      </c>
      <c r="AF1356">
        <v>0</v>
      </c>
      <c r="AG1356">
        <v>0</v>
      </c>
      <c r="AH1356" t="s">
        <v>94</v>
      </c>
      <c r="AI1356" s="1">
        <v>44200.758587962962</v>
      </c>
      <c r="AJ1356">
        <v>272</v>
      </c>
      <c r="AK1356">
        <v>2</v>
      </c>
      <c r="AL1356">
        <v>0</v>
      </c>
      <c r="AM1356">
        <v>2</v>
      </c>
      <c r="AN1356">
        <v>0</v>
      </c>
      <c r="AO1356">
        <v>2</v>
      </c>
      <c r="AP1356">
        <v>65</v>
      </c>
      <c r="AQ1356">
        <v>0</v>
      </c>
      <c r="AR1356">
        <v>0</v>
      </c>
      <c r="AS1356">
        <v>0</v>
      </c>
      <c r="AT1356" t="s">
        <v>90</v>
      </c>
      <c r="AU1356" s="1">
        <v>44201.339780092596</v>
      </c>
      <c r="AV1356">
        <v>116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65</v>
      </c>
      <c r="BC1356">
        <v>0</v>
      </c>
      <c r="BD1356">
        <v>0</v>
      </c>
      <c r="BE1356">
        <v>0</v>
      </c>
    </row>
    <row r="1357" spans="1:57" x14ac:dyDescent="0.45">
      <c r="A1357" t="s">
        <v>3397</v>
      </c>
      <c r="B1357" t="s">
        <v>79</v>
      </c>
      <c r="C1357" t="s">
        <v>2414</v>
      </c>
      <c r="D1357" t="s">
        <v>81</v>
      </c>
      <c r="E1357" s="2" t="str">
        <f>HYPERLINK("capsilon://?command=openfolder&amp;siteaddress=FAM.docvelocity-na8.net&amp;folderid=FX8DCF9F67-41E0-19E4-8BA8-3E31D46A4B1B","FX201229005")</f>
        <v>FX201229005</v>
      </c>
      <c r="F1357" t="s">
        <v>19</v>
      </c>
      <c r="G1357" t="s">
        <v>19</v>
      </c>
      <c r="H1357" t="s">
        <v>82</v>
      </c>
      <c r="I1357" t="s">
        <v>2415</v>
      </c>
      <c r="J1357">
        <v>156</v>
      </c>
      <c r="K1357" t="s">
        <v>84</v>
      </c>
      <c r="L1357" t="s">
        <v>85</v>
      </c>
      <c r="M1357" t="s">
        <v>86</v>
      </c>
      <c r="N1357">
        <v>3</v>
      </c>
      <c r="O1357" s="1">
        <v>44200.741782407407</v>
      </c>
      <c r="P1357" s="1">
        <v>44201.344444444447</v>
      </c>
      <c r="Q1357">
        <v>49939</v>
      </c>
      <c r="R1357">
        <v>2131</v>
      </c>
      <c r="S1357" t="b">
        <v>0</v>
      </c>
      <c r="T1357" t="s">
        <v>87</v>
      </c>
      <c r="U1357" t="b">
        <v>1</v>
      </c>
      <c r="V1357" t="s">
        <v>255</v>
      </c>
      <c r="W1357" s="1">
        <v>44200.764710648145</v>
      </c>
      <c r="X1357">
        <v>1077</v>
      </c>
      <c r="Y1357">
        <v>149</v>
      </c>
      <c r="Z1357">
        <v>0</v>
      </c>
      <c r="AA1357">
        <v>149</v>
      </c>
      <c r="AB1357">
        <v>0</v>
      </c>
      <c r="AC1357">
        <v>76</v>
      </c>
      <c r="AD1357">
        <v>7</v>
      </c>
      <c r="AE1357">
        <v>0</v>
      </c>
      <c r="AF1357">
        <v>0</v>
      </c>
      <c r="AG1357">
        <v>0</v>
      </c>
      <c r="AH1357" t="s">
        <v>267</v>
      </c>
      <c r="AI1357" s="1">
        <v>44200.775219907409</v>
      </c>
      <c r="AJ1357">
        <v>557</v>
      </c>
      <c r="AK1357">
        <v>3</v>
      </c>
      <c r="AL1357">
        <v>0</v>
      </c>
      <c r="AM1357">
        <v>3</v>
      </c>
      <c r="AN1357">
        <v>0</v>
      </c>
      <c r="AO1357">
        <v>2</v>
      </c>
      <c r="AP1357">
        <v>4</v>
      </c>
      <c r="AQ1357">
        <v>0</v>
      </c>
      <c r="AR1357">
        <v>0</v>
      </c>
      <c r="AS1357">
        <v>0</v>
      </c>
      <c r="AT1357" t="s">
        <v>90</v>
      </c>
      <c r="AU1357" s="1">
        <v>44201.344444444447</v>
      </c>
      <c r="AV1357">
        <v>403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4</v>
      </c>
      <c r="BC1357">
        <v>0</v>
      </c>
      <c r="BD1357">
        <v>0</v>
      </c>
      <c r="BE1357">
        <v>0</v>
      </c>
    </row>
    <row r="1358" spans="1:57" hidden="1" x14ac:dyDescent="0.45">
      <c r="A1358" t="s">
        <v>3398</v>
      </c>
      <c r="B1358" t="s">
        <v>79</v>
      </c>
      <c r="C1358" t="s">
        <v>3399</v>
      </c>
      <c r="D1358" t="s">
        <v>81</v>
      </c>
      <c r="E1358" s="2" t="str">
        <f>HYPERLINK("capsilon://?command=openfolder&amp;siteaddress=FAM.docvelocity-na8.net&amp;folderid=FX2ECD5078-F013-44F5-0584-7BBD79FD98A3","FX201116233")</f>
        <v>FX201116233</v>
      </c>
      <c r="F1358" t="s">
        <v>19</v>
      </c>
      <c r="G1358" t="s">
        <v>19</v>
      </c>
      <c r="H1358" t="s">
        <v>82</v>
      </c>
      <c r="I1358" t="s">
        <v>3400</v>
      </c>
      <c r="J1358">
        <v>99</v>
      </c>
      <c r="K1358" t="s">
        <v>84</v>
      </c>
      <c r="L1358" t="s">
        <v>85</v>
      </c>
      <c r="M1358" t="s">
        <v>86</v>
      </c>
      <c r="N1358">
        <v>1</v>
      </c>
      <c r="O1358" s="1">
        <v>44210.964930555558</v>
      </c>
      <c r="P1358" s="1">
        <v>44211.147766203707</v>
      </c>
      <c r="Q1358">
        <v>15512</v>
      </c>
      <c r="R1358">
        <v>285</v>
      </c>
      <c r="S1358" t="b">
        <v>0</v>
      </c>
      <c r="T1358" t="s">
        <v>87</v>
      </c>
      <c r="U1358" t="b">
        <v>0</v>
      </c>
      <c r="V1358" t="s">
        <v>98</v>
      </c>
      <c r="W1358" s="1">
        <v>44211.147766203707</v>
      </c>
      <c r="X1358">
        <v>285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99</v>
      </c>
      <c r="AE1358">
        <v>95</v>
      </c>
      <c r="AF1358">
        <v>0</v>
      </c>
      <c r="AG1358">
        <v>2</v>
      </c>
      <c r="AH1358" t="s">
        <v>87</v>
      </c>
      <c r="AI1358" t="s">
        <v>87</v>
      </c>
      <c r="AJ1358" t="s">
        <v>87</v>
      </c>
      <c r="AK1358" t="s">
        <v>87</v>
      </c>
      <c r="AL1358" t="s">
        <v>87</v>
      </c>
      <c r="AM1358" t="s">
        <v>87</v>
      </c>
      <c r="AN1358" t="s">
        <v>87</v>
      </c>
      <c r="AO1358" t="s">
        <v>87</v>
      </c>
      <c r="AP1358" t="s">
        <v>87</v>
      </c>
      <c r="AQ1358" t="s">
        <v>87</v>
      </c>
      <c r="AR1358" t="s">
        <v>87</v>
      </c>
      <c r="AS1358" t="s">
        <v>87</v>
      </c>
      <c r="AT1358" t="s">
        <v>87</v>
      </c>
      <c r="AU1358" t="s">
        <v>87</v>
      </c>
      <c r="AV1358" t="s">
        <v>87</v>
      </c>
      <c r="AW1358" t="s">
        <v>87</v>
      </c>
      <c r="AX1358" t="s">
        <v>87</v>
      </c>
      <c r="AY1358" t="s">
        <v>87</v>
      </c>
      <c r="AZ1358" t="s">
        <v>87</v>
      </c>
      <c r="BA1358" t="s">
        <v>87</v>
      </c>
      <c r="BB1358" t="s">
        <v>87</v>
      </c>
      <c r="BC1358" t="s">
        <v>87</v>
      </c>
      <c r="BD1358" t="s">
        <v>87</v>
      </c>
      <c r="BE1358" t="s">
        <v>87</v>
      </c>
    </row>
    <row r="1359" spans="1:57" x14ac:dyDescent="0.45">
      <c r="A1359" t="s">
        <v>3401</v>
      </c>
      <c r="B1359" t="s">
        <v>79</v>
      </c>
      <c r="C1359" t="s">
        <v>2089</v>
      </c>
      <c r="D1359" t="s">
        <v>81</v>
      </c>
      <c r="E1359" s="2" t="str">
        <f>HYPERLINK("capsilon://?command=openfolder&amp;siteaddress=FAM.docvelocity-na8.net&amp;folderid=FX76B3561E-9B67-9F1D-54DE-D55854B33678","FX20123251")</f>
        <v>FX20123251</v>
      </c>
      <c r="F1359" t="s">
        <v>19</v>
      </c>
      <c r="G1359" t="s">
        <v>19</v>
      </c>
      <c r="H1359" t="s">
        <v>82</v>
      </c>
      <c r="I1359" t="s">
        <v>3402</v>
      </c>
      <c r="J1359">
        <v>66</v>
      </c>
      <c r="K1359" t="s">
        <v>84</v>
      </c>
      <c r="L1359" t="s">
        <v>85</v>
      </c>
      <c r="M1359" t="s">
        <v>86</v>
      </c>
      <c r="N1359">
        <v>3</v>
      </c>
      <c r="O1359" s="1">
        <v>44210.968391203707</v>
      </c>
      <c r="P1359" s="1">
        <v>44211.355613425927</v>
      </c>
      <c r="Q1359">
        <v>32331</v>
      </c>
      <c r="R1359">
        <v>1125</v>
      </c>
      <c r="S1359" t="b">
        <v>0</v>
      </c>
      <c r="T1359" t="s">
        <v>87</v>
      </c>
      <c r="U1359" t="b">
        <v>0</v>
      </c>
      <c r="V1359" t="s">
        <v>88</v>
      </c>
      <c r="W1359" s="1">
        <v>44211.156481481485</v>
      </c>
      <c r="X1359">
        <v>979</v>
      </c>
      <c r="Y1359">
        <v>52</v>
      </c>
      <c r="Z1359">
        <v>0</v>
      </c>
      <c r="AA1359">
        <v>52</v>
      </c>
      <c r="AB1359">
        <v>0</v>
      </c>
      <c r="AC1359">
        <v>46</v>
      </c>
      <c r="AD1359">
        <v>14</v>
      </c>
      <c r="AE1359">
        <v>0</v>
      </c>
      <c r="AF1359">
        <v>0</v>
      </c>
      <c r="AG1359">
        <v>0</v>
      </c>
      <c r="AH1359" t="s">
        <v>94</v>
      </c>
      <c r="AI1359" s="1">
        <v>44211.164525462962</v>
      </c>
      <c r="AJ1359">
        <v>141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14</v>
      </c>
      <c r="AQ1359">
        <v>0</v>
      </c>
      <c r="AR1359">
        <v>0</v>
      </c>
      <c r="AS1359">
        <v>0</v>
      </c>
      <c r="AT1359" t="s">
        <v>90</v>
      </c>
      <c r="AU1359" s="1">
        <v>44211.355613425927</v>
      </c>
      <c r="AV1359">
        <v>5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14</v>
      </c>
      <c r="BC1359">
        <v>0</v>
      </c>
      <c r="BD1359">
        <v>0</v>
      </c>
      <c r="BE1359">
        <v>0</v>
      </c>
    </row>
    <row r="1360" spans="1:57" hidden="1" x14ac:dyDescent="0.45">
      <c r="A1360" t="s">
        <v>3403</v>
      </c>
      <c r="B1360" t="s">
        <v>79</v>
      </c>
      <c r="C1360" t="s">
        <v>3404</v>
      </c>
      <c r="D1360" t="s">
        <v>81</v>
      </c>
      <c r="E1360" s="2" t="str">
        <f>HYPERLINK("capsilon://?command=openfolder&amp;siteaddress=FAM.docvelocity-na8.net&amp;folderid=FXAF4D9EA1-147F-2B01-498F-3FC326AD865B","FX201222847")</f>
        <v>FX201222847</v>
      </c>
      <c r="F1360" t="s">
        <v>19</v>
      </c>
      <c r="G1360" t="s">
        <v>19</v>
      </c>
      <c r="H1360" t="s">
        <v>82</v>
      </c>
      <c r="I1360" t="s">
        <v>3405</v>
      </c>
      <c r="J1360">
        <v>66</v>
      </c>
      <c r="K1360" t="s">
        <v>84</v>
      </c>
      <c r="L1360" t="s">
        <v>85</v>
      </c>
      <c r="M1360" t="s">
        <v>86</v>
      </c>
      <c r="N1360">
        <v>1</v>
      </c>
      <c r="O1360" s="1">
        <v>44210.993449074071</v>
      </c>
      <c r="P1360" s="1">
        <v>44211.149722222224</v>
      </c>
      <c r="Q1360">
        <v>13398</v>
      </c>
      <c r="R1360">
        <v>104</v>
      </c>
      <c r="S1360" t="b">
        <v>0</v>
      </c>
      <c r="T1360" t="s">
        <v>87</v>
      </c>
      <c r="U1360" t="b">
        <v>0</v>
      </c>
      <c r="V1360" t="s">
        <v>419</v>
      </c>
      <c r="W1360" s="1">
        <v>44211.149722222224</v>
      </c>
      <c r="X1360">
        <v>104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66</v>
      </c>
      <c r="AE1360">
        <v>52</v>
      </c>
      <c r="AF1360">
        <v>0</v>
      </c>
      <c r="AG1360">
        <v>1</v>
      </c>
      <c r="AH1360" t="s">
        <v>87</v>
      </c>
      <c r="AI1360" t="s">
        <v>87</v>
      </c>
      <c r="AJ1360" t="s">
        <v>87</v>
      </c>
      <c r="AK1360" t="s">
        <v>87</v>
      </c>
      <c r="AL1360" t="s">
        <v>87</v>
      </c>
      <c r="AM1360" t="s">
        <v>87</v>
      </c>
      <c r="AN1360" t="s">
        <v>87</v>
      </c>
      <c r="AO1360" t="s">
        <v>87</v>
      </c>
      <c r="AP1360" t="s">
        <v>87</v>
      </c>
      <c r="AQ1360" t="s">
        <v>87</v>
      </c>
      <c r="AR1360" t="s">
        <v>87</v>
      </c>
      <c r="AS1360" t="s">
        <v>87</v>
      </c>
      <c r="AT1360" t="s">
        <v>87</v>
      </c>
      <c r="AU1360" t="s">
        <v>87</v>
      </c>
      <c r="AV1360" t="s">
        <v>87</v>
      </c>
      <c r="AW1360" t="s">
        <v>87</v>
      </c>
      <c r="AX1360" t="s">
        <v>87</v>
      </c>
      <c r="AY1360" t="s">
        <v>87</v>
      </c>
      <c r="AZ1360" t="s">
        <v>87</v>
      </c>
      <c r="BA1360" t="s">
        <v>87</v>
      </c>
      <c r="BB1360" t="s">
        <v>87</v>
      </c>
      <c r="BC1360" t="s">
        <v>87</v>
      </c>
      <c r="BD1360" t="s">
        <v>87</v>
      </c>
      <c r="BE1360" t="s">
        <v>87</v>
      </c>
    </row>
    <row r="1361" spans="1:57" hidden="1" x14ac:dyDescent="0.45">
      <c r="A1361" t="s">
        <v>3406</v>
      </c>
      <c r="B1361" t="s">
        <v>79</v>
      </c>
      <c r="C1361" t="s">
        <v>3404</v>
      </c>
      <c r="D1361" t="s">
        <v>81</v>
      </c>
      <c r="E1361" s="2" t="str">
        <f>HYPERLINK("capsilon://?command=openfolder&amp;siteaddress=FAM.docvelocity-na8.net&amp;folderid=FXAF4D9EA1-147F-2B01-498F-3FC326AD865B","FX201222847")</f>
        <v>FX201222847</v>
      </c>
      <c r="F1361" t="s">
        <v>19</v>
      </c>
      <c r="G1361" t="s">
        <v>19</v>
      </c>
      <c r="H1361" t="s">
        <v>82</v>
      </c>
      <c r="I1361" t="s">
        <v>3407</v>
      </c>
      <c r="J1361">
        <v>66</v>
      </c>
      <c r="K1361" t="s">
        <v>84</v>
      </c>
      <c r="L1361" t="s">
        <v>85</v>
      </c>
      <c r="M1361" t="s">
        <v>86</v>
      </c>
      <c r="N1361">
        <v>1</v>
      </c>
      <c r="O1361" s="1">
        <v>44210.99763888889</v>
      </c>
      <c r="P1361" s="1">
        <v>44211.14675925926</v>
      </c>
      <c r="Q1361">
        <v>12811</v>
      </c>
      <c r="R1361">
        <v>73</v>
      </c>
      <c r="S1361" t="b">
        <v>0</v>
      </c>
      <c r="T1361" t="s">
        <v>87</v>
      </c>
      <c r="U1361" t="b">
        <v>0</v>
      </c>
      <c r="V1361" t="s">
        <v>1418</v>
      </c>
      <c r="W1361" s="1">
        <v>44211.14675925926</v>
      </c>
      <c r="X1361">
        <v>73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66</v>
      </c>
      <c r="AE1361">
        <v>52</v>
      </c>
      <c r="AF1361">
        <v>0</v>
      </c>
      <c r="AG1361">
        <v>1</v>
      </c>
      <c r="AH1361" t="s">
        <v>87</v>
      </c>
      <c r="AI1361" t="s">
        <v>87</v>
      </c>
      <c r="AJ1361" t="s">
        <v>87</v>
      </c>
      <c r="AK1361" t="s">
        <v>87</v>
      </c>
      <c r="AL1361" t="s">
        <v>87</v>
      </c>
      <c r="AM1361" t="s">
        <v>87</v>
      </c>
      <c r="AN1361" t="s">
        <v>87</v>
      </c>
      <c r="AO1361" t="s">
        <v>87</v>
      </c>
      <c r="AP1361" t="s">
        <v>87</v>
      </c>
      <c r="AQ1361" t="s">
        <v>87</v>
      </c>
      <c r="AR1361" t="s">
        <v>87</v>
      </c>
      <c r="AS1361" t="s">
        <v>87</v>
      </c>
      <c r="AT1361" t="s">
        <v>87</v>
      </c>
      <c r="AU1361" t="s">
        <v>87</v>
      </c>
      <c r="AV1361" t="s">
        <v>87</v>
      </c>
      <c r="AW1361" t="s">
        <v>87</v>
      </c>
      <c r="AX1361" t="s">
        <v>87</v>
      </c>
      <c r="AY1361" t="s">
        <v>87</v>
      </c>
      <c r="AZ1361" t="s">
        <v>87</v>
      </c>
      <c r="BA1361" t="s">
        <v>87</v>
      </c>
      <c r="BB1361" t="s">
        <v>87</v>
      </c>
      <c r="BC1361" t="s">
        <v>87</v>
      </c>
      <c r="BD1361" t="s">
        <v>87</v>
      </c>
      <c r="BE1361" t="s">
        <v>87</v>
      </c>
    </row>
    <row r="1362" spans="1:57" hidden="1" x14ac:dyDescent="0.45">
      <c r="A1362" t="s">
        <v>3408</v>
      </c>
      <c r="B1362" t="s">
        <v>79</v>
      </c>
      <c r="C1362" t="s">
        <v>439</v>
      </c>
      <c r="D1362" t="s">
        <v>81</v>
      </c>
      <c r="E1362" s="2" t="str">
        <f>HYPERLINK("capsilon://?command=openfolder&amp;siteaddress=FAM.docvelocity-na8.net&amp;folderid=FX5D0A6F78-9011-AFF2-CE3C-7512CB05F010","FX201220788")</f>
        <v>FX201220788</v>
      </c>
      <c r="F1362" t="s">
        <v>19</v>
      </c>
      <c r="G1362" t="s">
        <v>19</v>
      </c>
      <c r="H1362" t="s">
        <v>82</v>
      </c>
      <c r="I1362" t="s">
        <v>3409</v>
      </c>
      <c r="J1362">
        <v>38</v>
      </c>
      <c r="K1362" t="s">
        <v>84</v>
      </c>
      <c r="L1362" t="s">
        <v>85</v>
      </c>
      <c r="M1362" t="s">
        <v>86</v>
      </c>
      <c r="N1362">
        <v>3</v>
      </c>
      <c r="O1362" s="1">
        <v>44211.066111111111</v>
      </c>
      <c r="P1362" s="1">
        <v>44211.35564814815</v>
      </c>
      <c r="Q1362">
        <v>24638</v>
      </c>
      <c r="R1362">
        <v>378</v>
      </c>
      <c r="S1362" t="b">
        <v>0</v>
      </c>
      <c r="T1362" t="s">
        <v>87</v>
      </c>
      <c r="U1362" t="b">
        <v>0</v>
      </c>
      <c r="V1362" t="s">
        <v>112</v>
      </c>
      <c r="W1362" s="1">
        <v>44211.151331018518</v>
      </c>
      <c r="X1362">
        <v>190</v>
      </c>
      <c r="Y1362">
        <v>0</v>
      </c>
      <c r="Z1362">
        <v>0</v>
      </c>
      <c r="AA1362">
        <v>0</v>
      </c>
      <c r="AB1362">
        <v>37</v>
      </c>
      <c r="AC1362">
        <v>0</v>
      </c>
      <c r="AD1362">
        <v>38</v>
      </c>
      <c r="AE1362">
        <v>0</v>
      </c>
      <c r="AF1362">
        <v>0</v>
      </c>
      <c r="AG1362">
        <v>0</v>
      </c>
      <c r="AH1362" t="s">
        <v>89</v>
      </c>
      <c r="AI1362" s="1">
        <v>44211.164965277778</v>
      </c>
      <c r="AJ1362">
        <v>140</v>
      </c>
      <c r="AK1362">
        <v>0</v>
      </c>
      <c r="AL1362">
        <v>0</v>
      </c>
      <c r="AM1362">
        <v>0</v>
      </c>
      <c r="AN1362">
        <v>37</v>
      </c>
      <c r="AO1362">
        <v>0</v>
      </c>
      <c r="AP1362">
        <v>38</v>
      </c>
      <c r="AQ1362">
        <v>0</v>
      </c>
      <c r="AR1362">
        <v>0</v>
      </c>
      <c r="AS1362">
        <v>0</v>
      </c>
      <c r="AT1362" t="s">
        <v>90</v>
      </c>
      <c r="AU1362" s="1">
        <v>44211.35564814815</v>
      </c>
      <c r="AV1362">
        <v>2</v>
      </c>
      <c r="AW1362">
        <v>0</v>
      </c>
      <c r="AX1362">
        <v>0</v>
      </c>
      <c r="AY1362">
        <v>0</v>
      </c>
      <c r="AZ1362">
        <v>37</v>
      </c>
      <c r="BA1362">
        <v>0</v>
      </c>
      <c r="BB1362">
        <v>38</v>
      </c>
      <c r="BC1362">
        <v>0</v>
      </c>
      <c r="BD1362">
        <v>0</v>
      </c>
      <c r="BE1362">
        <v>0</v>
      </c>
    </row>
    <row r="1363" spans="1:57" x14ac:dyDescent="0.45">
      <c r="A1363" t="s">
        <v>3410</v>
      </c>
      <c r="B1363" t="s">
        <v>79</v>
      </c>
      <c r="C1363" t="s">
        <v>3404</v>
      </c>
      <c r="D1363" t="s">
        <v>81</v>
      </c>
      <c r="E1363" s="2" t="str">
        <f>HYPERLINK("capsilon://?command=openfolder&amp;siteaddress=FAM.docvelocity-na8.net&amp;folderid=FXAF4D9EA1-147F-2B01-498F-3FC326AD865B","FX201222847")</f>
        <v>FX201222847</v>
      </c>
      <c r="F1363" t="s">
        <v>19</v>
      </c>
      <c r="G1363" t="s">
        <v>19</v>
      </c>
      <c r="H1363" t="s">
        <v>82</v>
      </c>
      <c r="I1363" t="s">
        <v>3407</v>
      </c>
      <c r="J1363">
        <v>38</v>
      </c>
      <c r="K1363" t="s">
        <v>84</v>
      </c>
      <c r="L1363" t="s">
        <v>85</v>
      </c>
      <c r="M1363" t="s">
        <v>86</v>
      </c>
      <c r="N1363">
        <v>3</v>
      </c>
      <c r="O1363" s="1">
        <v>44211.146967592591</v>
      </c>
      <c r="P1363" s="1">
        <v>44211.341828703706</v>
      </c>
      <c r="Q1363">
        <v>15623</v>
      </c>
      <c r="R1363">
        <v>1213</v>
      </c>
      <c r="S1363" t="b">
        <v>0</v>
      </c>
      <c r="T1363" t="s">
        <v>87</v>
      </c>
      <c r="U1363" t="b">
        <v>1</v>
      </c>
      <c r="V1363" t="s">
        <v>1418</v>
      </c>
      <c r="W1363" s="1">
        <v>44211.152199074073</v>
      </c>
      <c r="X1363">
        <v>416</v>
      </c>
      <c r="Y1363">
        <v>37</v>
      </c>
      <c r="Z1363">
        <v>0</v>
      </c>
      <c r="AA1363">
        <v>37</v>
      </c>
      <c r="AB1363">
        <v>0</v>
      </c>
      <c r="AC1363">
        <v>33</v>
      </c>
      <c r="AD1363">
        <v>1</v>
      </c>
      <c r="AE1363">
        <v>0</v>
      </c>
      <c r="AF1363">
        <v>0</v>
      </c>
      <c r="AG1363">
        <v>0</v>
      </c>
      <c r="AH1363" t="s">
        <v>89</v>
      </c>
      <c r="AI1363" s="1">
        <v>44211.16333333333</v>
      </c>
      <c r="AJ1363">
        <v>782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 t="s">
        <v>90</v>
      </c>
      <c r="AU1363" s="1">
        <v>44211.341828703706</v>
      </c>
      <c r="AV1363">
        <v>9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</row>
    <row r="1364" spans="1:57" x14ac:dyDescent="0.45">
      <c r="A1364" t="s">
        <v>3411</v>
      </c>
      <c r="B1364" t="s">
        <v>79</v>
      </c>
      <c r="C1364" t="s">
        <v>3390</v>
      </c>
      <c r="D1364" t="s">
        <v>81</v>
      </c>
      <c r="E1364" s="2" t="str">
        <f>HYPERLINK("capsilon://?command=openfolder&amp;siteaddress=FAM.docvelocity-na8.net&amp;folderid=FX470CC8BF-171E-DD96-86A3-EBA9C3B49B23","FX201222099")</f>
        <v>FX201222099</v>
      </c>
      <c r="F1364" t="s">
        <v>19</v>
      </c>
      <c r="G1364" t="s">
        <v>19</v>
      </c>
      <c r="H1364" t="s">
        <v>82</v>
      </c>
      <c r="I1364" t="s">
        <v>3391</v>
      </c>
      <c r="J1364">
        <v>188</v>
      </c>
      <c r="K1364" t="s">
        <v>84</v>
      </c>
      <c r="L1364" t="s">
        <v>85</v>
      </c>
      <c r="M1364" t="s">
        <v>86</v>
      </c>
      <c r="N1364">
        <v>3</v>
      </c>
      <c r="O1364" s="1">
        <v>44211.146990740737</v>
      </c>
      <c r="P1364" s="1">
        <v>44211.342106481483</v>
      </c>
      <c r="Q1364">
        <v>12849</v>
      </c>
      <c r="R1364">
        <v>4009</v>
      </c>
      <c r="S1364" t="b">
        <v>0</v>
      </c>
      <c r="T1364" t="s">
        <v>87</v>
      </c>
      <c r="U1364" t="b">
        <v>1</v>
      </c>
      <c r="V1364" t="s">
        <v>98</v>
      </c>
      <c r="W1364" s="1">
        <v>44211.169212962966</v>
      </c>
      <c r="X1364">
        <v>1852</v>
      </c>
      <c r="Y1364">
        <v>180</v>
      </c>
      <c r="Z1364">
        <v>0</v>
      </c>
      <c r="AA1364">
        <v>180</v>
      </c>
      <c r="AB1364">
        <v>0</v>
      </c>
      <c r="AC1364">
        <v>96</v>
      </c>
      <c r="AD1364">
        <v>8</v>
      </c>
      <c r="AE1364">
        <v>0</v>
      </c>
      <c r="AF1364">
        <v>0</v>
      </c>
      <c r="AG1364">
        <v>0</v>
      </c>
      <c r="AH1364" t="s">
        <v>89</v>
      </c>
      <c r="AI1364" s="1">
        <v>44211.19667824074</v>
      </c>
      <c r="AJ1364">
        <v>2134</v>
      </c>
      <c r="AK1364">
        <v>2</v>
      </c>
      <c r="AL1364">
        <v>0</v>
      </c>
      <c r="AM1364">
        <v>2</v>
      </c>
      <c r="AN1364">
        <v>0</v>
      </c>
      <c r="AO1364">
        <v>1</v>
      </c>
      <c r="AP1364">
        <v>6</v>
      </c>
      <c r="AQ1364">
        <v>0</v>
      </c>
      <c r="AR1364">
        <v>0</v>
      </c>
      <c r="AS1364">
        <v>0</v>
      </c>
      <c r="AT1364" t="s">
        <v>90</v>
      </c>
      <c r="AU1364" s="1">
        <v>44211.342106481483</v>
      </c>
      <c r="AV1364">
        <v>23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6</v>
      </c>
      <c r="BC1364">
        <v>0</v>
      </c>
      <c r="BD1364">
        <v>0</v>
      </c>
      <c r="BE1364">
        <v>0</v>
      </c>
    </row>
    <row r="1365" spans="1:57" x14ac:dyDescent="0.45">
      <c r="A1365" t="s">
        <v>3412</v>
      </c>
      <c r="B1365" t="s">
        <v>79</v>
      </c>
      <c r="C1365" t="s">
        <v>3399</v>
      </c>
      <c r="D1365" t="s">
        <v>81</v>
      </c>
      <c r="E1365" s="2" t="str">
        <f>HYPERLINK("capsilon://?command=openfolder&amp;siteaddress=FAM.docvelocity-na8.net&amp;folderid=FX2ECD5078-F013-44F5-0584-7BBD79FD98A3","FX201116233")</f>
        <v>FX201116233</v>
      </c>
      <c r="F1365" t="s">
        <v>19</v>
      </c>
      <c r="G1365" t="s">
        <v>19</v>
      </c>
      <c r="H1365" t="s">
        <v>82</v>
      </c>
      <c r="I1365" t="s">
        <v>3400</v>
      </c>
      <c r="J1365">
        <v>142</v>
      </c>
      <c r="K1365" t="s">
        <v>84</v>
      </c>
      <c r="L1365" t="s">
        <v>85</v>
      </c>
      <c r="M1365" t="s">
        <v>86</v>
      </c>
      <c r="N1365">
        <v>3</v>
      </c>
      <c r="O1365" s="1">
        <v>44211.149189814816</v>
      </c>
      <c r="P1365" s="1">
        <v>44211.342395833337</v>
      </c>
      <c r="Q1365">
        <v>12833</v>
      </c>
      <c r="R1365">
        <v>3860</v>
      </c>
      <c r="S1365" t="b">
        <v>0</v>
      </c>
      <c r="T1365" t="s">
        <v>87</v>
      </c>
      <c r="U1365" t="b">
        <v>1</v>
      </c>
      <c r="V1365" t="s">
        <v>419</v>
      </c>
      <c r="W1365" s="1">
        <v>44211.177349537036</v>
      </c>
      <c r="X1365">
        <v>2386</v>
      </c>
      <c r="Y1365">
        <v>184</v>
      </c>
      <c r="Z1365">
        <v>0</v>
      </c>
      <c r="AA1365">
        <v>184</v>
      </c>
      <c r="AB1365">
        <v>0</v>
      </c>
      <c r="AC1365">
        <v>131</v>
      </c>
      <c r="AD1365">
        <v>-42</v>
      </c>
      <c r="AE1365">
        <v>0</v>
      </c>
      <c r="AF1365">
        <v>0</v>
      </c>
      <c r="AG1365">
        <v>0</v>
      </c>
      <c r="AH1365" t="s">
        <v>89</v>
      </c>
      <c r="AI1365" s="1">
        <v>44211.212523148148</v>
      </c>
      <c r="AJ1365">
        <v>1368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-42</v>
      </c>
      <c r="AQ1365">
        <v>0</v>
      </c>
      <c r="AR1365">
        <v>0</v>
      </c>
      <c r="AS1365">
        <v>0</v>
      </c>
      <c r="AT1365" t="s">
        <v>90</v>
      </c>
      <c r="AU1365" s="1">
        <v>44211.342395833337</v>
      </c>
      <c r="AV1365">
        <v>24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-42</v>
      </c>
      <c r="BC1365">
        <v>0</v>
      </c>
      <c r="BD1365">
        <v>0</v>
      </c>
      <c r="BE1365">
        <v>0</v>
      </c>
    </row>
    <row r="1366" spans="1:57" x14ac:dyDescent="0.45">
      <c r="A1366" t="s">
        <v>3413</v>
      </c>
      <c r="B1366" t="s">
        <v>79</v>
      </c>
      <c r="C1366" t="s">
        <v>3404</v>
      </c>
      <c r="D1366" t="s">
        <v>81</v>
      </c>
      <c r="E1366" s="2" t="str">
        <f>HYPERLINK("capsilon://?command=openfolder&amp;siteaddress=FAM.docvelocity-na8.net&amp;folderid=FXAF4D9EA1-147F-2B01-498F-3FC326AD865B","FX201222847")</f>
        <v>FX201222847</v>
      </c>
      <c r="F1366" t="s">
        <v>19</v>
      </c>
      <c r="G1366" t="s">
        <v>19</v>
      </c>
      <c r="H1366" t="s">
        <v>82</v>
      </c>
      <c r="I1366" t="s">
        <v>3405</v>
      </c>
      <c r="J1366">
        <v>38</v>
      </c>
      <c r="K1366" t="s">
        <v>84</v>
      </c>
      <c r="L1366" t="s">
        <v>85</v>
      </c>
      <c r="M1366" t="s">
        <v>86</v>
      </c>
      <c r="N1366">
        <v>3</v>
      </c>
      <c r="O1366" s="1">
        <v>44211.149942129632</v>
      </c>
      <c r="P1366" s="1">
        <v>44211.342465277776</v>
      </c>
      <c r="Q1366">
        <v>15760</v>
      </c>
      <c r="R1366">
        <v>874</v>
      </c>
      <c r="S1366" t="b">
        <v>0</v>
      </c>
      <c r="T1366" t="s">
        <v>87</v>
      </c>
      <c r="U1366" t="b">
        <v>1</v>
      </c>
      <c r="V1366" t="s">
        <v>112</v>
      </c>
      <c r="W1366" s="1">
        <v>44211.159131944441</v>
      </c>
      <c r="X1366">
        <v>673</v>
      </c>
      <c r="Y1366">
        <v>37</v>
      </c>
      <c r="Z1366">
        <v>0</v>
      </c>
      <c r="AA1366">
        <v>37</v>
      </c>
      <c r="AB1366">
        <v>0</v>
      </c>
      <c r="AC1366">
        <v>33</v>
      </c>
      <c r="AD1366">
        <v>1</v>
      </c>
      <c r="AE1366">
        <v>0</v>
      </c>
      <c r="AF1366">
        <v>0</v>
      </c>
      <c r="AG1366">
        <v>0</v>
      </c>
      <c r="AH1366" t="s">
        <v>94</v>
      </c>
      <c r="AI1366" s="1">
        <v>44211.162881944445</v>
      </c>
      <c r="AJ1366">
        <v>163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 t="s">
        <v>90</v>
      </c>
      <c r="AU1366" s="1">
        <v>44211.342465277776</v>
      </c>
      <c r="AV1366">
        <v>5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</row>
    <row r="1367" spans="1:57" x14ac:dyDescent="0.45">
      <c r="A1367" t="s">
        <v>3414</v>
      </c>
      <c r="B1367" t="s">
        <v>79</v>
      </c>
      <c r="C1367" t="s">
        <v>3415</v>
      </c>
      <c r="D1367" t="s">
        <v>81</v>
      </c>
      <c r="E1367" s="2" t="str">
        <f>HYPERLINK("capsilon://?command=openfolder&amp;siteaddress=FAM.docvelocity-na8.net&amp;folderid=FX3CFBFD15-F43B-45C6-F764-B5DC45646404","FX2101728")</f>
        <v>FX2101728</v>
      </c>
      <c r="F1367" t="s">
        <v>19</v>
      </c>
      <c r="G1367" t="s">
        <v>19</v>
      </c>
      <c r="H1367" t="s">
        <v>82</v>
      </c>
      <c r="I1367" t="s">
        <v>3416</v>
      </c>
      <c r="J1367">
        <v>66</v>
      </c>
      <c r="K1367" t="s">
        <v>84</v>
      </c>
      <c r="L1367" t="s">
        <v>85</v>
      </c>
      <c r="M1367" t="s">
        <v>86</v>
      </c>
      <c r="N1367">
        <v>3</v>
      </c>
      <c r="O1367" s="1">
        <v>44211.236446759256</v>
      </c>
      <c r="P1367" s="1">
        <v>44211.356215277781</v>
      </c>
      <c r="Q1367">
        <v>8332</v>
      </c>
      <c r="R1367">
        <v>2016</v>
      </c>
      <c r="S1367" t="b">
        <v>0</v>
      </c>
      <c r="T1367" t="s">
        <v>87</v>
      </c>
      <c r="U1367" t="b">
        <v>0</v>
      </c>
      <c r="V1367" t="s">
        <v>88</v>
      </c>
      <c r="W1367" s="1">
        <v>44211.253333333334</v>
      </c>
      <c r="X1367">
        <v>1281</v>
      </c>
      <c r="Y1367">
        <v>52</v>
      </c>
      <c r="Z1367">
        <v>0</v>
      </c>
      <c r="AA1367">
        <v>52</v>
      </c>
      <c r="AB1367">
        <v>0</v>
      </c>
      <c r="AC1367">
        <v>39</v>
      </c>
      <c r="AD1367">
        <v>14</v>
      </c>
      <c r="AE1367">
        <v>0</v>
      </c>
      <c r="AF1367">
        <v>0</v>
      </c>
      <c r="AG1367">
        <v>0</v>
      </c>
      <c r="AH1367" t="s">
        <v>94</v>
      </c>
      <c r="AI1367" s="1">
        <v>44211.267638888887</v>
      </c>
      <c r="AJ1367">
        <v>687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14</v>
      </c>
      <c r="AQ1367">
        <v>0</v>
      </c>
      <c r="AR1367">
        <v>0</v>
      </c>
      <c r="AS1367">
        <v>0</v>
      </c>
      <c r="AT1367" t="s">
        <v>90</v>
      </c>
      <c r="AU1367" s="1">
        <v>44211.356215277781</v>
      </c>
      <c r="AV1367">
        <v>48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14</v>
      </c>
      <c r="BC1367">
        <v>0</v>
      </c>
      <c r="BD1367">
        <v>0</v>
      </c>
      <c r="BE1367">
        <v>0</v>
      </c>
    </row>
    <row r="1368" spans="1:57" x14ac:dyDescent="0.45">
      <c r="A1368" t="s">
        <v>3417</v>
      </c>
      <c r="B1368" t="s">
        <v>79</v>
      </c>
      <c r="C1368" t="s">
        <v>2231</v>
      </c>
      <c r="D1368" t="s">
        <v>81</v>
      </c>
      <c r="E1368" s="2" t="str">
        <f>HYPERLINK("capsilon://?command=openfolder&amp;siteaddress=FAM.docvelocity-na8.net&amp;folderid=FX084AA432-4E7D-CDF2-DE39-66935F38EF6C","FX201229023")</f>
        <v>FX201229023</v>
      </c>
      <c r="F1368" t="s">
        <v>19</v>
      </c>
      <c r="G1368" t="s">
        <v>19</v>
      </c>
      <c r="H1368" t="s">
        <v>82</v>
      </c>
      <c r="I1368" t="s">
        <v>3418</v>
      </c>
      <c r="J1368">
        <v>66</v>
      </c>
      <c r="K1368" t="s">
        <v>84</v>
      </c>
      <c r="L1368" t="s">
        <v>85</v>
      </c>
      <c r="M1368" t="s">
        <v>86</v>
      </c>
      <c r="N1368">
        <v>3</v>
      </c>
      <c r="O1368" s="1">
        <v>44211.284918981481</v>
      </c>
      <c r="P1368" s="1">
        <v>44211.35664351852</v>
      </c>
      <c r="Q1368">
        <v>4391</v>
      </c>
      <c r="R1368">
        <v>1806</v>
      </c>
      <c r="S1368" t="b">
        <v>0</v>
      </c>
      <c r="T1368" t="s">
        <v>87</v>
      </c>
      <c r="U1368" t="b">
        <v>0</v>
      </c>
      <c r="V1368" t="s">
        <v>919</v>
      </c>
      <c r="W1368" s="1">
        <v>44211.300740740742</v>
      </c>
      <c r="X1368">
        <v>1170</v>
      </c>
      <c r="Y1368">
        <v>52</v>
      </c>
      <c r="Z1368">
        <v>0</v>
      </c>
      <c r="AA1368">
        <v>52</v>
      </c>
      <c r="AB1368">
        <v>0</v>
      </c>
      <c r="AC1368">
        <v>37</v>
      </c>
      <c r="AD1368">
        <v>14</v>
      </c>
      <c r="AE1368">
        <v>0</v>
      </c>
      <c r="AF1368">
        <v>0</v>
      </c>
      <c r="AG1368">
        <v>0</v>
      </c>
      <c r="AH1368" t="s">
        <v>89</v>
      </c>
      <c r="AI1368" s="1">
        <v>44211.336122685185</v>
      </c>
      <c r="AJ1368">
        <v>583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14</v>
      </c>
      <c r="AQ1368">
        <v>0</v>
      </c>
      <c r="AR1368">
        <v>0</v>
      </c>
      <c r="AS1368">
        <v>0</v>
      </c>
      <c r="AT1368" t="s">
        <v>90</v>
      </c>
      <c r="AU1368" s="1">
        <v>44211.35664351852</v>
      </c>
      <c r="AV1368">
        <v>36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14</v>
      </c>
      <c r="BC1368">
        <v>0</v>
      </c>
      <c r="BD1368">
        <v>0</v>
      </c>
      <c r="BE1368">
        <v>0</v>
      </c>
    </row>
    <row r="1369" spans="1:57" x14ac:dyDescent="0.45">
      <c r="A1369" t="s">
        <v>3419</v>
      </c>
      <c r="B1369" t="s">
        <v>79</v>
      </c>
      <c r="C1369" t="s">
        <v>1106</v>
      </c>
      <c r="D1369" t="s">
        <v>81</v>
      </c>
      <c r="E1369" s="2" t="str">
        <f>HYPERLINK("capsilon://?command=openfolder&amp;siteaddress=FAM.docvelocity-na8.net&amp;folderid=FX00503E86-7EEF-089D-9EDE-AA93BC2593BF","FX201228745")</f>
        <v>FX201228745</v>
      </c>
      <c r="F1369" t="s">
        <v>19</v>
      </c>
      <c r="G1369" t="s">
        <v>19</v>
      </c>
      <c r="H1369" t="s">
        <v>82</v>
      </c>
      <c r="I1369" t="s">
        <v>3420</v>
      </c>
      <c r="J1369">
        <v>66</v>
      </c>
      <c r="K1369" t="s">
        <v>84</v>
      </c>
      <c r="L1369" t="s">
        <v>85</v>
      </c>
      <c r="M1369" t="s">
        <v>86</v>
      </c>
      <c r="N1369">
        <v>3</v>
      </c>
      <c r="O1369" s="1">
        <v>44211.291944444441</v>
      </c>
      <c r="P1369" s="1">
        <v>44211.356944444444</v>
      </c>
      <c r="Q1369">
        <v>942</v>
      </c>
      <c r="R1369">
        <v>4674</v>
      </c>
      <c r="S1369" t="b">
        <v>0</v>
      </c>
      <c r="T1369" t="s">
        <v>87</v>
      </c>
      <c r="U1369" t="b">
        <v>0</v>
      </c>
      <c r="V1369" t="s">
        <v>88</v>
      </c>
      <c r="W1369" s="1">
        <v>44211.342048611114</v>
      </c>
      <c r="X1369">
        <v>4266</v>
      </c>
      <c r="Y1369">
        <v>52</v>
      </c>
      <c r="Z1369">
        <v>0</v>
      </c>
      <c r="AA1369">
        <v>52</v>
      </c>
      <c r="AB1369">
        <v>0</v>
      </c>
      <c r="AC1369">
        <v>40</v>
      </c>
      <c r="AD1369">
        <v>14</v>
      </c>
      <c r="AE1369">
        <v>0</v>
      </c>
      <c r="AF1369">
        <v>0</v>
      </c>
      <c r="AG1369">
        <v>0</v>
      </c>
      <c r="AH1369" t="s">
        <v>89</v>
      </c>
      <c r="AI1369" s="1">
        <v>44211.349247685182</v>
      </c>
      <c r="AJ1369">
        <v>335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14</v>
      </c>
      <c r="AQ1369">
        <v>0</v>
      </c>
      <c r="AR1369">
        <v>0</v>
      </c>
      <c r="AS1369">
        <v>0</v>
      </c>
      <c r="AT1369" t="s">
        <v>90</v>
      </c>
      <c r="AU1369" s="1">
        <v>44211.356944444444</v>
      </c>
      <c r="AV1369">
        <v>26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14</v>
      </c>
      <c r="BC1369">
        <v>0</v>
      </c>
      <c r="BD1369">
        <v>0</v>
      </c>
      <c r="BE1369">
        <v>0</v>
      </c>
    </row>
    <row r="1370" spans="1:57" x14ac:dyDescent="0.45">
      <c r="A1370" t="s">
        <v>3421</v>
      </c>
      <c r="B1370" t="s">
        <v>79</v>
      </c>
      <c r="C1370" t="s">
        <v>3422</v>
      </c>
      <c r="D1370" t="s">
        <v>81</v>
      </c>
      <c r="E1370" s="2" t="str">
        <f>HYPERLINK("capsilon://?command=openfolder&amp;siteaddress=FAM.docvelocity-na8.net&amp;folderid=FX4B0290FA-E168-5DB8-0563-0D99108FD20D","FX20125248")</f>
        <v>FX20125248</v>
      </c>
      <c r="F1370" t="s">
        <v>19</v>
      </c>
      <c r="G1370" t="s">
        <v>19</v>
      </c>
      <c r="H1370" t="s">
        <v>82</v>
      </c>
      <c r="I1370" t="s">
        <v>3423</v>
      </c>
      <c r="J1370">
        <v>51</v>
      </c>
      <c r="K1370" t="s">
        <v>84</v>
      </c>
      <c r="L1370" t="s">
        <v>85</v>
      </c>
      <c r="M1370" t="s">
        <v>86</v>
      </c>
      <c r="N1370">
        <v>3</v>
      </c>
      <c r="O1370" s="1">
        <v>44211.323935185188</v>
      </c>
      <c r="P1370" s="1">
        <v>44211.357222222221</v>
      </c>
      <c r="Q1370">
        <v>1530</v>
      </c>
      <c r="R1370">
        <v>1346</v>
      </c>
      <c r="S1370" t="b">
        <v>0</v>
      </c>
      <c r="T1370" t="s">
        <v>87</v>
      </c>
      <c r="U1370" t="b">
        <v>0</v>
      </c>
      <c r="V1370" t="s">
        <v>919</v>
      </c>
      <c r="W1370" s="1">
        <v>44211.330833333333</v>
      </c>
      <c r="X1370">
        <v>525</v>
      </c>
      <c r="Y1370">
        <v>44</v>
      </c>
      <c r="Z1370">
        <v>0</v>
      </c>
      <c r="AA1370">
        <v>44</v>
      </c>
      <c r="AB1370">
        <v>0</v>
      </c>
      <c r="AC1370">
        <v>4</v>
      </c>
      <c r="AD1370">
        <v>7</v>
      </c>
      <c r="AE1370">
        <v>0</v>
      </c>
      <c r="AF1370">
        <v>0</v>
      </c>
      <c r="AG1370">
        <v>0</v>
      </c>
      <c r="AH1370" t="s">
        <v>89</v>
      </c>
      <c r="AI1370" s="1">
        <v>44211.345358796294</v>
      </c>
      <c r="AJ1370">
        <v>798</v>
      </c>
      <c r="AK1370">
        <v>2</v>
      </c>
      <c r="AL1370">
        <v>0</v>
      </c>
      <c r="AM1370">
        <v>2</v>
      </c>
      <c r="AN1370">
        <v>0</v>
      </c>
      <c r="AO1370">
        <v>1</v>
      </c>
      <c r="AP1370">
        <v>5</v>
      </c>
      <c r="AQ1370">
        <v>0</v>
      </c>
      <c r="AR1370">
        <v>0</v>
      </c>
      <c r="AS1370">
        <v>0</v>
      </c>
      <c r="AT1370" t="s">
        <v>90</v>
      </c>
      <c r="AU1370" s="1">
        <v>44211.357222222221</v>
      </c>
      <c r="AV1370">
        <v>23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5</v>
      </c>
      <c r="BC1370">
        <v>0</v>
      </c>
      <c r="BD1370">
        <v>0</v>
      </c>
      <c r="BE1370">
        <v>0</v>
      </c>
    </row>
    <row r="1371" spans="1:57" x14ac:dyDescent="0.45">
      <c r="A1371" t="s">
        <v>3424</v>
      </c>
      <c r="B1371" t="s">
        <v>79</v>
      </c>
      <c r="C1371" t="s">
        <v>3425</v>
      </c>
      <c r="D1371" t="s">
        <v>81</v>
      </c>
      <c r="E1371" s="2" t="str">
        <f>HYPERLINK("capsilon://?command=openfolder&amp;siteaddress=FAM.docvelocity-na8.net&amp;folderid=FX89A055B8-A429-F8CF-09EF-B1DE8793191F","FX201113492")</f>
        <v>FX201113492</v>
      </c>
      <c r="F1371" t="s">
        <v>19</v>
      </c>
      <c r="G1371" t="s">
        <v>19</v>
      </c>
      <c r="H1371" t="s">
        <v>82</v>
      </c>
      <c r="I1371" t="s">
        <v>3426</v>
      </c>
      <c r="J1371">
        <v>66</v>
      </c>
      <c r="K1371" t="s">
        <v>84</v>
      </c>
      <c r="L1371" t="s">
        <v>85</v>
      </c>
      <c r="M1371" t="s">
        <v>86</v>
      </c>
      <c r="N1371">
        <v>3</v>
      </c>
      <c r="O1371" s="1">
        <v>44211.332638888889</v>
      </c>
      <c r="P1371" s="1">
        <v>44211.369212962964</v>
      </c>
      <c r="Q1371">
        <v>511</v>
      </c>
      <c r="R1371">
        <v>2649</v>
      </c>
      <c r="S1371" t="b">
        <v>0</v>
      </c>
      <c r="T1371" t="s">
        <v>87</v>
      </c>
      <c r="U1371" t="b">
        <v>0</v>
      </c>
      <c r="V1371" t="s">
        <v>919</v>
      </c>
      <c r="W1371" s="1">
        <v>44211.351122685184</v>
      </c>
      <c r="X1371">
        <v>1578</v>
      </c>
      <c r="Y1371">
        <v>52</v>
      </c>
      <c r="Z1371">
        <v>0</v>
      </c>
      <c r="AA1371">
        <v>52</v>
      </c>
      <c r="AB1371">
        <v>0</v>
      </c>
      <c r="AC1371">
        <v>39</v>
      </c>
      <c r="AD1371">
        <v>14</v>
      </c>
      <c r="AE1371">
        <v>0</v>
      </c>
      <c r="AF1371">
        <v>0</v>
      </c>
      <c r="AG1371">
        <v>0</v>
      </c>
      <c r="AH1371" t="s">
        <v>89</v>
      </c>
      <c r="AI1371" s="1">
        <v>44211.368668981479</v>
      </c>
      <c r="AJ1371">
        <v>1054</v>
      </c>
      <c r="AK1371">
        <v>3</v>
      </c>
      <c r="AL1371">
        <v>0</v>
      </c>
      <c r="AM1371">
        <v>3</v>
      </c>
      <c r="AN1371">
        <v>0</v>
      </c>
      <c r="AO1371">
        <v>2</v>
      </c>
      <c r="AP1371">
        <v>11</v>
      </c>
      <c r="AQ1371">
        <v>0</v>
      </c>
      <c r="AR1371">
        <v>0</v>
      </c>
      <c r="AS1371">
        <v>0</v>
      </c>
      <c r="AT1371" t="s">
        <v>90</v>
      </c>
      <c r="AU1371" s="1">
        <v>44211.369212962964</v>
      </c>
      <c r="AV1371">
        <v>17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11</v>
      </c>
      <c r="BC1371">
        <v>0</v>
      </c>
      <c r="BD1371">
        <v>0</v>
      </c>
      <c r="BE1371">
        <v>0</v>
      </c>
    </row>
    <row r="1372" spans="1:57" hidden="1" x14ac:dyDescent="0.45">
      <c r="A1372" t="s">
        <v>3427</v>
      </c>
      <c r="B1372" t="s">
        <v>79</v>
      </c>
      <c r="C1372" t="s">
        <v>3425</v>
      </c>
      <c r="D1372" t="s">
        <v>81</v>
      </c>
      <c r="E1372" s="2" t="str">
        <f>HYPERLINK("capsilon://?command=openfolder&amp;siteaddress=FAM.docvelocity-na8.net&amp;folderid=FX89A055B8-A429-F8CF-09EF-B1DE8793191F","FX201113492")</f>
        <v>FX201113492</v>
      </c>
      <c r="F1372" t="s">
        <v>19</v>
      </c>
      <c r="G1372" t="s">
        <v>19</v>
      </c>
      <c r="H1372" t="s">
        <v>82</v>
      </c>
      <c r="I1372" t="s">
        <v>3428</v>
      </c>
      <c r="J1372">
        <v>66</v>
      </c>
      <c r="K1372" t="s">
        <v>84</v>
      </c>
      <c r="L1372" t="s">
        <v>85</v>
      </c>
      <c r="M1372" t="s">
        <v>86</v>
      </c>
      <c r="N1372">
        <v>3</v>
      </c>
      <c r="O1372" s="1">
        <v>44211.33289351852</v>
      </c>
      <c r="P1372" s="1">
        <v>44211.357256944444</v>
      </c>
      <c r="Q1372">
        <v>1937</v>
      </c>
      <c r="R1372">
        <v>168</v>
      </c>
      <c r="S1372" t="b">
        <v>0</v>
      </c>
      <c r="T1372" t="s">
        <v>87</v>
      </c>
      <c r="U1372" t="b">
        <v>0</v>
      </c>
      <c r="V1372" t="s">
        <v>419</v>
      </c>
      <c r="W1372" s="1">
        <v>44211.334675925929</v>
      </c>
      <c r="X1372">
        <v>68</v>
      </c>
      <c r="Y1372">
        <v>0</v>
      </c>
      <c r="Z1372">
        <v>0</v>
      </c>
      <c r="AA1372">
        <v>0</v>
      </c>
      <c r="AB1372">
        <v>52</v>
      </c>
      <c r="AC1372">
        <v>0</v>
      </c>
      <c r="AD1372">
        <v>66</v>
      </c>
      <c r="AE1372">
        <v>0</v>
      </c>
      <c r="AF1372">
        <v>0</v>
      </c>
      <c r="AG1372">
        <v>0</v>
      </c>
      <c r="AH1372" t="s">
        <v>94</v>
      </c>
      <c r="AI1372" s="1">
        <v>44211.34202546296</v>
      </c>
      <c r="AJ1372">
        <v>98</v>
      </c>
      <c r="AK1372">
        <v>0</v>
      </c>
      <c r="AL1372">
        <v>0</v>
      </c>
      <c r="AM1372">
        <v>0</v>
      </c>
      <c r="AN1372">
        <v>52</v>
      </c>
      <c r="AO1372">
        <v>0</v>
      </c>
      <c r="AP1372">
        <v>66</v>
      </c>
      <c r="AQ1372">
        <v>0</v>
      </c>
      <c r="AR1372">
        <v>0</v>
      </c>
      <c r="AS1372">
        <v>0</v>
      </c>
      <c r="AT1372" t="s">
        <v>90</v>
      </c>
      <c r="AU1372" s="1">
        <v>44211.357256944444</v>
      </c>
      <c r="AV1372">
        <v>2</v>
      </c>
      <c r="AW1372">
        <v>0</v>
      </c>
      <c r="AX1372">
        <v>0</v>
      </c>
      <c r="AY1372">
        <v>0</v>
      </c>
      <c r="AZ1372">
        <v>52</v>
      </c>
      <c r="BA1372">
        <v>0</v>
      </c>
      <c r="BB1372">
        <v>66</v>
      </c>
      <c r="BC1372">
        <v>0</v>
      </c>
      <c r="BD1372">
        <v>0</v>
      </c>
      <c r="BE1372">
        <v>0</v>
      </c>
    </row>
    <row r="1373" spans="1:57" x14ac:dyDescent="0.45">
      <c r="A1373" t="s">
        <v>3429</v>
      </c>
      <c r="B1373" t="s">
        <v>79</v>
      </c>
      <c r="C1373" t="s">
        <v>387</v>
      </c>
      <c r="D1373" t="s">
        <v>81</v>
      </c>
      <c r="E1373" s="2" t="str">
        <f>HYPERLINK("capsilon://?command=openfolder&amp;siteaddress=FAM.docvelocity-na8.net&amp;folderid=FXC92E8873-0C06-1B1E-AB2C-7CD2EA56F080","FX201227607")</f>
        <v>FX201227607</v>
      </c>
      <c r="F1373" t="s">
        <v>19</v>
      </c>
      <c r="G1373" t="s">
        <v>19</v>
      </c>
      <c r="H1373" t="s">
        <v>82</v>
      </c>
      <c r="I1373" t="s">
        <v>3430</v>
      </c>
      <c r="J1373">
        <v>408</v>
      </c>
      <c r="K1373" t="s">
        <v>84</v>
      </c>
      <c r="L1373" t="s">
        <v>85</v>
      </c>
      <c r="M1373" t="s">
        <v>86</v>
      </c>
      <c r="N1373">
        <v>3</v>
      </c>
      <c r="O1373" s="1">
        <v>44200.748148148145</v>
      </c>
      <c r="P1373" s="1">
        <v>44201.432546296295</v>
      </c>
      <c r="Q1373">
        <v>42749</v>
      </c>
      <c r="R1373">
        <v>16383</v>
      </c>
      <c r="S1373" t="b">
        <v>0</v>
      </c>
      <c r="T1373" t="s">
        <v>87</v>
      </c>
      <c r="U1373" t="b">
        <v>0</v>
      </c>
      <c r="V1373" t="s">
        <v>419</v>
      </c>
      <c r="W1373" s="1">
        <v>44201.245069444441</v>
      </c>
      <c r="X1373">
        <v>8286</v>
      </c>
      <c r="Y1373">
        <v>544</v>
      </c>
      <c r="Z1373">
        <v>0</v>
      </c>
      <c r="AA1373">
        <v>544</v>
      </c>
      <c r="AB1373">
        <v>0</v>
      </c>
      <c r="AC1373">
        <v>455</v>
      </c>
      <c r="AD1373">
        <v>-136</v>
      </c>
      <c r="AE1373">
        <v>0</v>
      </c>
      <c r="AF1373">
        <v>0</v>
      </c>
      <c r="AG1373">
        <v>0</v>
      </c>
      <c r="AH1373" t="s">
        <v>89</v>
      </c>
      <c r="AI1373" s="1">
        <v>44201.303611111114</v>
      </c>
      <c r="AJ1373">
        <v>4473</v>
      </c>
      <c r="AK1373">
        <v>2</v>
      </c>
      <c r="AL1373">
        <v>0</v>
      </c>
      <c r="AM1373">
        <v>2</v>
      </c>
      <c r="AN1373">
        <v>0</v>
      </c>
      <c r="AO1373">
        <v>1</v>
      </c>
      <c r="AP1373">
        <v>-138</v>
      </c>
      <c r="AQ1373">
        <v>0</v>
      </c>
      <c r="AR1373">
        <v>0</v>
      </c>
      <c r="AS1373">
        <v>0</v>
      </c>
      <c r="AT1373" t="s">
        <v>90</v>
      </c>
      <c r="AU1373" s="1">
        <v>44201.432546296295</v>
      </c>
      <c r="AV1373">
        <v>176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-138</v>
      </c>
      <c r="BC1373">
        <v>0</v>
      </c>
      <c r="BD1373">
        <v>0</v>
      </c>
      <c r="BE1373">
        <v>0</v>
      </c>
    </row>
    <row r="1374" spans="1:57" x14ac:dyDescent="0.45">
      <c r="A1374" t="s">
        <v>3431</v>
      </c>
      <c r="B1374" t="s">
        <v>79</v>
      </c>
      <c r="C1374" t="s">
        <v>3432</v>
      </c>
      <c r="D1374" t="s">
        <v>81</v>
      </c>
      <c r="E1374" s="2" t="str">
        <f>HYPERLINK("capsilon://?command=openfolder&amp;siteaddress=FAM.docvelocity-na8.net&amp;folderid=FX7C1565DA-A23E-9298-77C1-861A036FF1EB","FX20127119")</f>
        <v>FX20127119</v>
      </c>
      <c r="F1374" t="s">
        <v>19</v>
      </c>
      <c r="G1374" t="s">
        <v>19</v>
      </c>
      <c r="H1374" t="s">
        <v>82</v>
      </c>
      <c r="I1374" t="s">
        <v>3433</v>
      </c>
      <c r="J1374">
        <v>102</v>
      </c>
      <c r="K1374" t="s">
        <v>84</v>
      </c>
      <c r="L1374" t="s">
        <v>85</v>
      </c>
      <c r="M1374" t="s">
        <v>86</v>
      </c>
      <c r="N1374">
        <v>3</v>
      </c>
      <c r="O1374" s="1">
        <v>44211.339756944442</v>
      </c>
      <c r="P1374" s="1">
        <v>44211.357442129629</v>
      </c>
      <c r="Q1374">
        <v>433</v>
      </c>
      <c r="R1374">
        <v>1095</v>
      </c>
      <c r="S1374" t="b">
        <v>0</v>
      </c>
      <c r="T1374" t="s">
        <v>87</v>
      </c>
      <c r="U1374" t="b">
        <v>0</v>
      </c>
      <c r="V1374" t="s">
        <v>1418</v>
      </c>
      <c r="W1374" s="1">
        <v>44211.347060185188</v>
      </c>
      <c r="X1374">
        <v>458</v>
      </c>
      <c r="Y1374">
        <v>68</v>
      </c>
      <c r="Z1374">
        <v>0</v>
      </c>
      <c r="AA1374">
        <v>68</v>
      </c>
      <c r="AB1374">
        <v>0</v>
      </c>
      <c r="AC1374">
        <v>15</v>
      </c>
      <c r="AD1374">
        <v>34</v>
      </c>
      <c r="AE1374">
        <v>0</v>
      </c>
      <c r="AF1374">
        <v>0</v>
      </c>
      <c r="AG1374">
        <v>0</v>
      </c>
      <c r="AH1374" t="s">
        <v>89</v>
      </c>
      <c r="AI1374" s="1">
        <v>44211.356458333335</v>
      </c>
      <c r="AJ1374">
        <v>622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34</v>
      </c>
      <c r="AQ1374">
        <v>0</v>
      </c>
      <c r="AR1374">
        <v>0</v>
      </c>
      <c r="AS1374">
        <v>0</v>
      </c>
      <c r="AT1374" t="s">
        <v>90</v>
      </c>
      <c r="AU1374" s="1">
        <v>44211.357442129629</v>
      </c>
      <c r="AV1374">
        <v>15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34</v>
      </c>
      <c r="BC1374">
        <v>0</v>
      </c>
      <c r="BD1374">
        <v>0</v>
      </c>
      <c r="BE1374">
        <v>0</v>
      </c>
    </row>
    <row r="1375" spans="1:57" hidden="1" x14ac:dyDescent="0.45">
      <c r="A1375" t="s">
        <v>3434</v>
      </c>
      <c r="B1375" t="s">
        <v>79</v>
      </c>
      <c r="C1375" t="s">
        <v>2988</v>
      </c>
      <c r="D1375" t="s">
        <v>81</v>
      </c>
      <c r="E1375" s="2" t="str">
        <f>HYPERLINK("capsilon://?command=openfolder&amp;siteaddress=FAM.docvelocity-na8.net&amp;folderid=FXFB98C11D-2D64-017C-52DA-45504BAB168A","FX201111797")</f>
        <v>FX201111797</v>
      </c>
      <c r="F1375" t="s">
        <v>19</v>
      </c>
      <c r="G1375" t="s">
        <v>19</v>
      </c>
      <c r="H1375" t="s">
        <v>82</v>
      </c>
      <c r="I1375" t="s">
        <v>3435</v>
      </c>
      <c r="J1375">
        <v>66</v>
      </c>
      <c r="K1375" t="s">
        <v>84</v>
      </c>
      <c r="L1375" t="s">
        <v>85</v>
      </c>
      <c r="M1375" t="s">
        <v>86</v>
      </c>
      <c r="N1375">
        <v>3</v>
      </c>
      <c r="O1375" s="1">
        <v>44211.352673611109</v>
      </c>
      <c r="P1375" s="1">
        <v>44211.370069444441</v>
      </c>
      <c r="Q1375">
        <v>1332</v>
      </c>
      <c r="R1375">
        <v>171</v>
      </c>
      <c r="S1375" t="b">
        <v>0</v>
      </c>
      <c r="T1375" t="s">
        <v>87</v>
      </c>
      <c r="U1375" t="b">
        <v>0</v>
      </c>
      <c r="V1375" t="s">
        <v>98</v>
      </c>
      <c r="W1375" s="1">
        <v>44211.354027777779</v>
      </c>
      <c r="X1375">
        <v>116</v>
      </c>
      <c r="Y1375">
        <v>0</v>
      </c>
      <c r="Z1375">
        <v>0</v>
      </c>
      <c r="AA1375">
        <v>0</v>
      </c>
      <c r="AB1375">
        <v>52</v>
      </c>
      <c r="AC1375">
        <v>0</v>
      </c>
      <c r="AD1375">
        <v>66</v>
      </c>
      <c r="AE1375">
        <v>0</v>
      </c>
      <c r="AF1375">
        <v>0</v>
      </c>
      <c r="AG1375">
        <v>0</v>
      </c>
      <c r="AH1375" t="s">
        <v>89</v>
      </c>
      <c r="AI1375" s="1">
        <v>44211.369270833333</v>
      </c>
      <c r="AJ1375">
        <v>52</v>
      </c>
      <c r="AK1375">
        <v>0</v>
      </c>
      <c r="AL1375">
        <v>0</v>
      </c>
      <c r="AM1375">
        <v>0</v>
      </c>
      <c r="AN1375">
        <v>52</v>
      </c>
      <c r="AO1375">
        <v>0</v>
      </c>
      <c r="AP1375">
        <v>66</v>
      </c>
      <c r="AQ1375">
        <v>0</v>
      </c>
      <c r="AR1375">
        <v>0</v>
      </c>
      <c r="AS1375">
        <v>0</v>
      </c>
      <c r="AT1375" t="s">
        <v>90</v>
      </c>
      <c r="AU1375" s="1">
        <v>44211.370069444441</v>
      </c>
      <c r="AV1375">
        <v>3</v>
      </c>
      <c r="AW1375">
        <v>0</v>
      </c>
      <c r="AX1375">
        <v>0</v>
      </c>
      <c r="AY1375">
        <v>0</v>
      </c>
      <c r="AZ1375">
        <v>52</v>
      </c>
      <c r="BA1375">
        <v>0</v>
      </c>
      <c r="BB1375">
        <v>66</v>
      </c>
      <c r="BC1375">
        <v>0</v>
      </c>
      <c r="BD1375">
        <v>0</v>
      </c>
      <c r="BE1375">
        <v>0</v>
      </c>
    </row>
    <row r="1376" spans="1:57" x14ac:dyDescent="0.45">
      <c r="A1376" t="s">
        <v>3436</v>
      </c>
      <c r="B1376" t="s">
        <v>79</v>
      </c>
      <c r="C1376" t="s">
        <v>3437</v>
      </c>
      <c r="D1376" t="s">
        <v>81</v>
      </c>
      <c r="E1376" s="2" t="str">
        <f>HYPERLINK("capsilon://?command=openfolder&amp;siteaddress=FAM.docvelocity-na8.net&amp;folderid=FX66824559-2A6D-3FE1-81BA-5CC0276674E0","FX201227999")</f>
        <v>FX201227999</v>
      </c>
      <c r="F1376" t="s">
        <v>19</v>
      </c>
      <c r="G1376" t="s">
        <v>19</v>
      </c>
      <c r="H1376" t="s">
        <v>82</v>
      </c>
      <c r="I1376" t="s">
        <v>3438</v>
      </c>
      <c r="J1376">
        <v>66</v>
      </c>
      <c r="K1376" t="s">
        <v>84</v>
      </c>
      <c r="L1376" t="s">
        <v>85</v>
      </c>
      <c r="M1376" t="s">
        <v>86</v>
      </c>
      <c r="N1376">
        <v>3</v>
      </c>
      <c r="O1376" s="1">
        <v>44211.353252314817</v>
      </c>
      <c r="P1376" s="1">
        <v>44211.412280092591</v>
      </c>
      <c r="Q1376">
        <v>2552</v>
      </c>
      <c r="R1376">
        <v>2548</v>
      </c>
      <c r="S1376" t="b">
        <v>0</v>
      </c>
      <c r="T1376" t="s">
        <v>87</v>
      </c>
      <c r="U1376" t="b">
        <v>0</v>
      </c>
      <c r="V1376" t="s">
        <v>919</v>
      </c>
      <c r="W1376" s="1">
        <v>44211.374872685185</v>
      </c>
      <c r="X1376">
        <v>1859</v>
      </c>
      <c r="Y1376">
        <v>52</v>
      </c>
      <c r="Z1376">
        <v>0</v>
      </c>
      <c r="AA1376">
        <v>52</v>
      </c>
      <c r="AB1376">
        <v>0</v>
      </c>
      <c r="AC1376">
        <v>18</v>
      </c>
      <c r="AD1376">
        <v>14</v>
      </c>
      <c r="AE1376">
        <v>0</v>
      </c>
      <c r="AF1376">
        <v>0</v>
      </c>
      <c r="AG1376">
        <v>0</v>
      </c>
      <c r="AH1376" t="s">
        <v>89</v>
      </c>
      <c r="AI1376" s="1">
        <v>44211.386458333334</v>
      </c>
      <c r="AJ1376">
        <v>610</v>
      </c>
      <c r="AK1376">
        <v>2</v>
      </c>
      <c r="AL1376">
        <v>0</v>
      </c>
      <c r="AM1376">
        <v>2</v>
      </c>
      <c r="AN1376">
        <v>0</v>
      </c>
      <c r="AO1376">
        <v>1</v>
      </c>
      <c r="AP1376">
        <v>12</v>
      </c>
      <c r="AQ1376">
        <v>0</v>
      </c>
      <c r="AR1376">
        <v>0</v>
      </c>
      <c r="AS1376">
        <v>0</v>
      </c>
      <c r="AT1376" t="s">
        <v>90</v>
      </c>
      <c r="AU1376" s="1">
        <v>44211.412280092591</v>
      </c>
      <c r="AV1376">
        <v>64</v>
      </c>
      <c r="AW1376">
        <v>1</v>
      </c>
      <c r="AX1376">
        <v>0</v>
      </c>
      <c r="AY1376">
        <v>1</v>
      </c>
      <c r="AZ1376">
        <v>0</v>
      </c>
      <c r="BA1376">
        <v>1</v>
      </c>
      <c r="BB1376">
        <v>11</v>
      </c>
      <c r="BC1376">
        <v>0</v>
      </c>
      <c r="BD1376">
        <v>0</v>
      </c>
      <c r="BE1376">
        <v>0</v>
      </c>
    </row>
    <row r="1377" spans="1:57" x14ac:dyDescent="0.45">
      <c r="A1377" t="s">
        <v>3439</v>
      </c>
      <c r="B1377" t="s">
        <v>79</v>
      </c>
      <c r="C1377" t="s">
        <v>2744</v>
      </c>
      <c r="D1377" t="s">
        <v>81</v>
      </c>
      <c r="E1377" s="2" t="str">
        <f>HYPERLINK("capsilon://?command=openfolder&amp;siteaddress=FAM.docvelocity-na8.net&amp;folderid=FXF693C463-4173-8D9A-05D3-17DC11917528","FX20123126")</f>
        <v>FX20123126</v>
      </c>
      <c r="F1377" t="s">
        <v>19</v>
      </c>
      <c r="G1377" t="s">
        <v>19</v>
      </c>
      <c r="H1377" t="s">
        <v>82</v>
      </c>
      <c r="I1377" t="s">
        <v>3440</v>
      </c>
      <c r="J1377">
        <v>66</v>
      </c>
      <c r="K1377" t="s">
        <v>84</v>
      </c>
      <c r="L1377" t="s">
        <v>85</v>
      </c>
      <c r="M1377" t="s">
        <v>86</v>
      </c>
      <c r="N1377">
        <v>3</v>
      </c>
      <c r="O1377" s="1">
        <v>44211.353414351855</v>
      </c>
      <c r="P1377" s="1">
        <v>44211.381238425929</v>
      </c>
      <c r="Q1377">
        <v>564</v>
      </c>
      <c r="R1377">
        <v>1840</v>
      </c>
      <c r="S1377" t="b">
        <v>0</v>
      </c>
      <c r="T1377" t="s">
        <v>87</v>
      </c>
      <c r="U1377" t="b">
        <v>0</v>
      </c>
      <c r="V1377" t="s">
        <v>98</v>
      </c>
      <c r="W1377" s="1">
        <v>44211.36513888889</v>
      </c>
      <c r="X1377">
        <v>959</v>
      </c>
      <c r="Y1377">
        <v>52</v>
      </c>
      <c r="Z1377">
        <v>0</v>
      </c>
      <c r="AA1377">
        <v>52</v>
      </c>
      <c r="AB1377">
        <v>0</v>
      </c>
      <c r="AC1377">
        <v>36</v>
      </c>
      <c r="AD1377">
        <v>14</v>
      </c>
      <c r="AE1377">
        <v>0</v>
      </c>
      <c r="AF1377">
        <v>0</v>
      </c>
      <c r="AG1377">
        <v>0</v>
      </c>
      <c r="AH1377" t="s">
        <v>89</v>
      </c>
      <c r="AI1377" s="1">
        <v>44211.379386574074</v>
      </c>
      <c r="AJ1377">
        <v>873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14</v>
      </c>
      <c r="AQ1377">
        <v>0</v>
      </c>
      <c r="AR1377">
        <v>0</v>
      </c>
      <c r="AS1377">
        <v>0</v>
      </c>
      <c r="AT1377" t="s">
        <v>90</v>
      </c>
      <c r="AU1377" s="1">
        <v>44211.381238425929</v>
      </c>
      <c r="AV1377">
        <v>8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14</v>
      </c>
      <c r="BC1377">
        <v>0</v>
      </c>
      <c r="BD1377">
        <v>0</v>
      </c>
      <c r="BE1377">
        <v>0</v>
      </c>
    </row>
    <row r="1378" spans="1:57" x14ac:dyDescent="0.45">
      <c r="A1378" t="s">
        <v>3441</v>
      </c>
      <c r="B1378" t="s">
        <v>79</v>
      </c>
      <c r="C1378" t="s">
        <v>838</v>
      </c>
      <c r="D1378" t="s">
        <v>81</v>
      </c>
      <c r="E1378" s="2" t="str">
        <f>HYPERLINK("capsilon://?command=openfolder&amp;siteaddress=FAM.docvelocity-na8.net&amp;folderid=FXED508936-55F9-6FF2-5307-E7112D2D77E6","FX2101978")</f>
        <v>FX2101978</v>
      </c>
      <c r="F1378" t="s">
        <v>19</v>
      </c>
      <c r="G1378" t="s">
        <v>19</v>
      </c>
      <c r="H1378" t="s">
        <v>82</v>
      </c>
      <c r="I1378" t="s">
        <v>3442</v>
      </c>
      <c r="J1378">
        <v>38</v>
      </c>
      <c r="K1378" t="s">
        <v>84</v>
      </c>
      <c r="L1378" t="s">
        <v>85</v>
      </c>
      <c r="M1378" t="s">
        <v>86</v>
      </c>
      <c r="N1378">
        <v>3</v>
      </c>
      <c r="O1378" s="1">
        <v>44211.365520833337</v>
      </c>
      <c r="P1378" s="1">
        <v>44211.412407407406</v>
      </c>
      <c r="Q1378">
        <v>2879</v>
      </c>
      <c r="R1378">
        <v>1172</v>
      </c>
      <c r="S1378" t="b">
        <v>0</v>
      </c>
      <c r="T1378" t="s">
        <v>87</v>
      </c>
      <c r="U1378" t="b">
        <v>0</v>
      </c>
      <c r="V1378" t="s">
        <v>88</v>
      </c>
      <c r="W1378" s="1">
        <v>44211.378611111111</v>
      </c>
      <c r="X1378">
        <v>795</v>
      </c>
      <c r="Y1378">
        <v>37</v>
      </c>
      <c r="Z1378">
        <v>0</v>
      </c>
      <c r="AA1378">
        <v>37</v>
      </c>
      <c r="AB1378">
        <v>0</v>
      </c>
      <c r="AC1378">
        <v>23</v>
      </c>
      <c r="AD1378">
        <v>1</v>
      </c>
      <c r="AE1378">
        <v>0</v>
      </c>
      <c r="AF1378">
        <v>0</v>
      </c>
      <c r="AG1378">
        <v>0</v>
      </c>
      <c r="AH1378" t="s">
        <v>89</v>
      </c>
      <c r="AI1378" s="1">
        <v>44211.398831018516</v>
      </c>
      <c r="AJ1378">
        <v>353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 t="s">
        <v>90</v>
      </c>
      <c r="AU1378" s="1">
        <v>44211.412407407406</v>
      </c>
      <c r="AV1378">
        <v>11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0</v>
      </c>
    </row>
    <row r="1379" spans="1:57" hidden="1" x14ac:dyDescent="0.45">
      <c r="A1379" t="s">
        <v>3443</v>
      </c>
      <c r="B1379" t="s">
        <v>79</v>
      </c>
      <c r="C1379" t="s">
        <v>3444</v>
      </c>
      <c r="D1379" t="s">
        <v>81</v>
      </c>
      <c r="E1379" s="2" t="str">
        <f>HYPERLINK("capsilon://?command=openfolder&amp;siteaddress=FAM.docvelocity-na8.net&amp;folderid=FXAA0B6A5C-2FD0-FCFA-C012-47806C0DD42C","FX201222970")</f>
        <v>FX201222970</v>
      </c>
      <c r="F1379" t="s">
        <v>19</v>
      </c>
      <c r="G1379" t="s">
        <v>19</v>
      </c>
      <c r="H1379" t="s">
        <v>82</v>
      </c>
      <c r="I1379" t="s">
        <v>3445</v>
      </c>
      <c r="J1379">
        <v>66</v>
      </c>
      <c r="K1379" t="s">
        <v>84</v>
      </c>
      <c r="L1379" t="s">
        <v>85</v>
      </c>
      <c r="M1379" t="s">
        <v>86</v>
      </c>
      <c r="N1379">
        <v>1</v>
      </c>
      <c r="O1379" s="1">
        <v>44211.370266203703</v>
      </c>
      <c r="P1379" s="1">
        <v>44211.373240740744</v>
      </c>
      <c r="Q1379">
        <v>103</v>
      </c>
      <c r="R1379">
        <v>154</v>
      </c>
      <c r="S1379" t="b">
        <v>0</v>
      </c>
      <c r="T1379" t="s">
        <v>87</v>
      </c>
      <c r="U1379" t="b">
        <v>0</v>
      </c>
      <c r="V1379" t="s">
        <v>112</v>
      </c>
      <c r="W1379" s="1">
        <v>44211.373240740744</v>
      </c>
      <c r="X1379">
        <v>154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66</v>
      </c>
      <c r="AE1379">
        <v>52</v>
      </c>
      <c r="AF1379">
        <v>0</v>
      </c>
      <c r="AG1379">
        <v>1</v>
      </c>
      <c r="AH1379" t="s">
        <v>87</v>
      </c>
      <c r="AI1379" t="s">
        <v>87</v>
      </c>
      <c r="AJ1379" t="s">
        <v>87</v>
      </c>
      <c r="AK1379" t="s">
        <v>87</v>
      </c>
      <c r="AL1379" t="s">
        <v>87</v>
      </c>
      <c r="AM1379" t="s">
        <v>87</v>
      </c>
      <c r="AN1379" t="s">
        <v>87</v>
      </c>
      <c r="AO1379" t="s">
        <v>87</v>
      </c>
      <c r="AP1379" t="s">
        <v>87</v>
      </c>
      <c r="AQ1379" t="s">
        <v>87</v>
      </c>
      <c r="AR1379" t="s">
        <v>87</v>
      </c>
      <c r="AS1379" t="s">
        <v>87</v>
      </c>
      <c r="AT1379" t="s">
        <v>87</v>
      </c>
      <c r="AU1379" t="s">
        <v>87</v>
      </c>
      <c r="AV1379" t="s">
        <v>87</v>
      </c>
      <c r="AW1379" t="s">
        <v>87</v>
      </c>
      <c r="AX1379" t="s">
        <v>87</v>
      </c>
      <c r="AY1379" t="s">
        <v>87</v>
      </c>
      <c r="AZ1379" t="s">
        <v>87</v>
      </c>
      <c r="BA1379" t="s">
        <v>87</v>
      </c>
      <c r="BB1379" t="s">
        <v>87</v>
      </c>
      <c r="BC1379" t="s">
        <v>87</v>
      </c>
      <c r="BD1379" t="s">
        <v>87</v>
      </c>
      <c r="BE1379" t="s">
        <v>87</v>
      </c>
    </row>
    <row r="1380" spans="1:57" x14ac:dyDescent="0.45">
      <c r="A1380" t="s">
        <v>3446</v>
      </c>
      <c r="B1380" t="s">
        <v>79</v>
      </c>
      <c r="C1380" t="s">
        <v>3444</v>
      </c>
      <c r="D1380" t="s">
        <v>81</v>
      </c>
      <c r="E1380" s="2" t="str">
        <f>HYPERLINK("capsilon://?command=openfolder&amp;siteaddress=FAM.docvelocity-na8.net&amp;folderid=FXAA0B6A5C-2FD0-FCFA-C012-47806C0DD42C","FX201222970")</f>
        <v>FX201222970</v>
      </c>
      <c r="F1380" t="s">
        <v>19</v>
      </c>
      <c r="G1380" t="s">
        <v>19</v>
      </c>
      <c r="H1380" t="s">
        <v>82</v>
      </c>
      <c r="I1380" t="s">
        <v>3445</v>
      </c>
      <c r="J1380">
        <v>38</v>
      </c>
      <c r="K1380" t="s">
        <v>84</v>
      </c>
      <c r="L1380" t="s">
        <v>85</v>
      </c>
      <c r="M1380" t="s">
        <v>86</v>
      </c>
      <c r="N1380">
        <v>3</v>
      </c>
      <c r="O1380" s="1">
        <v>44211.373460648145</v>
      </c>
      <c r="P1380" s="1">
        <v>44211.411527777775</v>
      </c>
      <c r="Q1380">
        <v>1887</v>
      </c>
      <c r="R1380">
        <v>1402</v>
      </c>
      <c r="S1380" t="b">
        <v>0</v>
      </c>
      <c r="T1380" t="s">
        <v>87</v>
      </c>
      <c r="U1380" t="b">
        <v>1</v>
      </c>
      <c r="V1380" t="s">
        <v>112</v>
      </c>
      <c r="W1380" s="1">
        <v>44211.381157407406</v>
      </c>
      <c r="X1380">
        <v>663</v>
      </c>
      <c r="Y1380">
        <v>37</v>
      </c>
      <c r="Z1380">
        <v>0</v>
      </c>
      <c r="AA1380">
        <v>37</v>
      </c>
      <c r="AB1380">
        <v>0</v>
      </c>
      <c r="AC1380">
        <v>35</v>
      </c>
      <c r="AD1380">
        <v>1</v>
      </c>
      <c r="AE1380">
        <v>0</v>
      </c>
      <c r="AF1380">
        <v>0</v>
      </c>
      <c r="AG1380">
        <v>0</v>
      </c>
      <c r="AH1380" t="s">
        <v>89</v>
      </c>
      <c r="AI1380" s="1">
        <v>44211.394733796296</v>
      </c>
      <c r="AJ1380">
        <v>714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 t="s">
        <v>90</v>
      </c>
      <c r="AU1380" s="1">
        <v>44211.411527777775</v>
      </c>
      <c r="AV1380">
        <v>5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</row>
    <row r="1381" spans="1:57" x14ac:dyDescent="0.45">
      <c r="A1381" t="s">
        <v>3447</v>
      </c>
      <c r="B1381" t="s">
        <v>79</v>
      </c>
      <c r="C1381" t="s">
        <v>3448</v>
      </c>
      <c r="D1381" t="s">
        <v>81</v>
      </c>
      <c r="E1381" s="2" t="str">
        <f>HYPERLINK("capsilon://?command=openfolder&amp;siteaddress=FAM.docvelocity-na8.net&amp;folderid=FX23B28D06-1D2B-5266-27DB-F940DD03C160","FX21016958")</f>
        <v>FX21016958</v>
      </c>
      <c r="F1381" t="s">
        <v>19</v>
      </c>
      <c r="G1381" t="s">
        <v>19</v>
      </c>
      <c r="H1381" t="s">
        <v>82</v>
      </c>
      <c r="I1381" t="s">
        <v>3449</v>
      </c>
      <c r="J1381">
        <v>145</v>
      </c>
      <c r="K1381" t="s">
        <v>84</v>
      </c>
      <c r="L1381" t="s">
        <v>85</v>
      </c>
      <c r="M1381" t="s">
        <v>86</v>
      </c>
      <c r="N1381">
        <v>3</v>
      </c>
      <c r="O1381" s="1">
        <v>44211.374768518515</v>
      </c>
      <c r="P1381" s="1">
        <v>44211.478321759256</v>
      </c>
      <c r="Q1381">
        <v>3842</v>
      </c>
      <c r="R1381">
        <v>5105</v>
      </c>
      <c r="S1381" t="b">
        <v>0</v>
      </c>
      <c r="T1381" t="s">
        <v>87</v>
      </c>
      <c r="U1381" t="b">
        <v>0</v>
      </c>
      <c r="V1381" t="s">
        <v>919</v>
      </c>
      <c r="W1381" s="1">
        <v>44211.413645833331</v>
      </c>
      <c r="X1381">
        <v>3349</v>
      </c>
      <c r="Y1381">
        <v>219</v>
      </c>
      <c r="Z1381">
        <v>0</v>
      </c>
      <c r="AA1381">
        <v>219</v>
      </c>
      <c r="AB1381">
        <v>0</v>
      </c>
      <c r="AC1381">
        <v>150</v>
      </c>
      <c r="AD1381">
        <v>-74</v>
      </c>
      <c r="AE1381">
        <v>0</v>
      </c>
      <c r="AF1381">
        <v>0</v>
      </c>
      <c r="AG1381">
        <v>0</v>
      </c>
      <c r="AH1381" t="s">
        <v>108</v>
      </c>
      <c r="AI1381" s="1">
        <v>44211.459467592591</v>
      </c>
      <c r="AJ1381">
        <v>1708</v>
      </c>
      <c r="AK1381">
        <v>12</v>
      </c>
      <c r="AL1381">
        <v>0</v>
      </c>
      <c r="AM1381">
        <v>12</v>
      </c>
      <c r="AN1381">
        <v>0</v>
      </c>
      <c r="AO1381">
        <v>11</v>
      </c>
      <c r="AP1381">
        <v>-86</v>
      </c>
      <c r="AQ1381">
        <v>0</v>
      </c>
      <c r="AR1381">
        <v>0</v>
      </c>
      <c r="AS1381">
        <v>0</v>
      </c>
      <c r="AT1381" t="s">
        <v>90</v>
      </c>
      <c r="AU1381" s="1">
        <v>44211.478321759256</v>
      </c>
      <c r="AV1381">
        <v>48</v>
      </c>
      <c r="AW1381">
        <v>3</v>
      </c>
      <c r="AX1381">
        <v>0</v>
      </c>
      <c r="AY1381">
        <v>3</v>
      </c>
      <c r="AZ1381">
        <v>0</v>
      </c>
      <c r="BA1381">
        <v>3</v>
      </c>
      <c r="BB1381">
        <v>-89</v>
      </c>
      <c r="BC1381">
        <v>0</v>
      </c>
      <c r="BD1381">
        <v>0</v>
      </c>
      <c r="BE1381">
        <v>0</v>
      </c>
    </row>
    <row r="1382" spans="1:57" hidden="1" x14ac:dyDescent="0.45">
      <c r="A1382" t="s">
        <v>3450</v>
      </c>
      <c r="B1382" t="s">
        <v>79</v>
      </c>
      <c r="C1382" t="s">
        <v>3451</v>
      </c>
      <c r="D1382" t="s">
        <v>81</v>
      </c>
      <c r="E1382" s="2" t="str">
        <f>HYPERLINK("capsilon://?command=openfolder&amp;siteaddress=FAM.docvelocity-na8.net&amp;folderid=FXC38983E1-4B1A-FD5E-CF9E-A8D02E884564","FX21018504")</f>
        <v>FX21018504</v>
      </c>
      <c r="F1382" t="s">
        <v>19</v>
      </c>
      <c r="G1382" t="s">
        <v>19</v>
      </c>
      <c r="H1382" t="s">
        <v>82</v>
      </c>
      <c r="I1382" t="s">
        <v>3452</v>
      </c>
      <c r="J1382">
        <v>234</v>
      </c>
      <c r="K1382" t="s">
        <v>84</v>
      </c>
      <c r="L1382" t="s">
        <v>85</v>
      </c>
      <c r="M1382" t="s">
        <v>86</v>
      </c>
      <c r="N1382">
        <v>1</v>
      </c>
      <c r="O1382" s="1">
        <v>44211.377615740741</v>
      </c>
      <c r="P1382" s="1">
        <v>44211.388333333336</v>
      </c>
      <c r="Q1382">
        <v>87</v>
      </c>
      <c r="R1382">
        <v>839</v>
      </c>
      <c r="S1382" t="b">
        <v>0</v>
      </c>
      <c r="T1382" t="s">
        <v>87</v>
      </c>
      <c r="U1382" t="b">
        <v>0</v>
      </c>
      <c r="V1382" t="s">
        <v>88</v>
      </c>
      <c r="W1382" s="1">
        <v>44211.388333333336</v>
      </c>
      <c r="X1382">
        <v>839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234</v>
      </c>
      <c r="AE1382">
        <v>215</v>
      </c>
      <c r="AF1382">
        <v>2</v>
      </c>
      <c r="AG1382">
        <v>6</v>
      </c>
      <c r="AH1382" t="s">
        <v>87</v>
      </c>
      <c r="AI1382" t="s">
        <v>87</v>
      </c>
      <c r="AJ1382" t="s">
        <v>87</v>
      </c>
      <c r="AK1382" t="s">
        <v>87</v>
      </c>
      <c r="AL1382" t="s">
        <v>87</v>
      </c>
      <c r="AM1382" t="s">
        <v>87</v>
      </c>
      <c r="AN1382" t="s">
        <v>87</v>
      </c>
      <c r="AO1382" t="s">
        <v>87</v>
      </c>
      <c r="AP1382" t="s">
        <v>87</v>
      </c>
      <c r="AQ1382" t="s">
        <v>87</v>
      </c>
      <c r="AR1382" t="s">
        <v>87</v>
      </c>
      <c r="AS1382" t="s">
        <v>87</v>
      </c>
      <c r="AT1382" t="s">
        <v>87</v>
      </c>
      <c r="AU1382" t="s">
        <v>87</v>
      </c>
      <c r="AV1382" t="s">
        <v>87</v>
      </c>
      <c r="AW1382" t="s">
        <v>87</v>
      </c>
      <c r="AX1382" t="s">
        <v>87</v>
      </c>
      <c r="AY1382" t="s">
        <v>87</v>
      </c>
      <c r="AZ1382" t="s">
        <v>87</v>
      </c>
      <c r="BA1382" t="s">
        <v>87</v>
      </c>
      <c r="BB1382" t="s">
        <v>87</v>
      </c>
      <c r="BC1382" t="s">
        <v>87</v>
      </c>
      <c r="BD1382" t="s">
        <v>87</v>
      </c>
      <c r="BE1382" t="s">
        <v>87</v>
      </c>
    </row>
    <row r="1383" spans="1:57" x14ac:dyDescent="0.45">
      <c r="A1383" t="s">
        <v>3453</v>
      </c>
      <c r="B1383" t="s">
        <v>79</v>
      </c>
      <c r="C1383" t="s">
        <v>690</v>
      </c>
      <c r="D1383" t="s">
        <v>81</v>
      </c>
      <c r="E1383" s="2" t="str">
        <f>HYPERLINK("capsilon://?command=openfolder&amp;siteaddress=FAM.docvelocity-na8.net&amp;folderid=FX4251DFEF-6A7A-1F32-6E0F-4C8AE9C5F515","FX201227021")</f>
        <v>FX201227021</v>
      </c>
      <c r="F1383" t="s">
        <v>19</v>
      </c>
      <c r="G1383" t="s">
        <v>19</v>
      </c>
      <c r="H1383" t="s">
        <v>82</v>
      </c>
      <c r="I1383" t="s">
        <v>3454</v>
      </c>
      <c r="J1383">
        <v>66</v>
      </c>
      <c r="K1383" t="s">
        <v>84</v>
      </c>
      <c r="L1383" t="s">
        <v>85</v>
      </c>
      <c r="M1383" t="s">
        <v>86</v>
      </c>
      <c r="N1383">
        <v>3</v>
      </c>
      <c r="O1383" s="1">
        <v>44211.379733796297</v>
      </c>
      <c r="P1383" s="1">
        <v>44211.412893518522</v>
      </c>
      <c r="Q1383">
        <v>910</v>
      </c>
      <c r="R1383">
        <v>1955</v>
      </c>
      <c r="S1383" t="b">
        <v>0</v>
      </c>
      <c r="T1383" t="s">
        <v>87</v>
      </c>
      <c r="U1383" t="b">
        <v>0</v>
      </c>
      <c r="V1383" t="s">
        <v>112</v>
      </c>
      <c r="W1383" s="1">
        <v>44211.395277777781</v>
      </c>
      <c r="X1383">
        <v>1219</v>
      </c>
      <c r="Y1383">
        <v>52</v>
      </c>
      <c r="Z1383">
        <v>0</v>
      </c>
      <c r="AA1383">
        <v>52</v>
      </c>
      <c r="AB1383">
        <v>0</v>
      </c>
      <c r="AC1383">
        <v>29</v>
      </c>
      <c r="AD1383">
        <v>14</v>
      </c>
      <c r="AE1383">
        <v>0</v>
      </c>
      <c r="AF1383">
        <v>0</v>
      </c>
      <c r="AG1383">
        <v>0</v>
      </c>
      <c r="AH1383" t="s">
        <v>89</v>
      </c>
      <c r="AI1383" s="1">
        <v>44211.406875000001</v>
      </c>
      <c r="AJ1383">
        <v>694</v>
      </c>
      <c r="AK1383">
        <v>2</v>
      </c>
      <c r="AL1383">
        <v>0</v>
      </c>
      <c r="AM1383">
        <v>2</v>
      </c>
      <c r="AN1383">
        <v>0</v>
      </c>
      <c r="AO1383">
        <v>1</v>
      </c>
      <c r="AP1383">
        <v>12</v>
      </c>
      <c r="AQ1383">
        <v>0</v>
      </c>
      <c r="AR1383">
        <v>0</v>
      </c>
      <c r="AS1383">
        <v>0</v>
      </c>
      <c r="AT1383" t="s">
        <v>90</v>
      </c>
      <c r="AU1383" s="1">
        <v>44211.412893518522</v>
      </c>
      <c r="AV1383">
        <v>42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12</v>
      </c>
      <c r="BC1383">
        <v>0</v>
      </c>
      <c r="BD1383">
        <v>0</v>
      </c>
      <c r="BE1383">
        <v>0</v>
      </c>
    </row>
    <row r="1384" spans="1:57" x14ac:dyDescent="0.45">
      <c r="A1384" t="s">
        <v>3455</v>
      </c>
      <c r="B1384" t="s">
        <v>79</v>
      </c>
      <c r="C1384" t="s">
        <v>3456</v>
      </c>
      <c r="D1384" t="s">
        <v>81</v>
      </c>
      <c r="E1384" s="2" t="str">
        <f>HYPERLINK("capsilon://?command=openfolder&amp;siteaddress=FAM.docvelocity-na8.net&amp;folderid=FX8CDA4853-0274-1B85-B5C4-9F1D02886095","FX20122767")</f>
        <v>FX20122767</v>
      </c>
      <c r="F1384" t="s">
        <v>19</v>
      </c>
      <c r="G1384" t="s">
        <v>19</v>
      </c>
      <c r="H1384" t="s">
        <v>82</v>
      </c>
      <c r="I1384" t="s">
        <v>3457</v>
      </c>
      <c r="J1384">
        <v>209</v>
      </c>
      <c r="K1384" t="s">
        <v>84</v>
      </c>
      <c r="L1384" t="s">
        <v>85</v>
      </c>
      <c r="M1384" t="s">
        <v>86</v>
      </c>
      <c r="N1384">
        <v>3</v>
      </c>
      <c r="O1384" s="1">
        <v>44211.386770833335</v>
      </c>
      <c r="P1384" s="1">
        <v>44211.478541666664</v>
      </c>
      <c r="Q1384">
        <v>1273</v>
      </c>
      <c r="R1384">
        <v>6656</v>
      </c>
      <c r="S1384" t="b">
        <v>0</v>
      </c>
      <c r="T1384" t="s">
        <v>87</v>
      </c>
      <c r="U1384" t="b">
        <v>0</v>
      </c>
      <c r="V1384" t="s">
        <v>98</v>
      </c>
      <c r="W1384" s="1">
        <v>44211.430347222224</v>
      </c>
      <c r="X1384">
        <v>3765</v>
      </c>
      <c r="Y1384">
        <v>193</v>
      </c>
      <c r="Z1384">
        <v>0</v>
      </c>
      <c r="AA1384">
        <v>193</v>
      </c>
      <c r="AB1384">
        <v>0</v>
      </c>
      <c r="AC1384">
        <v>167</v>
      </c>
      <c r="AD1384">
        <v>16</v>
      </c>
      <c r="AE1384">
        <v>0</v>
      </c>
      <c r="AF1384">
        <v>0</v>
      </c>
      <c r="AG1384">
        <v>0</v>
      </c>
      <c r="AH1384" t="s">
        <v>89</v>
      </c>
      <c r="AI1384" s="1">
        <v>44211.473344907405</v>
      </c>
      <c r="AJ1384">
        <v>2873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16</v>
      </c>
      <c r="AQ1384">
        <v>0</v>
      </c>
      <c r="AR1384">
        <v>0</v>
      </c>
      <c r="AS1384">
        <v>0</v>
      </c>
      <c r="AT1384" t="s">
        <v>90</v>
      </c>
      <c r="AU1384" s="1">
        <v>44211.478541666664</v>
      </c>
      <c r="AV1384">
        <v>18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16</v>
      </c>
      <c r="BC1384">
        <v>0</v>
      </c>
      <c r="BD1384">
        <v>0</v>
      </c>
      <c r="BE1384">
        <v>0</v>
      </c>
    </row>
    <row r="1385" spans="1:57" x14ac:dyDescent="0.45">
      <c r="A1385" t="s">
        <v>3458</v>
      </c>
      <c r="B1385" t="s">
        <v>79</v>
      </c>
      <c r="C1385" t="s">
        <v>3451</v>
      </c>
      <c r="D1385" t="s">
        <v>81</v>
      </c>
      <c r="E1385" s="2" t="str">
        <f>HYPERLINK("capsilon://?command=openfolder&amp;siteaddress=FAM.docvelocity-na8.net&amp;folderid=FXC38983E1-4B1A-FD5E-CF9E-A8D02E884564","FX21018504")</f>
        <v>FX21018504</v>
      </c>
      <c r="F1385" t="s">
        <v>19</v>
      </c>
      <c r="G1385" t="s">
        <v>19</v>
      </c>
      <c r="H1385" t="s">
        <v>82</v>
      </c>
      <c r="I1385" t="s">
        <v>3452</v>
      </c>
      <c r="J1385">
        <v>180</v>
      </c>
      <c r="K1385" t="s">
        <v>84</v>
      </c>
      <c r="L1385" t="s">
        <v>85</v>
      </c>
      <c r="M1385" t="s">
        <v>86</v>
      </c>
      <c r="N1385">
        <v>3</v>
      </c>
      <c r="O1385" s="1">
        <v>44211.389652777776</v>
      </c>
      <c r="P1385" s="1">
        <v>44211.449236111112</v>
      </c>
      <c r="Q1385">
        <v>1407</v>
      </c>
      <c r="R1385">
        <v>3741</v>
      </c>
      <c r="S1385" t="b">
        <v>0</v>
      </c>
      <c r="T1385" t="s">
        <v>87</v>
      </c>
      <c r="U1385" t="b">
        <v>1</v>
      </c>
      <c r="V1385" t="s">
        <v>419</v>
      </c>
      <c r="W1385" s="1">
        <v>44211.415532407409</v>
      </c>
      <c r="X1385">
        <v>2235</v>
      </c>
      <c r="Y1385">
        <v>154</v>
      </c>
      <c r="Z1385">
        <v>0</v>
      </c>
      <c r="AA1385">
        <v>154</v>
      </c>
      <c r="AB1385">
        <v>6</v>
      </c>
      <c r="AC1385">
        <v>86</v>
      </c>
      <c r="AD1385">
        <v>26</v>
      </c>
      <c r="AE1385">
        <v>0</v>
      </c>
      <c r="AF1385">
        <v>0</v>
      </c>
      <c r="AG1385">
        <v>0</v>
      </c>
      <c r="AH1385" t="s">
        <v>89</v>
      </c>
      <c r="AI1385" s="1">
        <v>44211.440081018518</v>
      </c>
      <c r="AJ1385">
        <v>1465</v>
      </c>
      <c r="AK1385">
        <v>0</v>
      </c>
      <c r="AL1385">
        <v>0</v>
      </c>
      <c r="AM1385">
        <v>0</v>
      </c>
      <c r="AN1385">
        <v>6</v>
      </c>
      <c r="AO1385">
        <v>0</v>
      </c>
      <c r="AP1385">
        <v>26</v>
      </c>
      <c r="AQ1385">
        <v>0</v>
      </c>
      <c r="AR1385">
        <v>0</v>
      </c>
      <c r="AS1385">
        <v>0</v>
      </c>
      <c r="AT1385" t="s">
        <v>90</v>
      </c>
      <c r="AU1385" s="1">
        <v>44211.449236111112</v>
      </c>
      <c r="AV1385">
        <v>23</v>
      </c>
      <c r="AW1385">
        <v>0</v>
      </c>
      <c r="AX1385">
        <v>0</v>
      </c>
      <c r="AY1385">
        <v>0</v>
      </c>
      <c r="AZ1385">
        <v>6</v>
      </c>
      <c r="BA1385">
        <v>0</v>
      </c>
      <c r="BB1385">
        <v>26</v>
      </c>
      <c r="BC1385">
        <v>0</v>
      </c>
      <c r="BD1385">
        <v>0</v>
      </c>
      <c r="BE1385">
        <v>0</v>
      </c>
    </row>
    <row r="1386" spans="1:57" x14ac:dyDescent="0.45">
      <c r="A1386" t="s">
        <v>3459</v>
      </c>
      <c r="B1386" t="s">
        <v>79</v>
      </c>
      <c r="C1386" t="s">
        <v>3460</v>
      </c>
      <c r="D1386" t="s">
        <v>81</v>
      </c>
      <c r="E1386" s="2" t="str">
        <f>HYPERLINK("capsilon://?command=openfolder&amp;siteaddress=FAM.docvelocity-na8.net&amp;folderid=FXF1920E76-97B3-A699-BF65-331888450006","FX21018958")</f>
        <v>FX21018958</v>
      </c>
      <c r="F1386" t="s">
        <v>19</v>
      </c>
      <c r="G1386" t="s">
        <v>19</v>
      </c>
      <c r="H1386" t="s">
        <v>82</v>
      </c>
      <c r="I1386" t="s">
        <v>3461</v>
      </c>
      <c r="J1386">
        <v>323</v>
      </c>
      <c r="K1386" t="s">
        <v>84</v>
      </c>
      <c r="L1386" t="s">
        <v>85</v>
      </c>
      <c r="M1386" t="s">
        <v>86</v>
      </c>
      <c r="N1386">
        <v>3</v>
      </c>
      <c r="O1386" s="1">
        <v>44211.396296296298</v>
      </c>
      <c r="P1386" s="1">
        <v>44211.480381944442</v>
      </c>
      <c r="Q1386">
        <v>4048</v>
      </c>
      <c r="R1386">
        <v>3217</v>
      </c>
      <c r="S1386" t="b">
        <v>0</v>
      </c>
      <c r="T1386" t="s">
        <v>87</v>
      </c>
      <c r="U1386" t="b">
        <v>0</v>
      </c>
      <c r="V1386" t="s">
        <v>88</v>
      </c>
      <c r="W1386" s="1">
        <v>44211.425173611111</v>
      </c>
      <c r="X1386">
        <v>2410</v>
      </c>
      <c r="Y1386">
        <v>292</v>
      </c>
      <c r="Z1386">
        <v>0</v>
      </c>
      <c r="AA1386">
        <v>292</v>
      </c>
      <c r="AB1386">
        <v>0</v>
      </c>
      <c r="AC1386">
        <v>131</v>
      </c>
      <c r="AD1386">
        <v>31</v>
      </c>
      <c r="AE1386">
        <v>0</v>
      </c>
      <c r="AF1386">
        <v>0</v>
      </c>
      <c r="AG1386">
        <v>0</v>
      </c>
      <c r="AH1386" t="s">
        <v>132</v>
      </c>
      <c r="AI1386" s="1">
        <v>44211.454351851855</v>
      </c>
      <c r="AJ1386">
        <v>505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31</v>
      </c>
      <c r="AQ1386">
        <v>0</v>
      </c>
      <c r="AR1386">
        <v>0</v>
      </c>
      <c r="AS1386">
        <v>0</v>
      </c>
      <c r="AT1386" t="s">
        <v>90</v>
      </c>
      <c r="AU1386" s="1">
        <v>44211.480381944442</v>
      </c>
      <c r="AV1386">
        <v>159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31</v>
      </c>
      <c r="BC1386">
        <v>0</v>
      </c>
      <c r="BD1386">
        <v>0</v>
      </c>
      <c r="BE1386">
        <v>0</v>
      </c>
    </row>
    <row r="1387" spans="1:57" hidden="1" x14ac:dyDescent="0.45">
      <c r="A1387" t="s">
        <v>3462</v>
      </c>
      <c r="B1387" t="s">
        <v>79</v>
      </c>
      <c r="C1387" t="s">
        <v>2318</v>
      </c>
      <c r="D1387" t="s">
        <v>81</v>
      </c>
      <c r="E1387" s="2" t="str">
        <f>HYPERLINK("capsilon://?command=openfolder&amp;siteaddress=FAM.docvelocity-na8.net&amp;folderid=FXE8CA8B0E-4B3F-3181-549F-CCE596A86228","FX201222551")</f>
        <v>FX201222551</v>
      </c>
      <c r="F1387" t="s">
        <v>19</v>
      </c>
      <c r="G1387" t="s">
        <v>19</v>
      </c>
      <c r="H1387" t="s">
        <v>82</v>
      </c>
      <c r="I1387" t="s">
        <v>3463</v>
      </c>
      <c r="J1387">
        <v>66</v>
      </c>
      <c r="K1387" t="s">
        <v>84</v>
      </c>
      <c r="L1387" t="s">
        <v>85</v>
      </c>
      <c r="M1387" t="s">
        <v>86</v>
      </c>
      <c r="N1387">
        <v>3</v>
      </c>
      <c r="O1387" s="1">
        <v>44211.398506944446</v>
      </c>
      <c r="P1387" s="1">
        <v>44211.412939814814</v>
      </c>
      <c r="Q1387">
        <v>1085</v>
      </c>
      <c r="R1387">
        <v>162</v>
      </c>
      <c r="S1387" t="b">
        <v>0</v>
      </c>
      <c r="T1387" t="s">
        <v>87</v>
      </c>
      <c r="U1387" t="b">
        <v>0</v>
      </c>
      <c r="V1387" t="s">
        <v>1418</v>
      </c>
      <c r="W1387" s="1">
        <v>44211.402465277781</v>
      </c>
      <c r="X1387">
        <v>97</v>
      </c>
      <c r="Y1387">
        <v>0</v>
      </c>
      <c r="Z1387">
        <v>0</v>
      </c>
      <c r="AA1387">
        <v>0</v>
      </c>
      <c r="AB1387">
        <v>52</v>
      </c>
      <c r="AC1387">
        <v>0</v>
      </c>
      <c r="AD1387">
        <v>66</v>
      </c>
      <c r="AE1387">
        <v>0</v>
      </c>
      <c r="AF1387">
        <v>0</v>
      </c>
      <c r="AG1387">
        <v>0</v>
      </c>
      <c r="AH1387" t="s">
        <v>89</v>
      </c>
      <c r="AI1387" s="1">
        <v>44211.407604166663</v>
      </c>
      <c r="AJ1387">
        <v>62</v>
      </c>
      <c r="AK1387">
        <v>0</v>
      </c>
      <c r="AL1387">
        <v>0</v>
      </c>
      <c r="AM1387">
        <v>0</v>
      </c>
      <c r="AN1387">
        <v>52</v>
      </c>
      <c r="AO1387">
        <v>0</v>
      </c>
      <c r="AP1387">
        <v>66</v>
      </c>
      <c r="AQ1387">
        <v>0</v>
      </c>
      <c r="AR1387">
        <v>0</v>
      </c>
      <c r="AS1387">
        <v>0</v>
      </c>
      <c r="AT1387" t="s">
        <v>90</v>
      </c>
      <c r="AU1387" s="1">
        <v>44211.412939814814</v>
      </c>
      <c r="AV1387">
        <v>3</v>
      </c>
      <c r="AW1387">
        <v>0</v>
      </c>
      <c r="AX1387">
        <v>0</v>
      </c>
      <c r="AY1387">
        <v>0</v>
      </c>
      <c r="AZ1387">
        <v>52</v>
      </c>
      <c r="BA1387">
        <v>0</v>
      </c>
      <c r="BB1387">
        <v>66</v>
      </c>
      <c r="BC1387">
        <v>0</v>
      </c>
      <c r="BD1387">
        <v>0</v>
      </c>
      <c r="BE1387">
        <v>0</v>
      </c>
    </row>
    <row r="1388" spans="1:57" hidden="1" x14ac:dyDescent="0.45">
      <c r="A1388" t="s">
        <v>3464</v>
      </c>
      <c r="B1388" t="s">
        <v>79</v>
      </c>
      <c r="C1388" t="s">
        <v>2668</v>
      </c>
      <c r="D1388" t="s">
        <v>81</v>
      </c>
      <c r="E1388" s="2" t="str">
        <f>HYPERLINK("capsilon://?command=openfolder&amp;siteaddress=FAM.docvelocity-na8.net&amp;folderid=FXC60AA823-4C25-0361-F8D9-D1113B497A47","FX21011779")</f>
        <v>FX21011779</v>
      </c>
      <c r="F1388" t="s">
        <v>19</v>
      </c>
      <c r="G1388" t="s">
        <v>19</v>
      </c>
      <c r="H1388" t="s">
        <v>82</v>
      </c>
      <c r="I1388" t="s">
        <v>3465</v>
      </c>
      <c r="J1388">
        <v>51</v>
      </c>
      <c r="K1388" t="s">
        <v>84</v>
      </c>
      <c r="L1388" t="s">
        <v>85</v>
      </c>
      <c r="M1388" t="s">
        <v>86</v>
      </c>
      <c r="N1388">
        <v>1</v>
      </c>
      <c r="O1388" s="1">
        <v>44211.399664351855</v>
      </c>
      <c r="P1388" s="1">
        <v>44211.403877314813</v>
      </c>
      <c r="Q1388">
        <v>243</v>
      </c>
      <c r="R1388">
        <v>121</v>
      </c>
      <c r="S1388" t="b">
        <v>0</v>
      </c>
      <c r="T1388" t="s">
        <v>87</v>
      </c>
      <c r="U1388" t="b">
        <v>0</v>
      </c>
      <c r="V1388" t="s">
        <v>1418</v>
      </c>
      <c r="W1388" s="1">
        <v>44211.403877314813</v>
      </c>
      <c r="X1388">
        <v>121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51</v>
      </c>
      <c r="AE1388">
        <v>47</v>
      </c>
      <c r="AF1388">
        <v>0</v>
      </c>
      <c r="AG1388">
        <v>1</v>
      </c>
      <c r="AH1388" t="s">
        <v>87</v>
      </c>
      <c r="AI1388" t="s">
        <v>87</v>
      </c>
      <c r="AJ1388" t="s">
        <v>87</v>
      </c>
      <c r="AK1388" t="s">
        <v>87</v>
      </c>
      <c r="AL1388" t="s">
        <v>87</v>
      </c>
      <c r="AM1388" t="s">
        <v>87</v>
      </c>
      <c r="AN1388" t="s">
        <v>87</v>
      </c>
      <c r="AO1388" t="s">
        <v>87</v>
      </c>
      <c r="AP1388" t="s">
        <v>87</v>
      </c>
      <c r="AQ1388" t="s">
        <v>87</v>
      </c>
      <c r="AR1388" t="s">
        <v>87</v>
      </c>
      <c r="AS1388" t="s">
        <v>87</v>
      </c>
      <c r="AT1388" t="s">
        <v>87</v>
      </c>
      <c r="AU1388" t="s">
        <v>87</v>
      </c>
      <c r="AV1388" t="s">
        <v>87</v>
      </c>
      <c r="AW1388" t="s">
        <v>87</v>
      </c>
      <c r="AX1388" t="s">
        <v>87</v>
      </c>
      <c r="AY1388" t="s">
        <v>87</v>
      </c>
      <c r="AZ1388" t="s">
        <v>87</v>
      </c>
      <c r="BA1388" t="s">
        <v>87</v>
      </c>
      <c r="BB1388" t="s">
        <v>87</v>
      </c>
      <c r="BC1388" t="s">
        <v>87</v>
      </c>
      <c r="BD1388" t="s">
        <v>87</v>
      </c>
      <c r="BE1388" t="s">
        <v>87</v>
      </c>
    </row>
    <row r="1389" spans="1:57" x14ac:dyDescent="0.45">
      <c r="A1389" t="s">
        <v>3466</v>
      </c>
      <c r="B1389" t="s">
        <v>79</v>
      </c>
      <c r="C1389" t="s">
        <v>2439</v>
      </c>
      <c r="D1389" t="s">
        <v>81</v>
      </c>
      <c r="E1389" s="2" t="str">
        <f>HYPERLINK("capsilon://?command=openfolder&amp;siteaddress=FAM.docvelocity-na8.net&amp;folderid=FX1947D3A2-13D9-B191-9F11-AEF0D3949848","FX201229038")</f>
        <v>FX201229038</v>
      </c>
      <c r="F1389" t="s">
        <v>19</v>
      </c>
      <c r="G1389" t="s">
        <v>19</v>
      </c>
      <c r="H1389" t="s">
        <v>82</v>
      </c>
      <c r="I1389" t="s">
        <v>3467</v>
      </c>
      <c r="J1389">
        <v>66</v>
      </c>
      <c r="K1389" t="s">
        <v>84</v>
      </c>
      <c r="L1389" t="s">
        <v>85</v>
      </c>
      <c r="M1389" t="s">
        <v>86</v>
      </c>
      <c r="N1389">
        <v>3</v>
      </c>
      <c r="O1389" s="1">
        <v>44211.399965277778</v>
      </c>
      <c r="P1389" s="1">
        <v>44211.480636574073</v>
      </c>
      <c r="Q1389">
        <v>5694</v>
      </c>
      <c r="R1389">
        <v>1276</v>
      </c>
      <c r="S1389" t="b">
        <v>0</v>
      </c>
      <c r="T1389" t="s">
        <v>87</v>
      </c>
      <c r="U1389" t="b">
        <v>0</v>
      </c>
      <c r="V1389" t="s">
        <v>112</v>
      </c>
      <c r="W1389" s="1">
        <v>44211.409571759257</v>
      </c>
      <c r="X1389">
        <v>582</v>
      </c>
      <c r="Y1389">
        <v>52</v>
      </c>
      <c r="Z1389">
        <v>0</v>
      </c>
      <c r="AA1389">
        <v>52</v>
      </c>
      <c r="AB1389">
        <v>0</v>
      </c>
      <c r="AC1389">
        <v>31</v>
      </c>
      <c r="AD1389">
        <v>14</v>
      </c>
      <c r="AE1389">
        <v>0</v>
      </c>
      <c r="AF1389">
        <v>0</v>
      </c>
      <c r="AG1389">
        <v>0</v>
      </c>
      <c r="AH1389" t="s">
        <v>94</v>
      </c>
      <c r="AI1389" s="1">
        <v>44211.460914351854</v>
      </c>
      <c r="AJ1389">
        <v>663</v>
      </c>
      <c r="AK1389">
        <v>1</v>
      </c>
      <c r="AL1389">
        <v>0</v>
      </c>
      <c r="AM1389">
        <v>1</v>
      </c>
      <c r="AN1389">
        <v>0</v>
      </c>
      <c r="AO1389">
        <v>1</v>
      </c>
      <c r="AP1389">
        <v>13</v>
      </c>
      <c r="AQ1389">
        <v>0</v>
      </c>
      <c r="AR1389">
        <v>0</v>
      </c>
      <c r="AS1389">
        <v>0</v>
      </c>
      <c r="AT1389" t="s">
        <v>90</v>
      </c>
      <c r="AU1389" s="1">
        <v>44211.480636574073</v>
      </c>
      <c r="AV1389">
        <v>21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13</v>
      </c>
      <c r="BC1389">
        <v>0</v>
      </c>
      <c r="BD1389">
        <v>0</v>
      </c>
      <c r="BE1389">
        <v>0</v>
      </c>
    </row>
    <row r="1390" spans="1:57" hidden="1" x14ac:dyDescent="0.45">
      <c r="A1390" t="s">
        <v>3468</v>
      </c>
      <c r="B1390" t="s">
        <v>79</v>
      </c>
      <c r="C1390" t="s">
        <v>2668</v>
      </c>
      <c r="D1390" t="s">
        <v>81</v>
      </c>
      <c r="E1390" s="2" t="str">
        <f>HYPERLINK("capsilon://?command=openfolder&amp;siteaddress=FAM.docvelocity-na8.net&amp;folderid=FXC60AA823-4C25-0361-F8D9-D1113B497A47","FX21011779")</f>
        <v>FX21011779</v>
      </c>
      <c r="F1390" t="s">
        <v>19</v>
      </c>
      <c r="G1390" t="s">
        <v>19</v>
      </c>
      <c r="H1390" t="s">
        <v>82</v>
      </c>
      <c r="I1390" t="s">
        <v>3469</v>
      </c>
      <c r="J1390">
        <v>31</v>
      </c>
      <c r="K1390" t="s">
        <v>84</v>
      </c>
      <c r="L1390" t="s">
        <v>85</v>
      </c>
      <c r="M1390" t="s">
        <v>86</v>
      </c>
      <c r="N1390">
        <v>1</v>
      </c>
      <c r="O1390" s="1">
        <v>44211.400138888886</v>
      </c>
      <c r="P1390" s="1">
        <v>44211.404699074075</v>
      </c>
      <c r="Q1390">
        <v>323</v>
      </c>
      <c r="R1390">
        <v>71</v>
      </c>
      <c r="S1390" t="b">
        <v>0</v>
      </c>
      <c r="T1390" t="s">
        <v>87</v>
      </c>
      <c r="U1390" t="b">
        <v>0</v>
      </c>
      <c r="V1390" t="s">
        <v>1418</v>
      </c>
      <c r="W1390" s="1">
        <v>44211.404699074075</v>
      </c>
      <c r="X1390">
        <v>71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31</v>
      </c>
      <c r="AE1390">
        <v>27</v>
      </c>
      <c r="AF1390">
        <v>0</v>
      </c>
      <c r="AG1390">
        <v>1</v>
      </c>
      <c r="AH1390" t="s">
        <v>87</v>
      </c>
      <c r="AI1390" t="s">
        <v>87</v>
      </c>
      <c r="AJ1390" t="s">
        <v>87</v>
      </c>
      <c r="AK1390" t="s">
        <v>87</v>
      </c>
      <c r="AL1390" t="s">
        <v>87</v>
      </c>
      <c r="AM1390" t="s">
        <v>87</v>
      </c>
      <c r="AN1390" t="s">
        <v>87</v>
      </c>
      <c r="AO1390" t="s">
        <v>87</v>
      </c>
      <c r="AP1390" t="s">
        <v>87</v>
      </c>
      <c r="AQ1390" t="s">
        <v>87</v>
      </c>
      <c r="AR1390" t="s">
        <v>87</v>
      </c>
      <c r="AS1390" t="s">
        <v>87</v>
      </c>
      <c r="AT1390" t="s">
        <v>87</v>
      </c>
      <c r="AU1390" t="s">
        <v>87</v>
      </c>
      <c r="AV1390" t="s">
        <v>87</v>
      </c>
      <c r="AW1390" t="s">
        <v>87</v>
      </c>
      <c r="AX1390" t="s">
        <v>87</v>
      </c>
      <c r="AY1390" t="s">
        <v>87</v>
      </c>
      <c r="AZ1390" t="s">
        <v>87</v>
      </c>
      <c r="BA1390" t="s">
        <v>87</v>
      </c>
      <c r="BB1390" t="s">
        <v>87</v>
      </c>
      <c r="BC1390" t="s">
        <v>87</v>
      </c>
      <c r="BD1390" t="s">
        <v>87</v>
      </c>
      <c r="BE1390" t="s">
        <v>87</v>
      </c>
    </row>
    <row r="1391" spans="1:57" x14ac:dyDescent="0.45">
      <c r="A1391" t="s">
        <v>3470</v>
      </c>
      <c r="B1391" t="s">
        <v>79</v>
      </c>
      <c r="C1391" t="s">
        <v>2436</v>
      </c>
      <c r="D1391" t="s">
        <v>81</v>
      </c>
      <c r="E1391" s="2" t="str">
        <f>HYPERLINK("capsilon://?command=openfolder&amp;siteaddress=FAM.docvelocity-na8.net&amp;folderid=FX71593F4B-A87C-060F-57F2-226008F2870F","FX21015062")</f>
        <v>FX21015062</v>
      </c>
      <c r="F1391" t="s">
        <v>19</v>
      </c>
      <c r="G1391" t="s">
        <v>19</v>
      </c>
      <c r="H1391" t="s">
        <v>82</v>
      </c>
      <c r="I1391" t="s">
        <v>3471</v>
      </c>
      <c r="J1391">
        <v>66</v>
      </c>
      <c r="K1391" t="s">
        <v>84</v>
      </c>
      <c r="L1391" t="s">
        <v>85</v>
      </c>
      <c r="M1391" t="s">
        <v>86</v>
      </c>
      <c r="N1391">
        <v>3</v>
      </c>
      <c r="O1391" s="1">
        <v>44211.402106481481</v>
      </c>
      <c r="P1391" s="1">
        <v>44211.492372685185</v>
      </c>
      <c r="Q1391">
        <v>6569</v>
      </c>
      <c r="R1391">
        <v>1230</v>
      </c>
      <c r="S1391" t="b">
        <v>0</v>
      </c>
      <c r="T1391" t="s">
        <v>87</v>
      </c>
      <c r="U1391" t="b">
        <v>0</v>
      </c>
      <c r="V1391" t="s">
        <v>1418</v>
      </c>
      <c r="W1391" s="1">
        <v>44211.424525462964</v>
      </c>
      <c r="X1391">
        <v>1070</v>
      </c>
      <c r="Y1391">
        <v>52</v>
      </c>
      <c r="Z1391">
        <v>0</v>
      </c>
      <c r="AA1391">
        <v>52</v>
      </c>
      <c r="AB1391">
        <v>0</v>
      </c>
      <c r="AC1391">
        <v>29</v>
      </c>
      <c r="AD1391">
        <v>14</v>
      </c>
      <c r="AE1391">
        <v>0</v>
      </c>
      <c r="AF1391">
        <v>0</v>
      </c>
      <c r="AG1391">
        <v>0</v>
      </c>
      <c r="AH1391" t="s">
        <v>132</v>
      </c>
      <c r="AI1391" s="1">
        <v>44211.455428240741</v>
      </c>
      <c r="AJ1391">
        <v>93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14</v>
      </c>
      <c r="AQ1391">
        <v>0</v>
      </c>
      <c r="AR1391">
        <v>0</v>
      </c>
      <c r="AS1391">
        <v>0</v>
      </c>
      <c r="AT1391" t="s">
        <v>90</v>
      </c>
      <c r="AU1391" s="1">
        <v>44211.492372685185</v>
      </c>
      <c r="AV1391">
        <v>18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14</v>
      </c>
      <c r="BC1391">
        <v>0</v>
      </c>
      <c r="BD1391">
        <v>0</v>
      </c>
      <c r="BE1391">
        <v>0</v>
      </c>
    </row>
    <row r="1392" spans="1:57" x14ac:dyDescent="0.45">
      <c r="A1392" t="s">
        <v>3472</v>
      </c>
      <c r="B1392" t="s">
        <v>79</v>
      </c>
      <c r="C1392" t="s">
        <v>2668</v>
      </c>
      <c r="D1392" t="s">
        <v>81</v>
      </c>
      <c r="E1392" s="2" t="str">
        <f>HYPERLINK("capsilon://?command=openfolder&amp;siteaddress=FAM.docvelocity-na8.net&amp;folderid=FXC60AA823-4C25-0361-F8D9-D1113B497A47","FX21011779")</f>
        <v>FX21011779</v>
      </c>
      <c r="F1392" t="s">
        <v>19</v>
      </c>
      <c r="G1392" t="s">
        <v>19</v>
      </c>
      <c r="H1392" t="s">
        <v>82</v>
      </c>
      <c r="I1392" t="s">
        <v>3465</v>
      </c>
      <c r="J1392">
        <v>51</v>
      </c>
      <c r="K1392" t="s">
        <v>84</v>
      </c>
      <c r="L1392" t="s">
        <v>85</v>
      </c>
      <c r="M1392" t="s">
        <v>86</v>
      </c>
      <c r="N1392">
        <v>3</v>
      </c>
      <c r="O1392" s="1">
        <v>44211.404537037037</v>
      </c>
      <c r="P1392" s="1">
        <v>44211.425451388888</v>
      </c>
      <c r="Q1392">
        <v>251</v>
      </c>
      <c r="R1392">
        <v>1556</v>
      </c>
      <c r="S1392" t="b">
        <v>0</v>
      </c>
      <c r="T1392" t="s">
        <v>87</v>
      </c>
      <c r="U1392" t="b">
        <v>1</v>
      </c>
      <c r="V1392" t="s">
        <v>1418</v>
      </c>
      <c r="W1392" s="1">
        <v>44211.412129629629</v>
      </c>
      <c r="X1392">
        <v>641</v>
      </c>
      <c r="Y1392">
        <v>53</v>
      </c>
      <c r="Z1392">
        <v>0</v>
      </c>
      <c r="AA1392">
        <v>53</v>
      </c>
      <c r="AB1392">
        <v>0</v>
      </c>
      <c r="AC1392">
        <v>30</v>
      </c>
      <c r="AD1392">
        <v>-2</v>
      </c>
      <c r="AE1392">
        <v>0</v>
      </c>
      <c r="AF1392">
        <v>0</v>
      </c>
      <c r="AG1392">
        <v>0</v>
      </c>
      <c r="AH1392" t="s">
        <v>89</v>
      </c>
      <c r="AI1392" s="1">
        <v>44211.423113425924</v>
      </c>
      <c r="AJ1392">
        <v>871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-2</v>
      </c>
      <c r="AQ1392">
        <v>0</v>
      </c>
      <c r="AR1392">
        <v>0</v>
      </c>
      <c r="AS1392">
        <v>0</v>
      </c>
      <c r="AT1392" t="s">
        <v>90</v>
      </c>
      <c r="AU1392" s="1">
        <v>44211.425451388888</v>
      </c>
      <c r="AV1392">
        <v>44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-2</v>
      </c>
      <c r="BC1392">
        <v>0</v>
      </c>
      <c r="BD1392">
        <v>0</v>
      </c>
      <c r="BE1392">
        <v>0</v>
      </c>
    </row>
    <row r="1393" spans="1:57" x14ac:dyDescent="0.45">
      <c r="A1393" t="s">
        <v>3473</v>
      </c>
      <c r="B1393" t="s">
        <v>79</v>
      </c>
      <c r="C1393" t="s">
        <v>2668</v>
      </c>
      <c r="D1393" t="s">
        <v>81</v>
      </c>
      <c r="E1393" s="2" t="str">
        <f>HYPERLINK("capsilon://?command=openfolder&amp;siteaddress=FAM.docvelocity-na8.net&amp;folderid=FXC60AA823-4C25-0361-F8D9-D1113B497A47","FX21011779")</f>
        <v>FX21011779</v>
      </c>
      <c r="F1393" t="s">
        <v>19</v>
      </c>
      <c r="G1393" t="s">
        <v>19</v>
      </c>
      <c r="H1393" t="s">
        <v>82</v>
      </c>
      <c r="I1393" t="s">
        <v>3469</v>
      </c>
      <c r="J1393">
        <v>31</v>
      </c>
      <c r="K1393" t="s">
        <v>84</v>
      </c>
      <c r="L1393" t="s">
        <v>85</v>
      </c>
      <c r="M1393" t="s">
        <v>86</v>
      </c>
      <c r="N1393">
        <v>3</v>
      </c>
      <c r="O1393" s="1">
        <v>44211.405347222222</v>
      </c>
      <c r="P1393" s="1">
        <v>44211.450636574074</v>
      </c>
      <c r="Q1393">
        <v>2714</v>
      </c>
      <c r="R1393">
        <v>1199</v>
      </c>
      <c r="S1393" t="b">
        <v>0</v>
      </c>
      <c r="T1393" t="s">
        <v>87</v>
      </c>
      <c r="U1393" t="b">
        <v>1</v>
      </c>
      <c r="V1393" t="s">
        <v>112</v>
      </c>
      <c r="W1393" s="1">
        <v>44211.419976851852</v>
      </c>
      <c r="X1393">
        <v>898</v>
      </c>
      <c r="Y1393">
        <v>33</v>
      </c>
      <c r="Z1393">
        <v>0</v>
      </c>
      <c r="AA1393">
        <v>33</v>
      </c>
      <c r="AB1393">
        <v>0</v>
      </c>
      <c r="AC1393">
        <v>24</v>
      </c>
      <c r="AD1393">
        <v>-2</v>
      </c>
      <c r="AE1393">
        <v>0</v>
      </c>
      <c r="AF1393">
        <v>0</v>
      </c>
      <c r="AG1393">
        <v>0</v>
      </c>
      <c r="AH1393" t="s">
        <v>108</v>
      </c>
      <c r="AI1393" s="1">
        <v>44211.439699074072</v>
      </c>
      <c r="AJ1393">
        <v>167</v>
      </c>
      <c r="AK1393">
        <v>2</v>
      </c>
      <c r="AL1393">
        <v>0</v>
      </c>
      <c r="AM1393">
        <v>2</v>
      </c>
      <c r="AN1393">
        <v>0</v>
      </c>
      <c r="AO1393">
        <v>1</v>
      </c>
      <c r="AP1393">
        <v>-4</v>
      </c>
      <c r="AQ1393">
        <v>0</v>
      </c>
      <c r="AR1393">
        <v>0</v>
      </c>
      <c r="AS1393">
        <v>0</v>
      </c>
      <c r="AT1393" t="s">
        <v>90</v>
      </c>
      <c r="AU1393" s="1">
        <v>44211.450636574074</v>
      </c>
      <c r="AV1393">
        <v>120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-4</v>
      </c>
      <c r="BC1393">
        <v>0</v>
      </c>
      <c r="BD1393">
        <v>0</v>
      </c>
      <c r="BE1393">
        <v>0</v>
      </c>
    </row>
    <row r="1394" spans="1:57" hidden="1" x14ac:dyDescent="0.45">
      <c r="A1394" t="s">
        <v>3474</v>
      </c>
      <c r="B1394" t="s">
        <v>79</v>
      </c>
      <c r="C1394" t="s">
        <v>3475</v>
      </c>
      <c r="D1394" t="s">
        <v>81</v>
      </c>
      <c r="E1394" s="2" t="str">
        <f>HYPERLINK("capsilon://?command=openfolder&amp;siteaddress=FAM.docvelocity-na8.net&amp;folderid=FX8B6C8F94-4B89-1E0D-B915-8D13F4918116","FX20127340")</f>
        <v>FX20127340</v>
      </c>
      <c r="F1394" t="s">
        <v>19</v>
      </c>
      <c r="G1394" t="s">
        <v>19</v>
      </c>
      <c r="H1394" t="s">
        <v>82</v>
      </c>
      <c r="I1394" t="s">
        <v>3476</v>
      </c>
      <c r="J1394">
        <v>83</v>
      </c>
      <c r="K1394" t="s">
        <v>84</v>
      </c>
      <c r="L1394" t="s">
        <v>85</v>
      </c>
      <c r="M1394" t="s">
        <v>86</v>
      </c>
      <c r="N1394">
        <v>1</v>
      </c>
      <c r="O1394" s="1">
        <v>44211.407708333332</v>
      </c>
      <c r="P1394" s="1">
        <v>44211.429502314815</v>
      </c>
      <c r="Q1394">
        <v>632</v>
      </c>
      <c r="R1394">
        <v>1251</v>
      </c>
      <c r="S1394" t="b">
        <v>0</v>
      </c>
      <c r="T1394" t="s">
        <v>87</v>
      </c>
      <c r="U1394" t="b">
        <v>0</v>
      </c>
      <c r="V1394" t="s">
        <v>419</v>
      </c>
      <c r="W1394" s="1">
        <v>44211.429502314815</v>
      </c>
      <c r="X1394">
        <v>1207</v>
      </c>
      <c r="Y1394">
        <v>43</v>
      </c>
      <c r="Z1394">
        <v>0</v>
      </c>
      <c r="AA1394">
        <v>43</v>
      </c>
      <c r="AB1394">
        <v>0</v>
      </c>
      <c r="AC1394">
        <v>6</v>
      </c>
      <c r="AD1394">
        <v>40</v>
      </c>
      <c r="AE1394">
        <v>27</v>
      </c>
      <c r="AF1394">
        <v>0</v>
      </c>
      <c r="AG1394">
        <v>2</v>
      </c>
      <c r="AH1394" t="s">
        <v>87</v>
      </c>
      <c r="AI1394" t="s">
        <v>87</v>
      </c>
      <c r="AJ1394" t="s">
        <v>87</v>
      </c>
      <c r="AK1394" t="s">
        <v>87</v>
      </c>
      <c r="AL1394" t="s">
        <v>87</v>
      </c>
      <c r="AM1394" t="s">
        <v>87</v>
      </c>
      <c r="AN1394" t="s">
        <v>87</v>
      </c>
      <c r="AO1394" t="s">
        <v>87</v>
      </c>
      <c r="AP1394" t="s">
        <v>87</v>
      </c>
      <c r="AQ1394" t="s">
        <v>87</v>
      </c>
      <c r="AR1394" t="s">
        <v>87</v>
      </c>
      <c r="AS1394" t="s">
        <v>87</v>
      </c>
      <c r="AT1394" t="s">
        <v>87</v>
      </c>
      <c r="AU1394" t="s">
        <v>87</v>
      </c>
      <c r="AV1394" t="s">
        <v>87</v>
      </c>
      <c r="AW1394" t="s">
        <v>87</v>
      </c>
      <c r="AX1394" t="s">
        <v>87</v>
      </c>
      <c r="AY1394" t="s">
        <v>87</v>
      </c>
      <c r="AZ1394" t="s">
        <v>87</v>
      </c>
      <c r="BA1394" t="s">
        <v>87</v>
      </c>
      <c r="BB1394" t="s">
        <v>87</v>
      </c>
      <c r="BC1394" t="s">
        <v>87</v>
      </c>
      <c r="BD1394" t="s">
        <v>87</v>
      </c>
      <c r="BE1394" t="s">
        <v>87</v>
      </c>
    </row>
    <row r="1395" spans="1:57" x14ac:dyDescent="0.45">
      <c r="A1395" t="s">
        <v>3477</v>
      </c>
      <c r="B1395" t="s">
        <v>79</v>
      </c>
      <c r="C1395" t="s">
        <v>3478</v>
      </c>
      <c r="D1395" t="s">
        <v>81</v>
      </c>
      <c r="E1395" s="2" t="str">
        <f>HYPERLINK("capsilon://?command=openfolder&amp;siteaddress=FAM.docvelocity-na8.net&amp;folderid=FX35224586-0A5A-AF07-F6FF-14E3B4E2DE11","FX201221051")</f>
        <v>FX201221051</v>
      </c>
      <c r="F1395" t="s">
        <v>19</v>
      </c>
      <c r="G1395" t="s">
        <v>19</v>
      </c>
      <c r="H1395" t="s">
        <v>82</v>
      </c>
      <c r="I1395" t="s">
        <v>3479</v>
      </c>
      <c r="J1395">
        <v>83</v>
      </c>
      <c r="K1395" t="s">
        <v>84</v>
      </c>
      <c r="L1395" t="s">
        <v>85</v>
      </c>
      <c r="M1395" t="s">
        <v>86</v>
      </c>
      <c r="N1395">
        <v>3</v>
      </c>
      <c r="O1395" s="1">
        <v>44211.410601851851</v>
      </c>
      <c r="P1395" s="1">
        <v>44211.493067129632</v>
      </c>
      <c r="Q1395">
        <v>5535</v>
      </c>
      <c r="R1395">
        <v>1590</v>
      </c>
      <c r="S1395" t="b">
        <v>0</v>
      </c>
      <c r="T1395" t="s">
        <v>87</v>
      </c>
      <c r="U1395" t="b">
        <v>0</v>
      </c>
      <c r="V1395" t="s">
        <v>112</v>
      </c>
      <c r="W1395" s="1">
        <v>44211.436666666668</v>
      </c>
      <c r="X1395">
        <v>1442</v>
      </c>
      <c r="Y1395">
        <v>45</v>
      </c>
      <c r="Z1395">
        <v>0</v>
      </c>
      <c r="AA1395">
        <v>45</v>
      </c>
      <c r="AB1395">
        <v>27</v>
      </c>
      <c r="AC1395">
        <v>9</v>
      </c>
      <c r="AD1395">
        <v>38</v>
      </c>
      <c r="AE1395">
        <v>0</v>
      </c>
      <c r="AF1395">
        <v>0</v>
      </c>
      <c r="AG1395">
        <v>0</v>
      </c>
      <c r="AH1395" t="s">
        <v>132</v>
      </c>
      <c r="AI1395" s="1">
        <v>44211.456469907411</v>
      </c>
      <c r="AJ1395">
        <v>89</v>
      </c>
      <c r="AK1395">
        <v>0</v>
      </c>
      <c r="AL1395">
        <v>0</v>
      </c>
      <c r="AM1395">
        <v>0</v>
      </c>
      <c r="AN1395">
        <v>27</v>
      </c>
      <c r="AO1395">
        <v>0</v>
      </c>
      <c r="AP1395">
        <v>38</v>
      </c>
      <c r="AQ1395">
        <v>0</v>
      </c>
      <c r="AR1395">
        <v>0</v>
      </c>
      <c r="AS1395">
        <v>0</v>
      </c>
      <c r="AT1395" t="s">
        <v>90</v>
      </c>
      <c r="AU1395" s="1">
        <v>44211.493067129632</v>
      </c>
      <c r="AV1395">
        <v>59</v>
      </c>
      <c r="AW1395">
        <v>0</v>
      </c>
      <c r="AX1395">
        <v>0</v>
      </c>
      <c r="AY1395">
        <v>0</v>
      </c>
      <c r="AZ1395">
        <v>72</v>
      </c>
      <c r="BA1395">
        <v>0</v>
      </c>
      <c r="BB1395">
        <v>38</v>
      </c>
      <c r="BC1395">
        <v>0</v>
      </c>
      <c r="BD1395">
        <v>0</v>
      </c>
      <c r="BE1395">
        <v>0</v>
      </c>
    </row>
    <row r="1396" spans="1:57" x14ac:dyDescent="0.45">
      <c r="A1396" t="s">
        <v>3480</v>
      </c>
      <c r="B1396" t="s">
        <v>79</v>
      </c>
      <c r="C1396" t="s">
        <v>3481</v>
      </c>
      <c r="D1396" t="s">
        <v>81</v>
      </c>
      <c r="E1396" s="2" t="str">
        <f t="shared" ref="E1396:E1402" si="1">HYPERLINK("capsilon://?command=openfolder&amp;siteaddress=FAM.docvelocity-na8.net&amp;folderid=FXFB1C4480-B579-44D0-8C09-5CAB18181F19","FX201223470")</f>
        <v>FX201223470</v>
      </c>
      <c r="F1396" t="s">
        <v>19</v>
      </c>
      <c r="G1396" t="s">
        <v>19</v>
      </c>
      <c r="H1396" t="s">
        <v>82</v>
      </c>
      <c r="I1396" t="s">
        <v>3482</v>
      </c>
      <c r="J1396">
        <v>75</v>
      </c>
      <c r="K1396" t="s">
        <v>84</v>
      </c>
      <c r="L1396" t="s">
        <v>85</v>
      </c>
      <c r="M1396" t="s">
        <v>86</v>
      </c>
      <c r="N1396">
        <v>3</v>
      </c>
      <c r="O1396" s="1">
        <v>44211.414988425924</v>
      </c>
      <c r="P1396" s="1">
        <v>44211.493310185186</v>
      </c>
      <c r="Q1396">
        <v>5700</v>
      </c>
      <c r="R1396">
        <v>1067</v>
      </c>
      <c r="S1396" t="b">
        <v>0</v>
      </c>
      <c r="T1396" t="s">
        <v>87</v>
      </c>
      <c r="U1396" t="b">
        <v>0</v>
      </c>
      <c r="V1396" t="s">
        <v>1418</v>
      </c>
      <c r="W1396" s="1">
        <v>44211.432962962965</v>
      </c>
      <c r="X1396">
        <v>728</v>
      </c>
      <c r="Y1396">
        <v>81</v>
      </c>
      <c r="Z1396">
        <v>0</v>
      </c>
      <c r="AA1396">
        <v>81</v>
      </c>
      <c r="AB1396">
        <v>0</v>
      </c>
      <c r="AC1396">
        <v>56</v>
      </c>
      <c r="AD1396">
        <v>-6</v>
      </c>
      <c r="AE1396">
        <v>0</v>
      </c>
      <c r="AF1396">
        <v>0</v>
      </c>
      <c r="AG1396">
        <v>0</v>
      </c>
      <c r="AH1396" t="s">
        <v>108</v>
      </c>
      <c r="AI1396" s="1">
        <v>44211.463171296295</v>
      </c>
      <c r="AJ1396">
        <v>319</v>
      </c>
      <c r="AK1396">
        <v>2</v>
      </c>
      <c r="AL1396">
        <v>0</v>
      </c>
      <c r="AM1396">
        <v>2</v>
      </c>
      <c r="AN1396">
        <v>0</v>
      </c>
      <c r="AO1396">
        <v>1</v>
      </c>
      <c r="AP1396">
        <v>-8</v>
      </c>
      <c r="AQ1396">
        <v>0</v>
      </c>
      <c r="AR1396">
        <v>0</v>
      </c>
      <c r="AS1396">
        <v>0</v>
      </c>
      <c r="AT1396" t="s">
        <v>90</v>
      </c>
      <c r="AU1396" s="1">
        <v>44211.493310185186</v>
      </c>
      <c r="AV1396">
        <v>20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-8</v>
      </c>
      <c r="BC1396">
        <v>0</v>
      </c>
      <c r="BD1396">
        <v>0</v>
      </c>
      <c r="BE1396">
        <v>0</v>
      </c>
    </row>
    <row r="1397" spans="1:57" x14ac:dyDescent="0.45">
      <c r="A1397" t="s">
        <v>3483</v>
      </c>
      <c r="B1397" t="s">
        <v>79</v>
      </c>
      <c r="C1397" t="s">
        <v>3481</v>
      </c>
      <c r="D1397" t="s">
        <v>81</v>
      </c>
      <c r="E1397" s="2" t="str">
        <f t="shared" si="1"/>
        <v>FX201223470</v>
      </c>
      <c r="F1397" t="s">
        <v>19</v>
      </c>
      <c r="G1397" t="s">
        <v>19</v>
      </c>
      <c r="H1397" t="s">
        <v>82</v>
      </c>
      <c r="I1397" t="s">
        <v>3484</v>
      </c>
      <c r="J1397">
        <v>50</v>
      </c>
      <c r="K1397" t="s">
        <v>84</v>
      </c>
      <c r="L1397" t="s">
        <v>85</v>
      </c>
      <c r="M1397" t="s">
        <v>86</v>
      </c>
      <c r="N1397">
        <v>3</v>
      </c>
      <c r="O1397" s="1">
        <v>44211.415243055555</v>
      </c>
      <c r="P1397" s="1">
        <v>44211.493379629632</v>
      </c>
      <c r="Q1397">
        <v>5810</v>
      </c>
      <c r="R1397">
        <v>941</v>
      </c>
      <c r="S1397" t="b">
        <v>0</v>
      </c>
      <c r="T1397" t="s">
        <v>87</v>
      </c>
      <c r="U1397" t="b">
        <v>0</v>
      </c>
      <c r="V1397" t="s">
        <v>88</v>
      </c>
      <c r="W1397" s="1">
        <v>44211.434270833335</v>
      </c>
      <c r="X1397">
        <v>785</v>
      </c>
      <c r="Y1397">
        <v>46</v>
      </c>
      <c r="Z1397">
        <v>0</v>
      </c>
      <c r="AA1397">
        <v>46</v>
      </c>
      <c r="AB1397">
        <v>0</v>
      </c>
      <c r="AC1397">
        <v>40</v>
      </c>
      <c r="AD1397">
        <v>4</v>
      </c>
      <c r="AE1397">
        <v>0</v>
      </c>
      <c r="AF1397">
        <v>0</v>
      </c>
      <c r="AG1397">
        <v>0</v>
      </c>
      <c r="AH1397" t="s">
        <v>94</v>
      </c>
      <c r="AI1397" s="1">
        <v>44211.462673611109</v>
      </c>
      <c r="AJ1397">
        <v>151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4</v>
      </c>
      <c r="AQ1397">
        <v>0</v>
      </c>
      <c r="AR1397">
        <v>0</v>
      </c>
      <c r="AS1397">
        <v>0</v>
      </c>
      <c r="AT1397" t="s">
        <v>90</v>
      </c>
      <c r="AU1397" s="1">
        <v>44211.493379629632</v>
      </c>
      <c r="AV1397">
        <v>5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4</v>
      </c>
      <c r="BC1397">
        <v>0</v>
      </c>
      <c r="BD1397">
        <v>0</v>
      </c>
      <c r="BE1397">
        <v>0</v>
      </c>
    </row>
    <row r="1398" spans="1:57" x14ac:dyDescent="0.45">
      <c r="A1398" t="s">
        <v>3485</v>
      </c>
      <c r="B1398" t="s">
        <v>79</v>
      </c>
      <c r="C1398" t="s">
        <v>3481</v>
      </c>
      <c r="D1398" t="s">
        <v>81</v>
      </c>
      <c r="E1398" s="2" t="str">
        <f t="shared" si="1"/>
        <v>FX201223470</v>
      </c>
      <c r="F1398" t="s">
        <v>19</v>
      </c>
      <c r="G1398" t="s">
        <v>19</v>
      </c>
      <c r="H1398" t="s">
        <v>82</v>
      </c>
      <c r="I1398" t="s">
        <v>3486</v>
      </c>
      <c r="J1398">
        <v>75</v>
      </c>
      <c r="K1398" t="s">
        <v>84</v>
      </c>
      <c r="L1398" t="s">
        <v>85</v>
      </c>
      <c r="M1398" t="s">
        <v>86</v>
      </c>
      <c r="N1398">
        <v>3</v>
      </c>
      <c r="O1398" s="1">
        <v>44211.416365740741</v>
      </c>
      <c r="P1398" s="1">
        <v>44211.493541666663</v>
      </c>
      <c r="Q1398">
        <v>5733</v>
      </c>
      <c r="R1398">
        <v>935</v>
      </c>
      <c r="S1398" t="b">
        <v>0</v>
      </c>
      <c r="T1398" t="s">
        <v>87</v>
      </c>
      <c r="U1398" t="b">
        <v>0</v>
      </c>
      <c r="V1398" t="s">
        <v>919</v>
      </c>
      <c r="W1398" s="1">
        <v>44211.436168981483</v>
      </c>
      <c r="X1398">
        <v>747</v>
      </c>
      <c r="Y1398">
        <v>56</v>
      </c>
      <c r="Z1398">
        <v>0</v>
      </c>
      <c r="AA1398">
        <v>56</v>
      </c>
      <c r="AB1398">
        <v>0</v>
      </c>
      <c r="AC1398">
        <v>22</v>
      </c>
      <c r="AD1398">
        <v>19</v>
      </c>
      <c r="AE1398">
        <v>0</v>
      </c>
      <c r="AF1398">
        <v>0</v>
      </c>
      <c r="AG1398">
        <v>0</v>
      </c>
      <c r="AH1398" t="s">
        <v>132</v>
      </c>
      <c r="AI1398" s="1">
        <v>44211.463414351849</v>
      </c>
      <c r="AJ1398">
        <v>175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19</v>
      </c>
      <c r="AQ1398">
        <v>0</v>
      </c>
      <c r="AR1398">
        <v>0</v>
      </c>
      <c r="AS1398">
        <v>0</v>
      </c>
      <c r="AT1398" t="s">
        <v>90</v>
      </c>
      <c r="AU1398" s="1">
        <v>44211.493541666663</v>
      </c>
      <c r="AV1398">
        <v>13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19</v>
      </c>
      <c r="BC1398">
        <v>0</v>
      </c>
      <c r="BD1398">
        <v>0</v>
      </c>
      <c r="BE1398">
        <v>0</v>
      </c>
    </row>
    <row r="1399" spans="1:57" x14ac:dyDescent="0.45">
      <c r="A1399" t="s">
        <v>3487</v>
      </c>
      <c r="B1399" t="s">
        <v>79</v>
      </c>
      <c r="C1399" t="s">
        <v>3481</v>
      </c>
      <c r="D1399" t="s">
        <v>81</v>
      </c>
      <c r="E1399" s="2" t="str">
        <f t="shared" si="1"/>
        <v>FX201223470</v>
      </c>
      <c r="F1399" t="s">
        <v>19</v>
      </c>
      <c r="G1399" t="s">
        <v>19</v>
      </c>
      <c r="H1399" t="s">
        <v>82</v>
      </c>
      <c r="I1399" t="s">
        <v>3488</v>
      </c>
      <c r="J1399">
        <v>83</v>
      </c>
      <c r="K1399" t="s">
        <v>84</v>
      </c>
      <c r="L1399" t="s">
        <v>85</v>
      </c>
      <c r="M1399" t="s">
        <v>86</v>
      </c>
      <c r="N1399">
        <v>3</v>
      </c>
      <c r="O1399" s="1">
        <v>44211.416817129626</v>
      </c>
      <c r="P1399" s="1">
        <v>44211.493634259263</v>
      </c>
      <c r="Q1399">
        <v>5961</v>
      </c>
      <c r="R1399">
        <v>676</v>
      </c>
      <c r="S1399" t="b">
        <v>0</v>
      </c>
      <c r="T1399" t="s">
        <v>87</v>
      </c>
      <c r="U1399" t="b">
        <v>0</v>
      </c>
      <c r="V1399" t="s">
        <v>98</v>
      </c>
      <c r="W1399" s="1">
        <v>44211.436412037037</v>
      </c>
      <c r="X1399">
        <v>523</v>
      </c>
      <c r="Y1399">
        <v>61</v>
      </c>
      <c r="Z1399">
        <v>0</v>
      </c>
      <c r="AA1399">
        <v>61</v>
      </c>
      <c r="AB1399">
        <v>0</v>
      </c>
      <c r="AC1399">
        <v>30</v>
      </c>
      <c r="AD1399">
        <v>22</v>
      </c>
      <c r="AE1399">
        <v>0</v>
      </c>
      <c r="AF1399">
        <v>0</v>
      </c>
      <c r="AG1399">
        <v>0</v>
      </c>
      <c r="AH1399" t="s">
        <v>132</v>
      </c>
      <c r="AI1399" s="1">
        <v>44211.467164351852</v>
      </c>
      <c r="AJ1399">
        <v>100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22</v>
      </c>
      <c r="AQ1399">
        <v>0</v>
      </c>
      <c r="AR1399">
        <v>0</v>
      </c>
      <c r="AS1399">
        <v>0</v>
      </c>
      <c r="AT1399" t="s">
        <v>90</v>
      </c>
      <c r="AU1399" s="1">
        <v>44211.493634259263</v>
      </c>
      <c r="AV1399">
        <v>7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22</v>
      </c>
      <c r="BC1399">
        <v>0</v>
      </c>
      <c r="BD1399">
        <v>0</v>
      </c>
      <c r="BE1399">
        <v>0</v>
      </c>
    </row>
    <row r="1400" spans="1:57" x14ac:dyDescent="0.45">
      <c r="A1400" t="s">
        <v>3489</v>
      </c>
      <c r="B1400" t="s">
        <v>79</v>
      </c>
      <c r="C1400" t="s">
        <v>3481</v>
      </c>
      <c r="D1400" t="s">
        <v>81</v>
      </c>
      <c r="E1400" s="2" t="str">
        <f t="shared" si="1"/>
        <v>FX201223470</v>
      </c>
      <c r="F1400" t="s">
        <v>19</v>
      </c>
      <c r="G1400" t="s">
        <v>19</v>
      </c>
      <c r="H1400" t="s">
        <v>82</v>
      </c>
      <c r="I1400" t="s">
        <v>3490</v>
      </c>
      <c r="J1400">
        <v>80</v>
      </c>
      <c r="K1400" t="s">
        <v>84</v>
      </c>
      <c r="L1400" t="s">
        <v>85</v>
      </c>
      <c r="M1400" t="s">
        <v>86</v>
      </c>
      <c r="N1400">
        <v>3</v>
      </c>
      <c r="O1400" s="1">
        <v>44211.417256944442</v>
      </c>
      <c r="P1400" s="1">
        <v>44211.493692129632</v>
      </c>
      <c r="Q1400">
        <v>5884</v>
      </c>
      <c r="R1400">
        <v>720</v>
      </c>
      <c r="S1400" t="b">
        <v>0</v>
      </c>
      <c r="T1400" t="s">
        <v>87</v>
      </c>
      <c r="U1400" t="b">
        <v>0</v>
      </c>
      <c r="V1400" t="s">
        <v>88</v>
      </c>
      <c r="W1400" s="1">
        <v>44211.440486111111</v>
      </c>
      <c r="X1400">
        <v>536</v>
      </c>
      <c r="Y1400">
        <v>61</v>
      </c>
      <c r="Z1400">
        <v>0</v>
      </c>
      <c r="AA1400">
        <v>61</v>
      </c>
      <c r="AB1400">
        <v>0</v>
      </c>
      <c r="AC1400">
        <v>41</v>
      </c>
      <c r="AD1400">
        <v>19</v>
      </c>
      <c r="AE1400">
        <v>0</v>
      </c>
      <c r="AF1400">
        <v>0</v>
      </c>
      <c r="AG1400">
        <v>0</v>
      </c>
      <c r="AH1400" t="s">
        <v>132</v>
      </c>
      <c r="AI1400" s="1">
        <v>44211.468831018516</v>
      </c>
      <c r="AJ1400">
        <v>144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19</v>
      </c>
      <c r="AQ1400">
        <v>0</v>
      </c>
      <c r="AR1400">
        <v>0</v>
      </c>
      <c r="AS1400">
        <v>0</v>
      </c>
      <c r="AT1400" t="s">
        <v>90</v>
      </c>
      <c r="AU1400" s="1">
        <v>44211.493692129632</v>
      </c>
      <c r="AV1400">
        <v>4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19</v>
      </c>
      <c r="BC1400">
        <v>0</v>
      </c>
      <c r="BD1400">
        <v>0</v>
      </c>
      <c r="BE1400">
        <v>0</v>
      </c>
    </row>
    <row r="1401" spans="1:57" x14ac:dyDescent="0.45">
      <c r="A1401" t="s">
        <v>3491</v>
      </c>
      <c r="B1401" t="s">
        <v>79</v>
      </c>
      <c r="C1401" t="s">
        <v>3481</v>
      </c>
      <c r="D1401" t="s">
        <v>81</v>
      </c>
      <c r="E1401" s="2" t="str">
        <f t="shared" si="1"/>
        <v>FX201223470</v>
      </c>
      <c r="F1401" t="s">
        <v>19</v>
      </c>
      <c r="G1401" t="s">
        <v>19</v>
      </c>
      <c r="H1401" t="s">
        <v>82</v>
      </c>
      <c r="I1401" t="s">
        <v>3492</v>
      </c>
      <c r="J1401">
        <v>80</v>
      </c>
      <c r="K1401" t="s">
        <v>84</v>
      </c>
      <c r="L1401" t="s">
        <v>85</v>
      </c>
      <c r="M1401" t="s">
        <v>86</v>
      </c>
      <c r="N1401">
        <v>3</v>
      </c>
      <c r="O1401" s="1">
        <v>44211.417731481481</v>
      </c>
      <c r="P1401" s="1">
        <v>44211.493761574071</v>
      </c>
      <c r="Q1401">
        <v>4513</v>
      </c>
      <c r="R1401">
        <v>2056</v>
      </c>
      <c r="S1401" t="b">
        <v>0</v>
      </c>
      <c r="T1401" t="s">
        <v>87</v>
      </c>
      <c r="U1401" t="b">
        <v>0</v>
      </c>
      <c r="V1401" t="s">
        <v>160</v>
      </c>
      <c r="W1401" s="1">
        <v>44211.454930555556</v>
      </c>
      <c r="X1401">
        <v>1650</v>
      </c>
      <c r="Y1401">
        <v>61</v>
      </c>
      <c r="Z1401">
        <v>0</v>
      </c>
      <c r="AA1401">
        <v>61</v>
      </c>
      <c r="AB1401">
        <v>0</v>
      </c>
      <c r="AC1401">
        <v>58</v>
      </c>
      <c r="AD1401">
        <v>19</v>
      </c>
      <c r="AE1401">
        <v>0</v>
      </c>
      <c r="AF1401">
        <v>0</v>
      </c>
      <c r="AG1401">
        <v>0</v>
      </c>
      <c r="AH1401" t="s">
        <v>132</v>
      </c>
      <c r="AI1401" s="1">
        <v>44211.47347222222</v>
      </c>
      <c r="AJ1401">
        <v>401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19</v>
      </c>
      <c r="AQ1401">
        <v>0</v>
      </c>
      <c r="AR1401">
        <v>0</v>
      </c>
      <c r="AS1401">
        <v>0</v>
      </c>
      <c r="AT1401" t="s">
        <v>90</v>
      </c>
      <c r="AU1401" s="1">
        <v>44211.493761574071</v>
      </c>
      <c r="AV1401">
        <v>5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19</v>
      </c>
      <c r="BC1401">
        <v>0</v>
      </c>
      <c r="BD1401">
        <v>0</v>
      </c>
      <c r="BE1401">
        <v>0</v>
      </c>
    </row>
    <row r="1402" spans="1:57" x14ac:dyDescent="0.45">
      <c r="A1402" t="s">
        <v>3493</v>
      </c>
      <c r="B1402" t="s">
        <v>79</v>
      </c>
      <c r="C1402" t="s">
        <v>3481</v>
      </c>
      <c r="D1402" t="s">
        <v>81</v>
      </c>
      <c r="E1402" s="2" t="str">
        <f t="shared" si="1"/>
        <v>FX201223470</v>
      </c>
      <c r="F1402" t="s">
        <v>19</v>
      </c>
      <c r="G1402" t="s">
        <v>19</v>
      </c>
      <c r="H1402" t="s">
        <v>82</v>
      </c>
      <c r="I1402" t="s">
        <v>3494</v>
      </c>
      <c r="J1402">
        <v>65</v>
      </c>
      <c r="K1402" t="s">
        <v>84</v>
      </c>
      <c r="L1402" t="s">
        <v>85</v>
      </c>
      <c r="M1402" t="s">
        <v>86</v>
      </c>
      <c r="N1402">
        <v>3</v>
      </c>
      <c r="O1402" s="1">
        <v>44211.418090277781</v>
      </c>
      <c r="P1402" s="1">
        <v>44211.493807870371</v>
      </c>
      <c r="Q1402">
        <v>5537</v>
      </c>
      <c r="R1402">
        <v>1005</v>
      </c>
      <c r="S1402" t="b">
        <v>0</v>
      </c>
      <c r="T1402" t="s">
        <v>87</v>
      </c>
      <c r="U1402" t="b">
        <v>0</v>
      </c>
      <c r="V1402" t="s">
        <v>919</v>
      </c>
      <c r="W1402" s="1">
        <v>44211.445324074077</v>
      </c>
      <c r="X1402">
        <v>790</v>
      </c>
      <c r="Y1402">
        <v>46</v>
      </c>
      <c r="Z1402">
        <v>0</v>
      </c>
      <c r="AA1402">
        <v>46</v>
      </c>
      <c r="AB1402">
        <v>0</v>
      </c>
      <c r="AC1402">
        <v>22</v>
      </c>
      <c r="AD1402">
        <v>19</v>
      </c>
      <c r="AE1402">
        <v>0</v>
      </c>
      <c r="AF1402">
        <v>0</v>
      </c>
      <c r="AG1402">
        <v>0</v>
      </c>
      <c r="AH1402" t="s">
        <v>94</v>
      </c>
      <c r="AI1402" s="1">
        <v>44211.475034722222</v>
      </c>
      <c r="AJ1402">
        <v>200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19</v>
      </c>
      <c r="AQ1402">
        <v>0</v>
      </c>
      <c r="AR1402">
        <v>0</v>
      </c>
      <c r="AS1402">
        <v>0</v>
      </c>
      <c r="AT1402" t="s">
        <v>90</v>
      </c>
      <c r="AU1402" s="1">
        <v>44211.493807870371</v>
      </c>
      <c r="AV1402">
        <v>4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19</v>
      </c>
      <c r="BC1402">
        <v>0</v>
      </c>
      <c r="BD1402">
        <v>0</v>
      </c>
      <c r="BE1402">
        <v>0</v>
      </c>
    </row>
    <row r="1403" spans="1:57" x14ac:dyDescent="0.45">
      <c r="A1403" t="s">
        <v>3495</v>
      </c>
      <c r="B1403" t="s">
        <v>79</v>
      </c>
      <c r="C1403" t="s">
        <v>3496</v>
      </c>
      <c r="D1403" t="s">
        <v>81</v>
      </c>
      <c r="E1403" s="2" t="str">
        <f>HYPERLINK("capsilon://?command=openfolder&amp;siteaddress=FAM.docvelocity-na8.net&amp;folderid=FX6DA49558-E1D2-CB52-17F2-30D6AA613C25","FX20112881")</f>
        <v>FX20112881</v>
      </c>
      <c r="F1403" t="s">
        <v>19</v>
      </c>
      <c r="G1403" t="s">
        <v>19</v>
      </c>
      <c r="H1403" t="s">
        <v>82</v>
      </c>
      <c r="I1403" t="s">
        <v>3497</v>
      </c>
      <c r="J1403">
        <v>62</v>
      </c>
      <c r="K1403" t="s">
        <v>84</v>
      </c>
      <c r="L1403" t="s">
        <v>85</v>
      </c>
      <c r="M1403" t="s">
        <v>86</v>
      </c>
      <c r="N1403">
        <v>3</v>
      </c>
      <c r="O1403" s="1">
        <v>44211.424467592595</v>
      </c>
      <c r="P1403" s="1">
        <v>44211.497129629628</v>
      </c>
      <c r="Q1403">
        <v>1819</v>
      </c>
      <c r="R1403">
        <v>4459</v>
      </c>
      <c r="S1403" t="b">
        <v>0</v>
      </c>
      <c r="T1403" t="s">
        <v>87</v>
      </c>
      <c r="U1403" t="b">
        <v>0</v>
      </c>
      <c r="V1403" t="s">
        <v>98</v>
      </c>
      <c r="W1403" s="1">
        <v>44211.465902777774</v>
      </c>
      <c r="X1403">
        <v>2547</v>
      </c>
      <c r="Y1403">
        <v>104</v>
      </c>
      <c r="Z1403">
        <v>0</v>
      </c>
      <c r="AA1403">
        <v>104</v>
      </c>
      <c r="AB1403">
        <v>0</v>
      </c>
      <c r="AC1403">
        <v>78</v>
      </c>
      <c r="AD1403">
        <v>-42</v>
      </c>
      <c r="AE1403">
        <v>0</v>
      </c>
      <c r="AF1403">
        <v>0</v>
      </c>
      <c r="AG1403">
        <v>0</v>
      </c>
      <c r="AH1403" t="s">
        <v>89</v>
      </c>
      <c r="AI1403" s="1">
        <v>44211.495173611111</v>
      </c>
      <c r="AJ1403">
        <v>1885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-42</v>
      </c>
      <c r="AQ1403">
        <v>0</v>
      </c>
      <c r="AR1403">
        <v>0</v>
      </c>
      <c r="AS1403">
        <v>0</v>
      </c>
      <c r="AT1403" t="s">
        <v>90</v>
      </c>
      <c r="AU1403" s="1">
        <v>44211.497129629628</v>
      </c>
      <c r="AV1403">
        <v>27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-42</v>
      </c>
      <c r="BC1403">
        <v>0</v>
      </c>
      <c r="BD1403">
        <v>0</v>
      </c>
      <c r="BE1403">
        <v>0</v>
      </c>
    </row>
    <row r="1404" spans="1:57" x14ac:dyDescent="0.45">
      <c r="A1404" t="s">
        <v>3498</v>
      </c>
      <c r="B1404" t="s">
        <v>79</v>
      </c>
      <c r="C1404" t="s">
        <v>3481</v>
      </c>
      <c r="D1404" t="s">
        <v>81</v>
      </c>
      <c r="E1404" s="2" t="str">
        <f>HYPERLINK("capsilon://?command=openfolder&amp;siteaddress=FAM.docvelocity-na8.net&amp;folderid=FXFB1C4480-B579-44D0-8C09-5CAB18181F19","FX201223470")</f>
        <v>FX201223470</v>
      </c>
      <c r="F1404" t="s">
        <v>19</v>
      </c>
      <c r="G1404" t="s">
        <v>19</v>
      </c>
      <c r="H1404" t="s">
        <v>82</v>
      </c>
      <c r="I1404" t="s">
        <v>3499</v>
      </c>
      <c r="J1404">
        <v>29</v>
      </c>
      <c r="K1404" t="s">
        <v>84</v>
      </c>
      <c r="L1404" t="s">
        <v>85</v>
      </c>
      <c r="M1404" t="s">
        <v>86</v>
      </c>
      <c r="N1404">
        <v>3</v>
      </c>
      <c r="O1404" s="1">
        <v>44211.426388888889</v>
      </c>
      <c r="P1404" s="1">
        <v>44211.49386574074</v>
      </c>
      <c r="Q1404">
        <v>5633</v>
      </c>
      <c r="R1404">
        <v>197</v>
      </c>
      <c r="S1404" t="b">
        <v>0</v>
      </c>
      <c r="T1404" t="s">
        <v>87</v>
      </c>
      <c r="U1404" t="b">
        <v>0</v>
      </c>
      <c r="V1404" t="s">
        <v>112</v>
      </c>
      <c r="W1404" s="1">
        <v>44211.438773148147</v>
      </c>
      <c r="X1404">
        <v>181</v>
      </c>
      <c r="Y1404">
        <v>15</v>
      </c>
      <c r="Z1404">
        <v>0</v>
      </c>
      <c r="AA1404">
        <v>15</v>
      </c>
      <c r="AB1404">
        <v>0</v>
      </c>
      <c r="AC1404">
        <v>8</v>
      </c>
      <c r="AD1404">
        <v>14</v>
      </c>
      <c r="AE1404">
        <v>0</v>
      </c>
      <c r="AF1404">
        <v>0</v>
      </c>
      <c r="AG1404">
        <v>0</v>
      </c>
      <c r="AH1404" t="s">
        <v>132</v>
      </c>
      <c r="AI1404" s="1">
        <v>44211.474745370368</v>
      </c>
      <c r="AJ1404">
        <v>12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14</v>
      </c>
      <c r="AQ1404">
        <v>0</v>
      </c>
      <c r="AR1404">
        <v>0</v>
      </c>
      <c r="AS1404">
        <v>0</v>
      </c>
      <c r="AT1404" t="s">
        <v>90</v>
      </c>
      <c r="AU1404" s="1">
        <v>44211.49386574074</v>
      </c>
      <c r="AV1404">
        <v>4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14</v>
      </c>
      <c r="BC1404">
        <v>0</v>
      </c>
      <c r="BD1404">
        <v>0</v>
      </c>
      <c r="BE1404">
        <v>0</v>
      </c>
    </row>
    <row r="1405" spans="1:57" x14ac:dyDescent="0.45">
      <c r="A1405" t="s">
        <v>3500</v>
      </c>
      <c r="B1405" t="s">
        <v>79</v>
      </c>
      <c r="C1405" t="s">
        <v>3475</v>
      </c>
      <c r="D1405" t="s">
        <v>81</v>
      </c>
      <c r="E1405" s="2" t="str">
        <f>HYPERLINK("capsilon://?command=openfolder&amp;siteaddress=FAM.docvelocity-na8.net&amp;folderid=FX8B6C8F94-4B89-1E0D-B915-8D13F4918116","FX20127340")</f>
        <v>FX20127340</v>
      </c>
      <c r="F1405" t="s">
        <v>19</v>
      </c>
      <c r="G1405" t="s">
        <v>19</v>
      </c>
      <c r="H1405" t="s">
        <v>82</v>
      </c>
      <c r="I1405" t="s">
        <v>3476</v>
      </c>
      <c r="J1405">
        <v>62</v>
      </c>
      <c r="K1405" t="s">
        <v>84</v>
      </c>
      <c r="L1405" t="s">
        <v>85</v>
      </c>
      <c r="M1405" t="s">
        <v>86</v>
      </c>
      <c r="N1405">
        <v>3</v>
      </c>
      <c r="O1405" s="1">
        <v>44211.431145833332</v>
      </c>
      <c r="P1405" s="1">
        <v>44211.477199074077</v>
      </c>
      <c r="Q1405">
        <v>1362</v>
      </c>
      <c r="R1405">
        <v>2617</v>
      </c>
      <c r="S1405" t="b">
        <v>0</v>
      </c>
      <c r="T1405" t="s">
        <v>87</v>
      </c>
      <c r="U1405" t="b">
        <v>1</v>
      </c>
      <c r="V1405" t="s">
        <v>419</v>
      </c>
      <c r="W1405" s="1">
        <v>44211.456342592595</v>
      </c>
      <c r="X1405">
        <v>2173</v>
      </c>
      <c r="Y1405">
        <v>150</v>
      </c>
      <c r="Z1405">
        <v>0</v>
      </c>
      <c r="AA1405">
        <v>150</v>
      </c>
      <c r="AB1405">
        <v>0</v>
      </c>
      <c r="AC1405">
        <v>101</v>
      </c>
      <c r="AD1405">
        <v>-88</v>
      </c>
      <c r="AE1405">
        <v>0</v>
      </c>
      <c r="AF1405">
        <v>0</v>
      </c>
      <c r="AG1405">
        <v>0</v>
      </c>
      <c r="AH1405" t="s">
        <v>132</v>
      </c>
      <c r="AI1405" s="1">
        <v>44211.461377314816</v>
      </c>
      <c r="AJ1405">
        <v>423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-88</v>
      </c>
      <c r="AQ1405">
        <v>0</v>
      </c>
      <c r="AR1405">
        <v>0</v>
      </c>
      <c r="AS1405">
        <v>0</v>
      </c>
      <c r="AT1405" t="s">
        <v>90</v>
      </c>
      <c r="AU1405" s="1">
        <v>44211.477199074077</v>
      </c>
      <c r="AV1405">
        <v>21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-88</v>
      </c>
      <c r="BC1405">
        <v>0</v>
      </c>
      <c r="BD1405">
        <v>0</v>
      </c>
      <c r="BE1405">
        <v>0</v>
      </c>
    </row>
    <row r="1406" spans="1:57" x14ac:dyDescent="0.45">
      <c r="A1406" t="s">
        <v>3501</v>
      </c>
      <c r="B1406" t="s">
        <v>79</v>
      </c>
      <c r="C1406" t="s">
        <v>3341</v>
      </c>
      <c r="D1406" t="s">
        <v>81</v>
      </c>
      <c r="E1406" s="2" t="str">
        <f>HYPERLINK("capsilon://?command=openfolder&amp;siteaddress=FAM.docvelocity-na8.net&amp;folderid=FXE3496635-A227-C0F3-17E9-70A673E7B2AA","FX20124858")</f>
        <v>FX20124858</v>
      </c>
      <c r="F1406" t="s">
        <v>19</v>
      </c>
      <c r="G1406" t="s">
        <v>19</v>
      </c>
      <c r="H1406" t="s">
        <v>82</v>
      </c>
      <c r="I1406" t="s">
        <v>3502</v>
      </c>
      <c r="J1406">
        <v>40</v>
      </c>
      <c r="K1406" t="s">
        <v>84</v>
      </c>
      <c r="L1406" t="s">
        <v>85</v>
      </c>
      <c r="M1406" t="s">
        <v>86</v>
      </c>
      <c r="N1406">
        <v>3</v>
      </c>
      <c r="O1406" s="1">
        <v>44211.43378472222</v>
      </c>
      <c r="P1406" s="1">
        <v>44211.494108796294</v>
      </c>
      <c r="Q1406">
        <v>4316</v>
      </c>
      <c r="R1406">
        <v>896</v>
      </c>
      <c r="S1406" t="b">
        <v>0</v>
      </c>
      <c r="T1406" t="s">
        <v>87</v>
      </c>
      <c r="U1406" t="b">
        <v>0</v>
      </c>
      <c r="V1406" t="s">
        <v>112</v>
      </c>
      <c r="W1406" s="1">
        <v>44211.445659722223</v>
      </c>
      <c r="X1406">
        <v>594</v>
      </c>
      <c r="Y1406">
        <v>36</v>
      </c>
      <c r="Z1406">
        <v>0</v>
      </c>
      <c r="AA1406">
        <v>36</v>
      </c>
      <c r="AB1406">
        <v>0</v>
      </c>
      <c r="AC1406">
        <v>10</v>
      </c>
      <c r="AD1406">
        <v>4</v>
      </c>
      <c r="AE1406">
        <v>0</v>
      </c>
      <c r="AF1406">
        <v>0</v>
      </c>
      <c r="AG1406">
        <v>0</v>
      </c>
      <c r="AH1406" t="s">
        <v>108</v>
      </c>
      <c r="AI1406" s="1">
        <v>44211.477071759262</v>
      </c>
      <c r="AJ1406">
        <v>282</v>
      </c>
      <c r="AK1406">
        <v>1</v>
      </c>
      <c r="AL1406">
        <v>0</v>
      </c>
      <c r="AM1406">
        <v>1</v>
      </c>
      <c r="AN1406">
        <v>0</v>
      </c>
      <c r="AO1406">
        <v>0</v>
      </c>
      <c r="AP1406">
        <v>3</v>
      </c>
      <c r="AQ1406">
        <v>0</v>
      </c>
      <c r="AR1406">
        <v>0</v>
      </c>
      <c r="AS1406">
        <v>0</v>
      </c>
      <c r="AT1406" t="s">
        <v>90</v>
      </c>
      <c r="AU1406" s="1">
        <v>44211.494108796294</v>
      </c>
      <c r="AV1406">
        <v>20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3</v>
      </c>
      <c r="BC1406">
        <v>0</v>
      </c>
      <c r="BD1406">
        <v>0</v>
      </c>
      <c r="BE1406">
        <v>0</v>
      </c>
    </row>
    <row r="1407" spans="1:57" x14ac:dyDescent="0.45">
      <c r="A1407" t="s">
        <v>3503</v>
      </c>
      <c r="B1407" t="s">
        <v>79</v>
      </c>
      <c r="C1407" t="s">
        <v>3504</v>
      </c>
      <c r="D1407" t="s">
        <v>81</v>
      </c>
      <c r="E1407" s="2" t="str">
        <f>HYPERLINK("capsilon://?command=openfolder&amp;siteaddress=FAM.docvelocity-na8.net&amp;folderid=FX76497E97-BD63-D835-6EF2-6F802AAD0466","FX21014181")</f>
        <v>FX21014181</v>
      </c>
      <c r="F1407" t="s">
        <v>19</v>
      </c>
      <c r="G1407" t="s">
        <v>19</v>
      </c>
      <c r="H1407" t="s">
        <v>82</v>
      </c>
      <c r="I1407" t="s">
        <v>3505</v>
      </c>
      <c r="J1407">
        <v>38</v>
      </c>
      <c r="K1407" t="s">
        <v>84</v>
      </c>
      <c r="L1407" t="s">
        <v>85</v>
      </c>
      <c r="M1407" t="s">
        <v>86</v>
      </c>
      <c r="N1407">
        <v>3</v>
      </c>
      <c r="O1407" s="1">
        <v>44211.434155092589</v>
      </c>
      <c r="P1407" s="1">
        <v>44211.49417824074</v>
      </c>
      <c r="Q1407">
        <v>4318</v>
      </c>
      <c r="R1407">
        <v>868</v>
      </c>
      <c r="S1407" t="b">
        <v>0</v>
      </c>
      <c r="T1407" t="s">
        <v>87</v>
      </c>
      <c r="U1407" t="b">
        <v>0</v>
      </c>
      <c r="V1407" t="s">
        <v>179</v>
      </c>
      <c r="W1407" s="1">
        <v>44211.448506944442</v>
      </c>
      <c r="X1407">
        <v>789</v>
      </c>
      <c r="Y1407">
        <v>37</v>
      </c>
      <c r="Z1407">
        <v>0</v>
      </c>
      <c r="AA1407">
        <v>37</v>
      </c>
      <c r="AB1407">
        <v>0</v>
      </c>
      <c r="AC1407">
        <v>29</v>
      </c>
      <c r="AD1407">
        <v>1</v>
      </c>
      <c r="AE1407">
        <v>0</v>
      </c>
      <c r="AF1407">
        <v>0</v>
      </c>
      <c r="AG1407">
        <v>0</v>
      </c>
      <c r="AH1407" t="s">
        <v>132</v>
      </c>
      <c r="AI1407" s="1">
        <v>44211.475613425922</v>
      </c>
      <c r="AJ1407">
        <v>74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 t="s">
        <v>90</v>
      </c>
      <c r="AU1407" s="1">
        <v>44211.49417824074</v>
      </c>
      <c r="AV1407">
        <v>5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</row>
    <row r="1408" spans="1:57" x14ac:dyDescent="0.45">
      <c r="A1408" t="s">
        <v>3506</v>
      </c>
      <c r="B1408" t="s">
        <v>79</v>
      </c>
      <c r="C1408" t="s">
        <v>3341</v>
      </c>
      <c r="D1408" t="s">
        <v>81</v>
      </c>
      <c r="E1408" s="2" t="str">
        <f>HYPERLINK("capsilon://?command=openfolder&amp;siteaddress=FAM.docvelocity-na8.net&amp;folderid=FXE3496635-A227-C0F3-17E9-70A673E7B2AA","FX20124858")</f>
        <v>FX20124858</v>
      </c>
      <c r="F1408" t="s">
        <v>19</v>
      </c>
      <c r="G1408" t="s">
        <v>19</v>
      </c>
      <c r="H1408" t="s">
        <v>82</v>
      </c>
      <c r="I1408" t="s">
        <v>3507</v>
      </c>
      <c r="J1408">
        <v>31</v>
      </c>
      <c r="K1408" t="s">
        <v>84</v>
      </c>
      <c r="L1408" t="s">
        <v>85</v>
      </c>
      <c r="M1408" t="s">
        <v>86</v>
      </c>
      <c r="N1408">
        <v>3</v>
      </c>
      <c r="O1408" s="1">
        <v>44211.434178240743</v>
      </c>
      <c r="P1408" s="1">
        <v>44211.494317129633</v>
      </c>
      <c r="Q1408">
        <v>3964</v>
      </c>
      <c r="R1408">
        <v>1232</v>
      </c>
      <c r="S1408" t="b">
        <v>0</v>
      </c>
      <c r="T1408" t="s">
        <v>87</v>
      </c>
      <c r="U1408" t="b">
        <v>0</v>
      </c>
      <c r="V1408" t="s">
        <v>88</v>
      </c>
      <c r="W1408" s="1">
        <v>44211.453472222223</v>
      </c>
      <c r="X1408">
        <v>1121</v>
      </c>
      <c r="Y1408">
        <v>41</v>
      </c>
      <c r="Z1408">
        <v>0</v>
      </c>
      <c r="AA1408">
        <v>41</v>
      </c>
      <c r="AB1408">
        <v>0</v>
      </c>
      <c r="AC1408">
        <v>35</v>
      </c>
      <c r="AD1408">
        <v>-10</v>
      </c>
      <c r="AE1408">
        <v>0</v>
      </c>
      <c r="AF1408">
        <v>0</v>
      </c>
      <c r="AG1408">
        <v>0</v>
      </c>
      <c r="AH1408" t="s">
        <v>132</v>
      </c>
      <c r="AI1408" s="1">
        <v>44211.4766087963</v>
      </c>
      <c r="AJ1408">
        <v>85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-10</v>
      </c>
      <c r="AQ1408">
        <v>0</v>
      </c>
      <c r="AR1408">
        <v>0</v>
      </c>
      <c r="AS1408">
        <v>0</v>
      </c>
      <c r="AT1408" t="s">
        <v>90</v>
      </c>
      <c r="AU1408" s="1">
        <v>44211.494317129633</v>
      </c>
      <c r="AV1408">
        <v>12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-10</v>
      </c>
      <c r="BC1408">
        <v>0</v>
      </c>
      <c r="BD1408">
        <v>0</v>
      </c>
      <c r="BE1408">
        <v>0</v>
      </c>
    </row>
    <row r="1409" spans="1:57" x14ac:dyDescent="0.45">
      <c r="A1409" t="s">
        <v>3508</v>
      </c>
      <c r="B1409" t="s">
        <v>79</v>
      </c>
      <c r="C1409" t="s">
        <v>3509</v>
      </c>
      <c r="D1409" t="s">
        <v>81</v>
      </c>
      <c r="E1409" s="2" t="str">
        <f>HYPERLINK("capsilon://?command=openfolder&amp;siteaddress=FAM.docvelocity-na8.net&amp;folderid=FX48101491-990A-1449-80EE-3A8D19259F3B","FX21015022")</f>
        <v>FX21015022</v>
      </c>
      <c r="F1409" t="s">
        <v>19</v>
      </c>
      <c r="G1409" t="s">
        <v>19</v>
      </c>
      <c r="H1409" t="s">
        <v>82</v>
      </c>
      <c r="I1409" t="s">
        <v>3510</v>
      </c>
      <c r="J1409">
        <v>38</v>
      </c>
      <c r="K1409" t="s">
        <v>84</v>
      </c>
      <c r="L1409" t="s">
        <v>85</v>
      </c>
      <c r="M1409" t="s">
        <v>86</v>
      </c>
      <c r="N1409">
        <v>3</v>
      </c>
      <c r="O1409" s="1">
        <v>44211.437708333331</v>
      </c>
      <c r="P1409" s="1">
        <v>44211.494398148148</v>
      </c>
      <c r="Q1409">
        <v>3223</v>
      </c>
      <c r="R1409">
        <v>1675</v>
      </c>
      <c r="S1409" t="b">
        <v>0</v>
      </c>
      <c r="T1409" t="s">
        <v>87</v>
      </c>
      <c r="U1409" t="b">
        <v>0</v>
      </c>
      <c r="V1409" t="s">
        <v>919</v>
      </c>
      <c r="W1409" s="1">
        <v>44211.461261574077</v>
      </c>
      <c r="X1409">
        <v>1376</v>
      </c>
      <c r="Y1409">
        <v>37</v>
      </c>
      <c r="Z1409">
        <v>0</v>
      </c>
      <c r="AA1409">
        <v>37</v>
      </c>
      <c r="AB1409">
        <v>0</v>
      </c>
      <c r="AC1409">
        <v>11</v>
      </c>
      <c r="AD1409">
        <v>1</v>
      </c>
      <c r="AE1409">
        <v>0</v>
      </c>
      <c r="AF1409">
        <v>0</v>
      </c>
      <c r="AG1409">
        <v>0</v>
      </c>
      <c r="AH1409" t="s">
        <v>94</v>
      </c>
      <c r="AI1409" s="1">
        <v>44211.479062500002</v>
      </c>
      <c r="AJ1409">
        <v>293</v>
      </c>
      <c r="AK1409">
        <v>1</v>
      </c>
      <c r="AL1409">
        <v>0</v>
      </c>
      <c r="AM1409">
        <v>1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 t="s">
        <v>90</v>
      </c>
      <c r="AU1409" s="1">
        <v>44211.494398148148</v>
      </c>
      <c r="AV1409">
        <v>6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</row>
    <row r="1410" spans="1:57" x14ac:dyDescent="0.45">
      <c r="A1410" t="s">
        <v>3511</v>
      </c>
      <c r="B1410" t="s">
        <v>79</v>
      </c>
      <c r="C1410" t="s">
        <v>3512</v>
      </c>
      <c r="D1410" t="s">
        <v>81</v>
      </c>
      <c r="E1410" s="2" t="str">
        <f>HYPERLINK("capsilon://?command=openfolder&amp;siteaddress=FAM.docvelocity-na8.net&amp;folderid=FXD523401E-A7A5-67EB-7DB2-07AD832A53FD","FX21015552")</f>
        <v>FX21015552</v>
      </c>
      <c r="F1410" t="s">
        <v>19</v>
      </c>
      <c r="G1410" t="s">
        <v>19</v>
      </c>
      <c r="H1410" t="s">
        <v>82</v>
      </c>
      <c r="I1410" t="s">
        <v>3513</v>
      </c>
      <c r="J1410">
        <v>342</v>
      </c>
      <c r="K1410" t="s">
        <v>84</v>
      </c>
      <c r="L1410" t="s">
        <v>85</v>
      </c>
      <c r="M1410" t="s">
        <v>86</v>
      </c>
      <c r="N1410">
        <v>3</v>
      </c>
      <c r="O1410" s="1">
        <v>44211.442499999997</v>
      </c>
      <c r="P1410" s="1">
        <v>44211.575428240743</v>
      </c>
      <c r="Q1410">
        <v>3075</v>
      </c>
      <c r="R1410">
        <v>8410</v>
      </c>
      <c r="S1410" t="b">
        <v>0</v>
      </c>
      <c r="T1410" t="s">
        <v>87</v>
      </c>
      <c r="U1410" t="b">
        <v>0</v>
      </c>
      <c r="V1410" t="s">
        <v>98</v>
      </c>
      <c r="W1410" s="1">
        <v>44211.547060185185</v>
      </c>
      <c r="X1410">
        <v>7084</v>
      </c>
      <c r="Y1410">
        <v>364</v>
      </c>
      <c r="Z1410">
        <v>0</v>
      </c>
      <c r="AA1410">
        <v>364</v>
      </c>
      <c r="AB1410">
        <v>0</v>
      </c>
      <c r="AC1410">
        <v>268</v>
      </c>
      <c r="AD1410">
        <v>-22</v>
      </c>
      <c r="AE1410">
        <v>0</v>
      </c>
      <c r="AF1410">
        <v>0</v>
      </c>
      <c r="AG1410">
        <v>0</v>
      </c>
      <c r="AH1410" t="s">
        <v>128</v>
      </c>
      <c r="AI1410" s="1">
        <v>44211.558020833334</v>
      </c>
      <c r="AJ1410">
        <v>935</v>
      </c>
      <c r="AK1410">
        <v>2</v>
      </c>
      <c r="AL1410">
        <v>0</v>
      </c>
      <c r="AM1410">
        <v>2</v>
      </c>
      <c r="AN1410">
        <v>0</v>
      </c>
      <c r="AO1410">
        <v>2</v>
      </c>
      <c r="AP1410">
        <v>-24</v>
      </c>
      <c r="AQ1410">
        <v>0</v>
      </c>
      <c r="AR1410">
        <v>0</v>
      </c>
      <c r="AS1410">
        <v>0</v>
      </c>
      <c r="AT1410" t="s">
        <v>90</v>
      </c>
      <c r="AU1410" s="1">
        <v>44211.575428240743</v>
      </c>
      <c r="AV1410">
        <v>159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-24</v>
      </c>
      <c r="BC1410">
        <v>0</v>
      </c>
      <c r="BD1410">
        <v>0</v>
      </c>
      <c r="BE1410">
        <v>0</v>
      </c>
    </row>
    <row r="1411" spans="1:57" x14ac:dyDescent="0.45">
      <c r="A1411" t="s">
        <v>3514</v>
      </c>
      <c r="B1411" t="s">
        <v>79</v>
      </c>
      <c r="C1411" t="s">
        <v>3515</v>
      </c>
      <c r="D1411" t="s">
        <v>81</v>
      </c>
      <c r="E1411" s="2" t="str">
        <f>HYPERLINK("capsilon://?command=openfolder&amp;siteaddress=FAM.docvelocity-na8.net&amp;folderid=FX9B67F363-48F1-3DBE-2BC4-49827523C98D","FX21015398")</f>
        <v>FX21015398</v>
      </c>
      <c r="F1411" t="s">
        <v>19</v>
      </c>
      <c r="G1411" t="s">
        <v>19</v>
      </c>
      <c r="H1411" t="s">
        <v>82</v>
      </c>
      <c r="I1411" t="s">
        <v>3516</v>
      </c>
      <c r="J1411">
        <v>294</v>
      </c>
      <c r="K1411" t="s">
        <v>84</v>
      </c>
      <c r="L1411" t="s">
        <v>85</v>
      </c>
      <c r="M1411" t="s">
        <v>86</v>
      </c>
      <c r="N1411">
        <v>3</v>
      </c>
      <c r="O1411" s="1">
        <v>44211.445902777778</v>
      </c>
      <c r="P1411" s="1">
        <v>44211.582442129627</v>
      </c>
      <c r="Q1411">
        <v>6593</v>
      </c>
      <c r="R1411">
        <v>5204</v>
      </c>
      <c r="S1411" t="b">
        <v>0</v>
      </c>
      <c r="T1411" t="s">
        <v>87</v>
      </c>
      <c r="U1411" t="b">
        <v>0</v>
      </c>
      <c r="V1411" t="s">
        <v>142</v>
      </c>
      <c r="W1411" s="1">
        <v>44211.501388888886</v>
      </c>
      <c r="X1411">
        <v>3851</v>
      </c>
      <c r="Y1411">
        <v>336</v>
      </c>
      <c r="Z1411">
        <v>0</v>
      </c>
      <c r="AA1411">
        <v>336</v>
      </c>
      <c r="AB1411">
        <v>0</v>
      </c>
      <c r="AC1411">
        <v>190</v>
      </c>
      <c r="AD1411">
        <v>-42</v>
      </c>
      <c r="AE1411">
        <v>0</v>
      </c>
      <c r="AF1411">
        <v>0</v>
      </c>
      <c r="AG1411">
        <v>0</v>
      </c>
      <c r="AH1411" t="s">
        <v>128</v>
      </c>
      <c r="AI1411" s="1">
        <v>44211.511377314811</v>
      </c>
      <c r="AJ1411">
        <v>711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-43</v>
      </c>
      <c r="AQ1411">
        <v>0</v>
      </c>
      <c r="AR1411">
        <v>0</v>
      </c>
      <c r="AS1411">
        <v>0</v>
      </c>
      <c r="AT1411" t="s">
        <v>90</v>
      </c>
      <c r="AU1411" s="1">
        <v>44211.582442129627</v>
      </c>
      <c r="AV1411">
        <v>605</v>
      </c>
      <c r="AW1411">
        <v>1</v>
      </c>
      <c r="AX1411">
        <v>0</v>
      </c>
      <c r="AY1411">
        <v>1</v>
      </c>
      <c r="AZ1411">
        <v>0</v>
      </c>
      <c r="BA1411">
        <v>1</v>
      </c>
      <c r="BB1411">
        <v>-44</v>
      </c>
      <c r="BC1411">
        <v>0</v>
      </c>
      <c r="BD1411">
        <v>0</v>
      </c>
      <c r="BE1411">
        <v>0</v>
      </c>
    </row>
    <row r="1412" spans="1:57" hidden="1" x14ac:dyDescent="0.45">
      <c r="A1412" t="s">
        <v>3517</v>
      </c>
      <c r="B1412" t="s">
        <v>79</v>
      </c>
      <c r="C1412" t="s">
        <v>1360</v>
      </c>
      <c r="D1412" t="s">
        <v>81</v>
      </c>
      <c r="E1412" s="2" t="str">
        <f>HYPERLINK("capsilon://?command=openfolder&amp;siteaddress=FAM.docvelocity-na8.net&amp;folderid=FX1C24D772-DF79-9A8C-64E1-FBA7876A9537","FX20122688")</f>
        <v>FX20122688</v>
      </c>
      <c r="F1412" t="s">
        <v>19</v>
      </c>
      <c r="G1412" t="s">
        <v>19</v>
      </c>
      <c r="H1412" t="s">
        <v>82</v>
      </c>
      <c r="I1412" t="s">
        <v>3518</v>
      </c>
      <c r="J1412">
        <v>66</v>
      </c>
      <c r="K1412" t="s">
        <v>84</v>
      </c>
      <c r="L1412" t="s">
        <v>85</v>
      </c>
      <c r="M1412" t="s">
        <v>86</v>
      </c>
      <c r="N1412">
        <v>3</v>
      </c>
      <c r="O1412" s="1">
        <v>44211.448182870372</v>
      </c>
      <c r="P1412" s="1">
        <v>44211.494444444441</v>
      </c>
      <c r="Q1412">
        <v>3787</v>
      </c>
      <c r="R1412">
        <v>210</v>
      </c>
      <c r="S1412" t="b">
        <v>0</v>
      </c>
      <c r="T1412" t="s">
        <v>87</v>
      </c>
      <c r="U1412" t="b">
        <v>0</v>
      </c>
      <c r="V1412" t="s">
        <v>179</v>
      </c>
      <c r="W1412" s="1">
        <v>44211.450648148151</v>
      </c>
      <c r="X1412">
        <v>184</v>
      </c>
      <c r="Y1412">
        <v>0</v>
      </c>
      <c r="Z1412">
        <v>0</v>
      </c>
      <c r="AA1412">
        <v>0</v>
      </c>
      <c r="AB1412">
        <v>52</v>
      </c>
      <c r="AC1412">
        <v>0</v>
      </c>
      <c r="AD1412">
        <v>66</v>
      </c>
      <c r="AE1412">
        <v>0</v>
      </c>
      <c r="AF1412">
        <v>0</v>
      </c>
      <c r="AG1412">
        <v>0</v>
      </c>
      <c r="AH1412" t="s">
        <v>132</v>
      </c>
      <c r="AI1412" s="1">
        <v>44211.476886574077</v>
      </c>
      <c r="AJ1412">
        <v>23</v>
      </c>
      <c r="AK1412">
        <v>0</v>
      </c>
      <c r="AL1412">
        <v>0</v>
      </c>
      <c r="AM1412">
        <v>0</v>
      </c>
      <c r="AN1412">
        <v>52</v>
      </c>
      <c r="AO1412">
        <v>0</v>
      </c>
      <c r="AP1412">
        <v>66</v>
      </c>
      <c r="AQ1412">
        <v>0</v>
      </c>
      <c r="AR1412">
        <v>0</v>
      </c>
      <c r="AS1412">
        <v>0</v>
      </c>
      <c r="AT1412" t="s">
        <v>90</v>
      </c>
      <c r="AU1412" s="1">
        <v>44211.494444444441</v>
      </c>
      <c r="AV1412">
        <v>3</v>
      </c>
      <c r="AW1412">
        <v>0</v>
      </c>
      <c r="AX1412">
        <v>0</v>
      </c>
      <c r="AY1412">
        <v>0</v>
      </c>
      <c r="AZ1412">
        <v>52</v>
      </c>
      <c r="BA1412">
        <v>0</v>
      </c>
      <c r="BB1412">
        <v>66</v>
      </c>
      <c r="BC1412">
        <v>0</v>
      </c>
      <c r="BD1412">
        <v>0</v>
      </c>
      <c r="BE1412">
        <v>0</v>
      </c>
    </row>
    <row r="1413" spans="1:57" hidden="1" x14ac:dyDescent="0.45">
      <c r="A1413" t="s">
        <v>3519</v>
      </c>
      <c r="B1413" t="s">
        <v>79</v>
      </c>
      <c r="C1413" t="s">
        <v>3520</v>
      </c>
      <c r="D1413" t="s">
        <v>81</v>
      </c>
      <c r="E1413" s="2" t="str">
        <f>HYPERLINK("capsilon://?command=openfolder&amp;siteaddress=FAM.docvelocity-na8.net&amp;folderid=FX4043231D-38A6-7A85-14B5-058877087F62","FX20123330")</f>
        <v>FX20123330</v>
      </c>
      <c r="F1413" t="s">
        <v>19</v>
      </c>
      <c r="G1413" t="s">
        <v>19</v>
      </c>
      <c r="H1413" t="s">
        <v>82</v>
      </c>
      <c r="I1413" t="s">
        <v>3521</v>
      </c>
      <c r="J1413">
        <v>66</v>
      </c>
      <c r="K1413" t="s">
        <v>84</v>
      </c>
      <c r="L1413" t="s">
        <v>85</v>
      </c>
      <c r="M1413" t="s">
        <v>86</v>
      </c>
      <c r="N1413">
        <v>1</v>
      </c>
      <c r="O1413" s="1">
        <v>44211.449143518519</v>
      </c>
      <c r="P1413" s="1">
        <v>44211.451643518521</v>
      </c>
      <c r="Q1413">
        <v>131</v>
      </c>
      <c r="R1413">
        <v>85</v>
      </c>
      <c r="S1413" t="b">
        <v>0</v>
      </c>
      <c r="T1413" t="s">
        <v>87</v>
      </c>
      <c r="U1413" t="b">
        <v>0</v>
      </c>
      <c r="V1413" t="s">
        <v>179</v>
      </c>
      <c r="W1413" s="1">
        <v>44211.451643518521</v>
      </c>
      <c r="X1413">
        <v>85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66</v>
      </c>
      <c r="AE1413">
        <v>52</v>
      </c>
      <c r="AF1413">
        <v>0</v>
      </c>
      <c r="AG1413">
        <v>1</v>
      </c>
      <c r="AH1413" t="s">
        <v>87</v>
      </c>
      <c r="AI1413" t="s">
        <v>87</v>
      </c>
      <c r="AJ1413" t="s">
        <v>87</v>
      </c>
      <c r="AK1413" t="s">
        <v>87</v>
      </c>
      <c r="AL1413" t="s">
        <v>87</v>
      </c>
      <c r="AM1413" t="s">
        <v>87</v>
      </c>
      <c r="AN1413" t="s">
        <v>87</v>
      </c>
      <c r="AO1413" t="s">
        <v>87</v>
      </c>
      <c r="AP1413" t="s">
        <v>87</v>
      </c>
      <c r="AQ1413" t="s">
        <v>87</v>
      </c>
      <c r="AR1413" t="s">
        <v>87</v>
      </c>
      <c r="AS1413" t="s">
        <v>87</v>
      </c>
      <c r="AT1413" t="s">
        <v>87</v>
      </c>
      <c r="AU1413" t="s">
        <v>87</v>
      </c>
      <c r="AV1413" t="s">
        <v>87</v>
      </c>
      <c r="AW1413" t="s">
        <v>87</v>
      </c>
      <c r="AX1413" t="s">
        <v>87</v>
      </c>
      <c r="AY1413" t="s">
        <v>87</v>
      </c>
      <c r="AZ1413" t="s">
        <v>87</v>
      </c>
      <c r="BA1413" t="s">
        <v>87</v>
      </c>
      <c r="BB1413" t="s">
        <v>87</v>
      </c>
      <c r="BC1413" t="s">
        <v>87</v>
      </c>
      <c r="BD1413" t="s">
        <v>87</v>
      </c>
      <c r="BE1413" t="s">
        <v>87</v>
      </c>
    </row>
    <row r="1414" spans="1:57" hidden="1" x14ac:dyDescent="0.45">
      <c r="A1414" t="s">
        <v>3522</v>
      </c>
      <c r="B1414" t="s">
        <v>79</v>
      </c>
      <c r="C1414" t="s">
        <v>3523</v>
      </c>
      <c r="D1414" t="s">
        <v>81</v>
      </c>
      <c r="E1414" s="2" t="str">
        <f>HYPERLINK("capsilon://?command=openfolder&amp;siteaddress=FAM.docvelocity-na8.net&amp;folderid=FXA2A502BA-4610-EE5C-94EA-ADC77605D1AB","FX20128392")</f>
        <v>FX20128392</v>
      </c>
      <c r="F1414" t="s">
        <v>19</v>
      </c>
      <c r="G1414" t="s">
        <v>19</v>
      </c>
      <c r="H1414" t="s">
        <v>82</v>
      </c>
      <c r="I1414" t="s">
        <v>3524</v>
      </c>
      <c r="J1414">
        <v>31</v>
      </c>
      <c r="K1414" t="s">
        <v>84</v>
      </c>
      <c r="L1414" t="s">
        <v>85</v>
      </c>
      <c r="M1414" t="s">
        <v>86</v>
      </c>
      <c r="N1414">
        <v>1</v>
      </c>
      <c r="O1414" s="1">
        <v>44211.45040509259</v>
      </c>
      <c r="P1414" s="1">
        <v>44211.452962962961</v>
      </c>
      <c r="Q1414">
        <v>108</v>
      </c>
      <c r="R1414">
        <v>113</v>
      </c>
      <c r="S1414" t="b">
        <v>0</v>
      </c>
      <c r="T1414" t="s">
        <v>87</v>
      </c>
      <c r="U1414" t="b">
        <v>0</v>
      </c>
      <c r="V1414" t="s">
        <v>179</v>
      </c>
      <c r="W1414" s="1">
        <v>44211.452962962961</v>
      </c>
      <c r="X1414">
        <v>113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31</v>
      </c>
      <c r="AE1414">
        <v>27</v>
      </c>
      <c r="AF1414">
        <v>0</v>
      </c>
      <c r="AG1414">
        <v>1</v>
      </c>
      <c r="AH1414" t="s">
        <v>87</v>
      </c>
      <c r="AI1414" t="s">
        <v>87</v>
      </c>
      <c r="AJ1414" t="s">
        <v>87</v>
      </c>
      <c r="AK1414" t="s">
        <v>87</v>
      </c>
      <c r="AL1414" t="s">
        <v>87</v>
      </c>
      <c r="AM1414" t="s">
        <v>87</v>
      </c>
      <c r="AN1414" t="s">
        <v>87</v>
      </c>
      <c r="AO1414" t="s">
        <v>87</v>
      </c>
      <c r="AP1414" t="s">
        <v>87</v>
      </c>
      <c r="AQ1414" t="s">
        <v>87</v>
      </c>
      <c r="AR1414" t="s">
        <v>87</v>
      </c>
      <c r="AS1414" t="s">
        <v>87</v>
      </c>
      <c r="AT1414" t="s">
        <v>87</v>
      </c>
      <c r="AU1414" t="s">
        <v>87</v>
      </c>
      <c r="AV1414" t="s">
        <v>87</v>
      </c>
      <c r="AW1414" t="s">
        <v>87</v>
      </c>
      <c r="AX1414" t="s">
        <v>87</v>
      </c>
      <c r="AY1414" t="s">
        <v>87</v>
      </c>
      <c r="AZ1414" t="s">
        <v>87</v>
      </c>
      <c r="BA1414" t="s">
        <v>87</v>
      </c>
      <c r="BB1414" t="s">
        <v>87</v>
      </c>
      <c r="BC1414" t="s">
        <v>87</v>
      </c>
      <c r="BD1414" t="s">
        <v>87</v>
      </c>
      <c r="BE1414" t="s">
        <v>87</v>
      </c>
    </row>
    <row r="1415" spans="1:57" x14ac:dyDescent="0.45">
      <c r="A1415" t="s">
        <v>3525</v>
      </c>
      <c r="B1415" t="s">
        <v>79</v>
      </c>
      <c r="C1415" t="s">
        <v>3520</v>
      </c>
      <c r="D1415" t="s">
        <v>81</v>
      </c>
      <c r="E1415" s="2" t="str">
        <f>HYPERLINK("capsilon://?command=openfolder&amp;siteaddress=FAM.docvelocity-na8.net&amp;folderid=FX4043231D-38A6-7A85-14B5-058877087F62","FX20123330")</f>
        <v>FX20123330</v>
      </c>
      <c r="F1415" t="s">
        <v>19</v>
      </c>
      <c r="G1415" t="s">
        <v>19</v>
      </c>
      <c r="H1415" t="s">
        <v>82</v>
      </c>
      <c r="I1415" t="s">
        <v>3521</v>
      </c>
      <c r="J1415">
        <v>38</v>
      </c>
      <c r="K1415" t="s">
        <v>84</v>
      </c>
      <c r="L1415" t="s">
        <v>85</v>
      </c>
      <c r="M1415" t="s">
        <v>86</v>
      </c>
      <c r="N1415">
        <v>3</v>
      </c>
      <c r="O1415" s="1">
        <v>44211.451886574076</v>
      </c>
      <c r="P1415" s="1">
        <v>44211.477430555555</v>
      </c>
      <c r="Q1415">
        <v>1086</v>
      </c>
      <c r="R1415">
        <v>1121</v>
      </c>
      <c r="S1415" t="b">
        <v>0</v>
      </c>
      <c r="T1415" t="s">
        <v>87</v>
      </c>
      <c r="U1415" t="b">
        <v>1</v>
      </c>
      <c r="V1415" t="s">
        <v>146</v>
      </c>
      <c r="W1415" s="1">
        <v>44211.464074074072</v>
      </c>
      <c r="X1415">
        <v>991</v>
      </c>
      <c r="Y1415">
        <v>37</v>
      </c>
      <c r="Z1415">
        <v>0</v>
      </c>
      <c r="AA1415">
        <v>37</v>
      </c>
      <c r="AB1415">
        <v>0</v>
      </c>
      <c r="AC1415">
        <v>35</v>
      </c>
      <c r="AD1415">
        <v>1</v>
      </c>
      <c r="AE1415">
        <v>0</v>
      </c>
      <c r="AF1415">
        <v>0</v>
      </c>
      <c r="AG1415">
        <v>0</v>
      </c>
      <c r="AH1415" t="s">
        <v>132</v>
      </c>
      <c r="AI1415" s="1">
        <v>44211.465995370374</v>
      </c>
      <c r="AJ1415">
        <v>110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 t="s">
        <v>90</v>
      </c>
      <c r="AU1415" s="1">
        <v>44211.477430555555</v>
      </c>
      <c r="AV1415">
        <v>20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</row>
    <row r="1416" spans="1:57" x14ac:dyDescent="0.45">
      <c r="A1416" t="s">
        <v>3526</v>
      </c>
      <c r="B1416" t="s">
        <v>79</v>
      </c>
      <c r="C1416" t="s">
        <v>3523</v>
      </c>
      <c r="D1416" t="s">
        <v>81</v>
      </c>
      <c r="E1416" s="2" t="str">
        <f>HYPERLINK("capsilon://?command=openfolder&amp;siteaddress=FAM.docvelocity-na8.net&amp;folderid=FXA2A502BA-4610-EE5C-94EA-ADC77605D1AB","FX20128392")</f>
        <v>FX20128392</v>
      </c>
      <c r="F1416" t="s">
        <v>19</v>
      </c>
      <c r="G1416" t="s">
        <v>19</v>
      </c>
      <c r="H1416" t="s">
        <v>82</v>
      </c>
      <c r="I1416" t="s">
        <v>3524</v>
      </c>
      <c r="J1416">
        <v>31</v>
      </c>
      <c r="K1416" t="s">
        <v>84</v>
      </c>
      <c r="L1416" t="s">
        <v>85</v>
      </c>
      <c r="M1416" t="s">
        <v>86</v>
      </c>
      <c r="N1416">
        <v>3</v>
      </c>
      <c r="O1416" s="1">
        <v>44211.4534375</v>
      </c>
      <c r="P1416" s="1">
        <v>44211.477766203701</v>
      </c>
      <c r="Q1416">
        <v>1128</v>
      </c>
      <c r="R1416">
        <v>974</v>
      </c>
      <c r="S1416" t="b">
        <v>0</v>
      </c>
      <c r="T1416" t="s">
        <v>87</v>
      </c>
      <c r="U1416" t="b">
        <v>1</v>
      </c>
      <c r="V1416" t="s">
        <v>179</v>
      </c>
      <c r="W1416" s="1">
        <v>44211.462997685187</v>
      </c>
      <c r="X1416">
        <v>825</v>
      </c>
      <c r="Y1416">
        <v>43</v>
      </c>
      <c r="Z1416">
        <v>0</v>
      </c>
      <c r="AA1416">
        <v>43</v>
      </c>
      <c r="AB1416">
        <v>0</v>
      </c>
      <c r="AC1416">
        <v>26</v>
      </c>
      <c r="AD1416">
        <v>-12</v>
      </c>
      <c r="AE1416">
        <v>0</v>
      </c>
      <c r="AF1416">
        <v>0</v>
      </c>
      <c r="AG1416">
        <v>0</v>
      </c>
      <c r="AH1416" t="s">
        <v>132</v>
      </c>
      <c r="AI1416" s="1">
        <v>44211.46471064815</v>
      </c>
      <c r="AJ1416">
        <v>111</v>
      </c>
      <c r="AK1416">
        <v>2</v>
      </c>
      <c r="AL1416">
        <v>0</v>
      </c>
      <c r="AM1416">
        <v>2</v>
      </c>
      <c r="AN1416">
        <v>0</v>
      </c>
      <c r="AO1416">
        <v>1</v>
      </c>
      <c r="AP1416">
        <v>-14</v>
      </c>
      <c r="AQ1416">
        <v>0</v>
      </c>
      <c r="AR1416">
        <v>0</v>
      </c>
      <c r="AS1416">
        <v>0</v>
      </c>
      <c r="AT1416" t="s">
        <v>90</v>
      </c>
      <c r="AU1416" s="1">
        <v>44211.477766203701</v>
      </c>
      <c r="AV1416">
        <v>28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-14</v>
      </c>
      <c r="BC1416">
        <v>0</v>
      </c>
      <c r="BD1416">
        <v>0</v>
      </c>
      <c r="BE1416">
        <v>0</v>
      </c>
    </row>
    <row r="1417" spans="1:57" x14ac:dyDescent="0.45">
      <c r="A1417" t="s">
        <v>3527</v>
      </c>
      <c r="B1417" t="s">
        <v>79</v>
      </c>
      <c r="C1417" t="s">
        <v>3528</v>
      </c>
      <c r="D1417" t="s">
        <v>81</v>
      </c>
      <c r="E1417" s="2" t="str">
        <f>HYPERLINK("capsilon://?command=openfolder&amp;siteaddress=FAM.docvelocity-na8.net&amp;folderid=FXF27FFFB8-3CCC-C971-5044-231D54194F84","FX201221995")</f>
        <v>FX201221995</v>
      </c>
      <c r="F1417" t="s">
        <v>19</v>
      </c>
      <c r="G1417" t="s">
        <v>19</v>
      </c>
      <c r="H1417" t="s">
        <v>82</v>
      </c>
      <c r="I1417" t="s">
        <v>3529</v>
      </c>
      <c r="J1417">
        <v>38</v>
      </c>
      <c r="K1417" t="s">
        <v>84</v>
      </c>
      <c r="L1417" t="s">
        <v>85</v>
      </c>
      <c r="M1417" t="s">
        <v>86</v>
      </c>
      <c r="N1417">
        <v>3</v>
      </c>
      <c r="O1417" s="1">
        <v>44211.463182870371</v>
      </c>
      <c r="P1417" s="1">
        <v>44211.494537037041</v>
      </c>
      <c r="Q1417">
        <v>1581</v>
      </c>
      <c r="R1417">
        <v>1128</v>
      </c>
      <c r="S1417" t="b">
        <v>0</v>
      </c>
      <c r="T1417" t="s">
        <v>87</v>
      </c>
      <c r="U1417" t="b">
        <v>0</v>
      </c>
      <c r="V1417" t="s">
        <v>919</v>
      </c>
      <c r="W1417" s="1">
        <v>44211.475208333337</v>
      </c>
      <c r="X1417">
        <v>1038</v>
      </c>
      <c r="Y1417">
        <v>37</v>
      </c>
      <c r="Z1417">
        <v>0</v>
      </c>
      <c r="AA1417">
        <v>37</v>
      </c>
      <c r="AB1417">
        <v>0</v>
      </c>
      <c r="AC1417">
        <v>15</v>
      </c>
      <c r="AD1417">
        <v>1</v>
      </c>
      <c r="AE1417">
        <v>0</v>
      </c>
      <c r="AF1417">
        <v>0</v>
      </c>
      <c r="AG1417">
        <v>0</v>
      </c>
      <c r="AH1417" t="s">
        <v>132</v>
      </c>
      <c r="AI1417" s="1">
        <v>44211.477858796294</v>
      </c>
      <c r="AJ1417">
        <v>83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 t="s">
        <v>90</v>
      </c>
      <c r="AU1417" s="1">
        <v>44211.494537037041</v>
      </c>
      <c r="AV1417">
        <v>7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</row>
    <row r="1418" spans="1:57" hidden="1" x14ac:dyDescent="0.45">
      <c r="A1418" t="s">
        <v>3530</v>
      </c>
      <c r="B1418" t="s">
        <v>79</v>
      </c>
      <c r="C1418" t="s">
        <v>3531</v>
      </c>
      <c r="D1418" t="s">
        <v>81</v>
      </c>
      <c r="E1418" s="2" t="str">
        <f>HYPERLINK("capsilon://?command=openfolder&amp;siteaddress=FAM.docvelocity-na8.net&amp;folderid=FX804CB6A5-5885-456A-1764-AD4F2B716FB1","FX201111748")</f>
        <v>FX201111748</v>
      </c>
      <c r="F1418" t="s">
        <v>19</v>
      </c>
      <c r="G1418" t="s">
        <v>19</v>
      </c>
      <c r="H1418" t="s">
        <v>82</v>
      </c>
      <c r="I1418" t="s">
        <v>3532</v>
      </c>
      <c r="J1418">
        <v>441</v>
      </c>
      <c r="K1418" t="s">
        <v>84</v>
      </c>
      <c r="L1418" t="s">
        <v>85</v>
      </c>
      <c r="M1418" t="s">
        <v>86</v>
      </c>
      <c r="N1418">
        <v>3</v>
      </c>
      <c r="O1418" s="1">
        <v>44211.47315972222</v>
      </c>
      <c r="P1418" s="1">
        <v>44211.494583333333</v>
      </c>
      <c r="Q1418">
        <v>1491</v>
      </c>
      <c r="R1418">
        <v>360</v>
      </c>
      <c r="S1418" t="b">
        <v>0</v>
      </c>
      <c r="T1418" t="s">
        <v>87</v>
      </c>
      <c r="U1418" t="b">
        <v>0</v>
      </c>
      <c r="V1418" t="s">
        <v>88</v>
      </c>
      <c r="W1418" s="1">
        <v>44211.476990740739</v>
      </c>
      <c r="X1418">
        <v>266</v>
      </c>
      <c r="Y1418">
        <v>0</v>
      </c>
      <c r="Z1418">
        <v>0</v>
      </c>
      <c r="AA1418">
        <v>0</v>
      </c>
      <c r="AB1418">
        <v>98</v>
      </c>
      <c r="AC1418">
        <v>0</v>
      </c>
      <c r="AD1418">
        <v>441</v>
      </c>
      <c r="AE1418">
        <v>0</v>
      </c>
      <c r="AF1418">
        <v>0</v>
      </c>
      <c r="AG1418">
        <v>0</v>
      </c>
      <c r="AH1418" t="s">
        <v>108</v>
      </c>
      <c r="AI1418" s="1">
        <v>44211.478136574071</v>
      </c>
      <c r="AJ1418">
        <v>91</v>
      </c>
      <c r="AK1418">
        <v>0</v>
      </c>
      <c r="AL1418">
        <v>0</v>
      </c>
      <c r="AM1418">
        <v>0</v>
      </c>
      <c r="AN1418">
        <v>98</v>
      </c>
      <c r="AO1418">
        <v>0</v>
      </c>
      <c r="AP1418">
        <v>441</v>
      </c>
      <c r="AQ1418">
        <v>0</v>
      </c>
      <c r="AR1418">
        <v>0</v>
      </c>
      <c r="AS1418">
        <v>0</v>
      </c>
      <c r="AT1418" t="s">
        <v>90</v>
      </c>
      <c r="AU1418" s="1">
        <v>44211.494583333333</v>
      </c>
      <c r="AV1418">
        <v>3</v>
      </c>
      <c r="AW1418">
        <v>0</v>
      </c>
      <c r="AX1418">
        <v>0</v>
      </c>
      <c r="AY1418">
        <v>0</v>
      </c>
      <c r="AZ1418">
        <v>98</v>
      </c>
      <c r="BA1418">
        <v>0</v>
      </c>
      <c r="BB1418">
        <v>441</v>
      </c>
      <c r="BC1418">
        <v>0</v>
      </c>
      <c r="BD1418">
        <v>0</v>
      </c>
      <c r="BE1418">
        <v>0</v>
      </c>
    </row>
    <row r="1419" spans="1:57" x14ac:dyDescent="0.45">
      <c r="A1419" t="s">
        <v>3533</v>
      </c>
      <c r="B1419" t="s">
        <v>79</v>
      </c>
      <c r="C1419" t="s">
        <v>2882</v>
      </c>
      <c r="D1419" t="s">
        <v>81</v>
      </c>
      <c r="E1419" s="2" t="str">
        <f>HYPERLINK("capsilon://?command=openfolder&amp;siteaddress=FAM.docvelocity-na8.net&amp;folderid=FXC9769D95-F2B7-E14F-60C9-C8ED0DA5BBB8","FX20116137")</f>
        <v>FX20116137</v>
      </c>
      <c r="F1419" t="s">
        <v>19</v>
      </c>
      <c r="G1419" t="s">
        <v>19</v>
      </c>
      <c r="H1419" t="s">
        <v>82</v>
      </c>
      <c r="I1419" t="s">
        <v>3534</v>
      </c>
      <c r="J1419">
        <v>70</v>
      </c>
      <c r="K1419" t="s">
        <v>84</v>
      </c>
      <c r="L1419" t="s">
        <v>85</v>
      </c>
      <c r="M1419" t="s">
        <v>86</v>
      </c>
      <c r="N1419">
        <v>3</v>
      </c>
      <c r="O1419" s="1">
        <v>44211.474733796298</v>
      </c>
      <c r="P1419" s="1">
        <v>44211.496817129628</v>
      </c>
      <c r="Q1419">
        <v>1252</v>
      </c>
      <c r="R1419">
        <v>656</v>
      </c>
      <c r="S1419" t="b">
        <v>0</v>
      </c>
      <c r="T1419" t="s">
        <v>87</v>
      </c>
      <c r="U1419" t="b">
        <v>0</v>
      </c>
      <c r="V1419" t="s">
        <v>242</v>
      </c>
      <c r="W1419" s="1">
        <v>44211.481030092589</v>
      </c>
      <c r="X1419">
        <v>188</v>
      </c>
      <c r="Y1419">
        <v>57</v>
      </c>
      <c r="Z1419">
        <v>0</v>
      </c>
      <c r="AA1419">
        <v>57</v>
      </c>
      <c r="AB1419">
        <v>0</v>
      </c>
      <c r="AC1419">
        <v>3</v>
      </c>
      <c r="AD1419">
        <v>13</v>
      </c>
      <c r="AE1419">
        <v>0</v>
      </c>
      <c r="AF1419">
        <v>0</v>
      </c>
      <c r="AG1419">
        <v>0</v>
      </c>
      <c r="AH1419" t="s">
        <v>132</v>
      </c>
      <c r="AI1419" s="1">
        <v>44211.484699074077</v>
      </c>
      <c r="AJ1419">
        <v>276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13</v>
      </c>
      <c r="AQ1419">
        <v>0</v>
      </c>
      <c r="AR1419">
        <v>0</v>
      </c>
      <c r="AS1419">
        <v>0</v>
      </c>
      <c r="AT1419" t="s">
        <v>90</v>
      </c>
      <c r="AU1419" s="1">
        <v>44211.496817129628</v>
      </c>
      <c r="AV1419">
        <v>192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13</v>
      </c>
      <c r="BC1419">
        <v>0</v>
      </c>
      <c r="BD1419">
        <v>0</v>
      </c>
      <c r="BE1419">
        <v>0</v>
      </c>
    </row>
    <row r="1420" spans="1:57" x14ac:dyDescent="0.45">
      <c r="A1420" t="s">
        <v>3535</v>
      </c>
      <c r="B1420" t="s">
        <v>79</v>
      </c>
      <c r="C1420" t="s">
        <v>2869</v>
      </c>
      <c r="D1420" t="s">
        <v>81</v>
      </c>
      <c r="E1420" s="2" t="str">
        <f>HYPERLINK("capsilon://?command=openfolder&amp;siteaddress=FAM.docvelocity-na8.net&amp;folderid=FX1167FDC8-828E-EEBF-396E-B361700318EA","FX21015559")</f>
        <v>FX21015559</v>
      </c>
      <c r="F1420" t="s">
        <v>19</v>
      </c>
      <c r="G1420" t="s">
        <v>19</v>
      </c>
      <c r="H1420" t="s">
        <v>82</v>
      </c>
      <c r="I1420" t="s">
        <v>3536</v>
      </c>
      <c r="J1420">
        <v>66</v>
      </c>
      <c r="K1420" t="s">
        <v>84</v>
      </c>
      <c r="L1420" t="s">
        <v>85</v>
      </c>
      <c r="M1420" t="s">
        <v>86</v>
      </c>
      <c r="N1420">
        <v>3</v>
      </c>
      <c r="O1420" s="1">
        <v>44211.474814814814</v>
      </c>
      <c r="P1420" s="1">
        <v>44211.497210648151</v>
      </c>
      <c r="Q1420">
        <v>539</v>
      </c>
      <c r="R1420">
        <v>1396</v>
      </c>
      <c r="S1420" t="b">
        <v>0</v>
      </c>
      <c r="T1420" t="s">
        <v>87</v>
      </c>
      <c r="U1420" t="b">
        <v>0</v>
      </c>
      <c r="V1420" t="s">
        <v>919</v>
      </c>
      <c r="W1420" s="1">
        <v>44211.490335648145</v>
      </c>
      <c r="X1420">
        <v>1307</v>
      </c>
      <c r="Y1420">
        <v>52</v>
      </c>
      <c r="Z1420">
        <v>0</v>
      </c>
      <c r="AA1420">
        <v>52</v>
      </c>
      <c r="AB1420">
        <v>0</v>
      </c>
      <c r="AC1420">
        <v>32</v>
      </c>
      <c r="AD1420">
        <v>14</v>
      </c>
      <c r="AE1420">
        <v>0</v>
      </c>
      <c r="AF1420">
        <v>0</v>
      </c>
      <c r="AG1420">
        <v>0</v>
      </c>
      <c r="AH1420" t="s">
        <v>132</v>
      </c>
      <c r="AI1420" s="1">
        <v>44211.491377314815</v>
      </c>
      <c r="AJ1420">
        <v>82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14</v>
      </c>
      <c r="AQ1420">
        <v>0</v>
      </c>
      <c r="AR1420">
        <v>0</v>
      </c>
      <c r="AS1420">
        <v>0</v>
      </c>
      <c r="AT1420" t="s">
        <v>90</v>
      </c>
      <c r="AU1420" s="1">
        <v>44211.497210648151</v>
      </c>
      <c r="AV1420">
        <v>7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14</v>
      </c>
      <c r="BC1420">
        <v>0</v>
      </c>
      <c r="BD1420">
        <v>0</v>
      </c>
      <c r="BE1420">
        <v>0</v>
      </c>
    </row>
    <row r="1421" spans="1:57" x14ac:dyDescent="0.45">
      <c r="A1421" t="s">
        <v>3537</v>
      </c>
      <c r="B1421" t="s">
        <v>79</v>
      </c>
      <c r="C1421" t="s">
        <v>3538</v>
      </c>
      <c r="D1421" t="s">
        <v>81</v>
      </c>
      <c r="E1421" s="2" t="str">
        <f>HYPERLINK("capsilon://?command=openfolder&amp;siteaddress=FAM.docvelocity-na8.net&amp;folderid=FXE76B281B-E613-C93D-D269-97A27063F80C","FX21013367")</f>
        <v>FX21013367</v>
      </c>
      <c r="F1421" t="s">
        <v>19</v>
      </c>
      <c r="G1421" t="s">
        <v>19</v>
      </c>
      <c r="H1421" t="s">
        <v>82</v>
      </c>
      <c r="I1421" t="s">
        <v>3539</v>
      </c>
      <c r="J1421">
        <v>138</v>
      </c>
      <c r="K1421" t="s">
        <v>84</v>
      </c>
      <c r="L1421" t="s">
        <v>85</v>
      </c>
      <c r="M1421" t="s">
        <v>86</v>
      </c>
      <c r="N1421">
        <v>3</v>
      </c>
      <c r="O1421" s="1">
        <v>44211.477280092593</v>
      </c>
      <c r="P1421" s="1">
        <v>44211.588738425926</v>
      </c>
      <c r="Q1421">
        <v>6890</v>
      </c>
      <c r="R1421">
        <v>2740</v>
      </c>
      <c r="S1421" t="b">
        <v>0</v>
      </c>
      <c r="T1421" t="s">
        <v>87</v>
      </c>
      <c r="U1421" t="b">
        <v>0</v>
      </c>
      <c r="V1421" t="s">
        <v>88</v>
      </c>
      <c r="W1421" s="1">
        <v>44211.500081018516</v>
      </c>
      <c r="X1421">
        <v>1787</v>
      </c>
      <c r="Y1421">
        <v>157</v>
      </c>
      <c r="Z1421">
        <v>0</v>
      </c>
      <c r="AA1421">
        <v>157</v>
      </c>
      <c r="AB1421">
        <v>0</v>
      </c>
      <c r="AC1421">
        <v>60</v>
      </c>
      <c r="AD1421">
        <v>-19</v>
      </c>
      <c r="AE1421">
        <v>0</v>
      </c>
      <c r="AF1421">
        <v>0</v>
      </c>
      <c r="AG1421">
        <v>0</v>
      </c>
      <c r="AH1421" t="s">
        <v>132</v>
      </c>
      <c r="AI1421" s="1">
        <v>44211.504930555559</v>
      </c>
      <c r="AJ1421">
        <v>410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-19</v>
      </c>
      <c r="AQ1421">
        <v>0</v>
      </c>
      <c r="AR1421">
        <v>0</v>
      </c>
      <c r="AS1421">
        <v>0</v>
      </c>
      <c r="AT1421" t="s">
        <v>90</v>
      </c>
      <c r="AU1421" s="1">
        <v>44211.588738425926</v>
      </c>
      <c r="AV1421">
        <v>543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-19</v>
      </c>
      <c r="BC1421">
        <v>0</v>
      </c>
      <c r="BD1421">
        <v>0</v>
      </c>
      <c r="BE1421">
        <v>0</v>
      </c>
    </row>
    <row r="1422" spans="1:57" x14ac:dyDescent="0.45">
      <c r="A1422" t="s">
        <v>3540</v>
      </c>
      <c r="B1422" t="s">
        <v>79</v>
      </c>
      <c r="C1422" t="s">
        <v>3265</v>
      </c>
      <c r="D1422" t="s">
        <v>81</v>
      </c>
      <c r="E1422" s="2" t="str">
        <f>HYPERLINK("capsilon://?command=openfolder&amp;siteaddress=FAM.docvelocity-na8.net&amp;folderid=FX6C2D813C-29AF-0753-E01C-AD802C6B09F4","FX21017909")</f>
        <v>FX21017909</v>
      </c>
      <c r="F1422" t="s">
        <v>19</v>
      </c>
      <c r="G1422" t="s">
        <v>19</v>
      </c>
      <c r="H1422" t="s">
        <v>82</v>
      </c>
      <c r="I1422" t="s">
        <v>3541</v>
      </c>
      <c r="J1422">
        <v>66</v>
      </c>
      <c r="K1422" t="s">
        <v>84</v>
      </c>
      <c r="L1422" t="s">
        <v>85</v>
      </c>
      <c r="M1422" t="s">
        <v>86</v>
      </c>
      <c r="N1422">
        <v>3</v>
      </c>
      <c r="O1422" s="1">
        <v>44211.477476851855</v>
      </c>
      <c r="P1422" s="1">
        <v>44211.497581018521</v>
      </c>
      <c r="Q1422">
        <v>968</v>
      </c>
      <c r="R1422">
        <v>769</v>
      </c>
      <c r="S1422" t="b">
        <v>0</v>
      </c>
      <c r="T1422" t="s">
        <v>87</v>
      </c>
      <c r="U1422" t="b">
        <v>0</v>
      </c>
      <c r="V1422" t="s">
        <v>112</v>
      </c>
      <c r="W1422" s="1">
        <v>44211.488611111112</v>
      </c>
      <c r="X1422">
        <v>666</v>
      </c>
      <c r="Y1422">
        <v>52</v>
      </c>
      <c r="Z1422">
        <v>0</v>
      </c>
      <c r="AA1422">
        <v>52</v>
      </c>
      <c r="AB1422">
        <v>0</v>
      </c>
      <c r="AC1422">
        <v>30</v>
      </c>
      <c r="AD1422">
        <v>14</v>
      </c>
      <c r="AE1422">
        <v>0</v>
      </c>
      <c r="AF1422">
        <v>0</v>
      </c>
      <c r="AG1422">
        <v>0</v>
      </c>
      <c r="AH1422" t="s">
        <v>132</v>
      </c>
      <c r="AI1422" s="1">
        <v>44211.490277777775</v>
      </c>
      <c r="AJ1422">
        <v>72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14</v>
      </c>
      <c r="AQ1422">
        <v>0</v>
      </c>
      <c r="AR1422">
        <v>0</v>
      </c>
      <c r="AS1422">
        <v>0</v>
      </c>
      <c r="AT1422" t="s">
        <v>90</v>
      </c>
      <c r="AU1422" s="1">
        <v>44211.497581018521</v>
      </c>
      <c r="AV1422">
        <v>31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14</v>
      </c>
      <c r="BC1422">
        <v>0</v>
      </c>
      <c r="BD1422">
        <v>0</v>
      </c>
      <c r="BE1422">
        <v>0</v>
      </c>
    </row>
    <row r="1423" spans="1:57" hidden="1" x14ac:dyDescent="0.45">
      <c r="A1423" t="s">
        <v>3542</v>
      </c>
      <c r="B1423" t="s">
        <v>79</v>
      </c>
      <c r="C1423" t="s">
        <v>1363</v>
      </c>
      <c r="D1423" t="s">
        <v>81</v>
      </c>
      <c r="E1423" s="2" t="str">
        <f>HYPERLINK("capsilon://?command=openfolder&amp;siteaddress=FAM.docvelocity-na8.net&amp;folderid=FXF6381B54-7AAB-03C0-CC1C-77DE76AF1B20","FX20121708")</f>
        <v>FX20121708</v>
      </c>
      <c r="F1423" t="s">
        <v>19</v>
      </c>
      <c r="G1423" t="s">
        <v>19</v>
      </c>
      <c r="H1423" t="s">
        <v>82</v>
      </c>
      <c r="I1423" t="s">
        <v>3543</v>
      </c>
      <c r="J1423">
        <v>66</v>
      </c>
      <c r="K1423" t="s">
        <v>84</v>
      </c>
      <c r="L1423" t="s">
        <v>85</v>
      </c>
      <c r="M1423" t="s">
        <v>86</v>
      </c>
      <c r="N1423">
        <v>1</v>
      </c>
      <c r="O1423" s="1">
        <v>44211.480069444442</v>
      </c>
      <c r="P1423" s="1">
        <v>44211.489317129628</v>
      </c>
      <c r="Q1423">
        <v>686</v>
      </c>
      <c r="R1423">
        <v>113</v>
      </c>
      <c r="S1423" t="b">
        <v>0</v>
      </c>
      <c r="T1423" t="s">
        <v>87</v>
      </c>
      <c r="U1423" t="b">
        <v>0</v>
      </c>
      <c r="V1423" t="s">
        <v>160</v>
      </c>
      <c r="W1423" s="1">
        <v>44211.489317129628</v>
      </c>
      <c r="X1423">
        <v>94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66</v>
      </c>
      <c r="AE1423">
        <v>0</v>
      </c>
      <c r="AF1423">
        <v>0</v>
      </c>
      <c r="AG1423">
        <v>1</v>
      </c>
      <c r="AH1423" t="s">
        <v>87</v>
      </c>
      <c r="AI1423" t="s">
        <v>87</v>
      </c>
      <c r="AJ1423" t="s">
        <v>87</v>
      </c>
      <c r="AK1423" t="s">
        <v>87</v>
      </c>
      <c r="AL1423" t="s">
        <v>87</v>
      </c>
      <c r="AM1423" t="s">
        <v>87</v>
      </c>
      <c r="AN1423" t="s">
        <v>87</v>
      </c>
      <c r="AO1423" t="s">
        <v>87</v>
      </c>
      <c r="AP1423" t="s">
        <v>87</v>
      </c>
      <c r="AQ1423" t="s">
        <v>87</v>
      </c>
      <c r="AR1423" t="s">
        <v>87</v>
      </c>
      <c r="AS1423" t="s">
        <v>87</v>
      </c>
      <c r="AT1423" t="s">
        <v>87</v>
      </c>
      <c r="AU1423" t="s">
        <v>87</v>
      </c>
      <c r="AV1423" t="s">
        <v>87</v>
      </c>
      <c r="AW1423" t="s">
        <v>87</v>
      </c>
      <c r="AX1423" t="s">
        <v>87</v>
      </c>
      <c r="AY1423" t="s">
        <v>87</v>
      </c>
      <c r="AZ1423" t="s">
        <v>87</v>
      </c>
      <c r="BA1423" t="s">
        <v>87</v>
      </c>
      <c r="BB1423" t="s">
        <v>87</v>
      </c>
      <c r="BC1423" t="s">
        <v>87</v>
      </c>
      <c r="BD1423" t="s">
        <v>87</v>
      </c>
      <c r="BE1423" t="s">
        <v>87</v>
      </c>
    </row>
    <row r="1424" spans="1:57" x14ac:dyDescent="0.45">
      <c r="A1424" t="s">
        <v>3544</v>
      </c>
      <c r="B1424" t="s">
        <v>79</v>
      </c>
      <c r="C1424" t="s">
        <v>809</v>
      </c>
      <c r="D1424" t="s">
        <v>81</v>
      </c>
      <c r="E1424" s="2" t="str">
        <f>HYPERLINK("capsilon://?command=openfolder&amp;siteaddress=FAM.docvelocity-na8.net&amp;folderid=FX00633463-7C58-5FDE-2EBE-6FF9646FD86A","FX21012421")</f>
        <v>FX21012421</v>
      </c>
      <c r="F1424" t="s">
        <v>19</v>
      </c>
      <c r="G1424" t="s">
        <v>19</v>
      </c>
      <c r="H1424" t="s">
        <v>82</v>
      </c>
      <c r="I1424" t="s">
        <v>3545</v>
      </c>
      <c r="J1424">
        <v>26</v>
      </c>
      <c r="K1424" t="s">
        <v>84</v>
      </c>
      <c r="L1424" t="s">
        <v>85</v>
      </c>
      <c r="M1424" t="s">
        <v>86</v>
      </c>
      <c r="N1424">
        <v>3</v>
      </c>
      <c r="O1424" s="1">
        <v>44211.483402777776</v>
      </c>
      <c r="P1424" s="1">
        <v>44211.497650462959</v>
      </c>
      <c r="Q1424">
        <v>780</v>
      </c>
      <c r="R1424">
        <v>451</v>
      </c>
      <c r="S1424" t="b">
        <v>0</v>
      </c>
      <c r="T1424" t="s">
        <v>87</v>
      </c>
      <c r="U1424" t="b">
        <v>0</v>
      </c>
      <c r="V1424" t="s">
        <v>419</v>
      </c>
      <c r="W1424" s="1">
        <v>44211.488009259258</v>
      </c>
      <c r="X1424">
        <v>370</v>
      </c>
      <c r="Y1424">
        <v>21</v>
      </c>
      <c r="Z1424">
        <v>0</v>
      </c>
      <c r="AA1424">
        <v>21</v>
      </c>
      <c r="AB1424">
        <v>0</v>
      </c>
      <c r="AC1424">
        <v>8</v>
      </c>
      <c r="AD1424">
        <v>5</v>
      </c>
      <c r="AE1424">
        <v>0</v>
      </c>
      <c r="AF1424">
        <v>0</v>
      </c>
      <c r="AG1424">
        <v>0</v>
      </c>
      <c r="AH1424" t="s">
        <v>132</v>
      </c>
      <c r="AI1424" s="1">
        <v>44211.489432870374</v>
      </c>
      <c r="AJ1424">
        <v>76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5</v>
      </c>
      <c r="AQ1424">
        <v>0</v>
      </c>
      <c r="AR1424">
        <v>0</v>
      </c>
      <c r="AS1424">
        <v>0</v>
      </c>
      <c r="AT1424" t="s">
        <v>90</v>
      </c>
      <c r="AU1424" s="1">
        <v>44211.497650462959</v>
      </c>
      <c r="AV1424">
        <v>5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5</v>
      </c>
      <c r="BC1424">
        <v>0</v>
      </c>
      <c r="BD1424">
        <v>0</v>
      </c>
      <c r="BE1424">
        <v>0</v>
      </c>
    </row>
    <row r="1425" spans="1:57" hidden="1" x14ac:dyDescent="0.45">
      <c r="A1425" t="s">
        <v>3546</v>
      </c>
      <c r="B1425" t="s">
        <v>79</v>
      </c>
      <c r="C1425" t="s">
        <v>3547</v>
      </c>
      <c r="D1425" t="s">
        <v>81</v>
      </c>
      <c r="E1425" s="2" t="str">
        <f>HYPERLINK("capsilon://?command=openfolder&amp;siteaddress=FAM.docvelocity-na8.net&amp;folderid=FX2867CDDC-563D-5FA5-0836-C86B9222ACA6","FX201112400")</f>
        <v>FX201112400</v>
      </c>
      <c r="F1425" t="s">
        <v>19</v>
      </c>
      <c r="G1425" t="s">
        <v>19</v>
      </c>
      <c r="H1425" t="s">
        <v>82</v>
      </c>
      <c r="I1425" t="s">
        <v>3548</v>
      </c>
      <c r="J1425">
        <v>66</v>
      </c>
      <c r="K1425" t="s">
        <v>84</v>
      </c>
      <c r="L1425" t="s">
        <v>85</v>
      </c>
      <c r="M1425" t="s">
        <v>86</v>
      </c>
      <c r="N1425">
        <v>3</v>
      </c>
      <c r="O1425" s="1">
        <v>44211.48364583333</v>
      </c>
      <c r="P1425" s="1">
        <v>44211.497696759259</v>
      </c>
      <c r="Q1425">
        <v>962</v>
      </c>
      <c r="R1425">
        <v>252</v>
      </c>
      <c r="S1425" t="b">
        <v>0</v>
      </c>
      <c r="T1425" t="s">
        <v>87</v>
      </c>
      <c r="U1425" t="b">
        <v>0</v>
      </c>
      <c r="V1425" t="s">
        <v>160</v>
      </c>
      <c r="W1425" s="1">
        <v>44211.485983796294</v>
      </c>
      <c r="X1425">
        <v>153</v>
      </c>
      <c r="Y1425">
        <v>0</v>
      </c>
      <c r="Z1425">
        <v>0</v>
      </c>
      <c r="AA1425">
        <v>0</v>
      </c>
      <c r="AB1425">
        <v>52</v>
      </c>
      <c r="AC1425">
        <v>0</v>
      </c>
      <c r="AD1425">
        <v>66</v>
      </c>
      <c r="AE1425">
        <v>0</v>
      </c>
      <c r="AF1425">
        <v>0</v>
      </c>
      <c r="AG1425">
        <v>0</v>
      </c>
      <c r="AH1425" t="s">
        <v>94</v>
      </c>
      <c r="AI1425" s="1">
        <v>44211.487523148149</v>
      </c>
      <c r="AJ1425">
        <v>96</v>
      </c>
      <c r="AK1425">
        <v>0</v>
      </c>
      <c r="AL1425">
        <v>0</v>
      </c>
      <c r="AM1425">
        <v>0</v>
      </c>
      <c r="AN1425">
        <v>52</v>
      </c>
      <c r="AO1425">
        <v>0</v>
      </c>
      <c r="AP1425">
        <v>66</v>
      </c>
      <c r="AQ1425">
        <v>0</v>
      </c>
      <c r="AR1425">
        <v>0</v>
      </c>
      <c r="AS1425">
        <v>0</v>
      </c>
      <c r="AT1425" t="s">
        <v>90</v>
      </c>
      <c r="AU1425" s="1">
        <v>44211.497696759259</v>
      </c>
      <c r="AV1425">
        <v>3</v>
      </c>
      <c r="AW1425">
        <v>0</v>
      </c>
      <c r="AX1425">
        <v>0</v>
      </c>
      <c r="AY1425">
        <v>0</v>
      </c>
      <c r="AZ1425">
        <v>52</v>
      </c>
      <c r="BA1425">
        <v>0</v>
      </c>
      <c r="BB1425">
        <v>66</v>
      </c>
      <c r="BC1425">
        <v>0</v>
      </c>
      <c r="BD1425">
        <v>0</v>
      </c>
      <c r="BE1425">
        <v>0</v>
      </c>
    </row>
    <row r="1426" spans="1:57" x14ac:dyDescent="0.45">
      <c r="A1426" t="s">
        <v>3549</v>
      </c>
      <c r="B1426" t="s">
        <v>79</v>
      </c>
      <c r="C1426" t="s">
        <v>809</v>
      </c>
      <c r="D1426" t="s">
        <v>81</v>
      </c>
      <c r="E1426" s="2" t="str">
        <f>HYPERLINK("capsilon://?command=openfolder&amp;siteaddress=FAM.docvelocity-na8.net&amp;folderid=FX00633463-7C58-5FDE-2EBE-6FF9646FD86A","FX21012421")</f>
        <v>FX21012421</v>
      </c>
      <c r="F1426" t="s">
        <v>19</v>
      </c>
      <c r="G1426" t="s">
        <v>19</v>
      </c>
      <c r="H1426" t="s">
        <v>82</v>
      </c>
      <c r="I1426" t="s">
        <v>3550</v>
      </c>
      <c r="J1426">
        <v>46</v>
      </c>
      <c r="K1426" t="s">
        <v>84</v>
      </c>
      <c r="L1426" t="s">
        <v>85</v>
      </c>
      <c r="M1426" t="s">
        <v>86</v>
      </c>
      <c r="N1426">
        <v>3</v>
      </c>
      <c r="O1426" s="1">
        <v>44211.484224537038</v>
      </c>
      <c r="P1426" s="1">
        <v>44211.59002314815</v>
      </c>
      <c r="Q1426">
        <v>7543</v>
      </c>
      <c r="R1426">
        <v>1598</v>
      </c>
      <c r="S1426" t="b">
        <v>0</v>
      </c>
      <c r="T1426" t="s">
        <v>87</v>
      </c>
      <c r="U1426" t="b">
        <v>0</v>
      </c>
      <c r="V1426" t="s">
        <v>179</v>
      </c>
      <c r="W1426" s="1">
        <v>44211.501064814816</v>
      </c>
      <c r="X1426">
        <v>1427</v>
      </c>
      <c r="Y1426">
        <v>54</v>
      </c>
      <c r="Z1426">
        <v>0</v>
      </c>
      <c r="AA1426">
        <v>54</v>
      </c>
      <c r="AB1426">
        <v>0</v>
      </c>
      <c r="AC1426">
        <v>48</v>
      </c>
      <c r="AD1426">
        <v>-8</v>
      </c>
      <c r="AE1426">
        <v>0</v>
      </c>
      <c r="AF1426">
        <v>0</v>
      </c>
      <c r="AG1426">
        <v>0</v>
      </c>
      <c r="AH1426" t="s">
        <v>132</v>
      </c>
      <c r="AI1426" s="1">
        <v>44211.505810185183</v>
      </c>
      <c r="AJ1426">
        <v>75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-8</v>
      </c>
      <c r="AQ1426">
        <v>0</v>
      </c>
      <c r="AR1426">
        <v>0</v>
      </c>
      <c r="AS1426">
        <v>0</v>
      </c>
      <c r="AT1426" t="s">
        <v>90</v>
      </c>
      <c r="AU1426" s="1">
        <v>44211.59002314815</v>
      </c>
      <c r="AV1426">
        <v>96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-8</v>
      </c>
      <c r="BC1426">
        <v>0</v>
      </c>
      <c r="BD1426">
        <v>0</v>
      </c>
      <c r="BE1426">
        <v>0</v>
      </c>
    </row>
    <row r="1427" spans="1:57" x14ac:dyDescent="0.45">
      <c r="A1427" t="s">
        <v>3551</v>
      </c>
      <c r="B1427" t="s">
        <v>79</v>
      </c>
      <c r="C1427" t="s">
        <v>3552</v>
      </c>
      <c r="D1427" t="s">
        <v>81</v>
      </c>
      <c r="E1427" s="2" t="str">
        <f>HYPERLINK("capsilon://?command=openfolder&amp;siteaddress=FAM.docvelocity-na8.net&amp;folderid=FXDBAE5D54-489D-2353-F7CF-59E9243E5890","FX21015542")</f>
        <v>FX21015542</v>
      </c>
      <c r="F1427" t="s">
        <v>19</v>
      </c>
      <c r="G1427" t="s">
        <v>19</v>
      </c>
      <c r="H1427" t="s">
        <v>82</v>
      </c>
      <c r="I1427" t="s">
        <v>3553</v>
      </c>
      <c r="J1427">
        <v>180</v>
      </c>
      <c r="K1427" t="s">
        <v>84</v>
      </c>
      <c r="L1427" t="s">
        <v>85</v>
      </c>
      <c r="M1427" t="s">
        <v>86</v>
      </c>
      <c r="N1427">
        <v>3</v>
      </c>
      <c r="O1427" s="1">
        <v>44211.485138888886</v>
      </c>
      <c r="P1427" s="1">
        <v>44211.592372685183</v>
      </c>
      <c r="Q1427">
        <v>7046</v>
      </c>
      <c r="R1427">
        <v>2219</v>
      </c>
      <c r="S1427" t="b">
        <v>0</v>
      </c>
      <c r="T1427" t="s">
        <v>87</v>
      </c>
      <c r="U1427" t="b">
        <v>0</v>
      </c>
      <c r="V1427" t="s">
        <v>259</v>
      </c>
      <c r="W1427" s="1">
        <v>44211.504432870373</v>
      </c>
      <c r="X1427">
        <v>1641</v>
      </c>
      <c r="Y1427">
        <v>158</v>
      </c>
      <c r="Z1427">
        <v>0</v>
      </c>
      <c r="AA1427">
        <v>158</v>
      </c>
      <c r="AB1427">
        <v>0</v>
      </c>
      <c r="AC1427">
        <v>29</v>
      </c>
      <c r="AD1427">
        <v>22</v>
      </c>
      <c r="AE1427">
        <v>0</v>
      </c>
      <c r="AF1427">
        <v>0</v>
      </c>
      <c r="AG1427">
        <v>0</v>
      </c>
      <c r="AH1427" t="s">
        <v>132</v>
      </c>
      <c r="AI1427" s="1">
        <v>44211.510243055556</v>
      </c>
      <c r="AJ1427">
        <v>362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22</v>
      </c>
      <c r="AQ1427">
        <v>0</v>
      </c>
      <c r="AR1427">
        <v>0</v>
      </c>
      <c r="AS1427">
        <v>0</v>
      </c>
      <c r="AT1427" t="s">
        <v>90</v>
      </c>
      <c r="AU1427" s="1">
        <v>44211.592372685183</v>
      </c>
      <c r="AV1427">
        <v>202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22</v>
      </c>
      <c r="BC1427">
        <v>0</v>
      </c>
      <c r="BD1427">
        <v>0</v>
      </c>
      <c r="BE1427">
        <v>0</v>
      </c>
    </row>
    <row r="1428" spans="1:57" x14ac:dyDescent="0.45">
      <c r="A1428" t="s">
        <v>3554</v>
      </c>
      <c r="B1428" t="s">
        <v>79</v>
      </c>
      <c r="C1428" t="s">
        <v>1363</v>
      </c>
      <c r="D1428" t="s">
        <v>81</v>
      </c>
      <c r="E1428" s="2" t="str">
        <f>HYPERLINK("capsilon://?command=openfolder&amp;siteaddress=FAM.docvelocity-na8.net&amp;folderid=FXF6381B54-7AAB-03C0-CC1C-77DE76AF1B20","FX20121708")</f>
        <v>FX20121708</v>
      </c>
      <c r="F1428" t="s">
        <v>19</v>
      </c>
      <c r="G1428" t="s">
        <v>19</v>
      </c>
      <c r="H1428" t="s">
        <v>82</v>
      </c>
      <c r="I1428" t="s">
        <v>3543</v>
      </c>
      <c r="J1428">
        <v>38</v>
      </c>
      <c r="K1428" t="s">
        <v>84</v>
      </c>
      <c r="L1428" t="s">
        <v>85</v>
      </c>
      <c r="M1428" t="s">
        <v>86</v>
      </c>
      <c r="N1428">
        <v>3</v>
      </c>
      <c r="O1428" s="1">
        <v>44211.489606481482</v>
      </c>
      <c r="P1428" s="1">
        <v>44211.52925925926</v>
      </c>
      <c r="Q1428">
        <v>1090</v>
      </c>
      <c r="R1428">
        <v>2336</v>
      </c>
      <c r="S1428" t="b">
        <v>0</v>
      </c>
      <c r="T1428" t="s">
        <v>87</v>
      </c>
      <c r="U1428" t="b">
        <v>1</v>
      </c>
      <c r="V1428" t="s">
        <v>146</v>
      </c>
      <c r="W1428" s="1">
        <v>44211.505486111113</v>
      </c>
      <c r="X1428">
        <v>1371</v>
      </c>
      <c r="Y1428">
        <v>37</v>
      </c>
      <c r="Z1428">
        <v>0</v>
      </c>
      <c r="AA1428">
        <v>37</v>
      </c>
      <c r="AB1428">
        <v>0</v>
      </c>
      <c r="AC1428">
        <v>24</v>
      </c>
      <c r="AD1428">
        <v>1</v>
      </c>
      <c r="AE1428">
        <v>0</v>
      </c>
      <c r="AF1428">
        <v>0</v>
      </c>
      <c r="AG1428">
        <v>0</v>
      </c>
      <c r="AH1428" t="s">
        <v>89</v>
      </c>
      <c r="AI1428" s="1">
        <v>44211.516608796293</v>
      </c>
      <c r="AJ1428">
        <v>959</v>
      </c>
      <c r="AK1428">
        <v>2</v>
      </c>
      <c r="AL1428">
        <v>0</v>
      </c>
      <c r="AM1428">
        <v>2</v>
      </c>
      <c r="AN1428">
        <v>0</v>
      </c>
      <c r="AO1428">
        <v>1</v>
      </c>
      <c r="AP1428">
        <v>-1</v>
      </c>
      <c r="AQ1428">
        <v>0</v>
      </c>
      <c r="AR1428">
        <v>0</v>
      </c>
      <c r="AS1428">
        <v>0</v>
      </c>
      <c r="AT1428" t="s">
        <v>90</v>
      </c>
      <c r="AU1428" s="1">
        <v>44211.52925925926</v>
      </c>
      <c r="AV1428">
        <v>6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-1</v>
      </c>
      <c r="BC1428">
        <v>0</v>
      </c>
      <c r="BD1428">
        <v>0</v>
      </c>
      <c r="BE1428">
        <v>0</v>
      </c>
    </row>
    <row r="1429" spans="1:57" hidden="1" x14ac:dyDescent="0.45">
      <c r="A1429" t="s">
        <v>3555</v>
      </c>
      <c r="B1429" t="s">
        <v>79</v>
      </c>
      <c r="C1429" t="s">
        <v>1772</v>
      </c>
      <c r="D1429" t="s">
        <v>81</v>
      </c>
      <c r="E1429" s="2" t="str">
        <f>HYPERLINK("capsilon://?command=openfolder&amp;siteaddress=FAM.docvelocity-na8.net&amp;folderid=FX659E627D-FCC9-2485-F6CB-237F1EB0F2F6","FX20122564")</f>
        <v>FX20122564</v>
      </c>
      <c r="F1429" t="s">
        <v>19</v>
      </c>
      <c r="G1429" t="s">
        <v>19</v>
      </c>
      <c r="H1429" t="s">
        <v>82</v>
      </c>
      <c r="I1429" t="s">
        <v>3556</v>
      </c>
      <c r="J1429">
        <v>66</v>
      </c>
      <c r="K1429" t="s">
        <v>84</v>
      </c>
      <c r="L1429" t="s">
        <v>85</v>
      </c>
      <c r="M1429" t="s">
        <v>86</v>
      </c>
      <c r="N1429">
        <v>3</v>
      </c>
      <c r="O1429" s="1">
        <v>44211.496134259258</v>
      </c>
      <c r="P1429" s="1">
        <v>44211.593518518515</v>
      </c>
      <c r="Q1429">
        <v>7609</v>
      </c>
      <c r="R1429">
        <v>805</v>
      </c>
      <c r="S1429" t="b">
        <v>0</v>
      </c>
      <c r="T1429" t="s">
        <v>87</v>
      </c>
      <c r="U1429" t="b">
        <v>0</v>
      </c>
      <c r="V1429" t="s">
        <v>171</v>
      </c>
      <c r="W1429" s="1">
        <v>44211.497071759259</v>
      </c>
      <c r="X1429">
        <v>81</v>
      </c>
      <c r="Y1429">
        <v>0</v>
      </c>
      <c r="Z1429">
        <v>0</v>
      </c>
      <c r="AA1429">
        <v>0</v>
      </c>
      <c r="AB1429">
        <v>52</v>
      </c>
      <c r="AC1429">
        <v>0</v>
      </c>
      <c r="AD1429">
        <v>66</v>
      </c>
      <c r="AE1429">
        <v>0</v>
      </c>
      <c r="AF1429">
        <v>0</v>
      </c>
      <c r="AG1429">
        <v>0</v>
      </c>
      <c r="AH1429" t="s">
        <v>89</v>
      </c>
      <c r="AI1429" s="1">
        <v>44211.505497685182</v>
      </c>
      <c r="AJ1429">
        <v>626</v>
      </c>
      <c r="AK1429">
        <v>0</v>
      </c>
      <c r="AL1429">
        <v>0</v>
      </c>
      <c r="AM1429">
        <v>0</v>
      </c>
      <c r="AN1429">
        <v>52</v>
      </c>
      <c r="AO1429">
        <v>0</v>
      </c>
      <c r="AP1429">
        <v>66</v>
      </c>
      <c r="AQ1429">
        <v>0</v>
      </c>
      <c r="AR1429">
        <v>0</v>
      </c>
      <c r="AS1429">
        <v>0</v>
      </c>
      <c r="AT1429" t="s">
        <v>90</v>
      </c>
      <c r="AU1429" s="1">
        <v>44211.593518518515</v>
      </c>
      <c r="AV1429">
        <v>98</v>
      </c>
      <c r="AW1429">
        <v>0</v>
      </c>
      <c r="AX1429">
        <v>0</v>
      </c>
      <c r="AY1429">
        <v>0</v>
      </c>
      <c r="AZ1429">
        <v>52</v>
      </c>
      <c r="BA1429">
        <v>0</v>
      </c>
      <c r="BB1429">
        <v>66</v>
      </c>
      <c r="BC1429">
        <v>0</v>
      </c>
      <c r="BD1429">
        <v>0</v>
      </c>
      <c r="BE1429">
        <v>0</v>
      </c>
    </row>
    <row r="1430" spans="1:57" x14ac:dyDescent="0.45">
      <c r="A1430" t="s">
        <v>3557</v>
      </c>
      <c r="B1430" t="s">
        <v>79</v>
      </c>
      <c r="C1430" t="s">
        <v>3558</v>
      </c>
      <c r="D1430" t="s">
        <v>81</v>
      </c>
      <c r="E1430" s="2" t="str">
        <f>HYPERLINK("capsilon://?command=openfolder&amp;siteaddress=FAM.docvelocity-na8.net&amp;folderid=FXA3F566C1-21E8-671C-0C7B-25E784488EA2","FX201228019")</f>
        <v>FX201228019</v>
      </c>
      <c r="F1430" t="s">
        <v>19</v>
      </c>
      <c r="G1430" t="s">
        <v>19</v>
      </c>
      <c r="H1430" t="s">
        <v>82</v>
      </c>
      <c r="I1430" t="s">
        <v>3559</v>
      </c>
      <c r="J1430">
        <v>38</v>
      </c>
      <c r="K1430" t="s">
        <v>84</v>
      </c>
      <c r="L1430" t="s">
        <v>85</v>
      </c>
      <c r="M1430" t="s">
        <v>86</v>
      </c>
      <c r="N1430">
        <v>3</v>
      </c>
      <c r="O1430" s="1">
        <v>44200.756747685184</v>
      </c>
      <c r="P1430" s="1">
        <v>44201.431377314817</v>
      </c>
      <c r="Q1430">
        <v>58006</v>
      </c>
      <c r="R1430">
        <v>282</v>
      </c>
      <c r="S1430" t="b">
        <v>0</v>
      </c>
      <c r="T1430" t="s">
        <v>87</v>
      </c>
      <c r="U1430" t="b">
        <v>0</v>
      </c>
      <c r="V1430" t="s">
        <v>142</v>
      </c>
      <c r="W1430" s="1">
        <v>44200.866273148145</v>
      </c>
      <c r="X1430">
        <v>160</v>
      </c>
      <c r="Y1430">
        <v>37</v>
      </c>
      <c r="Z1430">
        <v>0</v>
      </c>
      <c r="AA1430">
        <v>37</v>
      </c>
      <c r="AB1430">
        <v>0</v>
      </c>
      <c r="AC1430">
        <v>18</v>
      </c>
      <c r="AD1430">
        <v>1</v>
      </c>
      <c r="AE1430">
        <v>0</v>
      </c>
      <c r="AF1430">
        <v>0</v>
      </c>
      <c r="AG1430">
        <v>0</v>
      </c>
      <c r="AH1430" t="s">
        <v>267</v>
      </c>
      <c r="AI1430" s="1">
        <v>44200.873564814814</v>
      </c>
      <c r="AJ1430">
        <v>111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 t="s">
        <v>549</v>
      </c>
      <c r="AU1430" s="1">
        <v>44201.431377314817</v>
      </c>
      <c r="AV1430">
        <v>11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</row>
    <row r="1431" spans="1:57" x14ac:dyDescent="0.45">
      <c r="A1431" t="s">
        <v>3560</v>
      </c>
      <c r="B1431" t="s">
        <v>79</v>
      </c>
      <c r="C1431" t="s">
        <v>3561</v>
      </c>
      <c r="D1431" t="s">
        <v>81</v>
      </c>
      <c r="E1431" s="2" t="str">
        <f>HYPERLINK("capsilon://?command=openfolder&amp;siteaddress=FAM.docvelocity-na8.net&amp;folderid=FXBE424C75-1964-1A56-0D3E-3C8274048AC5","FX21014678")</f>
        <v>FX21014678</v>
      </c>
      <c r="F1431" t="s">
        <v>19</v>
      </c>
      <c r="G1431" t="s">
        <v>19</v>
      </c>
      <c r="H1431" t="s">
        <v>82</v>
      </c>
      <c r="I1431" t="s">
        <v>3562</v>
      </c>
      <c r="J1431">
        <v>76</v>
      </c>
      <c r="K1431" t="s">
        <v>84</v>
      </c>
      <c r="L1431" t="s">
        <v>85</v>
      </c>
      <c r="M1431" t="s">
        <v>86</v>
      </c>
      <c r="N1431">
        <v>3</v>
      </c>
      <c r="O1431" s="1">
        <v>44211.506157407406</v>
      </c>
      <c r="P1431" s="1">
        <v>44211.594537037039</v>
      </c>
      <c r="Q1431">
        <v>5717</v>
      </c>
      <c r="R1431">
        <v>1919</v>
      </c>
      <c r="S1431" t="b">
        <v>0</v>
      </c>
      <c r="T1431" t="s">
        <v>87</v>
      </c>
      <c r="U1431" t="b">
        <v>0</v>
      </c>
      <c r="V1431" t="s">
        <v>242</v>
      </c>
      <c r="W1431" s="1">
        <v>44211.523125</v>
      </c>
      <c r="X1431">
        <v>1461</v>
      </c>
      <c r="Y1431">
        <v>74</v>
      </c>
      <c r="Z1431">
        <v>0</v>
      </c>
      <c r="AA1431">
        <v>74</v>
      </c>
      <c r="AB1431">
        <v>0</v>
      </c>
      <c r="AC1431">
        <v>67</v>
      </c>
      <c r="AD1431">
        <v>2</v>
      </c>
      <c r="AE1431">
        <v>0</v>
      </c>
      <c r="AF1431">
        <v>0</v>
      </c>
      <c r="AG1431">
        <v>0</v>
      </c>
      <c r="AH1431" t="s">
        <v>128</v>
      </c>
      <c r="AI1431" s="1">
        <v>44211.530613425923</v>
      </c>
      <c r="AJ1431">
        <v>362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2</v>
      </c>
      <c r="AQ1431">
        <v>0</v>
      </c>
      <c r="AR1431">
        <v>0</v>
      </c>
      <c r="AS1431">
        <v>0</v>
      </c>
      <c r="AT1431" t="s">
        <v>90</v>
      </c>
      <c r="AU1431" s="1">
        <v>44211.594537037039</v>
      </c>
      <c r="AV1431">
        <v>87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2</v>
      </c>
      <c r="BC1431">
        <v>0</v>
      </c>
      <c r="BD1431">
        <v>0</v>
      </c>
      <c r="BE1431">
        <v>0</v>
      </c>
    </row>
    <row r="1432" spans="1:57" x14ac:dyDescent="0.45">
      <c r="A1432" t="s">
        <v>3563</v>
      </c>
      <c r="B1432" t="s">
        <v>79</v>
      </c>
      <c r="C1432" t="s">
        <v>3564</v>
      </c>
      <c r="D1432" t="s">
        <v>81</v>
      </c>
      <c r="E1432" s="2" t="str">
        <f>HYPERLINK("capsilon://?command=openfolder&amp;siteaddress=FAM.docvelocity-na8.net&amp;folderid=FXADC59960-1BEE-91A3-8E9E-248CF3434635","FX21019406")</f>
        <v>FX21019406</v>
      </c>
      <c r="F1432" t="s">
        <v>19</v>
      </c>
      <c r="G1432" t="s">
        <v>19</v>
      </c>
      <c r="H1432" t="s">
        <v>82</v>
      </c>
      <c r="I1432" t="s">
        <v>3565</v>
      </c>
      <c r="J1432">
        <v>200</v>
      </c>
      <c r="K1432" t="s">
        <v>84</v>
      </c>
      <c r="L1432" t="s">
        <v>85</v>
      </c>
      <c r="M1432" t="s">
        <v>86</v>
      </c>
      <c r="N1432">
        <v>3</v>
      </c>
      <c r="O1432" s="1">
        <v>44211.508958333332</v>
      </c>
      <c r="P1432" s="1">
        <v>44211.596284722225</v>
      </c>
      <c r="Q1432">
        <v>4638</v>
      </c>
      <c r="R1432">
        <v>2907</v>
      </c>
      <c r="S1432" t="b">
        <v>0</v>
      </c>
      <c r="T1432" t="s">
        <v>87</v>
      </c>
      <c r="U1432" t="b">
        <v>0</v>
      </c>
      <c r="V1432" t="s">
        <v>343</v>
      </c>
      <c r="W1432" s="1">
        <v>44211.535833333335</v>
      </c>
      <c r="X1432">
        <v>2314</v>
      </c>
      <c r="Y1432">
        <v>191</v>
      </c>
      <c r="Z1432">
        <v>0</v>
      </c>
      <c r="AA1432">
        <v>191</v>
      </c>
      <c r="AB1432">
        <v>0</v>
      </c>
      <c r="AC1432">
        <v>96</v>
      </c>
      <c r="AD1432">
        <v>9</v>
      </c>
      <c r="AE1432">
        <v>0</v>
      </c>
      <c r="AF1432">
        <v>0</v>
      </c>
      <c r="AG1432">
        <v>0</v>
      </c>
      <c r="AH1432" t="s">
        <v>132</v>
      </c>
      <c r="AI1432" s="1">
        <v>44211.541805555556</v>
      </c>
      <c r="AJ1432">
        <v>443</v>
      </c>
      <c r="AK1432">
        <v>2</v>
      </c>
      <c r="AL1432">
        <v>0</v>
      </c>
      <c r="AM1432">
        <v>2</v>
      </c>
      <c r="AN1432">
        <v>0</v>
      </c>
      <c r="AO1432">
        <v>1</v>
      </c>
      <c r="AP1432">
        <v>7</v>
      </c>
      <c r="AQ1432">
        <v>0</v>
      </c>
      <c r="AR1432">
        <v>0</v>
      </c>
      <c r="AS1432">
        <v>0</v>
      </c>
      <c r="AT1432" t="s">
        <v>90</v>
      </c>
      <c r="AU1432" s="1">
        <v>44211.596284722225</v>
      </c>
      <c r="AV1432">
        <v>150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7</v>
      </c>
      <c r="BC1432">
        <v>0</v>
      </c>
      <c r="BD1432">
        <v>0</v>
      </c>
      <c r="BE1432">
        <v>0</v>
      </c>
    </row>
    <row r="1433" spans="1:57" x14ac:dyDescent="0.45">
      <c r="A1433" t="s">
        <v>3566</v>
      </c>
      <c r="B1433" t="s">
        <v>79</v>
      </c>
      <c r="C1433" t="s">
        <v>3567</v>
      </c>
      <c r="D1433" t="s">
        <v>81</v>
      </c>
      <c r="E1433" s="2" t="str">
        <f>HYPERLINK("capsilon://?command=openfolder&amp;siteaddress=FAM.docvelocity-na8.net&amp;folderid=FX7821C9D4-71CA-AF95-CACF-A4F113E1E54C","FX21017444")</f>
        <v>FX21017444</v>
      </c>
      <c r="F1433" t="s">
        <v>19</v>
      </c>
      <c r="G1433" t="s">
        <v>19</v>
      </c>
      <c r="H1433" t="s">
        <v>82</v>
      </c>
      <c r="I1433" t="s">
        <v>3568</v>
      </c>
      <c r="J1433">
        <v>313</v>
      </c>
      <c r="K1433" t="s">
        <v>84</v>
      </c>
      <c r="L1433" t="s">
        <v>85</v>
      </c>
      <c r="M1433" t="s">
        <v>86</v>
      </c>
      <c r="N1433">
        <v>3</v>
      </c>
      <c r="O1433" s="1">
        <v>44211.513148148151</v>
      </c>
      <c r="P1433" s="1">
        <v>44211.596550925926</v>
      </c>
      <c r="Q1433">
        <v>5826</v>
      </c>
      <c r="R1433">
        <v>1380</v>
      </c>
      <c r="S1433" t="b">
        <v>0</v>
      </c>
      <c r="T1433" t="s">
        <v>87</v>
      </c>
      <c r="U1433" t="b">
        <v>0</v>
      </c>
      <c r="V1433" t="s">
        <v>255</v>
      </c>
      <c r="W1433" s="1">
        <v>44211.523159722223</v>
      </c>
      <c r="X1433">
        <v>757</v>
      </c>
      <c r="Y1433">
        <v>292</v>
      </c>
      <c r="Z1433">
        <v>0</v>
      </c>
      <c r="AA1433">
        <v>292</v>
      </c>
      <c r="AB1433">
        <v>0</v>
      </c>
      <c r="AC1433">
        <v>107</v>
      </c>
      <c r="AD1433">
        <v>21</v>
      </c>
      <c r="AE1433">
        <v>0</v>
      </c>
      <c r="AF1433">
        <v>0</v>
      </c>
      <c r="AG1433">
        <v>0</v>
      </c>
      <c r="AH1433" t="s">
        <v>132</v>
      </c>
      <c r="AI1433" s="1">
        <v>44211.530891203707</v>
      </c>
      <c r="AJ1433">
        <v>601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21</v>
      </c>
      <c r="AQ1433">
        <v>0</v>
      </c>
      <c r="AR1433">
        <v>0</v>
      </c>
      <c r="AS1433">
        <v>0</v>
      </c>
      <c r="AT1433" t="s">
        <v>90</v>
      </c>
      <c r="AU1433" s="1">
        <v>44211.596550925926</v>
      </c>
      <c r="AV1433">
        <v>22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21</v>
      </c>
      <c r="BC1433">
        <v>0</v>
      </c>
      <c r="BD1433">
        <v>0</v>
      </c>
      <c r="BE1433">
        <v>0</v>
      </c>
    </row>
    <row r="1434" spans="1:57" x14ac:dyDescent="0.45">
      <c r="A1434" t="s">
        <v>3569</v>
      </c>
      <c r="B1434" t="s">
        <v>79</v>
      </c>
      <c r="C1434" t="s">
        <v>3570</v>
      </c>
      <c r="D1434" t="s">
        <v>81</v>
      </c>
      <c r="E1434" s="2" t="str">
        <f>HYPERLINK("capsilon://?command=openfolder&amp;siteaddress=FAM.docvelocity-na8.net&amp;folderid=FXDB7F70C2-7CE4-055E-9940-EF61DB8ABA85","FX21019198")</f>
        <v>FX21019198</v>
      </c>
      <c r="F1434" t="s">
        <v>19</v>
      </c>
      <c r="G1434" t="s">
        <v>19</v>
      </c>
      <c r="H1434" t="s">
        <v>82</v>
      </c>
      <c r="I1434" t="s">
        <v>3571</v>
      </c>
      <c r="J1434">
        <v>168</v>
      </c>
      <c r="K1434" t="s">
        <v>84</v>
      </c>
      <c r="L1434" t="s">
        <v>85</v>
      </c>
      <c r="M1434" t="s">
        <v>86</v>
      </c>
      <c r="N1434">
        <v>3</v>
      </c>
      <c r="O1434" s="1">
        <v>44211.518750000003</v>
      </c>
      <c r="P1434" s="1">
        <v>44211.596643518518</v>
      </c>
      <c r="Q1434">
        <v>3722</v>
      </c>
      <c r="R1434">
        <v>3008</v>
      </c>
      <c r="S1434" t="b">
        <v>0</v>
      </c>
      <c r="T1434" t="s">
        <v>87</v>
      </c>
      <c r="U1434" t="b">
        <v>0</v>
      </c>
      <c r="V1434" t="s">
        <v>179</v>
      </c>
      <c r="W1434" s="1">
        <v>44211.550462962965</v>
      </c>
      <c r="X1434">
        <v>2739</v>
      </c>
      <c r="Y1434">
        <v>142</v>
      </c>
      <c r="Z1434">
        <v>0</v>
      </c>
      <c r="AA1434">
        <v>142</v>
      </c>
      <c r="AB1434">
        <v>0</v>
      </c>
      <c r="AC1434">
        <v>84</v>
      </c>
      <c r="AD1434">
        <v>26</v>
      </c>
      <c r="AE1434">
        <v>0</v>
      </c>
      <c r="AF1434">
        <v>0</v>
      </c>
      <c r="AG1434">
        <v>0</v>
      </c>
      <c r="AH1434" t="s">
        <v>132</v>
      </c>
      <c r="AI1434" s="1">
        <v>44211.553912037038</v>
      </c>
      <c r="AJ1434">
        <v>262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26</v>
      </c>
      <c r="AQ1434">
        <v>0</v>
      </c>
      <c r="AR1434">
        <v>0</v>
      </c>
      <c r="AS1434">
        <v>0</v>
      </c>
      <c r="AT1434" t="s">
        <v>90</v>
      </c>
      <c r="AU1434" s="1">
        <v>44211.596643518518</v>
      </c>
      <c r="AV1434">
        <v>7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26</v>
      </c>
      <c r="BC1434">
        <v>0</v>
      </c>
      <c r="BD1434">
        <v>0</v>
      </c>
      <c r="BE1434">
        <v>0</v>
      </c>
    </row>
    <row r="1435" spans="1:57" hidden="1" x14ac:dyDescent="0.45">
      <c r="A1435" t="s">
        <v>3572</v>
      </c>
      <c r="B1435" t="s">
        <v>79</v>
      </c>
      <c r="C1435" t="s">
        <v>3573</v>
      </c>
      <c r="D1435" t="s">
        <v>81</v>
      </c>
      <c r="E1435" s="2" t="str">
        <f>HYPERLINK("capsilon://?command=openfolder&amp;siteaddress=FAM.docvelocity-na8.net&amp;folderid=FX38E10120-C777-4B7C-2164-7240F288BB46","FX21012498")</f>
        <v>FX21012498</v>
      </c>
      <c r="F1435" t="s">
        <v>19</v>
      </c>
      <c r="G1435" t="s">
        <v>19</v>
      </c>
      <c r="H1435" t="s">
        <v>82</v>
      </c>
      <c r="I1435" t="s">
        <v>3574</v>
      </c>
      <c r="J1435">
        <v>728</v>
      </c>
      <c r="K1435" t="s">
        <v>84</v>
      </c>
      <c r="L1435" t="s">
        <v>85</v>
      </c>
      <c r="M1435" t="s">
        <v>86</v>
      </c>
      <c r="N1435">
        <v>1</v>
      </c>
      <c r="O1435" s="1">
        <v>44211.520104166666</v>
      </c>
      <c r="P1435" s="1">
        <v>44211.537361111114</v>
      </c>
      <c r="Q1435">
        <v>1136</v>
      </c>
      <c r="R1435">
        <v>355</v>
      </c>
      <c r="S1435" t="b">
        <v>0</v>
      </c>
      <c r="T1435" t="s">
        <v>87</v>
      </c>
      <c r="U1435" t="b">
        <v>0</v>
      </c>
      <c r="V1435" t="s">
        <v>168</v>
      </c>
      <c r="W1435" s="1">
        <v>44211.537361111114</v>
      </c>
      <c r="X1435">
        <v>141</v>
      </c>
      <c r="Y1435">
        <v>0</v>
      </c>
      <c r="Z1435">
        <v>0</v>
      </c>
      <c r="AA1435">
        <v>0</v>
      </c>
      <c r="AB1435">
        <v>37</v>
      </c>
      <c r="AC1435">
        <v>1</v>
      </c>
      <c r="AD1435">
        <v>728</v>
      </c>
      <c r="AE1435">
        <v>0</v>
      </c>
      <c r="AF1435">
        <v>0</v>
      </c>
      <c r="AG1435">
        <v>10</v>
      </c>
      <c r="AH1435" t="s">
        <v>87</v>
      </c>
      <c r="AI1435" t="s">
        <v>87</v>
      </c>
      <c r="AJ1435" t="s">
        <v>87</v>
      </c>
      <c r="AK1435" t="s">
        <v>87</v>
      </c>
      <c r="AL1435" t="s">
        <v>87</v>
      </c>
      <c r="AM1435" t="s">
        <v>87</v>
      </c>
      <c r="AN1435" t="s">
        <v>87</v>
      </c>
      <c r="AO1435" t="s">
        <v>87</v>
      </c>
      <c r="AP1435" t="s">
        <v>87</v>
      </c>
      <c r="AQ1435" t="s">
        <v>87</v>
      </c>
      <c r="AR1435" t="s">
        <v>87</v>
      </c>
      <c r="AS1435" t="s">
        <v>87</v>
      </c>
      <c r="AT1435" t="s">
        <v>87</v>
      </c>
      <c r="AU1435" t="s">
        <v>87</v>
      </c>
      <c r="AV1435" t="s">
        <v>87</v>
      </c>
      <c r="AW1435" t="s">
        <v>87</v>
      </c>
      <c r="AX1435" t="s">
        <v>87</v>
      </c>
      <c r="AY1435" t="s">
        <v>87</v>
      </c>
      <c r="AZ1435" t="s">
        <v>87</v>
      </c>
      <c r="BA1435" t="s">
        <v>87</v>
      </c>
      <c r="BB1435" t="s">
        <v>87</v>
      </c>
      <c r="BC1435" t="s">
        <v>87</v>
      </c>
      <c r="BD1435" t="s">
        <v>87</v>
      </c>
      <c r="BE1435" t="s">
        <v>87</v>
      </c>
    </row>
    <row r="1436" spans="1:57" hidden="1" x14ac:dyDescent="0.45">
      <c r="A1436" t="s">
        <v>3575</v>
      </c>
      <c r="B1436" t="s">
        <v>79</v>
      </c>
      <c r="C1436" t="s">
        <v>1973</v>
      </c>
      <c r="D1436" t="s">
        <v>81</v>
      </c>
      <c r="E1436" s="2" t="str">
        <f>HYPERLINK("capsilon://?command=openfolder&amp;siteaddress=FAM.docvelocity-na8.net&amp;folderid=FX19A6AD5F-D797-D493-FD2A-03E90425F4F6","FX20126346")</f>
        <v>FX20126346</v>
      </c>
      <c r="F1436" t="s">
        <v>19</v>
      </c>
      <c r="G1436" t="s">
        <v>19</v>
      </c>
      <c r="H1436" t="s">
        <v>82</v>
      </c>
      <c r="I1436" t="s">
        <v>3576</v>
      </c>
      <c r="J1436">
        <v>66</v>
      </c>
      <c r="K1436" t="s">
        <v>84</v>
      </c>
      <c r="L1436" t="s">
        <v>85</v>
      </c>
      <c r="M1436" t="s">
        <v>86</v>
      </c>
      <c r="N1436">
        <v>1</v>
      </c>
      <c r="O1436" s="1">
        <v>44211.520381944443</v>
      </c>
      <c r="P1436" s="1">
        <v>44211.524652777778</v>
      </c>
      <c r="Q1436">
        <v>287</v>
      </c>
      <c r="R1436">
        <v>82</v>
      </c>
      <c r="S1436" t="b">
        <v>0</v>
      </c>
      <c r="T1436" t="s">
        <v>87</v>
      </c>
      <c r="U1436" t="b">
        <v>0</v>
      </c>
      <c r="V1436" t="s">
        <v>142</v>
      </c>
      <c r="W1436" s="1">
        <v>44211.524652777778</v>
      </c>
      <c r="X1436">
        <v>82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66</v>
      </c>
      <c r="AE1436">
        <v>0</v>
      </c>
      <c r="AF1436">
        <v>0</v>
      </c>
      <c r="AG1436">
        <v>1</v>
      </c>
      <c r="AH1436" t="s">
        <v>87</v>
      </c>
      <c r="AI1436" t="s">
        <v>87</v>
      </c>
      <c r="AJ1436" t="s">
        <v>87</v>
      </c>
      <c r="AK1436" t="s">
        <v>87</v>
      </c>
      <c r="AL1436" t="s">
        <v>87</v>
      </c>
      <c r="AM1436" t="s">
        <v>87</v>
      </c>
      <c r="AN1436" t="s">
        <v>87</v>
      </c>
      <c r="AO1436" t="s">
        <v>87</v>
      </c>
      <c r="AP1436" t="s">
        <v>87</v>
      </c>
      <c r="AQ1436" t="s">
        <v>87</v>
      </c>
      <c r="AR1436" t="s">
        <v>87</v>
      </c>
      <c r="AS1436" t="s">
        <v>87</v>
      </c>
      <c r="AT1436" t="s">
        <v>87</v>
      </c>
      <c r="AU1436" t="s">
        <v>87</v>
      </c>
      <c r="AV1436" t="s">
        <v>87</v>
      </c>
      <c r="AW1436" t="s">
        <v>87</v>
      </c>
      <c r="AX1436" t="s">
        <v>87</v>
      </c>
      <c r="AY1436" t="s">
        <v>87</v>
      </c>
      <c r="AZ1436" t="s">
        <v>87</v>
      </c>
      <c r="BA1436" t="s">
        <v>87</v>
      </c>
      <c r="BB1436" t="s">
        <v>87</v>
      </c>
      <c r="BC1436" t="s">
        <v>87</v>
      </c>
      <c r="BD1436" t="s">
        <v>87</v>
      </c>
      <c r="BE1436" t="s">
        <v>87</v>
      </c>
    </row>
    <row r="1437" spans="1:57" x14ac:dyDescent="0.45">
      <c r="A1437" t="s">
        <v>3577</v>
      </c>
      <c r="B1437" t="s">
        <v>79</v>
      </c>
      <c r="C1437" t="s">
        <v>3578</v>
      </c>
      <c r="D1437" t="s">
        <v>81</v>
      </c>
      <c r="E1437" s="2" t="str">
        <f>HYPERLINK("capsilon://?command=openfolder&amp;siteaddress=FAM.docvelocity-na8.net&amp;folderid=FXE4CB08D5-4892-D08F-C797-5B5A3B40D36F","FX21018455")</f>
        <v>FX21018455</v>
      </c>
      <c r="F1437" t="s">
        <v>19</v>
      </c>
      <c r="G1437" t="s">
        <v>19</v>
      </c>
      <c r="H1437" t="s">
        <v>82</v>
      </c>
      <c r="I1437" t="s">
        <v>3579</v>
      </c>
      <c r="J1437">
        <v>466</v>
      </c>
      <c r="K1437" t="s">
        <v>84</v>
      </c>
      <c r="L1437" t="s">
        <v>85</v>
      </c>
      <c r="M1437" t="s">
        <v>86</v>
      </c>
      <c r="N1437">
        <v>3</v>
      </c>
      <c r="O1437" s="1">
        <v>44211.520590277774</v>
      </c>
      <c r="P1437" s="1">
        <v>44211.597673611112</v>
      </c>
      <c r="Q1437">
        <v>3512</v>
      </c>
      <c r="R1437">
        <v>3148</v>
      </c>
      <c r="S1437" t="b">
        <v>0</v>
      </c>
      <c r="T1437" t="s">
        <v>87</v>
      </c>
      <c r="U1437" t="b">
        <v>0</v>
      </c>
      <c r="V1437" t="s">
        <v>259</v>
      </c>
      <c r="W1437" s="1">
        <v>44211.550543981481</v>
      </c>
      <c r="X1437">
        <v>2581</v>
      </c>
      <c r="Y1437">
        <v>339</v>
      </c>
      <c r="Z1437">
        <v>0</v>
      </c>
      <c r="AA1437">
        <v>339</v>
      </c>
      <c r="AB1437">
        <v>37</v>
      </c>
      <c r="AC1437">
        <v>156</v>
      </c>
      <c r="AD1437">
        <v>127</v>
      </c>
      <c r="AE1437">
        <v>0</v>
      </c>
      <c r="AF1437">
        <v>0</v>
      </c>
      <c r="AG1437">
        <v>0</v>
      </c>
      <c r="AH1437" t="s">
        <v>132</v>
      </c>
      <c r="AI1437" s="1">
        <v>44211.561157407406</v>
      </c>
      <c r="AJ1437">
        <v>462</v>
      </c>
      <c r="AK1437">
        <v>0</v>
      </c>
      <c r="AL1437">
        <v>0</v>
      </c>
      <c r="AM1437">
        <v>0</v>
      </c>
      <c r="AN1437">
        <v>37</v>
      </c>
      <c r="AO1437">
        <v>0</v>
      </c>
      <c r="AP1437">
        <v>127</v>
      </c>
      <c r="AQ1437">
        <v>0</v>
      </c>
      <c r="AR1437">
        <v>0</v>
      </c>
      <c r="AS1437">
        <v>0</v>
      </c>
      <c r="AT1437" t="s">
        <v>90</v>
      </c>
      <c r="AU1437" s="1">
        <v>44211.597673611112</v>
      </c>
      <c r="AV1437">
        <v>88</v>
      </c>
      <c r="AW1437">
        <v>0</v>
      </c>
      <c r="AX1437">
        <v>0</v>
      </c>
      <c r="AY1437">
        <v>0</v>
      </c>
      <c r="AZ1437">
        <v>37</v>
      </c>
      <c r="BA1437">
        <v>0</v>
      </c>
      <c r="BB1437">
        <v>127</v>
      </c>
      <c r="BC1437">
        <v>0</v>
      </c>
      <c r="BD1437">
        <v>0</v>
      </c>
      <c r="BE1437">
        <v>0</v>
      </c>
    </row>
    <row r="1438" spans="1:57" x14ac:dyDescent="0.45">
      <c r="A1438" t="s">
        <v>3580</v>
      </c>
      <c r="B1438" t="s">
        <v>79</v>
      </c>
      <c r="C1438" t="s">
        <v>1973</v>
      </c>
      <c r="D1438" t="s">
        <v>81</v>
      </c>
      <c r="E1438" s="2" t="str">
        <f>HYPERLINK("capsilon://?command=openfolder&amp;siteaddress=FAM.docvelocity-na8.net&amp;folderid=FX19A6AD5F-D797-D493-FD2A-03E90425F4F6","FX20126346")</f>
        <v>FX20126346</v>
      </c>
      <c r="F1438" t="s">
        <v>19</v>
      </c>
      <c r="G1438" t="s">
        <v>19</v>
      </c>
      <c r="H1438" t="s">
        <v>82</v>
      </c>
      <c r="I1438" t="s">
        <v>3576</v>
      </c>
      <c r="J1438">
        <v>38</v>
      </c>
      <c r="K1438" t="s">
        <v>84</v>
      </c>
      <c r="L1438" t="s">
        <v>85</v>
      </c>
      <c r="M1438" t="s">
        <v>86</v>
      </c>
      <c r="N1438">
        <v>3</v>
      </c>
      <c r="O1438" s="1">
        <v>44211.524965277778</v>
      </c>
      <c r="P1438" s="1">
        <v>44211.573576388888</v>
      </c>
      <c r="Q1438">
        <v>3239</v>
      </c>
      <c r="R1438">
        <v>961</v>
      </c>
      <c r="S1438" t="b">
        <v>0</v>
      </c>
      <c r="T1438" t="s">
        <v>87</v>
      </c>
      <c r="U1438" t="b">
        <v>1</v>
      </c>
      <c r="V1438" t="s">
        <v>168</v>
      </c>
      <c r="W1438" s="1">
        <v>44211.535092592596</v>
      </c>
      <c r="X1438">
        <v>874</v>
      </c>
      <c r="Y1438">
        <v>37</v>
      </c>
      <c r="Z1438">
        <v>0</v>
      </c>
      <c r="AA1438">
        <v>37</v>
      </c>
      <c r="AB1438">
        <v>0</v>
      </c>
      <c r="AC1438">
        <v>35</v>
      </c>
      <c r="AD1438">
        <v>1</v>
      </c>
      <c r="AE1438">
        <v>0</v>
      </c>
      <c r="AF1438">
        <v>0</v>
      </c>
      <c r="AG1438">
        <v>0</v>
      </c>
      <c r="AH1438" t="s">
        <v>132</v>
      </c>
      <c r="AI1438" s="1">
        <v>44211.536666666667</v>
      </c>
      <c r="AJ1438">
        <v>80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 t="s">
        <v>90</v>
      </c>
      <c r="AU1438" s="1">
        <v>44211.573576388888</v>
      </c>
      <c r="AV1438">
        <v>7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</row>
    <row r="1439" spans="1:57" x14ac:dyDescent="0.45">
      <c r="A1439" t="s">
        <v>3581</v>
      </c>
      <c r="B1439" t="s">
        <v>79</v>
      </c>
      <c r="C1439" t="s">
        <v>3582</v>
      </c>
      <c r="D1439" t="s">
        <v>81</v>
      </c>
      <c r="E1439" s="2" t="str">
        <f>HYPERLINK("capsilon://?command=openfolder&amp;siteaddress=FAM.docvelocity-na8.net&amp;folderid=FXEDE45974-A630-87A1-E4D1-E43E1A98AC0A","FX21017945")</f>
        <v>FX21017945</v>
      </c>
      <c r="F1439" t="s">
        <v>19</v>
      </c>
      <c r="G1439" t="s">
        <v>19</v>
      </c>
      <c r="H1439" t="s">
        <v>82</v>
      </c>
      <c r="I1439" t="s">
        <v>3583</v>
      </c>
      <c r="J1439">
        <v>38</v>
      </c>
      <c r="K1439" t="s">
        <v>84</v>
      </c>
      <c r="L1439" t="s">
        <v>85</v>
      </c>
      <c r="M1439" t="s">
        <v>86</v>
      </c>
      <c r="N1439">
        <v>3</v>
      </c>
      <c r="O1439" s="1">
        <v>44211.525648148148</v>
      </c>
      <c r="P1439" s="1">
        <v>44211.597812499997</v>
      </c>
      <c r="Q1439">
        <v>5093</v>
      </c>
      <c r="R1439">
        <v>1142</v>
      </c>
      <c r="S1439" t="b">
        <v>0</v>
      </c>
      <c r="T1439" t="s">
        <v>87</v>
      </c>
      <c r="U1439" t="b">
        <v>0</v>
      </c>
      <c r="V1439" t="s">
        <v>160</v>
      </c>
      <c r="W1439" s="1">
        <v>44211.537499999999</v>
      </c>
      <c r="X1439">
        <v>1023</v>
      </c>
      <c r="Y1439">
        <v>37</v>
      </c>
      <c r="Z1439">
        <v>0</v>
      </c>
      <c r="AA1439">
        <v>37</v>
      </c>
      <c r="AB1439">
        <v>0</v>
      </c>
      <c r="AC1439">
        <v>35</v>
      </c>
      <c r="AD1439">
        <v>1</v>
      </c>
      <c r="AE1439">
        <v>0</v>
      </c>
      <c r="AF1439">
        <v>0</v>
      </c>
      <c r="AG1439">
        <v>0</v>
      </c>
      <c r="AH1439" t="s">
        <v>128</v>
      </c>
      <c r="AI1439" s="1">
        <v>44211.539236111108</v>
      </c>
      <c r="AJ1439">
        <v>114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 t="s">
        <v>90</v>
      </c>
      <c r="AU1439" s="1">
        <v>44211.597812499997</v>
      </c>
      <c r="AV1439">
        <v>5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</row>
    <row r="1440" spans="1:57" x14ac:dyDescent="0.45">
      <c r="A1440" t="s">
        <v>3584</v>
      </c>
      <c r="B1440" t="s">
        <v>79</v>
      </c>
      <c r="C1440" t="s">
        <v>3585</v>
      </c>
      <c r="D1440" t="s">
        <v>81</v>
      </c>
      <c r="E1440" s="2" t="str">
        <f>HYPERLINK("capsilon://?command=openfolder&amp;siteaddress=FAM.docvelocity-na8.net&amp;folderid=FX30E17BF2-D94A-C366-7534-9C3483BCB147","FX21018512")</f>
        <v>FX21018512</v>
      </c>
      <c r="F1440" t="s">
        <v>19</v>
      </c>
      <c r="G1440" t="s">
        <v>19</v>
      </c>
      <c r="H1440" t="s">
        <v>82</v>
      </c>
      <c r="I1440" t="s">
        <v>3586</v>
      </c>
      <c r="J1440">
        <v>38</v>
      </c>
      <c r="K1440" t="s">
        <v>84</v>
      </c>
      <c r="L1440" t="s">
        <v>85</v>
      </c>
      <c r="M1440" t="s">
        <v>86</v>
      </c>
      <c r="N1440">
        <v>3</v>
      </c>
      <c r="O1440" s="1">
        <v>44211.526122685187</v>
      </c>
      <c r="P1440" s="1">
        <v>44211.598692129628</v>
      </c>
      <c r="Q1440">
        <v>3651</v>
      </c>
      <c r="R1440">
        <v>2619</v>
      </c>
      <c r="S1440" t="b">
        <v>0</v>
      </c>
      <c r="T1440" t="s">
        <v>87</v>
      </c>
      <c r="U1440" t="b">
        <v>0</v>
      </c>
      <c r="V1440" t="s">
        <v>146</v>
      </c>
      <c r="W1440" s="1">
        <v>44211.554363425923</v>
      </c>
      <c r="X1440">
        <v>2439</v>
      </c>
      <c r="Y1440">
        <v>37</v>
      </c>
      <c r="Z1440">
        <v>0</v>
      </c>
      <c r="AA1440">
        <v>37</v>
      </c>
      <c r="AB1440">
        <v>0</v>
      </c>
      <c r="AC1440">
        <v>24</v>
      </c>
      <c r="AD1440">
        <v>1</v>
      </c>
      <c r="AE1440">
        <v>0</v>
      </c>
      <c r="AF1440">
        <v>0</v>
      </c>
      <c r="AG1440">
        <v>0</v>
      </c>
      <c r="AH1440" t="s">
        <v>128</v>
      </c>
      <c r="AI1440" s="1">
        <v>44211.559247685182</v>
      </c>
      <c r="AJ1440">
        <v>105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 t="s">
        <v>90</v>
      </c>
      <c r="AU1440" s="1">
        <v>44211.598692129628</v>
      </c>
      <c r="AV1440">
        <v>75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</row>
    <row r="1441" spans="1:57" x14ac:dyDescent="0.45">
      <c r="A1441" t="s">
        <v>3587</v>
      </c>
      <c r="B1441" t="s">
        <v>79</v>
      </c>
      <c r="C1441" t="s">
        <v>3588</v>
      </c>
      <c r="D1441" t="s">
        <v>81</v>
      </c>
      <c r="E1441" s="2" t="str">
        <f>HYPERLINK("capsilon://?command=openfolder&amp;siteaddress=FAM.docvelocity-na8.net&amp;folderid=FX822C6C5F-CBA3-C4CC-857A-5EA57F5E7935","FX21019292")</f>
        <v>FX21019292</v>
      </c>
      <c r="F1441" t="s">
        <v>19</v>
      </c>
      <c r="G1441" t="s">
        <v>19</v>
      </c>
      <c r="H1441" t="s">
        <v>82</v>
      </c>
      <c r="I1441" t="s">
        <v>3589</v>
      </c>
      <c r="J1441">
        <v>185</v>
      </c>
      <c r="K1441" t="s">
        <v>84</v>
      </c>
      <c r="L1441" t="s">
        <v>85</v>
      </c>
      <c r="M1441" t="s">
        <v>86</v>
      </c>
      <c r="N1441">
        <v>3</v>
      </c>
      <c r="O1441" s="1">
        <v>44211.538495370369</v>
      </c>
      <c r="P1441" s="1">
        <v>44211.598912037036</v>
      </c>
      <c r="Q1441">
        <v>2629</v>
      </c>
      <c r="R1441">
        <v>2591</v>
      </c>
      <c r="S1441" t="b">
        <v>0</v>
      </c>
      <c r="T1441" t="s">
        <v>87</v>
      </c>
      <c r="U1441" t="b">
        <v>0</v>
      </c>
      <c r="V1441" t="s">
        <v>171</v>
      </c>
      <c r="W1441" s="1">
        <v>44211.563854166663</v>
      </c>
      <c r="X1441">
        <v>2191</v>
      </c>
      <c r="Y1441">
        <v>135</v>
      </c>
      <c r="Z1441">
        <v>0</v>
      </c>
      <c r="AA1441">
        <v>135</v>
      </c>
      <c r="AB1441">
        <v>0</v>
      </c>
      <c r="AC1441">
        <v>42</v>
      </c>
      <c r="AD1441">
        <v>50</v>
      </c>
      <c r="AE1441">
        <v>0</v>
      </c>
      <c r="AF1441">
        <v>0</v>
      </c>
      <c r="AG1441">
        <v>0</v>
      </c>
      <c r="AH1441" t="s">
        <v>128</v>
      </c>
      <c r="AI1441" s="1">
        <v>44211.568622685183</v>
      </c>
      <c r="AJ1441">
        <v>382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50</v>
      </c>
      <c r="AQ1441">
        <v>0</v>
      </c>
      <c r="AR1441">
        <v>0</v>
      </c>
      <c r="AS1441">
        <v>0</v>
      </c>
      <c r="AT1441" t="s">
        <v>90</v>
      </c>
      <c r="AU1441" s="1">
        <v>44211.598912037036</v>
      </c>
      <c r="AV1441">
        <v>18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50</v>
      </c>
      <c r="BC1441">
        <v>0</v>
      </c>
      <c r="BD1441">
        <v>0</v>
      </c>
      <c r="BE1441">
        <v>0</v>
      </c>
    </row>
    <row r="1442" spans="1:57" x14ac:dyDescent="0.45">
      <c r="A1442" t="s">
        <v>3590</v>
      </c>
      <c r="B1442" t="s">
        <v>79</v>
      </c>
      <c r="C1442" t="s">
        <v>3573</v>
      </c>
      <c r="D1442" t="s">
        <v>81</v>
      </c>
      <c r="E1442" s="2" t="str">
        <f>HYPERLINK("capsilon://?command=openfolder&amp;siteaddress=FAM.docvelocity-na8.net&amp;folderid=FX38E10120-C777-4B7C-2164-7240F288BB46","FX21012498")</f>
        <v>FX21012498</v>
      </c>
      <c r="F1442" t="s">
        <v>19</v>
      </c>
      <c r="G1442" t="s">
        <v>19</v>
      </c>
      <c r="H1442" t="s">
        <v>82</v>
      </c>
      <c r="I1442" t="s">
        <v>3574</v>
      </c>
      <c r="J1442">
        <v>690</v>
      </c>
      <c r="K1442" t="s">
        <v>84</v>
      </c>
      <c r="L1442" t="s">
        <v>85</v>
      </c>
      <c r="M1442" t="s">
        <v>86</v>
      </c>
      <c r="N1442">
        <v>3</v>
      </c>
      <c r="O1442" s="1">
        <v>44211.538993055554</v>
      </c>
      <c r="P1442" s="1">
        <v>44211.689282407409</v>
      </c>
      <c r="Q1442">
        <v>527</v>
      </c>
      <c r="R1442">
        <v>12458</v>
      </c>
      <c r="S1442" t="b">
        <v>0</v>
      </c>
      <c r="T1442" t="s">
        <v>87</v>
      </c>
      <c r="U1442" t="b">
        <v>1</v>
      </c>
      <c r="V1442" t="s">
        <v>160</v>
      </c>
      <c r="W1442" s="1">
        <v>44211.663784722223</v>
      </c>
      <c r="X1442">
        <v>10781</v>
      </c>
      <c r="Y1442">
        <v>646</v>
      </c>
      <c r="Z1442">
        <v>0</v>
      </c>
      <c r="AA1442">
        <v>646</v>
      </c>
      <c r="AB1442">
        <v>37</v>
      </c>
      <c r="AC1442">
        <v>591</v>
      </c>
      <c r="AD1442">
        <v>44</v>
      </c>
      <c r="AE1442">
        <v>0</v>
      </c>
      <c r="AF1442">
        <v>0</v>
      </c>
      <c r="AG1442">
        <v>0</v>
      </c>
      <c r="AH1442" t="s">
        <v>128</v>
      </c>
      <c r="AI1442" s="1">
        <v>44211.685196759259</v>
      </c>
      <c r="AJ1442">
        <v>1639</v>
      </c>
      <c r="AK1442">
        <v>3</v>
      </c>
      <c r="AL1442">
        <v>0</v>
      </c>
      <c r="AM1442">
        <v>3</v>
      </c>
      <c r="AN1442">
        <v>37</v>
      </c>
      <c r="AO1442">
        <v>3</v>
      </c>
      <c r="AP1442">
        <v>41</v>
      </c>
      <c r="AQ1442">
        <v>0</v>
      </c>
      <c r="AR1442">
        <v>0</v>
      </c>
      <c r="AS1442">
        <v>0</v>
      </c>
      <c r="AT1442" t="s">
        <v>90</v>
      </c>
      <c r="AU1442" s="1">
        <v>44211.689282407409</v>
      </c>
      <c r="AV1442">
        <v>38</v>
      </c>
      <c r="AW1442">
        <v>0</v>
      </c>
      <c r="AX1442">
        <v>0</v>
      </c>
      <c r="AY1442">
        <v>0</v>
      </c>
      <c r="AZ1442">
        <v>37</v>
      </c>
      <c r="BA1442">
        <v>0</v>
      </c>
      <c r="BB1442">
        <v>41</v>
      </c>
      <c r="BC1442">
        <v>0</v>
      </c>
      <c r="BD1442">
        <v>0</v>
      </c>
      <c r="BE1442">
        <v>0</v>
      </c>
    </row>
    <row r="1443" spans="1:57" x14ac:dyDescent="0.45">
      <c r="A1443" t="s">
        <v>3591</v>
      </c>
      <c r="B1443" t="s">
        <v>79</v>
      </c>
      <c r="C1443" t="s">
        <v>3592</v>
      </c>
      <c r="D1443" t="s">
        <v>81</v>
      </c>
      <c r="E1443" s="2" t="str">
        <f>HYPERLINK("capsilon://?command=openfolder&amp;siteaddress=FAM.docvelocity-na8.net&amp;folderid=FXBF04AC29-3BEF-B396-8760-BF582768A35F","FX21019194")</f>
        <v>FX21019194</v>
      </c>
      <c r="F1443" t="s">
        <v>19</v>
      </c>
      <c r="G1443" t="s">
        <v>19</v>
      </c>
      <c r="H1443" t="s">
        <v>82</v>
      </c>
      <c r="I1443" t="s">
        <v>3593</v>
      </c>
      <c r="J1443">
        <v>76</v>
      </c>
      <c r="K1443" t="s">
        <v>84</v>
      </c>
      <c r="L1443" t="s">
        <v>85</v>
      </c>
      <c r="M1443" t="s">
        <v>86</v>
      </c>
      <c r="N1443">
        <v>3</v>
      </c>
      <c r="O1443" s="1">
        <v>44211.542905092596</v>
      </c>
      <c r="P1443" s="1">
        <v>44211.59920138889</v>
      </c>
      <c r="Q1443">
        <v>4396</v>
      </c>
      <c r="R1443">
        <v>468</v>
      </c>
      <c r="S1443" t="b">
        <v>0</v>
      </c>
      <c r="T1443" t="s">
        <v>87</v>
      </c>
      <c r="U1443" t="b">
        <v>0</v>
      </c>
      <c r="V1443" t="s">
        <v>255</v>
      </c>
      <c r="W1443" s="1">
        <v>44211.546678240738</v>
      </c>
      <c r="X1443">
        <v>323</v>
      </c>
      <c r="Y1443">
        <v>74</v>
      </c>
      <c r="Z1443">
        <v>0</v>
      </c>
      <c r="AA1443">
        <v>74</v>
      </c>
      <c r="AB1443">
        <v>0</v>
      </c>
      <c r="AC1443">
        <v>19</v>
      </c>
      <c r="AD1443">
        <v>2</v>
      </c>
      <c r="AE1443">
        <v>0</v>
      </c>
      <c r="AF1443">
        <v>0</v>
      </c>
      <c r="AG1443">
        <v>0</v>
      </c>
      <c r="AH1443" t="s">
        <v>132</v>
      </c>
      <c r="AI1443" s="1">
        <v>44211.550879629627</v>
      </c>
      <c r="AJ1443">
        <v>121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2</v>
      </c>
      <c r="AQ1443">
        <v>0</v>
      </c>
      <c r="AR1443">
        <v>0</v>
      </c>
      <c r="AS1443">
        <v>0</v>
      </c>
      <c r="AT1443" t="s">
        <v>90</v>
      </c>
      <c r="AU1443" s="1">
        <v>44211.59920138889</v>
      </c>
      <c r="AV1443">
        <v>24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2</v>
      </c>
      <c r="BC1443">
        <v>0</v>
      </c>
      <c r="BD1443">
        <v>0</v>
      </c>
      <c r="BE1443">
        <v>0</v>
      </c>
    </row>
    <row r="1444" spans="1:57" x14ac:dyDescent="0.45">
      <c r="A1444" t="s">
        <v>3594</v>
      </c>
      <c r="B1444" t="s">
        <v>79</v>
      </c>
      <c r="C1444" t="s">
        <v>358</v>
      </c>
      <c r="D1444" t="s">
        <v>81</v>
      </c>
      <c r="E1444" s="2" t="str">
        <f>HYPERLINK("capsilon://?command=openfolder&amp;siteaddress=FAM.docvelocity-na8.net&amp;folderid=FX7015030B-92AD-1FD5-ECEA-50796840F6C0","FX201010020")</f>
        <v>FX201010020</v>
      </c>
      <c r="F1444" t="s">
        <v>19</v>
      </c>
      <c r="G1444" t="s">
        <v>19</v>
      </c>
      <c r="H1444" t="s">
        <v>82</v>
      </c>
      <c r="I1444" t="s">
        <v>3595</v>
      </c>
      <c r="J1444">
        <v>26</v>
      </c>
      <c r="K1444" t="s">
        <v>84</v>
      </c>
      <c r="L1444" t="s">
        <v>85</v>
      </c>
      <c r="M1444" t="s">
        <v>86</v>
      </c>
      <c r="N1444">
        <v>3</v>
      </c>
      <c r="O1444" s="1">
        <v>44211.548472222225</v>
      </c>
      <c r="P1444" s="1">
        <v>44211.599259259259</v>
      </c>
      <c r="Q1444">
        <v>3421</v>
      </c>
      <c r="R1444">
        <v>967</v>
      </c>
      <c r="S1444" t="b">
        <v>0</v>
      </c>
      <c r="T1444" t="s">
        <v>87</v>
      </c>
      <c r="U1444" t="b">
        <v>0</v>
      </c>
      <c r="V1444" t="s">
        <v>168</v>
      </c>
      <c r="W1444" s="1">
        <v>44211.558391203704</v>
      </c>
      <c r="X1444">
        <v>857</v>
      </c>
      <c r="Y1444">
        <v>21</v>
      </c>
      <c r="Z1444">
        <v>0</v>
      </c>
      <c r="AA1444">
        <v>21</v>
      </c>
      <c r="AB1444">
        <v>0</v>
      </c>
      <c r="AC1444">
        <v>19</v>
      </c>
      <c r="AD1444">
        <v>5</v>
      </c>
      <c r="AE1444">
        <v>0</v>
      </c>
      <c r="AF1444">
        <v>0</v>
      </c>
      <c r="AG1444">
        <v>0</v>
      </c>
      <c r="AH1444" t="s">
        <v>128</v>
      </c>
      <c r="AI1444" s="1">
        <v>44211.560474537036</v>
      </c>
      <c r="AJ1444">
        <v>105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5</v>
      </c>
      <c r="AQ1444">
        <v>0</v>
      </c>
      <c r="AR1444">
        <v>0</v>
      </c>
      <c r="AS1444">
        <v>0</v>
      </c>
      <c r="AT1444" t="s">
        <v>90</v>
      </c>
      <c r="AU1444" s="1">
        <v>44211.599259259259</v>
      </c>
      <c r="AV1444">
        <v>5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5</v>
      </c>
      <c r="BC1444">
        <v>0</v>
      </c>
      <c r="BD1444">
        <v>0</v>
      </c>
      <c r="BE1444">
        <v>0</v>
      </c>
    </row>
    <row r="1445" spans="1:57" hidden="1" x14ac:dyDescent="0.45">
      <c r="A1445" t="s">
        <v>3596</v>
      </c>
      <c r="B1445" t="s">
        <v>79</v>
      </c>
      <c r="C1445" t="s">
        <v>3515</v>
      </c>
      <c r="D1445" t="s">
        <v>81</v>
      </c>
      <c r="E1445" s="2" t="str">
        <f>HYPERLINK("capsilon://?command=openfolder&amp;siteaddress=FAM.docvelocity-na8.net&amp;folderid=FX9B67F363-48F1-3DBE-2BC4-49827523C98D","FX21015398")</f>
        <v>FX21015398</v>
      </c>
      <c r="F1445" t="s">
        <v>19</v>
      </c>
      <c r="G1445" t="s">
        <v>19</v>
      </c>
      <c r="H1445" t="s">
        <v>82</v>
      </c>
      <c r="I1445" t="s">
        <v>3597</v>
      </c>
      <c r="J1445">
        <v>38</v>
      </c>
      <c r="K1445" t="s">
        <v>84</v>
      </c>
      <c r="L1445" t="s">
        <v>85</v>
      </c>
      <c r="M1445" t="s">
        <v>86</v>
      </c>
      <c r="N1445">
        <v>3</v>
      </c>
      <c r="O1445" s="1">
        <v>44211.549687500003</v>
      </c>
      <c r="P1445" s="1">
        <v>44211.599421296298</v>
      </c>
      <c r="Q1445">
        <v>4165</v>
      </c>
      <c r="R1445">
        <v>132</v>
      </c>
      <c r="S1445" t="b">
        <v>0</v>
      </c>
      <c r="T1445" t="s">
        <v>87</v>
      </c>
      <c r="U1445" t="b">
        <v>0</v>
      </c>
      <c r="V1445" t="s">
        <v>142</v>
      </c>
      <c r="W1445" s="1">
        <v>44211.55059027778</v>
      </c>
      <c r="X1445">
        <v>76</v>
      </c>
      <c r="Y1445">
        <v>0</v>
      </c>
      <c r="Z1445">
        <v>0</v>
      </c>
      <c r="AA1445">
        <v>0</v>
      </c>
      <c r="AB1445">
        <v>37</v>
      </c>
      <c r="AC1445">
        <v>0</v>
      </c>
      <c r="AD1445">
        <v>38</v>
      </c>
      <c r="AE1445">
        <v>0</v>
      </c>
      <c r="AF1445">
        <v>0</v>
      </c>
      <c r="AG1445">
        <v>0</v>
      </c>
      <c r="AH1445" t="s">
        <v>128</v>
      </c>
      <c r="AI1445" s="1">
        <v>44211.560983796298</v>
      </c>
      <c r="AJ1445">
        <v>43</v>
      </c>
      <c r="AK1445">
        <v>0</v>
      </c>
      <c r="AL1445">
        <v>0</v>
      </c>
      <c r="AM1445">
        <v>0</v>
      </c>
      <c r="AN1445">
        <v>37</v>
      </c>
      <c r="AO1445">
        <v>0</v>
      </c>
      <c r="AP1445">
        <v>38</v>
      </c>
      <c r="AQ1445">
        <v>0</v>
      </c>
      <c r="AR1445">
        <v>0</v>
      </c>
      <c r="AS1445">
        <v>0</v>
      </c>
      <c r="AT1445" t="s">
        <v>90</v>
      </c>
      <c r="AU1445" s="1">
        <v>44211.599421296298</v>
      </c>
      <c r="AV1445">
        <v>13</v>
      </c>
      <c r="AW1445">
        <v>0</v>
      </c>
      <c r="AX1445">
        <v>0</v>
      </c>
      <c r="AY1445">
        <v>0</v>
      </c>
      <c r="AZ1445">
        <v>37</v>
      </c>
      <c r="BA1445">
        <v>0</v>
      </c>
      <c r="BB1445">
        <v>38</v>
      </c>
      <c r="BC1445">
        <v>0</v>
      </c>
      <c r="BD1445">
        <v>0</v>
      </c>
      <c r="BE1445">
        <v>0</v>
      </c>
    </row>
    <row r="1446" spans="1:57" x14ac:dyDescent="0.45">
      <c r="A1446" t="s">
        <v>3598</v>
      </c>
      <c r="B1446" t="s">
        <v>79</v>
      </c>
      <c r="C1446" t="s">
        <v>3599</v>
      </c>
      <c r="D1446" t="s">
        <v>81</v>
      </c>
      <c r="E1446" s="2" t="str">
        <f>HYPERLINK("capsilon://?command=openfolder&amp;siteaddress=FAM.docvelocity-na8.net&amp;folderid=FX398E2F80-4A81-A045-69FE-A16C67434ED9","FX21019571")</f>
        <v>FX21019571</v>
      </c>
      <c r="F1446" t="s">
        <v>19</v>
      </c>
      <c r="G1446" t="s">
        <v>19</v>
      </c>
      <c r="H1446" t="s">
        <v>82</v>
      </c>
      <c r="I1446" t="s">
        <v>3600</v>
      </c>
      <c r="J1446">
        <v>346</v>
      </c>
      <c r="K1446" t="s">
        <v>84</v>
      </c>
      <c r="L1446" t="s">
        <v>85</v>
      </c>
      <c r="M1446" t="s">
        <v>86</v>
      </c>
      <c r="N1446">
        <v>3</v>
      </c>
      <c r="O1446" s="1">
        <v>44211.555462962962</v>
      </c>
      <c r="P1446" s="1">
        <v>44211.629374999997</v>
      </c>
      <c r="Q1446">
        <v>537</v>
      </c>
      <c r="R1446">
        <v>5849</v>
      </c>
      <c r="S1446" t="b">
        <v>0</v>
      </c>
      <c r="T1446" t="s">
        <v>87</v>
      </c>
      <c r="U1446" t="b">
        <v>0</v>
      </c>
      <c r="V1446" t="s">
        <v>179</v>
      </c>
      <c r="W1446" s="1">
        <v>44211.615416666667</v>
      </c>
      <c r="X1446">
        <v>5179</v>
      </c>
      <c r="Y1446">
        <v>328</v>
      </c>
      <c r="Z1446">
        <v>0</v>
      </c>
      <c r="AA1446">
        <v>328</v>
      </c>
      <c r="AB1446">
        <v>0</v>
      </c>
      <c r="AC1446">
        <v>152</v>
      </c>
      <c r="AD1446">
        <v>18</v>
      </c>
      <c r="AE1446">
        <v>0</v>
      </c>
      <c r="AF1446">
        <v>0</v>
      </c>
      <c r="AG1446">
        <v>0</v>
      </c>
      <c r="AH1446" t="s">
        <v>132</v>
      </c>
      <c r="AI1446" s="1">
        <v>44211.623206018521</v>
      </c>
      <c r="AJ1446">
        <v>458</v>
      </c>
      <c r="AK1446">
        <v>2</v>
      </c>
      <c r="AL1446">
        <v>0</v>
      </c>
      <c r="AM1446">
        <v>2</v>
      </c>
      <c r="AN1446">
        <v>0</v>
      </c>
      <c r="AO1446">
        <v>1</v>
      </c>
      <c r="AP1446">
        <v>16</v>
      </c>
      <c r="AQ1446">
        <v>0</v>
      </c>
      <c r="AR1446">
        <v>0</v>
      </c>
      <c r="AS1446">
        <v>0</v>
      </c>
      <c r="AT1446" t="s">
        <v>90</v>
      </c>
      <c r="AU1446" s="1">
        <v>44211.629374999997</v>
      </c>
      <c r="AV1446">
        <v>212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16</v>
      </c>
      <c r="BC1446">
        <v>0</v>
      </c>
      <c r="BD1446">
        <v>0</v>
      </c>
      <c r="BE1446">
        <v>0</v>
      </c>
    </row>
    <row r="1447" spans="1:57" hidden="1" x14ac:dyDescent="0.45">
      <c r="A1447" t="s">
        <v>3601</v>
      </c>
      <c r="B1447" t="s">
        <v>79</v>
      </c>
      <c r="C1447" t="s">
        <v>3602</v>
      </c>
      <c r="D1447" t="s">
        <v>81</v>
      </c>
      <c r="E1447" s="2" t="str">
        <f>HYPERLINK("capsilon://?command=openfolder&amp;siteaddress=FAM.docvelocity-na8.net&amp;folderid=FX33857A59-3FFA-B4B2-3538-0593BF923F45","FX21019206")</f>
        <v>FX21019206</v>
      </c>
      <c r="F1447" t="s">
        <v>19</v>
      </c>
      <c r="G1447" t="s">
        <v>19</v>
      </c>
      <c r="H1447" t="s">
        <v>82</v>
      </c>
      <c r="I1447" t="s">
        <v>3603</v>
      </c>
      <c r="J1447">
        <v>405</v>
      </c>
      <c r="K1447" t="s">
        <v>84</v>
      </c>
      <c r="L1447" t="s">
        <v>85</v>
      </c>
      <c r="M1447" t="s">
        <v>86</v>
      </c>
      <c r="N1447">
        <v>1</v>
      </c>
      <c r="O1447" s="1">
        <v>44211.565104166664</v>
      </c>
      <c r="P1447" s="1">
        <v>44211.574189814812</v>
      </c>
      <c r="Q1447">
        <v>1</v>
      </c>
      <c r="R1447">
        <v>784</v>
      </c>
      <c r="S1447" t="b">
        <v>0</v>
      </c>
      <c r="T1447" t="s">
        <v>87</v>
      </c>
      <c r="U1447" t="b">
        <v>0</v>
      </c>
      <c r="V1447" t="s">
        <v>146</v>
      </c>
      <c r="W1447" s="1">
        <v>44211.574189814812</v>
      </c>
      <c r="X1447">
        <v>784</v>
      </c>
      <c r="Y1447">
        <v>341</v>
      </c>
      <c r="Z1447">
        <v>0</v>
      </c>
      <c r="AA1447">
        <v>341</v>
      </c>
      <c r="AB1447">
        <v>0</v>
      </c>
      <c r="AC1447">
        <v>0</v>
      </c>
      <c r="AD1447">
        <v>64</v>
      </c>
      <c r="AE1447">
        <v>21</v>
      </c>
      <c r="AF1447">
        <v>0</v>
      </c>
      <c r="AG1447">
        <v>2</v>
      </c>
      <c r="AH1447" t="s">
        <v>87</v>
      </c>
      <c r="AI1447" t="s">
        <v>87</v>
      </c>
      <c r="AJ1447" t="s">
        <v>87</v>
      </c>
      <c r="AK1447" t="s">
        <v>87</v>
      </c>
      <c r="AL1447" t="s">
        <v>87</v>
      </c>
      <c r="AM1447" t="s">
        <v>87</v>
      </c>
      <c r="AN1447" t="s">
        <v>87</v>
      </c>
      <c r="AO1447" t="s">
        <v>87</v>
      </c>
      <c r="AP1447" t="s">
        <v>87</v>
      </c>
      <c r="AQ1447" t="s">
        <v>87</v>
      </c>
      <c r="AR1447" t="s">
        <v>87</v>
      </c>
      <c r="AS1447" t="s">
        <v>87</v>
      </c>
      <c r="AT1447" t="s">
        <v>87</v>
      </c>
      <c r="AU1447" t="s">
        <v>87</v>
      </c>
      <c r="AV1447" t="s">
        <v>87</v>
      </c>
      <c r="AW1447" t="s">
        <v>87</v>
      </c>
      <c r="AX1447" t="s">
        <v>87</v>
      </c>
      <c r="AY1447" t="s">
        <v>87</v>
      </c>
      <c r="AZ1447" t="s">
        <v>87</v>
      </c>
      <c r="BA1447" t="s">
        <v>87</v>
      </c>
      <c r="BB1447" t="s">
        <v>87</v>
      </c>
      <c r="BC1447" t="s">
        <v>87</v>
      </c>
      <c r="BD1447" t="s">
        <v>87</v>
      </c>
      <c r="BE1447" t="s">
        <v>87</v>
      </c>
    </row>
    <row r="1448" spans="1:57" x14ac:dyDescent="0.45">
      <c r="A1448" t="s">
        <v>3604</v>
      </c>
      <c r="B1448" t="s">
        <v>79</v>
      </c>
      <c r="C1448" t="s">
        <v>3605</v>
      </c>
      <c r="D1448" t="s">
        <v>81</v>
      </c>
      <c r="E1448" s="2" t="str">
        <f>HYPERLINK("capsilon://?command=openfolder&amp;siteaddress=FAM.docvelocity-na8.net&amp;folderid=FXAF730635-5988-AED2-5766-25B7F74825DC","FX21018193")</f>
        <v>FX21018193</v>
      </c>
      <c r="F1448" t="s">
        <v>19</v>
      </c>
      <c r="G1448" t="s">
        <v>19</v>
      </c>
      <c r="H1448" t="s">
        <v>82</v>
      </c>
      <c r="I1448" t="s">
        <v>3606</v>
      </c>
      <c r="J1448">
        <v>38</v>
      </c>
      <c r="K1448" t="s">
        <v>84</v>
      </c>
      <c r="L1448" t="s">
        <v>85</v>
      </c>
      <c r="M1448" t="s">
        <v>86</v>
      </c>
      <c r="N1448">
        <v>3</v>
      </c>
      <c r="O1448" s="1">
        <v>44211.570289351854</v>
      </c>
      <c r="P1448" s="1">
        <v>44211.59946759259</v>
      </c>
      <c r="Q1448">
        <v>1909</v>
      </c>
      <c r="R1448">
        <v>612</v>
      </c>
      <c r="S1448" t="b">
        <v>0</v>
      </c>
      <c r="T1448" t="s">
        <v>87</v>
      </c>
      <c r="U1448" t="b">
        <v>0</v>
      </c>
      <c r="V1448" t="s">
        <v>168</v>
      </c>
      <c r="W1448" s="1">
        <v>44211.576238425929</v>
      </c>
      <c r="X1448">
        <v>503</v>
      </c>
      <c r="Y1448">
        <v>37</v>
      </c>
      <c r="Z1448">
        <v>0</v>
      </c>
      <c r="AA1448">
        <v>37</v>
      </c>
      <c r="AB1448">
        <v>0</v>
      </c>
      <c r="AC1448">
        <v>10</v>
      </c>
      <c r="AD1448">
        <v>1</v>
      </c>
      <c r="AE1448">
        <v>0</v>
      </c>
      <c r="AF1448">
        <v>0</v>
      </c>
      <c r="AG1448">
        <v>0</v>
      </c>
      <c r="AH1448" t="s">
        <v>128</v>
      </c>
      <c r="AI1448" s="1">
        <v>44211.580081018517</v>
      </c>
      <c r="AJ1448">
        <v>105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 t="s">
        <v>90</v>
      </c>
      <c r="AU1448" s="1">
        <v>44211.59946759259</v>
      </c>
      <c r="AV1448">
        <v>4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</row>
    <row r="1449" spans="1:57" x14ac:dyDescent="0.45">
      <c r="A1449" t="s">
        <v>3607</v>
      </c>
      <c r="B1449" t="s">
        <v>79</v>
      </c>
      <c r="C1449" t="s">
        <v>3608</v>
      </c>
      <c r="D1449" t="s">
        <v>81</v>
      </c>
      <c r="E1449" s="2" t="str">
        <f>HYPERLINK("capsilon://?command=openfolder&amp;siteaddress=FAM.docvelocity-na8.net&amp;folderid=FX2C90A8D6-E8B3-C4A1-53D0-D2303692EC59","FX21017795")</f>
        <v>FX21017795</v>
      </c>
      <c r="F1449" t="s">
        <v>19</v>
      </c>
      <c r="G1449" t="s">
        <v>19</v>
      </c>
      <c r="H1449" t="s">
        <v>82</v>
      </c>
      <c r="I1449" t="s">
        <v>3609</v>
      </c>
      <c r="J1449">
        <v>38</v>
      </c>
      <c r="K1449" t="s">
        <v>84</v>
      </c>
      <c r="L1449" t="s">
        <v>85</v>
      </c>
      <c r="M1449" t="s">
        <v>86</v>
      </c>
      <c r="N1449">
        <v>3</v>
      </c>
      <c r="O1449" s="1">
        <v>44211.572615740741</v>
      </c>
      <c r="P1449" s="1">
        <v>44211.59951388889</v>
      </c>
      <c r="Q1449">
        <v>1654</v>
      </c>
      <c r="R1449">
        <v>670</v>
      </c>
      <c r="S1449" t="b">
        <v>0</v>
      </c>
      <c r="T1449" t="s">
        <v>87</v>
      </c>
      <c r="U1449" t="b">
        <v>0</v>
      </c>
      <c r="V1449" t="s">
        <v>171</v>
      </c>
      <c r="W1449" s="1">
        <v>44211.579270833332</v>
      </c>
      <c r="X1449">
        <v>575</v>
      </c>
      <c r="Y1449">
        <v>37</v>
      </c>
      <c r="Z1449">
        <v>0</v>
      </c>
      <c r="AA1449">
        <v>37</v>
      </c>
      <c r="AB1449">
        <v>0</v>
      </c>
      <c r="AC1449">
        <v>21</v>
      </c>
      <c r="AD1449">
        <v>1</v>
      </c>
      <c r="AE1449">
        <v>0</v>
      </c>
      <c r="AF1449">
        <v>0</v>
      </c>
      <c r="AG1449">
        <v>0</v>
      </c>
      <c r="AH1449" t="s">
        <v>128</v>
      </c>
      <c r="AI1449" s="1">
        <v>44211.581145833334</v>
      </c>
      <c r="AJ1449">
        <v>91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 t="s">
        <v>90</v>
      </c>
      <c r="AU1449" s="1">
        <v>44211.59951388889</v>
      </c>
      <c r="AV1449">
        <v>4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</row>
    <row r="1450" spans="1:57" x14ac:dyDescent="0.45">
      <c r="A1450" t="s">
        <v>3610</v>
      </c>
      <c r="B1450" t="s">
        <v>79</v>
      </c>
      <c r="C1450" t="s">
        <v>3602</v>
      </c>
      <c r="D1450" t="s">
        <v>81</v>
      </c>
      <c r="E1450" s="2" t="str">
        <f>HYPERLINK("capsilon://?command=openfolder&amp;siteaddress=FAM.docvelocity-na8.net&amp;folderid=FX33857A59-3FFA-B4B2-3538-0593BF923F45","FX21019206")</f>
        <v>FX21019206</v>
      </c>
      <c r="F1450" t="s">
        <v>19</v>
      </c>
      <c r="G1450" t="s">
        <v>19</v>
      </c>
      <c r="H1450" t="s">
        <v>82</v>
      </c>
      <c r="I1450" t="s">
        <v>3603</v>
      </c>
      <c r="J1450">
        <v>52</v>
      </c>
      <c r="K1450" t="s">
        <v>84</v>
      </c>
      <c r="L1450" t="s">
        <v>85</v>
      </c>
      <c r="M1450" t="s">
        <v>86</v>
      </c>
      <c r="N1450">
        <v>3</v>
      </c>
      <c r="O1450" s="1">
        <v>44211.57439814815</v>
      </c>
      <c r="P1450" s="1">
        <v>44211.683078703703</v>
      </c>
      <c r="Q1450">
        <v>627</v>
      </c>
      <c r="R1450">
        <v>8763</v>
      </c>
      <c r="S1450" t="b">
        <v>0</v>
      </c>
      <c r="T1450" t="s">
        <v>87</v>
      </c>
      <c r="U1450" t="b">
        <v>1</v>
      </c>
      <c r="V1450" t="s">
        <v>146</v>
      </c>
      <c r="W1450" s="1">
        <v>44211.668425925927</v>
      </c>
      <c r="X1450">
        <v>8123</v>
      </c>
      <c r="Y1450">
        <v>308</v>
      </c>
      <c r="Z1450">
        <v>0</v>
      </c>
      <c r="AA1450">
        <v>308</v>
      </c>
      <c r="AB1450">
        <v>105</v>
      </c>
      <c r="AC1450">
        <v>306</v>
      </c>
      <c r="AD1450">
        <v>-256</v>
      </c>
      <c r="AE1450">
        <v>0</v>
      </c>
      <c r="AF1450">
        <v>0</v>
      </c>
      <c r="AG1450">
        <v>0</v>
      </c>
      <c r="AH1450" t="s">
        <v>132</v>
      </c>
      <c r="AI1450" s="1">
        <v>44211.681956018518</v>
      </c>
      <c r="AJ1450">
        <v>577</v>
      </c>
      <c r="AK1450">
        <v>5</v>
      </c>
      <c r="AL1450">
        <v>0</v>
      </c>
      <c r="AM1450">
        <v>5</v>
      </c>
      <c r="AN1450">
        <v>105</v>
      </c>
      <c r="AO1450">
        <v>4</v>
      </c>
      <c r="AP1450">
        <v>-261</v>
      </c>
      <c r="AQ1450">
        <v>0</v>
      </c>
      <c r="AR1450">
        <v>0</v>
      </c>
      <c r="AS1450">
        <v>0</v>
      </c>
      <c r="AT1450" t="s">
        <v>90</v>
      </c>
      <c r="AU1450" s="1">
        <v>44211.683078703703</v>
      </c>
      <c r="AV1450">
        <v>63</v>
      </c>
      <c r="AW1450">
        <v>0</v>
      </c>
      <c r="AX1450">
        <v>0</v>
      </c>
      <c r="AY1450">
        <v>0</v>
      </c>
      <c r="AZ1450">
        <v>105</v>
      </c>
      <c r="BA1450">
        <v>0</v>
      </c>
      <c r="BB1450">
        <v>-261</v>
      </c>
      <c r="BC1450">
        <v>0</v>
      </c>
      <c r="BD1450">
        <v>0</v>
      </c>
      <c r="BE1450">
        <v>0</v>
      </c>
    </row>
    <row r="1451" spans="1:57" x14ac:dyDescent="0.45">
      <c r="A1451" t="s">
        <v>3611</v>
      </c>
      <c r="B1451" t="s">
        <v>79</v>
      </c>
      <c r="C1451" t="s">
        <v>1357</v>
      </c>
      <c r="D1451" t="s">
        <v>81</v>
      </c>
      <c r="E1451" s="2" t="str">
        <f>HYPERLINK("capsilon://?command=openfolder&amp;siteaddress=FAM.docvelocity-na8.net&amp;folderid=FX90858789-497E-44E5-72F9-4156405E14CC","FX20127914")</f>
        <v>FX20127914</v>
      </c>
      <c r="F1451" t="s">
        <v>19</v>
      </c>
      <c r="G1451" t="s">
        <v>19</v>
      </c>
      <c r="H1451" t="s">
        <v>82</v>
      </c>
      <c r="I1451" t="s">
        <v>3612</v>
      </c>
      <c r="J1451">
        <v>43</v>
      </c>
      <c r="K1451" t="s">
        <v>84</v>
      </c>
      <c r="L1451" t="s">
        <v>85</v>
      </c>
      <c r="M1451" t="s">
        <v>86</v>
      </c>
      <c r="N1451">
        <v>3</v>
      </c>
      <c r="O1451" s="1">
        <v>44211.57849537037</v>
      </c>
      <c r="P1451" s="1">
        <v>44211.599768518521</v>
      </c>
      <c r="Q1451">
        <v>1328</v>
      </c>
      <c r="R1451">
        <v>510</v>
      </c>
      <c r="S1451" t="b">
        <v>0</v>
      </c>
      <c r="T1451" t="s">
        <v>87</v>
      </c>
      <c r="U1451" t="b">
        <v>0</v>
      </c>
      <c r="V1451" t="s">
        <v>255</v>
      </c>
      <c r="W1451" s="1">
        <v>44211.582407407404</v>
      </c>
      <c r="X1451">
        <v>335</v>
      </c>
      <c r="Y1451">
        <v>61</v>
      </c>
      <c r="Z1451">
        <v>0</v>
      </c>
      <c r="AA1451">
        <v>61</v>
      </c>
      <c r="AB1451">
        <v>0</v>
      </c>
      <c r="AC1451">
        <v>44</v>
      </c>
      <c r="AD1451">
        <v>-18</v>
      </c>
      <c r="AE1451">
        <v>0</v>
      </c>
      <c r="AF1451">
        <v>0</v>
      </c>
      <c r="AG1451">
        <v>0</v>
      </c>
      <c r="AH1451" t="s">
        <v>128</v>
      </c>
      <c r="AI1451" s="1">
        <v>44211.585057870368</v>
      </c>
      <c r="AJ1451">
        <v>154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-18</v>
      </c>
      <c r="AQ1451">
        <v>0</v>
      </c>
      <c r="AR1451">
        <v>0</v>
      </c>
      <c r="AS1451">
        <v>0</v>
      </c>
      <c r="AT1451" t="s">
        <v>90</v>
      </c>
      <c r="AU1451" s="1">
        <v>44211.599768518521</v>
      </c>
      <c r="AV1451">
        <v>21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-18</v>
      </c>
      <c r="BC1451">
        <v>0</v>
      </c>
      <c r="BD1451">
        <v>0</v>
      </c>
      <c r="BE1451">
        <v>0</v>
      </c>
    </row>
    <row r="1452" spans="1:57" x14ac:dyDescent="0.45">
      <c r="A1452" t="s">
        <v>3613</v>
      </c>
      <c r="B1452" t="s">
        <v>79</v>
      </c>
      <c r="C1452" t="s">
        <v>3614</v>
      </c>
      <c r="D1452" t="s">
        <v>81</v>
      </c>
      <c r="E1452" s="2" t="str">
        <f>HYPERLINK("capsilon://?command=openfolder&amp;siteaddress=FAM.docvelocity-na8.net&amp;folderid=FXC4B29513-65CA-8137-A7C8-1D32B16E75B2","FX21014178")</f>
        <v>FX21014178</v>
      </c>
      <c r="F1452" t="s">
        <v>19</v>
      </c>
      <c r="G1452" t="s">
        <v>19</v>
      </c>
      <c r="H1452" t="s">
        <v>82</v>
      </c>
      <c r="I1452" t="s">
        <v>3615</v>
      </c>
      <c r="J1452">
        <v>132</v>
      </c>
      <c r="K1452" t="s">
        <v>84</v>
      </c>
      <c r="L1452" t="s">
        <v>85</v>
      </c>
      <c r="M1452" t="s">
        <v>86</v>
      </c>
      <c r="N1452">
        <v>3</v>
      </c>
      <c r="O1452" s="1">
        <v>44211.578923611109</v>
      </c>
      <c r="P1452" s="1">
        <v>44211.610937500001</v>
      </c>
      <c r="Q1452">
        <v>444</v>
      </c>
      <c r="R1452">
        <v>2322</v>
      </c>
      <c r="S1452" t="b">
        <v>0</v>
      </c>
      <c r="T1452" t="s">
        <v>87</v>
      </c>
      <c r="U1452" t="b">
        <v>0</v>
      </c>
      <c r="V1452" t="s">
        <v>168</v>
      </c>
      <c r="W1452" s="1">
        <v>44211.600810185184</v>
      </c>
      <c r="X1452">
        <v>1890</v>
      </c>
      <c r="Y1452">
        <v>104</v>
      </c>
      <c r="Z1452">
        <v>0</v>
      </c>
      <c r="AA1452">
        <v>104</v>
      </c>
      <c r="AB1452">
        <v>0</v>
      </c>
      <c r="AC1452">
        <v>54</v>
      </c>
      <c r="AD1452">
        <v>28</v>
      </c>
      <c r="AE1452">
        <v>0</v>
      </c>
      <c r="AF1452">
        <v>0</v>
      </c>
      <c r="AG1452">
        <v>0</v>
      </c>
      <c r="AH1452" t="s">
        <v>128</v>
      </c>
      <c r="AI1452" s="1">
        <v>44211.609699074077</v>
      </c>
      <c r="AJ1452">
        <v>391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28</v>
      </c>
      <c r="AQ1452">
        <v>0</v>
      </c>
      <c r="AR1452">
        <v>0</v>
      </c>
      <c r="AS1452">
        <v>0</v>
      </c>
      <c r="AT1452" t="s">
        <v>90</v>
      </c>
      <c r="AU1452" s="1">
        <v>44211.610937500001</v>
      </c>
      <c r="AV1452">
        <v>41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28</v>
      </c>
      <c r="BC1452">
        <v>0</v>
      </c>
      <c r="BD1452">
        <v>0</v>
      </c>
      <c r="BE1452">
        <v>0</v>
      </c>
    </row>
    <row r="1453" spans="1:57" x14ac:dyDescent="0.45">
      <c r="A1453" t="s">
        <v>3616</v>
      </c>
      <c r="B1453" t="s">
        <v>79</v>
      </c>
      <c r="C1453" t="s">
        <v>3617</v>
      </c>
      <c r="D1453" t="s">
        <v>81</v>
      </c>
      <c r="E1453" s="2" t="str">
        <f>HYPERLINK("capsilon://?command=openfolder&amp;siteaddress=FAM.docvelocity-na8.net&amp;folderid=FX529445A1-8EF1-5CF5-27CB-ABB91552BAA5","FX21019270")</f>
        <v>FX21019270</v>
      </c>
      <c r="F1453" t="s">
        <v>19</v>
      </c>
      <c r="G1453" t="s">
        <v>19</v>
      </c>
      <c r="H1453" t="s">
        <v>82</v>
      </c>
      <c r="I1453" t="s">
        <v>3618</v>
      </c>
      <c r="J1453">
        <v>140</v>
      </c>
      <c r="K1453" t="s">
        <v>84</v>
      </c>
      <c r="L1453" t="s">
        <v>85</v>
      </c>
      <c r="M1453" t="s">
        <v>86</v>
      </c>
      <c r="N1453">
        <v>3</v>
      </c>
      <c r="O1453" s="1">
        <v>44211.579907407409</v>
      </c>
      <c r="P1453" s="1">
        <v>44211.606921296298</v>
      </c>
      <c r="Q1453">
        <v>120</v>
      </c>
      <c r="R1453">
        <v>2214</v>
      </c>
      <c r="S1453" t="b">
        <v>0</v>
      </c>
      <c r="T1453" t="s">
        <v>87</v>
      </c>
      <c r="U1453" t="b">
        <v>0</v>
      </c>
      <c r="V1453" t="s">
        <v>171</v>
      </c>
      <c r="W1453" s="1">
        <v>44211.599965277775</v>
      </c>
      <c r="X1453">
        <v>1732</v>
      </c>
      <c r="Y1453">
        <v>108</v>
      </c>
      <c r="Z1453">
        <v>0</v>
      </c>
      <c r="AA1453">
        <v>108</v>
      </c>
      <c r="AB1453">
        <v>0</v>
      </c>
      <c r="AC1453">
        <v>43</v>
      </c>
      <c r="AD1453">
        <v>32</v>
      </c>
      <c r="AE1453">
        <v>0</v>
      </c>
      <c r="AF1453">
        <v>0</v>
      </c>
      <c r="AG1453">
        <v>0</v>
      </c>
      <c r="AH1453" t="s">
        <v>128</v>
      </c>
      <c r="AI1453" s="1">
        <v>44211.605162037034</v>
      </c>
      <c r="AJ1453">
        <v>432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32</v>
      </c>
      <c r="AQ1453">
        <v>0</v>
      </c>
      <c r="AR1453">
        <v>0</v>
      </c>
      <c r="AS1453">
        <v>0</v>
      </c>
      <c r="AT1453" t="s">
        <v>90</v>
      </c>
      <c r="AU1453" s="1">
        <v>44211.606921296298</v>
      </c>
      <c r="AV1453">
        <v>50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32</v>
      </c>
      <c r="BC1453">
        <v>0</v>
      </c>
      <c r="BD1453">
        <v>0</v>
      </c>
      <c r="BE1453">
        <v>0</v>
      </c>
    </row>
    <row r="1454" spans="1:57" x14ac:dyDescent="0.45">
      <c r="A1454" t="s">
        <v>3619</v>
      </c>
      <c r="B1454" t="s">
        <v>79</v>
      </c>
      <c r="C1454" t="s">
        <v>3620</v>
      </c>
      <c r="D1454" t="s">
        <v>81</v>
      </c>
      <c r="E1454" s="2" t="str">
        <f>HYPERLINK("capsilon://?command=openfolder&amp;siteaddress=FAM.docvelocity-na8.net&amp;folderid=FX41BBBDC4-AB82-D53E-85F0-03D6D1C41157","FX21019099")</f>
        <v>FX21019099</v>
      </c>
      <c r="F1454" t="s">
        <v>19</v>
      </c>
      <c r="G1454" t="s">
        <v>19</v>
      </c>
      <c r="H1454" t="s">
        <v>82</v>
      </c>
      <c r="I1454" t="s">
        <v>3621</v>
      </c>
      <c r="J1454">
        <v>215</v>
      </c>
      <c r="K1454" t="s">
        <v>84</v>
      </c>
      <c r="L1454" t="s">
        <v>85</v>
      </c>
      <c r="M1454" t="s">
        <v>86</v>
      </c>
      <c r="N1454">
        <v>3</v>
      </c>
      <c r="O1454" s="1">
        <v>44211.580069444448</v>
      </c>
      <c r="P1454" s="1">
        <v>44211.60019675926</v>
      </c>
      <c r="Q1454">
        <v>371</v>
      </c>
      <c r="R1454">
        <v>1368</v>
      </c>
      <c r="S1454" t="b">
        <v>0</v>
      </c>
      <c r="T1454" t="s">
        <v>87</v>
      </c>
      <c r="U1454" t="b">
        <v>0</v>
      </c>
      <c r="V1454" t="s">
        <v>242</v>
      </c>
      <c r="W1454" s="1">
        <v>44211.591562499998</v>
      </c>
      <c r="X1454">
        <v>967</v>
      </c>
      <c r="Y1454">
        <v>150</v>
      </c>
      <c r="Z1454">
        <v>0</v>
      </c>
      <c r="AA1454">
        <v>150</v>
      </c>
      <c r="AB1454">
        <v>0</v>
      </c>
      <c r="AC1454">
        <v>52</v>
      </c>
      <c r="AD1454">
        <v>65</v>
      </c>
      <c r="AE1454">
        <v>0</v>
      </c>
      <c r="AF1454">
        <v>0</v>
      </c>
      <c r="AG1454">
        <v>0</v>
      </c>
      <c r="AH1454" t="s">
        <v>128</v>
      </c>
      <c r="AI1454" s="1">
        <v>44211.595983796295</v>
      </c>
      <c r="AJ1454">
        <v>365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65</v>
      </c>
      <c r="AQ1454">
        <v>0</v>
      </c>
      <c r="AR1454">
        <v>0</v>
      </c>
      <c r="AS1454">
        <v>0</v>
      </c>
      <c r="AT1454" t="s">
        <v>90</v>
      </c>
      <c r="AU1454" s="1">
        <v>44211.60019675926</v>
      </c>
      <c r="AV1454">
        <v>36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65</v>
      </c>
      <c r="BC1454">
        <v>0</v>
      </c>
      <c r="BD1454">
        <v>0</v>
      </c>
      <c r="BE1454">
        <v>0</v>
      </c>
    </row>
    <row r="1455" spans="1:57" hidden="1" x14ac:dyDescent="0.45">
      <c r="A1455" t="s">
        <v>3622</v>
      </c>
      <c r="B1455" t="s">
        <v>79</v>
      </c>
      <c r="C1455" t="s">
        <v>3364</v>
      </c>
      <c r="D1455" t="s">
        <v>81</v>
      </c>
      <c r="E1455" s="2" t="str">
        <f>HYPERLINK("capsilon://?command=openfolder&amp;siteaddress=FAM.docvelocity-na8.net&amp;folderid=FXCB50852C-CFC1-0FCE-3740-2BF26F45E418","FX20122163")</f>
        <v>FX20122163</v>
      </c>
      <c r="F1455" t="s">
        <v>19</v>
      </c>
      <c r="G1455" t="s">
        <v>19</v>
      </c>
      <c r="H1455" t="s">
        <v>82</v>
      </c>
      <c r="I1455" t="s">
        <v>3623</v>
      </c>
      <c r="J1455">
        <v>66</v>
      </c>
      <c r="K1455" t="s">
        <v>84</v>
      </c>
      <c r="L1455" t="s">
        <v>85</v>
      </c>
      <c r="M1455" t="s">
        <v>86</v>
      </c>
      <c r="N1455">
        <v>1</v>
      </c>
      <c r="O1455" s="1">
        <v>44211.582314814812</v>
      </c>
      <c r="P1455" s="1">
        <v>44211.583229166667</v>
      </c>
      <c r="Q1455">
        <v>9</v>
      </c>
      <c r="R1455">
        <v>70</v>
      </c>
      <c r="S1455" t="b">
        <v>0</v>
      </c>
      <c r="T1455" t="s">
        <v>87</v>
      </c>
      <c r="U1455" t="b">
        <v>0</v>
      </c>
      <c r="V1455" t="s">
        <v>255</v>
      </c>
      <c r="W1455" s="1">
        <v>44211.583229166667</v>
      </c>
      <c r="X1455">
        <v>70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66</v>
      </c>
      <c r="AE1455">
        <v>52</v>
      </c>
      <c r="AF1455">
        <v>0</v>
      </c>
      <c r="AG1455">
        <v>1</v>
      </c>
      <c r="AH1455" t="s">
        <v>87</v>
      </c>
      <c r="AI1455" t="s">
        <v>87</v>
      </c>
      <c r="AJ1455" t="s">
        <v>87</v>
      </c>
      <c r="AK1455" t="s">
        <v>87</v>
      </c>
      <c r="AL1455" t="s">
        <v>87</v>
      </c>
      <c r="AM1455" t="s">
        <v>87</v>
      </c>
      <c r="AN1455" t="s">
        <v>87</v>
      </c>
      <c r="AO1455" t="s">
        <v>87</v>
      </c>
      <c r="AP1455" t="s">
        <v>87</v>
      </c>
      <c r="AQ1455" t="s">
        <v>87</v>
      </c>
      <c r="AR1455" t="s">
        <v>87</v>
      </c>
      <c r="AS1455" t="s">
        <v>87</v>
      </c>
      <c r="AT1455" t="s">
        <v>87</v>
      </c>
      <c r="AU1455" t="s">
        <v>87</v>
      </c>
      <c r="AV1455" t="s">
        <v>87</v>
      </c>
      <c r="AW1455" t="s">
        <v>87</v>
      </c>
      <c r="AX1455" t="s">
        <v>87</v>
      </c>
      <c r="AY1455" t="s">
        <v>87</v>
      </c>
      <c r="AZ1455" t="s">
        <v>87</v>
      </c>
      <c r="BA1455" t="s">
        <v>87</v>
      </c>
      <c r="BB1455" t="s">
        <v>87</v>
      </c>
      <c r="BC1455" t="s">
        <v>87</v>
      </c>
      <c r="BD1455" t="s">
        <v>87</v>
      </c>
      <c r="BE1455" t="s">
        <v>87</v>
      </c>
    </row>
    <row r="1456" spans="1:57" x14ac:dyDescent="0.45">
      <c r="A1456" t="s">
        <v>3624</v>
      </c>
      <c r="B1456" t="s">
        <v>79</v>
      </c>
      <c r="C1456" t="s">
        <v>3364</v>
      </c>
      <c r="D1456" t="s">
        <v>81</v>
      </c>
      <c r="E1456" s="2" t="str">
        <f>HYPERLINK("capsilon://?command=openfolder&amp;siteaddress=FAM.docvelocity-na8.net&amp;folderid=FXCB50852C-CFC1-0FCE-3740-2BF26F45E418","FX20122163")</f>
        <v>FX20122163</v>
      </c>
      <c r="F1456" t="s">
        <v>19</v>
      </c>
      <c r="G1456" t="s">
        <v>19</v>
      </c>
      <c r="H1456" t="s">
        <v>82</v>
      </c>
      <c r="I1456" t="s">
        <v>3623</v>
      </c>
      <c r="J1456">
        <v>38</v>
      </c>
      <c r="K1456" t="s">
        <v>84</v>
      </c>
      <c r="L1456" t="s">
        <v>85</v>
      </c>
      <c r="M1456" t="s">
        <v>86</v>
      </c>
      <c r="N1456">
        <v>3</v>
      </c>
      <c r="O1456" s="1">
        <v>44211.583611111113</v>
      </c>
      <c r="P1456" s="1">
        <v>44211.588900462964</v>
      </c>
      <c r="Q1456">
        <v>128</v>
      </c>
      <c r="R1456">
        <v>329</v>
      </c>
      <c r="S1456" t="b">
        <v>0</v>
      </c>
      <c r="T1456" t="s">
        <v>87</v>
      </c>
      <c r="U1456" t="b">
        <v>1</v>
      </c>
      <c r="V1456" t="s">
        <v>255</v>
      </c>
      <c r="W1456" s="1">
        <v>44211.585879629631</v>
      </c>
      <c r="X1456">
        <v>194</v>
      </c>
      <c r="Y1456">
        <v>37</v>
      </c>
      <c r="Z1456">
        <v>0</v>
      </c>
      <c r="AA1456">
        <v>37</v>
      </c>
      <c r="AB1456">
        <v>0</v>
      </c>
      <c r="AC1456">
        <v>15</v>
      </c>
      <c r="AD1456">
        <v>1</v>
      </c>
      <c r="AE1456">
        <v>0</v>
      </c>
      <c r="AF1456">
        <v>0</v>
      </c>
      <c r="AG1456">
        <v>0</v>
      </c>
      <c r="AH1456" t="s">
        <v>128</v>
      </c>
      <c r="AI1456" s="1">
        <v>44211.588263888887</v>
      </c>
      <c r="AJ1456">
        <v>122</v>
      </c>
      <c r="AK1456">
        <v>1</v>
      </c>
      <c r="AL1456">
        <v>0</v>
      </c>
      <c r="AM1456">
        <v>1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 t="s">
        <v>90</v>
      </c>
      <c r="AU1456" s="1">
        <v>44211.588900462964</v>
      </c>
      <c r="AV1456">
        <v>13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</row>
    <row r="1457" spans="1:57" x14ac:dyDescent="0.45">
      <c r="A1457" t="s">
        <v>3625</v>
      </c>
      <c r="B1457" t="s">
        <v>79</v>
      </c>
      <c r="C1457" t="s">
        <v>3626</v>
      </c>
      <c r="D1457" t="s">
        <v>81</v>
      </c>
      <c r="E1457" s="2" t="str">
        <f>HYPERLINK("capsilon://?command=openfolder&amp;siteaddress=FAM.docvelocity-na8.net&amp;folderid=FX70E00D83-6E55-7A1F-987F-D2A2B0347AE5","FX201113556")</f>
        <v>FX201113556</v>
      </c>
      <c r="F1457" t="s">
        <v>19</v>
      </c>
      <c r="G1457" t="s">
        <v>19</v>
      </c>
      <c r="H1457" t="s">
        <v>82</v>
      </c>
      <c r="I1457" t="s">
        <v>3627</v>
      </c>
      <c r="J1457">
        <v>66</v>
      </c>
      <c r="K1457" t="s">
        <v>84</v>
      </c>
      <c r="L1457" t="s">
        <v>85</v>
      </c>
      <c r="M1457" t="s">
        <v>86</v>
      </c>
      <c r="N1457">
        <v>3</v>
      </c>
      <c r="O1457" s="1">
        <v>44211.585520833331</v>
      </c>
      <c r="P1457" s="1">
        <v>44211.600393518522</v>
      </c>
      <c r="Q1457">
        <v>688</v>
      </c>
      <c r="R1457">
        <v>597</v>
      </c>
      <c r="S1457" t="b">
        <v>0</v>
      </c>
      <c r="T1457" t="s">
        <v>87</v>
      </c>
      <c r="U1457" t="b">
        <v>0</v>
      </c>
      <c r="V1457" t="s">
        <v>255</v>
      </c>
      <c r="W1457" s="1">
        <v>44211.591608796298</v>
      </c>
      <c r="X1457">
        <v>495</v>
      </c>
      <c r="Y1457">
        <v>43</v>
      </c>
      <c r="Z1457">
        <v>0</v>
      </c>
      <c r="AA1457">
        <v>43</v>
      </c>
      <c r="AB1457">
        <v>0</v>
      </c>
      <c r="AC1457">
        <v>26</v>
      </c>
      <c r="AD1457">
        <v>23</v>
      </c>
      <c r="AE1457">
        <v>0</v>
      </c>
      <c r="AF1457">
        <v>0</v>
      </c>
      <c r="AG1457">
        <v>0</v>
      </c>
      <c r="AH1457" t="s">
        <v>132</v>
      </c>
      <c r="AI1457" s="1">
        <v>44211.594953703701</v>
      </c>
      <c r="AJ1457">
        <v>85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23</v>
      </c>
      <c r="AQ1457">
        <v>0</v>
      </c>
      <c r="AR1457">
        <v>0</v>
      </c>
      <c r="AS1457">
        <v>0</v>
      </c>
      <c r="AT1457" t="s">
        <v>90</v>
      </c>
      <c r="AU1457" s="1">
        <v>44211.600393518522</v>
      </c>
      <c r="AV1457">
        <v>17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23</v>
      </c>
      <c r="BC1457">
        <v>0</v>
      </c>
      <c r="BD1457">
        <v>0</v>
      </c>
      <c r="BE1457">
        <v>0</v>
      </c>
    </row>
    <row r="1458" spans="1:57" x14ac:dyDescent="0.45">
      <c r="A1458" t="s">
        <v>3628</v>
      </c>
      <c r="B1458" t="s">
        <v>79</v>
      </c>
      <c r="C1458" t="s">
        <v>3626</v>
      </c>
      <c r="D1458" t="s">
        <v>81</v>
      </c>
      <c r="E1458" s="2" t="str">
        <f>HYPERLINK("capsilon://?command=openfolder&amp;siteaddress=FAM.docvelocity-na8.net&amp;folderid=FX70E00D83-6E55-7A1F-987F-D2A2B0347AE5","FX201113556")</f>
        <v>FX201113556</v>
      </c>
      <c r="F1458" t="s">
        <v>19</v>
      </c>
      <c r="G1458" t="s">
        <v>19</v>
      </c>
      <c r="H1458" t="s">
        <v>82</v>
      </c>
      <c r="I1458" t="s">
        <v>3629</v>
      </c>
      <c r="J1458">
        <v>66</v>
      </c>
      <c r="K1458" t="s">
        <v>84</v>
      </c>
      <c r="L1458" t="s">
        <v>85</v>
      </c>
      <c r="M1458" t="s">
        <v>86</v>
      </c>
      <c r="N1458">
        <v>3</v>
      </c>
      <c r="O1458" s="1">
        <v>44211.585740740738</v>
      </c>
      <c r="P1458" s="1">
        <v>44211.615243055552</v>
      </c>
      <c r="Q1458">
        <v>1058</v>
      </c>
      <c r="R1458">
        <v>1491</v>
      </c>
      <c r="S1458" t="b">
        <v>0</v>
      </c>
      <c r="T1458" t="s">
        <v>87</v>
      </c>
      <c r="U1458" t="b">
        <v>0</v>
      </c>
      <c r="V1458" t="s">
        <v>343</v>
      </c>
      <c r="W1458" s="1">
        <v>44211.600937499999</v>
      </c>
      <c r="X1458">
        <v>1290</v>
      </c>
      <c r="Y1458">
        <v>64</v>
      </c>
      <c r="Z1458">
        <v>0</v>
      </c>
      <c r="AA1458">
        <v>64</v>
      </c>
      <c r="AB1458">
        <v>0</v>
      </c>
      <c r="AC1458">
        <v>47</v>
      </c>
      <c r="AD1458">
        <v>2</v>
      </c>
      <c r="AE1458">
        <v>0</v>
      </c>
      <c r="AF1458">
        <v>0</v>
      </c>
      <c r="AG1458">
        <v>0</v>
      </c>
      <c r="AH1458" t="s">
        <v>132</v>
      </c>
      <c r="AI1458" s="1">
        <v>44211.610960648148</v>
      </c>
      <c r="AJ1458">
        <v>183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2</v>
      </c>
      <c r="AQ1458">
        <v>0</v>
      </c>
      <c r="AR1458">
        <v>0</v>
      </c>
      <c r="AS1458">
        <v>0</v>
      </c>
      <c r="AT1458" t="s">
        <v>90</v>
      </c>
      <c r="AU1458" s="1">
        <v>44211.615243055552</v>
      </c>
      <c r="AV1458">
        <v>18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2</v>
      </c>
      <c r="BC1458">
        <v>0</v>
      </c>
      <c r="BD1458">
        <v>0</v>
      </c>
      <c r="BE1458">
        <v>0</v>
      </c>
    </row>
    <row r="1459" spans="1:57" x14ac:dyDescent="0.45">
      <c r="A1459" t="s">
        <v>3630</v>
      </c>
      <c r="B1459" t="s">
        <v>79</v>
      </c>
      <c r="C1459" t="s">
        <v>3631</v>
      </c>
      <c r="D1459" t="s">
        <v>81</v>
      </c>
      <c r="E1459" s="2" t="str">
        <f>HYPERLINK("capsilon://?command=openfolder&amp;siteaddress=FAM.docvelocity-na8.net&amp;folderid=FXC17FDA31-80B4-6222-8731-35359F3A55AC","FX20125652")</f>
        <v>FX20125652</v>
      </c>
      <c r="F1459" t="s">
        <v>19</v>
      </c>
      <c r="G1459" t="s">
        <v>19</v>
      </c>
      <c r="H1459" t="s">
        <v>82</v>
      </c>
      <c r="I1459" t="s">
        <v>3632</v>
      </c>
      <c r="J1459">
        <v>45</v>
      </c>
      <c r="K1459" t="s">
        <v>84</v>
      </c>
      <c r="L1459" t="s">
        <v>85</v>
      </c>
      <c r="M1459" t="s">
        <v>86</v>
      </c>
      <c r="N1459">
        <v>3</v>
      </c>
      <c r="O1459" s="1">
        <v>44211.586793981478</v>
      </c>
      <c r="P1459" s="1">
        <v>44211.600856481484</v>
      </c>
      <c r="Q1459">
        <v>762</v>
      </c>
      <c r="R1459">
        <v>453</v>
      </c>
      <c r="S1459" t="b">
        <v>0</v>
      </c>
      <c r="T1459" t="s">
        <v>87</v>
      </c>
      <c r="U1459" t="b">
        <v>0</v>
      </c>
      <c r="V1459" t="s">
        <v>259</v>
      </c>
      <c r="W1459" s="1">
        <v>44211.591956018521</v>
      </c>
      <c r="X1459">
        <v>338</v>
      </c>
      <c r="Y1459">
        <v>41</v>
      </c>
      <c r="Z1459">
        <v>0</v>
      </c>
      <c r="AA1459">
        <v>41</v>
      </c>
      <c r="AB1459">
        <v>0</v>
      </c>
      <c r="AC1459">
        <v>19</v>
      </c>
      <c r="AD1459">
        <v>4</v>
      </c>
      <c r="AE1459">
        <v>0</v>
      </c>
      <c r="AF1459">
        <v>0</v>
      </c>
      <c r="AG1459">
        <v>0</v>
      </c>
      <c r="AH1459" t="s">
        <v>132</v>
      </c>
      <c r="AI1459" s="1">
        <v>44211.59584490741</v>
      </c>
      <c r="AJ1459">
        <v>76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4</v>
      </c>
      <c r="AQ1459">
        <v>0</v>
      </c>
      <c r="AR1459">
        <v>0</v>
      </c>
      <c r="AS1459">
        <v>0</v>
      </c>
      <c r="AT1459" t="s">
        <v>90</v>
      </c>
      <c r="AU1459" s="1">
        <v>44211.600856481484</v>
      </c>
      <c r="AV1459">
        <v>39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4</v>
      </c>
      <c r="BC1459">
        <v>0</v>
      </c>
      <c r="BD1459">
        <v>0</v>
      </c>
      <c r="BE1459">
        <v>0</v>
      </c>
    </row>
    <row r="1460" spans="1:57" x14ac:dyDescent="0.45">
      <c r="A1460" t="s">
        <v>3633</v>
      </c>
      <c r="B1460" t="s">
        <v>79</v>
      </c>
      <c r="C1460" t="s">
        <v>3634</v>
      </c>
      <c r="D1460" t="s">
        <v>81</v>
      </c>
      <c r="E1460" s="2" t="str">
        <f>HYPERLINK("capsilon://?command=openfolder&amp;siteaddress=FAM.docvelocity-na8.net&amp;folderid=FXAFB812B6-6A5B-68C6-77C0-3D230A447395","FX21017031")</f>
        <v>FX21017031</v>
      </c>
      <c r="F1460" t="s">
        <v>19</v>
      </c>
      <c r="G1460" t="s">
        <v>19</v>
      </c>
      <c r="H1460" t="s">
        <v>82</v>
      </c>
      <c r="I1460" t="s">
        <v>3635</v>
      </c>
      <c r="J1460">
        <v>536</v>
      </c>
      <c r="K1460" t="s">
        <v>84</v>
      </c>
      <c r="L1460" t="s">
        <v>85</v>
      </c>
      <c r="M1460" t="s">
        <v>86</v>
      </c>
      <c r="N1460">
        <v>3</v>
      </c>
      <c r="O1460" s="1">
        <v>44211.587789351855</v>
      </c>
      <c r="P1460" s="1">
        <v>44211.630486111113</v>
      </c>
      <c r="Q1460">
        <v>1337</v>
      </c>
      <c r="R1460">
        <v>2352</v>
      </c>
      <c r="S1460" t="b">
        <v>0</v>
      </c>
      <c r="T1460" t="s">
        <v>87</v>
      </c>
      <c r="U1460" t="b">
        <v>0</v>
      </c>
      <c r="V1460" t="s">
        <v>242</v>
      </c>
      <c r="W1460" s="1">
        <v>44211.612314814818</v>
      </c>
      <c r="X1460">
        <v>1792</v>
      </c>
      <c r="Y1460">
        <v>391</v>
      </c>
      <c r="Z1460">
        <v>0</v>
      </c>
      <c r="AA1460">
        <v>391</v>
      </c>
      <c r="AB1460">
        <v>0</v>
      </c>
      <c r="AC1460">
        <v>123</v>
      </c>
      <c r="AD1460">
        <v>145</v>
      </c>
      <c r="AE1460">
        <v>0</v>
      </c>
      <c r="AF1460">
        <v>0</v>
      </c>
      <c r="AG1460">
        <v>0</v>
      </c>
      <c r="AH1460" t="s">
        <v>132</v>
      </c>
      <c r="AI1460" s="1">
        <v>44211.617905092593</v>
      </c>
      <c r="AJ1460">
        <v>464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145</v>
      </c>
      <c r="AQ1460">
        <v>0</v>
      </c>
      <c r="AR1460">
        <v>0</v>
      </c>
      <c r="AS1460">
        <v>0</v>
      </c>
      <c r="AT1460" t="s">
        <v>90</v>
      </c>
      <c r="AU1460" s="1">
        <v>44211.630486111113</v>
      </c>
      <c r="AV1460">
        <v>96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145</v>
      </c>
      <c r="BC1460">
        <v>0</v>
      </c>
      <c r="BD1460">
        <v>0</v>
      </c>
      <c r="BE1460">
        <v>0</v>
      </c>
    </row>
    <row r="1461" spans="1:57" hidden="1" x14ac:dyDescent="0.45">
      <c r="A1461" t="s">
        <v>3636</v>
      </c>
      <c r="B1461" t="s">
        <v>79</v>
      </c>
      <c r="C1461" t="s">
        <v>3364</v>
      </c>
      <c r="D1461" t="s">
        <v>81</v>
      </c>
      <c r="E1461" s="2" t="str">
        <f>HYPERLINK("capsilon://?command=openfolder&amp;siteaddress=FAM.docvelocity-na8.net&amp;folderid=FXCB50852C-CFC1-0FCE-3740-2BF26F45E418","FX20122163")</f>
        <v>FX20122163</v>
      </c>
      <c r="F1461" t="s">
        <v>19</v>
      </c>
      <c r="G1461" t="s">
        <v>19</v>
      </c>
      <c r="H1461" t="s">
        <v>82</v>
      </c>
      <c r="I1461" t="s">
        <v>3637</v>
      </c>
      <c r="J1461">
        <v>66</v>
      </c>
      <c r="K1461" t="s">
        <v>84</v>
      </c>
      <c r="L1461" t="s">
        <v>85</v>
      </c>
      <c r="M1461" t="s">
        <v>86</v>
      </c>
      <c r="N1461">
        <v>1</v>
      </c>
      <c r="O1461" s="1">
        <v>44211.589108796295</v>
      </c>
      <c r="P1461" s="1">
        <v>44211.592164351852</v>
      </c>
      <c r="Q1461">
        <v>217</v>
      </c>
      <c r="R1461">
        <v>47</v>
      </c>
      <c r="S1461" t="b">
        <v>0</v>
      </c>
      <c r="T1461" t="s">
        <v>87</v>
      </c>
      <c r="U1461" t="b">
        <v>0</v>
      </c>
      <c r="V1461" t="s">
        <v>255</v>
      </c>
      <c r="W1461" s="1">
        <v>44211.592164351852</v>
      </c>
      <c r="X1461">
        <v>47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66</v>
      </c>
      <c r="AE1461">
        <v>52</v>
      </c>
      <c r="AF1461">
        <v>0</v>
      </c>
      <c r="AG1461">
        <v>1</v>
      </c>
      <c r="AH1461" t="s">
        <v>87</v>
      </c>
      <c r="AI1461" t="s">
        <v>87</v>
      </c>
      <c r="AJ1461" t="s">
        <v>87</v>
      </c>
      <c r="AK1461" t="s">
        <v>87</v>
      </c>
      <c r="AL1461" t="s">
        <v>87</v>
      </c>
      <c r="AM1461" t="s">
        <v>87</v>
      </c>
      <c r="AN1461" t="s">
        <v>87</v>
      </c>
      <c r="AO1461" t="s">
        <v>87</v>
      </c>
      <c r="AP1461" t="s">
        <v>87</v>
      </c>
      <c r="AQ1461" t="s">
        <v>87</v>
      </c>
      <c r="AR1461" t="s">
        <v>87</v>
      </c>
      <c r="AS1461" t="s">
        <v>87</v>
      </c>
      <c r="AT1461" t="s">
        <v>87</v>
      </c>
      <c r="AU1461" t="s">
        <v>87</v>
      </c>
      <c r="AV1461" t="s">
        <v>87</v>
      </c>
      <c r="AW1461" t="s">
        <v>87</v>
      </c>
      <c r="AX1461" t="s">
        <v>87</v>
      </c>
      <c r="AY1461" t="s">
        <v>87</v>
      </c>
      <c r="AZ1461" t="s">
        <v>87</v>
      </c>
      <c r="BA1461" t="s">
        <v>87</v>
      </c>
      <c r="BB1461" t="s">
        <v>87</v>
      </c>
      <c r="BC1461" t="s">
        <v>87</v>
      </c>
      <c r="BD1461" t="s">
        <v>87</v>
      </c>
      <c r="BE1461" t="s">
        <v>87</v>
      </c>
    </row>
    <row r="1462" spans="1:57" x14ac:dyDescent="0.45">
      <c r="A1462" t="s">
        <v>3638</v>
      </c>
      <c r="B1462" t="s">
        <v>79</v>
      </c>
      <c r="C1462" t="s">
        <v>806</v>
      </c>
      <c r="D1462" t="s">
        <v>81</v>
      </c>
      <c r="E1462" s="2" t="str">
        <f>HYPERLINK("capsilon://?command=openfolder&amp;siteaddress=FAM.docvelocity-na8.net&amp;folderid=FX04727687-20A6-8CB2-7A19-E29F9354E5FA","FX21011814")</f>
        <v>FX21011814</v>
      </c>
      <c r="F1462" t="s">
        <v>19</v>
      </c>
      <c r="G1462" t="s">
        <v>19</v>
      </c>
      <c r="H1462" t="s">
        <v>82</v>
      </c>
      <c r="I1462" t="s">
        <v>3639</v>
      </c>
      <c r="J1462">
        <v>66</v>
      </c>
      <c r="K1462" t="s">
        <v>84</v>
      </c>
      <c r="L1462" t="s">
        <v>85</v>
      </c>
      <c r="M1462" t="s">
        <v>86</v>
      </c>
      <c r="N1462">
        <v>3</v>
      </c>
      <c r="O1462" s="1">
        <v>44211.59034722222</v>
      </c>
      <c r="P1462" s="1">
        <v>44211.601134259261</v>
      </c>
      <c r="Q1462">
        <v>481</v>
      </c>
      <c r="R1462">
        <v>451</v>
      </c>
      <c r="S1462" t="b">
        <v>0</v>
      </c>
      <c r="T1462" t="s">
        <v>87</v>
      </c>
      <c r="U1462" t="b">
        <v>0</v>
      </c>
      <c r="V1462" t="s">
        <v>259</v>
      </c>
      <c r="W1462" s="1">
        <v>44211.595370370371</v>
      </c>
      <c r="X1462">
        <v>294</v>
      </c>
      <c r="Y1462">
        <v>52</v>
      </c>
      <c r="Z1462">
        <v>0</v>
      </c>
      <c r="AA1462">
        <v>52</v>
      </c>
      <c r="AB1462">
        <v>0</v>
      </c>
      <c r="AC1462">
        <v>28</v>
      </c>
      <c r="AD1462">
        <v>14</v>
      </c>
      <c r="AE1462">
        <v>0</v>
      </c>
      <c r="AF1462">
        <v>0</v>
      </c>
      <c r="AG1462">
        <v>0</v>
      </c>
      <c r="AH1462" t="s">
        <v>128</v>
      </c>
      <c r="AI1462" s="1">
        <v>44211.597546296296</v>
      </c>
      <c r="AJ1462">
        <v>134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14</v>
      </c>
      <c r="AQ1462">
        <v>0</v>
      </c>
      <c r="AR1462">
        <v>0</v>
      </c>
      <c r="AS1462">
        <v>0</v>
      </c>
      <c r="AT1462" t="s">
        <v>90</v>
      </c>
      <c r="AU1462" s="1">
        <v>44211.601134259261</v>
      </c>
      <c r="AV1462">
        <v>23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14</v>
      </c>
      <c r="BC1462">
        <v>0</v>
      </c>
      <c r="BD1462">
        <v>0</v>
      </c>
      <c r="BE1462">
        <v>0</v>
      </c>
    </row>
    <row r="1463" spans="1:57" x14ac:dyDescent="0.45">
      <c r="A1463" t="s">
        <v>3640</v>
      </c>
      <c r="B1463" t="s">
        <v>79</v>
      </c>
      <c r="C1463" t="s">
        <v>3364</v>
      </c>
      <c r="D1463" t="s">
        <v>81</v>
      </c>
      <c r="E1463" s="2" t="str">
        <f>HYPERLINK("capsilon://?command=openfolder&amp;siteaddress=FAM.docvelocity-na8.net&amp;folderid=FXCB50852C-CFC1-0FCE-3740-2BF26F45E418","FX20122163")</f>
        <v>FX20122163</v>
      </c>
      <c r="F1463" t="s">
        <v>19</v>
      </c>
      <c r="G1463" t="s">
        <v>19</v>
      </c>
      <c r="H1463" t="s">
        <v>82</v>
      </c>
      <c r="I1463" t="s">
        <v>3637</v>
      </c>
      <c r="J1463">
        <v>38</v>
      </c>
      <c r="K1463" t="s">
        <v>84</v>
      </c>
      <c r="L1463" t="s">
        <v>85</v>
      </c>
      <c r="M1463" t="s">
        <v>86</v>
      </c>
      <c r="N1463">
        <v>3</v>
      </c>
      <c r="O1463" s="1">
        <v>44211.592523148145</v>
      </c>
      <c r="P1463" s="1">
        <v>44211.597754629627</v>
      </c>
      <c r="Q1463">
        <v>164</v>
      </c>
      <c r="R1463">
        <v>288</v>
      </c>
      <c r="S1463" t="b">
        <v>0</v>
      </c>
      <c r="T1463" t="s">
        <v>87</v>
      </c>
      <c r="U1463" t="b">
        <v>1</v>
      </c>
      <c r="V1463" t="s">
        <v>255</v>
      </c>
      <c r="W1463" s="1">
        <v>44211.595000000001</v>
      </c>
      <c r="X1463">
        <v>209</v>
      </c>
      <c r="Y1463">
        <v>37</v>
      </c>
      <c r="Z1463">
        <v>0</v>
      </c>
      <c r="AA1463">
        <v>37</v>
      </c>
      <c r="AB1463">
        <v>0</v>
      </c>
      <c r="AC1463">
        <v>34</v>
      </c>
      <c r="AD1463">
        <v>1</v>
      </c>
      <c r="AE1463">
        <v>0</v>
      </c>
      <c r="AF1463">
        <v>0</v>
      </c>
      <c r="AG1463">
        <v>0</v>
      </c>
      <c r="AH1463" t="s">
        <v>132</v>
      </c>
      <c r="AI1463" s="1">
        <v>44211.596701388888</v>
      </c>
      <c r="AJ1463">
        <v>73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 t="s">
        <v>90</v>
      </c>
      <c r="AU1463" s="1">
        <v>44211.597754629627</v>
      </c>
      <c r="AV1463">
        <v>6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</row>
    <row r="1464" spans="1:57" x14ac:dyDescent="0.45">
      <c r="A1464" t="s">
        <v>3641</v>
      </c>
      <c r="B1464" t="s">
        <v>79</v>
      </c>
      <c r="C1464" t="s">
        <v>3642</v>
      </c>
      <c r="D1464" t="s">
        <v>81</v>
      </c>
      <c r="E1464" s="2" t="str">
        <f>HYPERLINK("capsilon://?command=openfolder&amp;siteaddress=FAM.docvelocity-na8.net&amp;folderid=FX34A4D7A0-6FEA-FD8A-98DA-AA65781181CD","FX21018813")</f>
        <v>FX21018813</v>
      </c>
      <c r="F1464" t="s">
        <v>19</v>
      </c>
      <c r="G1464" t="s">
        <v>19</v>
      </c>
      <c r="H1464" t="s">
        <v>82</v>
      </c>
      <c r="I1464" t="s">
        <v>3643</v>
      </c>
      <c r="J1464">
        <v>368</v>
      </c>
      <c r="K1464" t="s">
        <v>84</v>
      </c>
      <c r="L1464" t="s">
        <v>85</v>
      </c>
      <c r="M1464" t="s">
        <v>86</v>
      </c>
      <c r="N1464">
        <v>3</v>
      </c>
      <c r="O1464" s="1">
        <v>44211.592662037037</v>
      </c>
      <c r="P1464" s="1">
        <v>44211.631458333337</v>
      </c>
      <c r="Q1464">
        <v>521</v>
      </c>
      <c r="R1464">
        <v>2831</v>
      </c>
      <c r="S1464" t="b">
        <v>0</v>
      </c>
      <c r="T1464" t="s">
        <v>87</v>
      </c>
      <c r="U1464" t="b">
        <v>0</v>
      </c>
      <c r="V1464" t="s">
        <v>255</v>
      </c>
      <c r="W1464" s="1">
        <v>44211.613900462966</v>
      </c>
      <c r="X1464">
        <v>1632</v>
      </c>
      <c r="Y1464">
        <v>369</v>
      </c>
      <c r="Z1464">
        <v>0</v>
      </c>
      <c r="AA1464">
        <v>369</v>
      </c>
      <c r="AB1464">
        <v>0</v>
      </c>
      <c r="AC1464">
        <v>203</v>
      </c>
      <c r="AD1464">
        <v>-1</v>
      </c>
      <c r="AE1464">
        <v>0</v>
      </c>
      <c r="AF1464">
        <v>0</v>
      </c>
      <c r="AG1464">
        <v>0</v>
      </c>
      <c r="AH1464" t="s">
        <v>128</v>
      </c>
      <c r="AI1464" s="1">
        <v>44211.626909722225</v>
      </c>
      <c r="AJ1464">
        <v>1116</v>
      </c>
      <c r="AK1464">
        <v>1</v>
      </c>
      <c r="AL1464">
        <v>0</v>
      </c>
      <c r="AM1464">
        <v>1</v>
      </c>
      <c r="AN1464">
        <v>0</v>
      </c>
      <c r="AO1464">
        <v>1</v>
      </c>
      <c r="AP1464">
        <v>-2</v>
      </c>
      <c r="AQ1464">
        <v>0</v>
      </c>
      <c r="AR1464">
        <v>0</v>
      </c>
      <c r="AS1464">
        <v>0</v>
      </c>
      <c r="AT1464" t="s">
        <v>90</v>
      </c>
      <c r="AU1464" s="1">
        <v>44211.631458333337</v>
      </c>
      <c r="AV1464">
        <v>83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-2</v>
      </c>
      <c r="BC1464">
        <v>0</v>
      </c>
      <c r="BD1464">
        <v>0</v>
      </c>
      <c r="BE1464">
        <v>0</v>
      </c>
    </row>
    <row r="1465" spans="1:57" x14ac:dyDescent="0.45">
      <c r="A1465" t="s">
        <v>3644</v>
      </c>
      <c r="B1465" t="s">
        <v>79</v>
      </c>
      <c r="C1465" t="s">
        <v>576</v>
      </c>
      <c r="D1465" t="s">
        <v>81</v>
      </c>
      <c r="E1465" s="2" t="str">
        <f>HYPERLINK("capsilon://?command=openfolder&amp;siteaddress=FAM.docvelocity-na8.net&amp;folderid=FXDC0CEFC5-67DF-85ED-52B0-FC31D16F403A","FX2101988")</f>
        <v>FX2101988</v>
      </c>
      <c r="F1465" t="s">
        <v>19</v>
      </c>
      <c r="G1465" t="s">
        <v>19</v>
      </c>
      <c r="H1465" t="s">
        <v>82</v>
      </c>
      <c r="I1465" t="s">
        <v>3645</v>
      </c>
      <c r="J1465">
        <v>121</v>
      </c>
      <c r="K1465" t="s">
        <v>84</v>
      </c>
      <c r="L1465" t="s">
        <v>85</v>
      </c>
      <c r="M1465" t="s">
        <v>86</v>
      </c>
      <c r="N1465">
        <v>3</v>
      </c>
      <c r="O1465" s="1">
        <v>44211.595555555556</v>
      </c>
      <c r="P1465" s="1">
        <v>44211.637337962966</v>
      </c>
      <c r="Q1465">
        <v>1192</v>
      </c>
      <c r="R1465">
        <v>2418</v>
      </c>
      <c r="S1465" t="b">
        <v>0</v>
      </c>
      <c r="T1465" t="s">
        <v>87</v>
      </c>
      <c r="U1465" t="b">
        <v>0</v>
      </c>
      <c r="V1465" t="s">
        <v>259</v>
      </c>
      <c r="W1465" s="1">
        <v>44211.607002314813</v>
      </c>
      <c r="X1465">
        <v>896</v>
      </c>
      <c r="Y1465">
        <v>133</v>
      </c>
      <c r="Z1465">
        <v>0</v>
      </c>
      <c r="AA1465">
        <v>133</v>
      </c>
      <c r="AB1465">
        <v>0</v>
      </c>
      <c r="AC1465">
        <v>48</v>
      </c>
      <c r="AD1465">
        <v>-12</v>
      </c>
      <c r="AE1465">
        <v>0</v>
      </c>
      <c r="AF1465">
        <v>0</v>
      </c>
      <c r="AG1465">
        <v>0</v>
      </c>
      <c r="AH1465" t="s">
        <v>132</v>
      </c>
      <c r="AI1465" s="1">
        <v>44211.626712962963</v>
      </c>
      <c r="AJ1465">
        <v>228</v>
      </c>
      <c r="AK1465">
        <v>4</v>
      </c>
      <c r="AL1465">
        <v>0</v>
      </c>
      <c r="AM1465">
        <v>4</v>
      </c>
      <c r="AN1465">
        <v>0</v>
      </c>
      <c r="AO1465">
        <v>3</v>
      </c>
      <c r="AP1465">
        <v>-16</v>
      </c>
      <c r="AQ1465">
        <v>0</v>
      </c>
      <c r="AR1465">
        <v>0</v>
      </c>
      <c r="AS1465">
        <v>0</v>
      </c>
      <c r="AT1465" t="s">
        <v>90</v>
      </c>
      <c r="AU1465" s="1">
        <v>44211.637337962966</v>
      </c>
      <c r="AV1465">
        <v>508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-16</v>
      </c>
      <c r="BC1465">
        <v>0</v>
      </c>
      <c r="BD1465">
        <v>0</v>
      </c>
      <c r="BE1465">
        <v>0</v>
      </c>
    </row>
    <row r="1466" spans="1:57" x14ac:dyDescent="0.45">
      <c r="A1466" t="s">
        <v>3646</v>
      </c>
      <c r="B1466" t="s">
        <v>79</v>
      </c>
      <c r="C1466" t="s">
        <v>358</v>
      </c>
      <c r="D1466" t="s">
        <v>81</v>
      </c>
      <c r="E1466" s="2" t="str">
        <f>HYPERLINK("capsilon://?command=openfolder&amp;siteaddress=FAM.docvelocity-na8.net&amp;folderid=FX7015030B-92AD-1FD5-ECEA-50796840F6C0","FX201010020")</f>
        <v>FX201010020</v>
      </c>
      <c r="F1466" t="s">
        <v>19</v>
      </c>
      <c r="G1466" t="s">
        <v>19</v>
      </c>
      <c r="H1466" t="s">
        <v>82</v>
      </c>
      <c r="I1466" t="s">
        <v>3647</v>
      </c>
      <c r="J1466">
        <v>74</v>
      </c>
      <c r="K1466" t="s">
        <v>84</v>
      </c>
      <c r="L1466" t="s">
        <v>85</v>
      </c>
      <c r="M1466" t="s">
        <v>86</v>
      </c>
      <c r="N1466">
        <v>3</v>
      </c>
      <c r="O1466" s="1">
        <v>44211.599652777775</v>
      </c>
      <c r="P1466" s="1">
        <v>44211.615752314814</v>
      </c>
      <c r="Q1466">
        <v>515</v>
      </c>
      <c r="R1466">
        <v>876</v>
      </c>
      <c r="S1466" t="b">
        <v>0</v>
      </c>
      <c r="T1466" t="s">
        <v>87</v>
      </c>
      <c r="U1466" t="b">
        <v>0</v>
      </c>
      <c r="V1466" t="s">
        <v>171</v>
      </c>
      <c r="W1466" s="1">
        <v>44211.608495370368</v>
      </c>
      <c r="X1466">
        <v>736</v>
      </c>
      <c r="Y1466">
        <v>62</v>
      </c>
      <c r="Z1466">
        <v>0</v>
      </c>
      <c r="AA1466">
        <v>62</v>
      </c>
      <c r="AB1466">
        <v>0</v>
      </c>
      <c r="AC1466">
        <v>15</v>
      </c>
      <c r="AD1466">
        <v>12</v>
      </c>
      <c r="AE1466">
        <v>0</v>
      </c>
      <c r="AF1466">
        <v>0</v>
      </c>
      <c r="AG1466">
        <v>0</v>
      </c>
      <c r="AH1466" t="s">
        <v>132</v>
      </c>
      <c r="AI1466" s="1">
        <v>44211.612118055556</v>
      </c>
      <c r="AJ1466">
        <v>99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12</v>
      </c>
      <c r="AQ1466">
        <v>0</v>
      </c>
      <c r="AR1466">
        <v>0</v>
      </c>
      <c r="AS1466">
        <v>0</v>
      </c>
      <c r="AT1466" t="s">
        <v>90</v>
      </c>
      <c r="AU1466" s="1">
        <v>44211.615752314814</v>
      </c>
      <c r="AV1466">
        <v>41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12</v>
      </c>
      <c r="BC1466">
        <v>0</v>
      </c>
      <c r="BD1466">
        <v>0</v>
      </c>
      <c r="BE1466">
        <v>0</v>
      </c>
    </row>
    <row r="1467" spans="1:57" x14ac:dyDescent="0.45">
      <c r="A1467" t="s">
        <v>3648</v>
      </c>
      <c r="B1467" t="s">
        <v>79</v>
      </c>
      <c r="C1467" t="s">
        <v>358</v>
      </c>
      <c r="D1467" t="s">
        <v>81</v>
      </c>
      <c r="E1467" s="2" t="str">
        <f>HYPERLINK("capsilon://?command=openfolder&amp;siteaddress=FAM.docvelocity-na8.net&amp;folderid=FX7015030B-92AD-1FD5-ECEA-50796840F6C0","FX201010020")</f>
        <v>FX201010020</v>
      </c>
      <c r="F1467" t="s">
        <v>19</v>
      </c>
      <c r="G1467" t="s">
        <v>19</v>
      </c>
      <c r="H1467" t="s">
        <v>82</v>
      </c>
      <c r="I1467" t="s">
        <v>3649</v>
      </c>
      <c r="J1467">
        <v>104</v>
      </c>
      <c r="K1467" t="s">
        <v>84</v>
      </c>
      <c r="L1467" t="s">
        <v>85</v>
      </c>
      <c r="M1467" t="s">
        <v>86</v>
      </c>
      <c r="N1467">
        <v>3</v>
      </c>
      <c r="O1467" s="1">
        <v>44211.600011574075</v>
      </c>
      <c r="P1467" s="1">
        <v>44211.639224537037</v>
      </c>
      <c r="Q1467">
        <v>2011</v>
      </c>
      <c r="R1467">
        <v>1377</v>
      </c>
      <c r="S1467" t="b">
        <v>0</v>
      </c>
      <c r="T1467" t="s">
        <v>87</v>
      </c>
      <c r="U1467" t="b">
        <v>0</v>
      </c>
      <c r="V1467" t="s">
        <v>168</v>
      </c>
      <c r="W1467" s="1">
        <v>44211.613425925927</v>
      </c>
      <c r="X1467">
        <v>1089</v>
      </c>
      <c r="Y1467">
        <v>92</v>
      </c>
      <c r="Z1467">
        <v>0</v>
      </c>
      <c r="AA1467">
        <v>92</v>
      </c>
      <c r="AB1467">
        <v>0</v>
      </c>
      <c r="AC1467">
        <v>37</v>
      </c>
      <c r="AD1467">
        <v>12</v>
      </c>
      <c r="AE1467">
        <v>0</v>
      </c>
      <c r="AF1467">
        <v>0</v>
      </c>
      <c r="AG1467">
        <v>0</v>
      </c>
      <c r="AH1467" t="s">
        <v>132</v>
      </c>
      <c r="AI1467" s="1">
        <v>44211.628159722219</v>
      </c>
      <c r="AJ1467">
        <v>125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12</v>
      </c>
      <c r="AQ1467">
        <v>0</v>
      </c>
      <c r="AR1467">
        <v>0</v>
      </c>
      <c r="AS1467">
        <v>0</v>
      </c>
      <c r="AT1467" t="s">
        <v>90</v>
      </c>
      <c r="AU1467" s="1">
        <v>44211.639224537037</v>
      </c>
      <c r="AV1467">
        <v>163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12</v>
      </c>
      <c r="BC1467">
        <v>0</v>
      </c>
      <c r="BD1467">
        <v>0</v>
      </c>
      <c r="BE1467">
        <v>0</v>
      </c>
    </row>
    <row r="1468" spans="1:57" hidden="1" x14ac:dyDescent="0.45">
      <c r="A1468" t="s">
        <v>3650</v>
      </c>
      <c r="B1468" t="s">
        <v>79</v>
      </c>
      <c r="C1468" t="s">
        <v>3651</v>
      </c>
      <c r="D1468" t="s">
        <v>81</v>
      </c>
      <c r="E1468" s="2" t="str">
        <f>HYPERLINK("capsilon://?command=openfolder&amp;siteaddress=FAM.docvelocity-na8.net&amp;folderid=FXFF2EBD16-41F0-E458-C58D-1BE11693EC40","FX201223208")</f>
        <v>FX201223208</v>
      </c>
      <c r="F1468" t="s">
        <v>19</v>
      </c>
      <c r="G1468" t="s">
        <v>19</v>
      </c>
      <c r="H1468" t="s">
        <v>82</v>
      </c>
      <c r="I1468" t="s">
        <v>3652</v>
      </c>
      <c r="J1468">
        <v>66</v>
      </c>
      <c r="K1468" t="s">
        <v>84</v>
      </c>
      <c r="L1468" t="s">
        <v>85</v>
      </c>
      <c r="M1468" t="s">
        <v>86</v>
      </c>
      <c r="N1468">
        <v>1</v>
      </c>
      <c r="O1468" s="1">
        <v>44211.60528935185</v>
      </c>
      <c r="P1468" s="1">
        <v>44211.608923611115</v>
      </c>
      <c r="Q1468">
        <v>125</v>
      </c>
      <c r="R1468">
        <v>189</v>
      </c>
      <c r="S1468" t="b">
        <v>0</v>
      </c>
      <c r="T1468" t="s">
        <v>87</v>
      </c>
      <c r="U1468" t="b">
        <v>0</v>
      </c>
      <c r="V1468" t="s">
        <v>259</v>
      </c>
      <c r="W1468" s="1">
        <v>44211.608923611115</v>
      </c>
      <c r="X1468">
        <v>166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66</v>
      </c>
      <c r="AE1468">
        <v>52</v>
      </c>
      <c r="AF1468">
        <v>0</v>
      </c>
      <c r="AG1468">
        <v>1</v>
      </c>
      <c r="AH1468" t="s">
        <v>87</v>
      </c>
      <c r="AI1468" t="s">
        <v>87</v>
      </c>
      <c r="AJ1468" t="s">
        <v>87</v>
      </c>
      <c r="AK1468" t="s">
        <v>87</v>
      </c>
      <c r="AL1468" t="s">
        <v>87</v>
      </c>
      <c r="AM1468" t="s">
        <v>87</v>
      </c>
      <c r="AN1468" t="s">
        <v>87</v>
      </c>
      <c r="AO1468" t="s">
        <v>87</v>
      </c>
      <c r="AP1468" t="s">
        <v>87</v>
      </c>
      <c r="AQ1468" t="s">
        <v>87</v>
      </c>
      <c r="AR1468" t="s">
        <v>87</v>
      </c>
      <c r="AS1468" t="s">
        <v>87</v>
      </c>
      <c r="AT1468" t="s">
        <v>87</v>
      </c>
      <c r="AU1468" t="s">
        <v>87</v>
      </c>
      <c r="AV1468" t="s">
        <v>87</v>
      </c>
      <c r="AW1468" t="s">
        <v>87</v>
      </c>
      <c r="AX1468" t="s">
        <v>87</v>
      </c>
      <c r="AY1468" t="s">
        <v>87</v>
      </c>
      <c r="AZ1468" t="s">
        <v>87</v>
      </c>
      <c r="BA1468" t="s">
        <v>87</v>
      </c>
      <c r="BB1468" t="s">
        <v>87</v>
      </c>
      <c r="BC1468" t="s">
        <v>87</v>
      </c>
      <c r="BD1468" t="s">
        <v>87</v>
      </c>
      <c r="BE1468" t="s">
        <v>87</v>
      </c>
    </row>
    <row r="1469" spans="1:57" x14ac:dyDescent="0.45">
      <c r="A1469" t="s">
        <v>3653</v>
      </c>
      <c r="B1469" t="s">
        <v>79</v>
      </c>
      <c r="C1469" t="s">
        <v>3654</v>
      </c>
      <c r="D1469" t="s">
        <v>81</v>
      </c>
      <c r="E1469" s="2" t="str">
        <f>HYPERLINK("capsilon://?command=openfolder&amp;siteaddress=FAM.docvelocity-na8.net&amp;folderid=FX80F961AF-BBBF-7F45-FE84-AABB2897F0B3","FX21015747")</f>
        <v>FX21015747</v>
      </c>
      <c r="F1469" t="s">
        <v>19</v>
      </c>
      <c r="G1469" t="s">
        <v>19</v>
      </c>
      <c r="H1469" t="s">
        <v>82</v>
      </c>
      <c r="I1469" t="s">
        <v>3655</v>
      </c>
      <c r="J1469">
        <v>246</v>
      </c>
      <c r="K1469" t="s">
        <v>84</v>
      </c>
      <c r="L1469" t="s">
        <v>85</v>
      </c>
      <c r="M1469" t="s">
        <v>86</v>
      </c>
      <c r="N1469">
        <v>3</v>
      </c>
      <c r="O1469" s="1">
        <v>44211.607245370367</v>
      </c>
      <c r="P1469" s="1">
        <v>44211.684305555558</v>
      </c>
      <c r="Q1469">
        <v>2254</v>
      </c>
      <c r="R1469">
        <v>4404</v>
      </c>
      <c r="S1469" t="b">
        <v>0</v>
      </c>
      <c r="T1469" t="s">
        <v>87</v>
      </c>
      <c r="U1469" t="b">
        <v>0</v>
      </c>
      <c r="V1469" t="s">
        <v>259</v>
      </c>
      <c r="W1469" s="1">
        <v>44211.653796296298</v>
      </c>
      <c r="X1469">
        <v>3877</v>
      </c>
      <c r="Y1469">
        <v>250</v>
      </c>
      <c r="Z1469">
        <v>0</v>
      </c>
      <c r="AA1469">
        <v>250</v>
      </c>
      <c r="AB1469">
        <v>37</v>
      </c>
      <c r="AC1469">
        <v>158</v>
      </c>
      <c r="AD1469">
        <v>-4</v>
      </c>
      <c r="AE1469">
        <v>0</v>
      </c>
      <c r="AF1469">
        <v>0</v>
      </c>
      <c r="AG1469">
        <v>0</v>
      </c>
      <c r="AH1469" t="s">
        <v>132</v>
      </c>
      <c r="AI1469" s="1">
        <v>44211.660798611112</v>
      </c>
      <c r="AJ1469">
        <v>411</v>
      </c>
      <c r="AK1469">
        <v>4</v>
      </c>
      <c r="AL1469">
        <v>0</v>
      </c>
      <c r="AM1469">
        <v>4</v>
      </c>
      <c r="AN1469">
        <v>37</v>
      </c>
      <c r="AO1469">
        <v>3</v>
      </c>
      <c r="AP1469">
        <v>-8</v>
      </c>
      <c r="AQ1469">
        <v>0</v>
      </c>
      <c r="AR1469">
        <v>0</v>
      </c>
      <c r="AS1469">
        <v>0</v>
      </c>
      <c r="AT1469" t="s">
        <v>90</v>
      </c>
      <c r="AU1469" s="1">
        <v>44211.684305555558</v>
      </c>
      <c r="AV1469">
        <v>105</v>
      </c>
      <c r="AW1469">
        <v>2</v>
      </c>
      <c r="AX1469">
        <v>0</v>
      </c>
      <c r="AY1469">
        <v>2</v>
      </c>
      <c r="AZ1469">
        <v>37</v>
      </c>
      <c r="BA1469">
        <v>2</v>
      </c>
      <c r="BB1469">
        <v>-10</v>
      </c>
      <c r="BC1469">
        <v>0</v>
      </c>
      <c r="BD1469">
        <v>0</v>
      </c>
      <c r="BE1469">
        <v>0</v>
      </c>
    </row>
    <row r="1470" spans="1:57" x14ac:dyDescent="0.45">
      <c r="A1470" t="s">
        <v>3656</v>
      </c>
      <c r="B1470" t="s">
        <v>79</v>
      </c>
      <c r="C1470" t="s">
        <v>3651</v>
      </c>
      <c r="D1470" t="s">
        <v>81</v>
      </c>
      <c r="E1470" s="2" t="str">
        <f>HYPERLINK("capsilon://?command=openfolder&amp;siteaddress=FAM.docvelocity-na8.net&amp;folderid=FXFF2EBD16-41F0-E458-C58D-1BE11693EC40","FX201223208")</f>
        <v>FX201223208</v>
      </c>
      <c r="F1470" t="s">
        <v>19</v>
      </c>
      <c r="G1470" t="s">
        <v>19</v>
      </c>
      <c r="H1470" t="s">
        <v>82</v>
      </c>
      <c r="I1470" t="s">
        <v>3652</v>
      </c>
      <c r="J1470">
        <v>38</v>
      </c>
      <c r="K1470" t="s">
        <v>84</v>
      </c>
      <c r="L1470" t="s">
        <v>85</v>
      </c>
      <c r="M1470" t="s">
        <v>86</v>
      </c>
      <c r="N1470">
        <v>3</v>
      </c>
      <c r="O1470" s="1">
        <v>44211.609212962961</v>
      </c>
      <c r="P1470" s="1">
        <v>44211.626921296294</v>
      </c>
      <c r="Q1470">
        <v>641</v>
      </c>
      <c r="R1470">
        <v>889</v>
      </c>
      <c r="S1470" t="b">
        <v>0</v>
      </c>
      <c r="T1470" t="s">
        <v>87</v>
      </c>
      <c r="U1470" t="b">
        <v>1</v>
      </c>
      <c r="V1470" t="s">
        <v>343</v>
      </c>
      <c r="W1470" s="1">
        <v>44211.620115740741</v>
      </c>
      <c r="X1470">
        <v>809</v>
      </c>
      <c r="Y1470">
        <v>37</v>
      </c>
      <c r="Z1470">
        <v>0</v>
      </c>
      <c r="AA1470">
        <v>37</v>
      </c>
      <c r="AB1470">
        <v>0</v>
      </c>
      <c r="AC1470">
        <v>17</v>
      </c>
      <c r="AD1470">
        <v>1</v>
      </c>
      <c r="AE1470">
        <v>0</v>
      </c>
      <c r="AF1470">
        <v>0</v>
      </c>
      <c r="AG1470">
        <v>0</v>
      </c>
      <c r="AH1470" t="s">
        <v>132</v>
      </c>
      <c r="AI1470" s="1">
        <v>44211.624062499999</v>
      </c>
      <c r="AJ1470">
        <v>73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 t="s">
        <v>90</v>
      </c>
      <c r="AU1470" s="1">
        <v>44211.626921296294</v>
      </c>
      <c r="AV1470">
        <v>7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0</v>
      </c>
    </row>
    <row r="1471" spans="1:57" x14ac:dyDescent="0.45">
      <c r="A1471" t="s">
        <v>3657</v>
      </c>
      <c r="B1471" t="s">
        <v>79</v>
      </c>
      <c r="C1471" t="s">
        <v>3658</v>
      </c>
      <c r="D1471" t="s">
        <v>81</v>
      </c>
      <c r="E1471" s="2" t="str">
        <f>HYPERLINK("capsilon://?command=openfolder&amp;siteaddress=FAM.docvelocity-na8.net&amp;folderid=FX3575AAC5-31B4-989D-3429-17E7C5853498","FX21019121")</f>
        <v>FX21019121</v>
      </c>
      <c r="F1471" t="s">
        <v>19</v>
      </c>
      <c r="G1471" t="s">
        <v>19</v>
      </c>
      <c r="H1471" t="s">
        <v>82</v>
      </c>
      <c r="I1471" t="s">
        <v>3659</v>
      </c>
      <c r="J1471">
        <v>38</v>
      </c>
      <c r="K1471" t="s">
        <v>84</v>
      </c>
      <c r="L1471" t="s">
        <v>85</v>
      </c>
      <c r="M1471" t="s">
        <v>86</v>
      </c>
      <c r="N1471">
        <v>3</v>
      </c>
      <c r="O1471" s="1">
        <v>44211.611342592594</v>
      </c>
      <c r="P1471" s="1">
        <v>44211.639282407406</v>
      </c>
      <c r="Q1471">
        <v>2002</v>
      </c>
      <c r="R1471">
        <v>412</v>
      </c>
      <c r="S1471" t="b">
        <v>0</v>
      </c>
      <c r="T1471" t="s">
        <v>87</v>
      </c>
      <c r="U1471" t="b">
        <v>0</v>
      </c>
      <c r="V1471" t="s">
        <v>242</v>
      </c>
      <c r="W1471" s="1">
        <v>44211.615752314814</v>
      </c>
      <c r="X1471">
        <v>296</v>
      </c>
      <c r="Y1471">
        <v>37</v>
      </c>
      <c r="Z1471">
        <v>0</v>
      </c>
      <c r="AA1471">
        <v>37</v>
      </c>
      <c r="AB1471">
        <v>0</v>
      </c>
      <c r="AC1471">
        <v>12</v>
      </c>
      <c r="AD1471">
        <v>1</v>
      </c>
      <c r="AE1471">
        <v>0</v>
      </c>
      <c r="AF1471">
        <v>0</v>
      </c>
      <c r="AG1471">
        <v>0</v>
      </c>
      <c r="AH1471" t="s">
        <v>128</v>
      </c>
      <c r="AI1471" s="1">
        <v>44211.628217592595</v>
      </c>
      <c r="AJ1471">
        <v>112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 t="s">
        <v>90</v>
      </c>
      <c r="AU1471" s="1">
        <v>44211.639282407406</v>
      </c>
      <c r="AV1471">
        <v>4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</row>
    <row r="1472" spans="1:57" x14ac:dyDescent="0.45">
      <c r="A1472" t="s">
        <v>3660</v>
      </c>
      <c r="B1472" t="s">
        <v>79</v>
      </c>
      <c r="C1472" t="s">
        <v>580</v>
      </c>
      <c r="D1472" t="s">
        <v>81</v>
      </c>
      <c r="E1472" s="2" t="str">
        <f>HYPERLINK("capsilon://?command=openfolder&amp;siteaddress=FAM.docvelocity-na8.net&amp;folderid=FX69C67FA3-5CA8-9D3B-2997-6FEAC1D5E5BB","FX201228936")</f>
        <v>FX201228936</v>
      </c>
      <c r="F1472" t="s">
        <v>19</v>
      </c>
      <c r="G1472" t="s">
        <v>19</v>
      </c>
      <c r="H1472" t="s">
        <v>82</v>
      </c>
      <c r="I1472" t="s">
        <v>3661</v>
      </c>
      <c r="J1472">
        <v>43</v>
      </c>
      <c r="K1472" t="s">
        <v>84</v>
      </c>
      <c r="L1472" t="s">
        <v>85</v>
      </c>
      <c r="M1472" t="s">
        <v>86</v>
      </c>
      <c r="N1472">
        <v>3</v>
      </c>
      <c r="O1472" s="1">
        <v>44211.614479166667</v>
      </c>
      <c r="P1472" s="1">
        <v>44211.639594907407</v>
      </c>
      <c r="Q1472">
        <v>1679</v>
      </c>
      <c r="R1472">
        <v>491</v>
      </c>
      <c r="S1472" t="b">
        <v>0</v>
      </c>
      <c r="T1472" t="s">
        <v>87</v>
      </c>
      <c r="U1472" t="b">
        <v>0</v>
      </c>
      <c r="V1472" t="s">
        <v>255</v>
      </c>
      <c r="W1472" s="1">
        <v>44211.618622685186</v>
      </c>
      <c r="X1472">
        <v>351</v>
      </c>
      <c r="Y1472">
        <v>54</v>
      </c>
      <c r="Z1472">
        <v>0</v>
      </c>
      <c r="AA1472">
        <v>54</v>
      </c>
      <c r="AB1472">
        <v>0</v>
      </c>
      <c r="AC1472">
        <v>33</v>
      </c>
      <c r="AD1472">
        <v>-11</v>
      </c>
      <c r="AE1472">
        <v>0</v>
      </c>
      <c r="AF1472">
        <v>0</v>
      </c>
      <c r="AG1472">
        <v>0</v>
      </c>
      <c r="AH1472" t="s">
        <v>132</v>
      </c>
      <c r="AI1472" s="1">
        <v>44211.629490740743</v>
      </c>
      <c r="AJ1472">
        <v>114</v>
      </c>
      <c r="AK1472">
        <v>2</v>
      </c>
      <c r="AL1472">
        <v>0</v>
      </c>
      <c r="AM1472">
        <v>2</v>
      </c>
      <c r="AN1472">
        <v>0</v>
      </c>
      <c r="AO1472">
        <v>1</v>
      </c>
      <c r="AP1472">
        <v>-13</v>
      </c>
      <c r="AQ1472">
        <v>0</v>
      </c>
      <c r="AR1472">
        <v>0</v>
      </c>
      <c r="AS1472">
        <v>0</v>
      </c>
      <c r="AT1472" t="s">
        <v>90</v>
      </c>
      <c r="AU1472" s="1">
        <v>44211.639594907407</v>
      </c>
      <c r="AV1472">
        <v>26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-13</v>
      </c>
      <c r="BC1472">
        <v>0</v>
      </c>
      <c r="BD1472">
        <v>0</v>
      </c>
      <c r="BE1472">
        <v>0</v>
      </c>
    </row>
    <row r="1473" spans="1:57" x14ac:dyDescent="0.45">
      <c r="A1473" t="s">
        <v>3662</v>
      </c>
      <c r="B1473" t="s">
        <v>79</v>
      </c>
      <c r="C1473" t="s">
        <v>580</v>
      </c>
      <c r="D1473" t="s">
        <v>81</v>
      </c>
      <c r="E1473" s="2" t="str">
        <f>HYPERLINK("capsilon://?command=openfolder&amp;siteaddress=FAM.docvelocity-na8.net&amp;folderid=FX69C67FA3-5CA8-9D3B-2997-6FEAC1D5E5BB","FX201228936")</f>
        <v>FX201228936</v>
      </c>
      <c r="F1473" t="s">
        <v>19</v>
      </c>
      <c r="G1473" t="s">
        <v>19</v>
      </c>
      <c r="H1473" t="s">
        <v>82</v>
      </c>
      <c r="I1473" t="s">
        <v>3663</v>
      </c>
      <c r="J1473">
        <v>43</v>
      </c>
      <c r="K1473" t="s">
        <v>84</v>
      </c>
      <c r="L1473" t="s">
        <v>85</v>
      </c>
      <c r="M1473" t="s">
        <v>86</v>
      </c>
      <c r="N1473">
        <v>3</v>
      </c>
      <c r="O1473" s="1">
        <v>44211.614999999998</v>
      </c>
      <c r="P1473" s="1">
        <v>44211.639652777776</v>
      </c>
      <c r="Q1473">
        <v>1591</v>
      </c>
      <c r="R1473">
        <v>539</v>
      </c>
      <c r="S1473" t="b">
        <v>0</v>
      </c>
      <c r="T1473" t="s">
        <v>87</v>
      </c>
      <c r="U1473" t="b">
        <v>0</v>
      </c>
      <c r="V1473" t="s">
        <v>242</v>
      </c>
      <c r="W1473" s="1">
        <v>44211.619930555556</v>
      </c>
      <c r="X1473">
        <v>360</v>
      </c>
      <c r="Y1473">
        <v>54</v>
      </c>
      <c r="Z1473">
        <v>0</v>
      </c>
      <c r="AA1473">
        <v>54</v>
      </c>
      <c r="AB1473">
        <v>0</v>
      </c>
      <c r="AC1473">
        <v>32</v>
      </c>
      <c r="AD1473">
        <v>-11</v>
      </c>
      <c r="AE1473">
        <v>0</v>
      </c>
      <c r="AF1473">
        <v>0</v>
      </c>
      <c r="AG1473">
        <v>0</v>
      </c>
      <c r="AH1473" t="s">
        <v>128</v>
      </c>
      <c r="AI1473" s="1">
        <v>44211.629988425928</v>
      </c>
      <c r="AJ1473">
        <v>152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-11</v>
      </c>
      <c r="AQ1473">
        <v>0</v>
      </c>
      <c r="AR1473">
        <v>0</v>
      </c>
      <c r="AS1473">
        <v>0</v>
      </c>
      <c r="AT1473" t="s">
        <v>90</v>
      </c>
      <c r="AU1473" s="1">
        <v>44211.639652777776</v>
      </c>
      <c r="AV1473">
        <v>5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-11</v>
      </c>
      <c r="BC1473">
        <v>0</v>
      </c>
      <c r="BD1473">
        <v>0</v>
      </c>
      <c r="BE1473">
        <v>0</v>
      </c>
    </row>
    <row r="1474" spans="1:57" x14ac:dyDescent="0.45">
      <c r="A1474" t="s">
        <v>3664</v>
      </c>
      <c r="B1474" t="s">
        <v>79</v>
      </c>
      <c r="C1474" t="s">
        <v>3665</v>
      </c>
      <c r="D1474" t="s">
        <v>81</v>
      </c>
      <c r="E1474" s="2" t="str">
        <f>HYPERLINK("capsilon://?command=openfolder&amp;siteaddress=FAM.docvelocity-na8.net&amp;folderid=FX4332B593-A168-BC33-33F0-33A8D4426074","FX20125187")</f>
        <v>FX20125187</v>
      </c>
      <c r="F1474" t="s">
        <v>19</v>
      </c>
      <c r="G1474" t="s">
        <v>19</v>
      </c>
      <c r="H1474" t="s">
        <v>82</v>
      </c>
      <c r="I1474" t="s">
        <v>3666</v>
      </c>
      <c r="J1474">
        <v>60</v>
      </c>
      <c r="K1474" t="s">
        <v>84</v>
      </c>
      <c r="L1474" t="s">
        <v>85</v>
      </c>
      <c r="M1474" t="s">
        <v>86</v>
      </c>
      <c r="N1474">
        <v>3</v>
      </c>
      <c r="O1474" s="1">
        <v>44211.616631944446</v>
      </c>
      <c r="P1474" s="1">
        <v>44211.639907407407</v>
      </c>
      <c r="Q1474">
        <v>1626</v>
      </c>
      <c r="R1474">
        <v>385</v>
      </c>
      <c r="S1474" t="b">
        <v>0</v>
      </c>
      <c r="T1474" t="s">
        <v>87</v>
      </c>
      <c r="U1474" t="b">
        <v>0</v>
      </c>
      <c r="V1474" t="s">
        <v>255</v>
      </c>
      <c r="W1474" s="1">
        <v>44211.621817129628</v>
      </c>
      <c r="X1474">
        <v>275</v>
      </c>
      <c r="Y1474">
        <v>47</v>
      </c>
      <c r="Z1474">
        <v>0</v>
      </c>
      <c r="AA1474">
        <v>47</v>
      </c>
      <c r="AB1474">
        <v>0</v>
      </c>
      <c r="AC1474">
        <v>13</v>
      </c>
      <c r="AD1474">
        <v>13</v>
      </c>
      <c r="AE1474">
        <v>0</v>
      </c>
      <c r="AF1474">
        <v>0</v>
      </c>
      <c r="AG1474">
        <v>0</v>
      </c>
      <c r="AH1474" t="s">
        <v>132</v>
      </c>
      <c r="AI1474" s="1">
        <v>44211.630532407406</v>
      </c>
      <c r="AJ1474">
        <v>89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13</v>
      </c>
      <c r="AQ1474">
        <v>0</v>
      </c>
      <c r="AR1474">
        <v>0</v>
      </c>
      <c r="AS1474">
        <v>0</v>
      </c>
      <c r="AT1474" t="s">
        <v>90</v>
      </c>
      <c r="AU1474" s="1">
        <v>44211.639907407407</v>
      </c>
      <c r="AV1474">
        <v>21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13</v>
      </c>
      <c r="BC1474">
        <v>0</v>
      </c>
      <c r="BD1474">
        <v>0</v>
      </c>
      <c r="BE1474">
        <v>0</v>
      </c>
    </row>
    <row r="1475" spans="1:57" x14ac:dyDescent="0.45">
      <c r="A1475" t="s">
        <v>3667</v>
      </c>
      <c r="B1475" t="s">
        <v>79</v>
      </c>
      <c r="C1475" t="s">
        <v>3665</v>
      </c>
      <c r="D1475" t="s">
        <v>81</v>
      </c>
      <c r="E1475" s="2" t="str">
        <f>HYPERLINK("capsilon://?command=openfolder&amp;siteaddress=FAM.docvelocity-na8.net&amp;folderid=FX4332B593-A168-BC33-33F0-33A8D4426074","FX20125187")</f>
        <v>FX20125187</v>
      </c>
      <c r="F1475" t="s">
        <v>19</v>
      </c>
      <c r="G1475" t="s">
        <v>19</v>
      </c>
      <c r="H1475" t="s">
        <v>82</v>
      </c>
      <c r="I1475" t="s">
        <v>3668</v>
      </c>
      <c r="J1475">
        <v>63</v>
      </c>
      <c r="K1475" t="s">
        <v>84</v>
      </c>
      <c r="L1475" t="s">
        <v>85</v>
      </c>
      <c r="M1475" t="s">
        <v>86</v>
      </c>
      <c r="N1475">
        <v>3</v>
      </c>
      <c r="O1475" s="1">
        <v>44211.616909722223</v>
      </c>
      <c r="P1475" s="1">
        <v>44211.639988425923</v>
      </c>
      <c r="Q1475">
        <v>1670</v>
      </c>
      <c r="R1475">
        <v>324</v>
      </c>
      <c r="S1475" t="b">
        <v>0</v>
      </c>
      <c r="T1475" t="s">
        <v>87</v>
      </c>
      <c r="U1475" t="b">
        <v>0</v>
      </c>
      <c r="V1475" t="s">
        <v>242</v>
      </c>
      <c r="W1475" s="1">
        <v>44211.621990740743</v>
      </c>
      <c r="X1475">
        <v>177</v>
      </c>
      <c r="Y1475">
        <v>47</v>
      </c>
      <c r="Z1475">
        <v>0</v>
      </c>
      <c r="AA1475">
        <v>47</v>
      </c>
      <c r="AB1475">
        <v>0</v>
      </c>
      <c r="AC1475">
        <v>6</v>
      </c>
      <c r="AD1475">
        <v>16</v>
      </c>
      <c r="AE1475">
        <v>0</v>
      </c>
      <c r="AF1475">
        <v>0</v>
      </c>
      <c r="AG1475">
        <v>0</v>
      </c>
      <c r="AH1475" t="s">
        <v>128</v>
      </c>
      <c r="AI1475" s="1">
        <v>44211.631620370368</v>
      </c>
      <c r="AJ1475">
        <v>141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16</v>
      </c>
      <c r="AQ1475">
        <v>0</v>
      </c>
      <c r="AR1475">
        <v>0</v>
      </c>
      <c r="AS1475">
        <v>0</v>
      </c>
      <c r="AT1475" t="s">
        <v>90</v>
      </c>
      <c r="AU1475" s="1">
        <v>44211.639988425923</v>
      </c>
      <c r="AV1475">
        <v>6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16</v>
      </c>
      <c r="BC1475">
        <v>0</v>
      </c>
      <c r="BD1475">
        <v>0</v>
      </c>
      <c r="BE1475">
        <v>0</v>
      </c>
    </row>
    <row r="1476" spans="1:57" hidden="1" x14ac:dyDescent="0.45">
      <c r="A1476" t="s">
        <v>3669</v>
      </c>
      <c r="B1476" t="s">
        <v>79</v>
      </c>
      <c r="C1476" t="s">
        <v>212</v>
      </c>
      <c r="D1476" t="s">
        <v>81</v>
      </c>
      <c r="E1476" s="2" t="str">
        <f>HYPERLINK("capsilon://?command=openfolder&amp;siteaddress=FAM.docvelocity-na8.net&amp;folderid=FXAE91522F-3405-6263-3BD8-99AD05BFDCD4","FX201114102")</f>
        <v>FX201114102</v>
      </c>
      <c r="F1476" t="s">
        <v>19</v>
      </c>
      <c r="G1476" t="s">
        <v>19</v>
      </c>
      <c r="H1476" t="s">
        <v>82</v>
      </c>
      <c r="I1476" t="s">
        <v>3670</v>
      </c>
      <c r="J1476">
        <v>66</v>
      </c>
      <c r="K1476" t="s">
        <v>84</v>
      </c>
      <c r="L1476" t="s">
        <v>85</v>
      </c>
      <c r="M1476" t="s">
        <v>86</v>
      </c>
      <c r="N1476">
        <v>3</v>
      </c>
      <c r="O1476" s="1">
        <v>44211.619745370372</v>
      </c>
      <c r="P1476" s="1">
        <v>44211.640023148146</v>
      </c>
      <c r="Q1476">
        <v>1612</v>
      </c>
      <c r="R1476">
        <v>140</v>
      </c>
      <c r="S1476" t="b">
        <v>0</v>
      </c>
      <c r="T1476" t="s">
        <v>87</v>
      </c>
      <c r="U1476" t="b">
        <v>0</v>
      </c>
      <c r="V1476" t="s">
        <v>255</v>
      </c>
      <c r="W1476" s="1">
        <v>44211.622986111113</v>
      </c>
      <c r="X1476">
        <v>100</v>
      </c>
      <c r="Y1476">
        <v>0</v>
      </c>
      <c r="Z1476">
        <v>0</v>
      </c>
      <c r="AA1476">
        <v>0</v>
      </c>
      <c r="AB1476">
        <v>52</v>
      </c>
      <c r="AC1476">
        <v>0</v>
      </c>
      <c r="AD1476">
        <v>66</v>
      </c>
      <c r="AE1476">
        <v>0</v>
      </c>
      <c r="AF1476">
        <v>0</v>
      </c>
      <c r="AG1476">
        <v>0</v>
      </c>
      <c r="AH1476" t="s">
        <v>132</v>
      </c>
      <c r="AI1476" s="1">
        <v>44211.630798611113</v>
      </c>
      <c r="AJ1476">
        <v>22</v>
      </c>
      <c r="AK1476">
        <v>0</v>
      </c>
      <c r="AL1476">
        <v>0</v>
      </c>
      <c r="AM1476">
        <v>0</v>
      </c>
      <c r="AN1476">
        <v>52</v>
      </c>
      <c r="AO1476">
        <v>0</v>
      </c>
      <c r="AP1476">
        <v>66</v>
      </c>
      <c r="AQ1476">
        <v>0</v>
      </c>
      <c r="AR1476">
        <v>0</v>
      </c>
      <c r="AS1476">
        <v>0</v>
      </c>
      <c r="AT1476" t="s">
        <v>90</v>
      </c>
      <c r="AU1476" s="1">
        <v>44211.640023148146</v>
      </c>
      <c r="AV1476">
        <v>2</v>
      </c>
      <c r="AW1476">
        <v>0</v>
      </c>
      <c r="AX1476">
        <v>0</v>
      </c>
      <c r="AY1476">
        <v>0</v>
      </c>
      <c r="AZ1476">
        <v>52</v>
      </c>
      <c r="BA1476">
        <v>0</v>
      </c>
      <c r="BB1476">
        <v>66</v>
      </c>
      <c r="BC1476">
        <v>0</v>
      </c>
      <c r="BD1476">
        <v>0</v>
      </c>
      <c r="BE1476">
        <v>0</v>
      </c>
    </row>
    <row r="1477" spans="1:57" x14ac:dyDescent="0.45">
      <c r="A1477" t="s">
        <v>3671</v>
      </c>
      <c r="B1477" t="s">
        <v>79</v>
      </c>
      <c r="C1477" t="s">
        <v>1194</v>
      </c>
      <c r="D1477" t="s">
        <v>81</v>
      </c>
      <c r="E1477" s="2" t="str">
        <f>HYPERLINK("capsilon://?command=openfolder&amp;siteaddress=FAM.docvelocity-na8.net&amp;folderid=FXC2D4CCB9-B638-8922-C2F2-97DDD7EDBE35","FX2012794")</f>
        <v>FX2012794</v>
      </c>
      <c r="F1477" t="s">
        <v>19</v>
      </c>
      <c r="G1477" t="s">
        <v>19</v>
      </c>
      <c r="H1477" t="s">
        <v>82</v>
      </c>
      <c r="I1477" t="s">
        <v>3672</v>
      </c>
      <c r="J1477">
        <v>37</v>
      </c>
      <c r="K1477" t="s">
        <v>84</v>
      </c>
      <c r="L1477" t="s">
        <v>85</v>
      </c>
      <c r="M1477" t="s">
        <v>86</v>
      </c>
      <c r="N1477">
        <v>3</v>
      </c>
      <c r="O1477" s="1">
        <v>44211.620775462965</v>
      </c>
      <c r="P1477" s="1">
        <v>44211.640763888892</v>
      </c>
      <c r="Q1477">
        <v>1439</v>
      </c>
      <c r="R1477">
        <v>288</v>
      </c>
      <c r="S1477" t="b">
        <v>0</v>
      </c>
      <c r="T1477" t="s">
        <v>87</v>
      </c>
      <c r="U1477" t="b">
        <v>0</v>
      </c>
      <c r="V1477" t="s">
        <v>242</v>
      </c>
      <c r="W1477" s="1">
        <v>44211.62395833333</v>
      </c>
      <c r="X1477">
        <v>169</v>
      </c>
      <c r="Y1477">
        <v>36</v>
      </c>
      <c r="Z1477">
        <v>0</v>
      </c>
      <c r="AA1477">
        <v>36</v>
      </c>
      <c r="AB1477">
        <v>0</v>
      </c>
      <c r="AC1477">
        <v>12</v>
      </c>
      <c r="AD1477">
        <v>1</v>
      </c>
      <c r="AE1477">
        <v>0</v>
      </c>
      <c r="AF1477">
        <v>0</v>
      </c>
      <c r="AG1477">
        <v>0</v>
      </c>
      <c r="AH1477" t="s">
        <v>132</v>
      </c>
      <c r="AI1477" s="1">
        <v>44211.631458333337</v>
      </c>
      <c r="AJ1477">
        <v>56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 t="s">
        <v>90</v>
      </c>
      <c r="AU1477" s="1">
        <v>44211.640763888892</v>
      </c>
      <c r="AV1477">
        <v>63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</row>
    <row r="1478" spans="1:57" x14ac:dyDescent="0.45">
      <c r="A1478" t="s">
        <v>3673</v>
      </c>
      <c r="B1478" t="s">
        <v>79</v>
      </c>
      <c r="C1478" t="s">
        <v>1194</v>
      </c>
      <c r="D1478" t="s">
        <v>81</v>
      </c>
      <c r="E1478" s="2" t="str">
        <f>HYPERLINK("capsilon://?command=openfolder&amp;siteaddress=FAM.docvelocity-na8.net&amp;folderid=FXC2D4CCB9-B638-8922-C2F2-97DDD7EDBE35","FX2012794")</f>
        <v>FX2012794</v>
      </c>
      <c r="F1478" t="s">
        <v>19</v>
      </c>
      <c r="G1478" t="s">
        <v>19</v>
      </c>
      <c r="H1478" t="s">
        <v>82</v>
      </c>
      <c r="I1478" t="s">
        <v>3674</v>
      </c>
      <c r="J1478">
        <v>39</v>
      </c>
      <c r="K1478" t="s">
        <v>84</v>
      </c>
      <c r="L1478" t="s">
        <v>85</v>
      </c>
      <c r="M1478" t="s">
        <v>86</v>
      </c>
      <c r="N1478">
        <v>3</v>
      </c>
      <c r="O1478" s="1">
        <v>44211.62090277778</v>
      </c>
      <c r="P1478" s="1">
        <v>44211.640833333331</v>
      </c>
      <c r="Q1478">
        <v>1465</v>
      </c>
      <c r="R1478">
        <v>257</v>
      </c>
      <c r="S1478" t="b">
        <v>0</v>
      </c>
      <c r="T1478" t="s">
        <v>87</v>
      </c>
      <c r="U1478" t="b">
        <v>0</v>
      </c>
      <c r="V1478" t="s">
        <v>255</v>
      </c>
      <c r="W1478" s="1">
        <v>44211.625231481485</v>
      </c>
      <c r="X1478">
        <v>193</v>
      </c>
      <c r="Y1478">
        <v>41</v>
      </c>
      <c r="Z1478">
        <v>0</v>
      </c>
      <c r="AA1478">
        <v>41</v>
      </c>
      <c r="AB1478">
        <v>0</v>
      </c>
      <c r="AC1478">
        <v>20</v>
      </c>
      <c r="AD1478">
        <v>-2</v>
      </c>
      <c r="AE1478">
        <v>0</v>
      </c>
      <c r="AF1478">
        <v>0</v>
      </c>
      <c r="AG1478">
        <v>0</v>
      </c>
      <c r="AH1478" t="s">
        <v>132</v>
      </c>
      <c r="AI1478" s="1">
        <v>44211.632152777776</v>
      </c>
      <c r="AJ1478">
        <v>59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-2</v>
      </c>
      <c r="AQ1478">
        <v>0</v>
      </c>
      <c r="AR1478">
        <v>0</v>
      </c>
      <c r="AS1478">
        <v>0</v>
      </c>
      <c r="AT1478" t="s">
        <v>90</v>
      </c>
      <c r="AU1478" s="1">
        <v>44211.640833333331</v>
      </c>
      <c r="AV1478">
        <v>5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-2</v>
      </c>
      <c r="BC1478">
        <v>0</v>
      </c>
      <c r="BD1478">
        <v>0</v>
      </c>
      <c r="BE1478">
        <v>0</v>
      </c>
    </row>
    <row r="1479" spans="1:57" hidden="1" x14ac:dyDescent="0.45">
      <c r="A1479" t="s">
        <v>3675</v>
      </c>
      <c r="B1479" t="s">
        <v>79</v>
      </c>
      <c r="C1479" t="s">
        <v>3676</v>
      </c>
      <c r="D1479" t="s">
        <v>81</v>
      </c>
      <c r="E1479" s="2" t="str">
        <f>HYPERLINK("capsilon://?command=openfolder&amp;siteaddress=FAM.docvelocity-na8.net&amp;folderid=FX87918B30-9F4C-0DE5-2746-CA9FBF79A323","FX20125267")</f>
        <v>FX20125267</v>
      </c>
      <c r="F1479" t="s">
        <v>19</v>
      </c>
      <c r="G1479" t="s">
        <v>19</v>
      </c>
      <c r="H1479" t="s">
        <v>82</v>
      </c>
      <c r="I1479" t="s">
        <v>3677</v>
      </c>
      <c r="J1479">
        <v>66</v>
      </c>
      <c r="K1479" t="s">
        <v>84</v>
      </c>
      <c r="L1479" t="s">
        <v>85</v>
      </c>
      <c r="M1479" t="s">
        <v>86</v>
      </c>
      <c r="N1479">
        <v>3</v>
      </c>
      <c r="O1479" s="1">
        <v>44211.623090277775</v>
      </c>
      <c r="P1479" s="1">
        <v>44211.640879629631</v>
      </c>
      <c r="Q1479">
        <v>1361</v>
      </c>
      <c r="R1479">
        <v>176</v>
      </c>
      <c r="S1479" t="b">
        <v>0</v>
      </c>
      <c r="T1479" t="s">
        <v>87</v>
      </c>
      <c r="U1479" t="b">
        <v>0</v>
      </c>
      <c r="V1479" t="s">
        <v>242</v>
      </c>
      <c r="W1479" s="1">
        <v>44211.625532407408</v>
      </c>
      <c r="X1479">
        <v>135</v>
      </c>
      <c r="Y1479">
        <v>0</v>
      </c>
      <c r="Z1479">
        <v>0</v>
      </c>
      <c r="AA1479">
        <v>0</v>
      </c>
      <c r="AB1479">
        <v>52</v>
      </c>
      <c r="AC1479">
        <v>0</v>
      </c>
      <c r="AD1479">
        <v>66</v>
      </c>
      <c r="AE1479">
        <v>0</v>
      </c>
      <c r="AF1479">
        <v>0</v>
      </c>
      <c r="AG1479">
        <v>0</v>
      </c>
      <c r="AH1479" t="s">
        <v>128</v>
      </c>
      <c r="AI1479" s="1">
        <v>44211.632071759261</v>
      </c>
      <c r="AJ1479">
        <v>38</v>
      </c>
      <c r="AK1479">
        <v>0</v>
      </c>
      <c r="AL1479">
        <v>0</v>
      </c>
      <c r="AM1479">
        <v>0</v>
      </c>
      <c r="AN1479">
        <v>52</v>
      </c>
      <c r="AO1479">
        <v>0</v>
      </c>
      <c r="AP1479">
        <v>66</v>
      </c>
      <c r="AQ1479">
        <v>0</v>
      </c>
      <c r="AR1479">
        <v>0</v>
      </c>
      <c r="AS1479">
        <v>0</v>
      </c>
      <c r="AT1479" t="s">
        <v>90</v>
      </c>
      <c r="AU1479" s="1">
        <v>44211.640879629631</v>
      </c>
      <c r="AV1479">
        <v>3</v>
      </c>
      <c r="AW1479">
        <v>0</v>
      </c>
      <c r="AX1479">
        <v>0</v>
      </c>
      <c r="AY1479">
        <v>0</v>
      </c>
      <c r="AZ1479">
        <v>52</v>
      </c>
      <c r="BA1479">
        <v>0</v>
      </c>
      <c r="BB1479">
        <v>66</v>
      </c>
      <c r="BC1479">
        <v>0</v>
      </c>
      <c r="BD1479">
        <v>0</v>
      </c>
      <c r="BE1479">
        <v>0</v>
      </c>
    </row>
    <row r="1480" spans="1:57" x14ac:dyDescent="0.45">
      <c r="A1480" t="s">
        <v>3678</v>
      </c>
      <c r="B1480" t="s">
        <v>79</v>
      </c>
      <c r="C1480" t="s">
        <v>2757</v>
      </c>
      <c r="D1480" t="s">
        <v>81</v>
      </c>
      <c r="E1480" s="2" t="str">
        <f>HYPERLINK("capsilon://?command=openfolder&amp;siteaddress=FAM.docvelocity-na8.net&amp;folderid=FX1E64DCAB-55F9-2156-A733-F203019180AD","FX20126308")</f>
        <v>FX20126308</v>
      </c>
      <c r="F1480" t="s">
        <v>19</v>
      </c>
      <c r="G1480" t="s">
        <v>19</v>
      </c>
      <c r="H1480" t="s">
        <v>82</v>
      </c>
      <c r="I1480" t="s">
        <v>2758</v>
      </c>
      <c r="J1480">
        <v>38</v>
      </c>
      <c r="K1480" t="s">
        <v>84</v>
      </c>
      <c r="L1480" t="s">
        <v>85</v>
      </c>
      <c r="M1480" t="s">
        <v>86</v>
      </c>
      <c r="N1480">
        <v>3</v>
      </c>
      <c r="O1480" s="1">
        <v>44200.766851851855</v>
      </c>
      <c r="P1480" s="1">
        <v>44201.344525462962</v>
      </c>
      <c r="Q1480">
        <v>49684</v>
      </c>
      <c r="R1480">
        <v>227</v>
      </c>
      <c r="S1480" t="b">
        <v>0</v>
      </c>
      <c r="T1480" t="s">
        <v>87</v>
      </c>
      <c r="U1480" t="b">
        <v>1</v>
      </c>
      <c r="V1480" t="s">
        <v>242</v>
      </c>
      <c r="W1480" s="1">
        <v>44200.769444444442</v>
      </c>
      <c r="X1480">
        <v>149</v>
      </c>
      <c r="Y1480">
        <v>37</v>
      </c>
      <c r="Z1480">
        <v>0</v>
      </c>
      <c r="AA1480">
        <v>37</v>
      </c>
      <c r="AB1480">
        <v>0</v>
      </c>
      <c r="AC1480">
        <v>14</v>
      </c>
      <c r="AD1480">
        <v>1</v>
      </c>
      <c r="AE1480">
        <v>0</v>
      </c>
      <c r="AF1480">
        <v>0</v>
      </c>
      <c r="AG1480">
        <v>0</v>
      </c>
      <c r="AH1480" t="s">
        <v>267</v>
      </c>
      <c r="AI1480" s="1">
        <v>44200.776064814818</v>
      </c>
      <c r="AJ1480">
        <v>72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 t="s">
        <v>90</v>
      </c>
      <c r="AU1480" s="1">
        <v>44201.344525462962</v>
      </c>
      <c r="AV1480">
        <v>6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</row>
    <row r="1481" spans="1:57" x14ac:dyDescent="0.45">
      <c r="A1481" t="s">
        <v>3679</v>
      </c>
      <c r="B1481" t="s">
        <v>79</v>
      </c>
      <c r="C1481" t="s">
        <v>3289</v>
      </c>
      <c r="D1481" t="s">
        <v>81</v>
      </c>
      <c r="E1481" s="2" t="str">
        <f>HYPERLINK("capsilon://?command=openfolder&amp;siteaddress=FAM.docvelocity-na8.net&amp;folderid=FX123F0F2A-75F5-BABD-E63F-0BB7DD37BBE1","FX20111665")</f>
        <v>FX20111665</v>
      </c>
      <c r="F1481" t="s">
        <v>19</v>
      </c>
      <c r="G1481" t="s">
        <v>19</v>
      </c>
      <c r="H1481" t="s">
        <v>82</v>
      </c>
      <c r="I1481" t="s">
        <v>3680</v>
      </c>
      <c r="J1481">
        <v>104</v>
      </c>
      <c r="K1481" t="s">
        <v>84</v>
      </c>
      <c r="L1481" t="s">
        <v>85</v>
      </c>
      <c r="M1481" t="s">
        <v>86</v>
      </c>
      <c r="N1481">
        <v>3</v>
      </c>
      <c r="O1481" s="1">
        <v>44211.634212962963</v>
      </c>
      <c r="P1481" s="1">
        <v>44211.650960648149</v>
      </c>
      <c r="Q1481">
        <v>856</v>
      </c>
      <c r="R1481">
        <v>591</v>
      </c>
      <c r="S1481" t="b">
        <v>0</v>
      </c>
      <c r="T1481" t="s">
        <v>87</v>
      </c>
      <c r="U1481" t="b">
        <v>0</v>
      </c>
      <c r="V1481" t="s">
        <v>255</v>
      </c>
      <c r="W1481" s="1">
        <v>44211.638877314814</v>
      </c>
      <c r="X1481">
        <v>386</v>
      </c>
      <c r="Y1481">
        <v>79</v>
      </c>
      <c r="Z1481">
        <v>0</v>
      </c>
      <c r="AA1481">
        <v>79</v>
      </c>
      <c r="AB1481">
        <v>0</v>
      </c>
      <c r="AC1481">
        <v>35</v>
      </c>
      <c r="AD1481">
        <v>25</v>
      </c>
      <c r="AE1481">
        <v>0</v>
      </c>
      <c r="AF1481">
        <v>0</v>
      </c>
      <c r="AG1481">
        <v>0</v>
      </c>
      <c r="AH1481" t="s">
        <v>128</v>
      </c>
      <c r="AI1481" s="1">
        <v>44211.641342592593</v>
      </c>
      <c r="AJ1481">
        <v>189</v>
      </c>
      <c r="AK1481">
        <v>1</v>
      </c>
      <c r="AL1481">
        <v>0</v>
      </c>
      <c r="AM1481">
        <v>1</v>
      </c>
      <c r="AN1481">
        <v>0</v>
      </c>
      <c r="AO1481">
        <v>1</v>
      </c>
      <c r="AP1481">
        <v>24</v>
      </c>
      <c r="AQ1481">
        <v>0</v>
      </c>
      <c r="AR1481">
        <v>0</v>
      </c>
      <c r="AS1481">
        <v>0</v>
      </c>
      <c r="AT1481" t="s">
        <v>90</v>
      </c>
      <c r="AU1481" s="1">
        <v>44211.650960648149</v>
      </c>
      <c r="AV1481">
        <v>16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24</v>
      </c>
      <c r="BC1481">
        <v>0</v>
      </c>
      <c r="BD1481">
        <v>0</v>
      </c>
      <c r="BE1481">
        <v>0</v>
      </c>
    </row>
    <row r="1482" spans="1:57" hidden="1" x14ac:dyDescent="0.45">
      <c r="A1482" t="s">
        <v>3681</v>
      </c>
      <c r="B1482" t="s">
        <v>79</v>
      </c>
      <c r="C1482" t="s">
        <v>3682</v>
      </c>
      <c r="D1482" t="s">
        <v>81</v>
      </c>
      <c r="E1482" s="2" t="str">
        <f>HYPERLINK("capsilon://?command=openfolder&amp;siteaddress=FAM.docvelocity-na8.net&amp;folderid=FXFC96FBBA-BDEC-9F7C-6772-318E713E588C","FX20123139")</f>
        <v>FX20123139</v>
      </c>
      <c r="F1482" t="s">
        <v>19</v>
      </c>
      <c r="G1482" t="s">
        <v>19</v>
      </c>
      <c r="H1482" t="s">
        <v>82</v>
      </c>
      <c r="I1482" t="s">
        <v>3683</v>
      </c>
      <c r="J1482">
        <v>66</v>
      </c>
      <c r="K1482" t="s">
        <v>84</v>
      </c>
      <c r="L1482" t="s">
        <v>85</v>
      </c>
      <c r="M1482" t="s">
        <v>86</v>
      </c>
      <c r="N1482">
        <v>1</v>
      </c>
      <c r="O1482" s="1">
        <v>44211.637337962966</v>
      </c>
      <c r="P1482" s="1">
        <v>44211.638657407406</v>
      </c>
      <c r="Q1482">
        <v>34</v>
      </c>
      <c r="R1482">
        <v>80</v>
      </c>
      <c r="S1482" t="b">
        <v>0</v>
      </c>
      <c r="T1482" t="s">
        <v>87</v>
      </c>
      <c r="U1482" t="b">
        <v>0</v>
      </c>
      <c r="V1482" t="s">
        <v>242</v>
      </c>
      <c r="W1482" s="1">
        <v>44211.638657407406</v>
      </c>
      <c r="X1482">
        <v>64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66</v>
      </c>
      <c r="AE1482">
        <v>52</v>
      </c>
      <c r="AF1482">
        <v>0</v>
      </c>
      <c r="AG1482">
        <v>1</v>
      </c>
      <c r="AH1482" t="s">
        <v>87</v>
      </c>
      <c r="AI1482" t="s">
        <v>87</v>
      </c>
      <c r="AJ1482" t="s">
        <v>87</v>
      </c>
      <c r="AK1482" t="s">
        <v>87</v>
      </c>
      <c r="AL1482" t="s">
        <v>87</v>
      </c>
      <c r="AM1482" t="s">
        <v>87</v>
      </c>
      <c r="AN1482" t="s">
        <v>87</v>
      </c>
      <c r="AO1482" t="s">
        <v>87</v>
      </c>
      <c r="AP1482" t="s">
        <v>87</v>
      </c>
      <c r="AQ1482" t="s">
        <v>87</v>
      </c>
      <c r="AR1482" t="s">
        <v>87</v>
      </c>
      <c r="AS1482" t="s">
        <v>87</v>
      </c>
      <c r="AT1482" t="s">
        <v>87</v>
      </c>
      <c r="AU1482" t="s">
        <v>87</v>
      </c>
      <c r="AV1482" t="s">
        <v>87</v>
      </c>
      <c r="AW1482" t="s">
        <v>87</v>
      </c>
      <c r="AX1482" t="s">
        <v>87</v>
      </c>
      <c r="AY1482" t="s">
        <v>87</v>
      </c>
      <c r="AZ1482" t="s">
        <v>87</v>
      </c>
      <c r="BA1482" t="s">
        <v>87</v>
      </c>
      <c r="BB1482" t="s">
        <v>87</v>
      </c>
      <c r="BC1482" t="s">
        <v>87</v>
      </c>
      <c r="BD1482" t="s">
        <v>87</v>
      </c>
      <c r="BE1482" t="s">
        <v>87</v>
      </c>
    </row>
    <row r="1483" spans="1:57" x14ac:dyDescent="0.45">
      <c r="A1483" t="s">
        <v>3684</v>
      </c>
      <c r="B1483" t="s">
        <v>79</v>
      </c>
      <c r="C1483" t="s">
        <v>3682</v>
      </c>
      <c r="D1483" t="s">
        <v>81</v>
      </c>
      <c r="E1483" s="2" t="str">
        <f>HYPERLINK("capsilon://?command=openfolder&amp;siteaddress=FAM.docvelocity-na8.net&amp;folderid=FXFC96FBBA-BDEC-9F7C-6772-318E713E588C","FX20123139")</f>
        <v>FX20123139</v>
      </c>
      <c r="F1483" t="s">
        <v>19</v>
      </c>
      <c r="G1483" t="s">
        <v>19</v>
      </c>
      <c r="H1483" t="s">
        <v>82</v>
      </c>
      <c r="I1483" t="s">
        <v>3683</v>
      </c>
      <c r="J1483">
        <v>38</v>
      </c>
      <c r="K1483" t="s">
        <v>84</v>
      </c>
      <c r="L1483" t="s">
        <v>85</v>
      </c>
      <c r="M1483" t="s">
        <v>86</v>
      </c>
      <c r="N1483">
        <v>3</v>
      </c>
      <c r="O1483" s="1">
        <v>44211.638923611114</v>
      </c>
      <c r="P1483" s="1">
        <v>44211.650752314818</v>
      </c>
      <c r="Q1483">
        <v>357</v>
      </c>
      <c r="R1483">
        <v>665</v>
      </c>
      <c r="S1483" t="b">
        <v>0</v>
      </c>
      <c r="T1483" t="s">
        <v>87</v>
      </c>
      <c r="U1483" t="b">
        <v>1</v>
      </c>
      <c r="V1483" t="s">
        <v>242</v>
      </c>
      <c r="W1483" s="1">
        <v>44211.64508101852</v>
      </c>
      <c r="X1483">
        <v>529</v>
      </c>
      <c r="Y1483">
        <v>37</v>
      </c>
      <c r="Z1483">
        <v>0</v>
      </c>
      <c r="AA1483">
        <v>37</v>
      </c>
      <c r="AB1483">
        <v>0</v>
      </c>
      <c r="AC1483">
        <v>34</v>
      </c>
      <c r="AD1483">
        <v>1</v>
      </c>
      <c r="AE1483">
        <v>0</v>
      </c>
      <c r="AF1483">
        <v>0</v>
      </c>
      <c r="AG1483">
        <v>0</v>
      </c>
      <c r="AH1483" t="s">
        <v>128</v>
      </c>
      <c r="AI1483" s="1">
        <v>44211.646724537037</v>
      </c>
      <c r="AJ1483">
        <v>127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 t="s">
        <v>90</v>
      </c>
      <c r="AU1483" s="1">
        <v>44211.650752314818</v>
      </c>
      <c r="AV1483">
        <v>9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0</v>
      </c>
    </row>
    <row r="1484" spans="1:57" x14ac:dyDescent="0.45">
      <c r="A1484" t="s">
        <v>3685</v>
      </c>
      <c r="B1484" t="s">
        <v>79</v>
      </c>
      <c r="C1484" t="s">
        <v>3686</v>
      </c>
      <c r="D1484" t="s">
        <v>81</v>
      </c>
      <c r="E1484" s="2" t="str">
        <f>HYPERLINK("capsilon://?command=openfolder&amp;siteaddress=FAM.docvelocity-na8.net&amp;folderid=FX77279E3E-AE0C-2184-4ECC-68B16AEF1219","FX21015001")</f>
        <v>FX21015001</v>
      </c>
      <c r="F1484" t="s">
        <v>19</v>
      </c>
      <c r="G1484" t="s">
        <v>19</v>
      </c>
      <c r="H1484" t="s">
        <v>82</v>
      </c>
      <c r="I1484" t="s">
        <v>3687</v>
      </c>
      <c r="J1484">
        <v>36</v>
      </c>
      <c r="K1484" t="s">
        <v>84</v>
      </c>
      <c r="L1484" t="s">
        <v>85</v>
      </c>
      <c r="M1484" t="s">
        <v>86</v>
      </c>
      <c r="N1484">
        <v>3</v>
      </c>
      <c r="O1484" s="1">
        <v>44211.649317129632</v>
      </c>
      <c r="P1484" s="1">
        <v>44215.333553240744</v>
      </c>
      <c r="Q1484">
        <v>315141</v>
      </c>
      <c r="R1484">
        <v>3177</v>
      </c>
      <c r="S1484" t="b">
        <v>0</v>
      </c>
      <c r="T1484" t="s">
        <v>87</v>
      </c>
      <c r="U1484" t="b">
        <v>0</v>
      </c>
      <c r="V1484" t="s">
        <v>179</v>
      </c>
      <c r="W1484" s="1">
        <v>44211.680324074077</v>
      </c>
      <c r="X1484">
        <v>2678</v>
      </c>
      <c r="Y1484">
        <v>43</v>
      </c>
      <c r="Z1484">
        <v>0</v>
      </c>
      <c r="AA1484">
        <v>43</v>
      </c>
      <c r="AB1484">
        <v>0</v>
      </c>
      <c r="AC1484">
        <v>33</v>
      </c>
      <c r="AD1484">
        <v>-7</v>
      </c>
      <c r="AE1484">
        <v>0</v>
      </c>
      <c r="AF1484">
        <v>0</v>
      </c>
      <c r="AG1484">
        <v>0</v>
      </c>
      <c r="AH1484" t="s">
        <v>132</v>
      </c>
      <c r="AI1484" s="1">
        <v>44211.686655092592</v>
      </c>
      <c r="AJ1484">
        <v>142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-7</v>
      </c>
      <c r="AQ1484">
        <v>0</v>
      </c>
      <c r="AR1484">
        <v>0</v>
      </c>
      <c r="AS1484">
        <v>0</v>
      </c>
      <c r="AT1484" t="s">
        <v>90</v>
      </c>
      <c r="AU1484" s="1">
        <v>44215.333553240744</v>
      </c>
      <c r="AV1484">
        <v>31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-7</v>
      </c>
      <c r="BC1484">
        <v>0</v>
      </c>
      <c r="BD1484">
        <v>0</v>
      </c>
      <c r="BE1484">
        <v>0</v>
      </c>
    </row>
    <row r="1485" spans="1:57" x14ac:dyDescent="0.45">
      <c r="A1485" t="s">
        <v>3688</v>
      </c>
      <c r="B1485" t="s">
        <v>79</v>
      </c>
      <c r="C1485" t="s">
        <v>3689</v>
      </c>
      <c r="D1485" t="s">
        <v>81</v>
      </c>
      <c r="E1485" s="2" t="str">
        <f>HYPERLINK("capsilon://?command=openfolder&amp;siteaddress=FAM.docvelocity-na8.net&amp;folderid=FX395FC9B1-471F-292A-9370-4FA5573F363F","FX21017798")</f>
        <v>FX21017798</v>
      </c>
      <c r="F1485" t="s">
        <v>19</v>
      </c>
      <c r="G1485" t="s">
        <v>19</v>
      </c>
      <c r="H1485" t="s">
        <v>82</v>
      </c>
      <c r="I1485" t="s">
        <v>3690</v>
      </c>
      <c r="J1485">
        <v>38</v>
      </c>
      <c r="K1485" t="s">
        <v>84</v>
      </c>
      <c r="L1485" t="s">
        <v>85</v>
      </c>
      <c r="M1485" t="s">
        <v>86</v>
      </c>
      <c r="N1485">
        <v>3</v>
      </c>
      <c r="O1485" s="1">
        <v>44211.650821759256</v>
      </c>
      <c r="P1485" s="1">
        <v>44215.333680555559</v>
      </c>
      <c r="Q1485">
        <v>317009</v>
      </c>
      <c r="R1485">
        <v>1190</v>
      </c>
      <c r="S1485" t="b">
        <v>0</v>
      </c>
      <c r="T1485" t="s">
        <v>87</v>
      </c>
      <c r="U1485" t="b">
        <v>0</v>
      </c>
      <c r="V1485" t="s">
        <v>171</v>
      </c>
      <c r="W1485" s="1">
        <v>44211.663148148145</v>
      </c>
      <c r="X1485">
        <v>1065</v>
      </c>
      <c r="Y1485">
        <v>37</v>
      </c>
      <c r="Z1485">
        <v>0</v>
      </c>
      <c r="AA1485">
        <v>37</v>
      </c>
      <c r="AB1485">
        <v>0</v>
      </c>
      <c r="AC1485">
        <v>7</v>
      </c>
      <c r="AD1485">
        <v>1</v>
      </c>
      <c r="AE1485">
        <v>0</v>
      </c>
      <c r="AF1485">
        <v>0</v>
      </c>
      <c r="AG1485">
        <v>0</v>
      </c>
      <c r="AH1485" t="s">
        <v>128</v>
      </c>
      <c r="AI1485" s="1">
        <v>44211.686539351853</v>
      </c>
      <c r="AJ1485">
        <v>115</v>
      </c>
      <c r="AK1485">
        <v>1</v>
      </c>
      <c r="AL1485">
        <v>0</v>
      </c>
      <c r="AM1485">
        <v>1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 t="s">
        <v>90</v>
      </c>
      <c r="AU1485" s="1">
        <v>44215.333680555559</v>
      </c>
      <c r="AV1485">
        <v>10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</row>
    <row r="1486" spans="1:57" hidden="1" x14ac:dyDescent="0.45">
      <c r="A1486" t="s">
        <v>3691</v>
      </c>
      <c r="B1486" t="s">
        <v>79</v>
      </c>
      <c r="C1486" t="s">
        <v>714</v>
      </c>
      <c r="D1486" t="s">
        <v>81</v>
      </c>
      <c r="E1486" s="2" t="str">
        <f>HYPERLINK("capsilon://?command=openfolder&amp;siteaddress=FAM.docvelocity-na8.net&amp;folderid=FX9DD83F41-93B3-B80D-879E-295696720A18","FX201221401")</f>
        <v>FX201221401</v>
      </c>
      <c r="F1486" t="s">
        <v>19</v>
      </c>
      <c r="G1486" t="s">
        <v>19</v>
      </c>
      <c r="H1486" t="s">
        <v>82</v>
      </c>
      <c r="I1486" t="s">
        <v>3692</v>
      </c>
      <c r="J1486">
        <v>66</v>
      </c>
      <c r="K1486" t="s">
        <v>84</v>
      </c>
      <c r="L1486" t="s">
        <v>85</v>
      </c>
      <c r="M1486" t="s">
        <v>86</v>
      </c>
      <c r="N1486">
        <v>1</v>
      </c>
      <c r="O1486" s="1">
        <v>44211.65388888889</v>
      </c>
      <c r="P1486" s="1">
        <v>44211.657094907408</v>
      </c>
      <c r="Q1486">
        <v>43</v>
      </c>
      <c r="R1486">
        <v>234</v>
      </c>
      <c r="S1486" t="b">
        <v>0</v>
      </c>
      <c r="T1486" t="s">
        <v>87</v>
      </c>
      <c r="U1486" t="b">
        <v>0</v>
      </c>
      <c r="V1486" t="s">
        <v>343</v>
      </c>
      <c r="W1486" s="1">
        <v>44211.657094907408</v>
      </c>
      <c r="X1486">
        <v>234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66</v>
      </c>
      <c r="AE1486">
        <v>52</v>
      </c>
      <c r="AF1486">
        <v>0</v>
      </c>
      <c r="AG1486">
        <v>1</v>
      </c>
      <c r="AH1486" t="s">
        <v>87</v>
      </c>
      <c r="AI1486" t="s">
        <v>87</v>
      </c>
      <c r="AJ1486" t="s">
        <v>87</v>
      </c>
      <c r="AK1486" t="s">
        <v>87</v>
      </c>
      <c r="AL1486" t="s">
        <v>87</v>
      </c>
      <c r="AM1486" t="s">
        <v>87</v>
      </c>
      <c r="AN1486" t="s">
        <v>87</v>
      </c>
      <c r="AO1486" t="s">
        <v>87</v>
      </c>
      <c r="AP1486" t="s">
        <v>87</v>
      </c>
      <c r="AQ1486" t="s">
        <v>87</v>
      </c>
      <c r="AR1486" t="s">
        <v>87</v>
      </c>
      <c r="AS1486" t="s">
        <v>87</v>
      </c>
      <c r="AT1486" t="s">
        <v>87</v>
      </c>
      <c r="AU1486" t="s">
        <v>87</v>
      </c>
      <c r="AV1486" t="s">
        <v>87</v>
      </c>
      <c r="AW1486" t="s">
        <v>87</v>
      </c>
      <c r="AX1486" t="s">
        <v>87</v>
      </c>
      <c r="AY1486" t="s">
        <v>87</v>
      </c>
      <c r="AZ1486" t="s">
        <v>87</v>
      </c>
      <c r="BA1486" t="s">
        <v>87</v>
      </c>
      <c r="BB1486" t="s">
        <v>87</v>
      </c>
      <c r="BC1486" t="s">
        <v>87</v>
      </c>
      <c r="BD1486" t="s">
        <v>87</v>
      </c>
      <c r="BE1486" t="s">
        <v>87</v>
      </c>
    </row>
    <row r="1487" spans="1:57" x14ac:dyDescent="0.45">
      <c r="A1487" t="s">
        <v>3693</v>
      </c>
      <c r="B1487" t="s">
        <v>79</v>
      </c>
      <c r="C1487" t="s">
        <v>3694</v>
      </c>
      <c r="D1487" t="s">
        <v>81</v>
      </c>
      <c r="E1487" s="2" t="str">
        <f>HYPERLINK("capsilon://?command=openfolder&amp;siteaddress=FAM.docvelocity-na8.net&amp;folderid=FX1B9B07EC-0982-194E-8FC3-DCFD36377131","FX21018355")</f>
        <v>FX21018355</v>
      </c>
      <c r="F1487" t="s">
        <v>19</v>
      </c>
      <c r="G1487" t="s">
        <v>19</v>
      </c>
      <c r="H1487" t="s">
        <v>82</v>
      </c>
      <c r="I1487" t="s">
        <v>3695</v>
      </c>
      <c r="J1487">
        <v>142</v>
      </c>
      <c r="K1487" t="s">
        <v>84</v>
      </c>
      <c r="L1487" t="s">
        <v>85</v>
      </c>
      <c r="M1487" t="s">
        <v>86</v>
      </c>
      <c r="N1487">
        <v>3</v>
      </c>
      <c r="O1487" s="1">
        <v>44211.654351851852</v>
      </c>
      <c r="P1487" s="1">
        <v>44211.688831018517</v>
      </c>
      <c r="Q1487">
        <v>1978</v>
      </c>
      <c r="R1487">
        <v>1001</v>
      </c>
      <c r="S1487" t="b">
        <v>0</v>
      </c>
      <c r="T1487" t="s">
        <v>87</v>
      </c>
      <c r="U1487" t="b">
        <v>0</v>
      </c>
      <c r="V1487" t="s">
        <v>255</v>
      </c>
      <c r="W1487" s="1">
        <v>44211.659884259258</v>
      </c>
      <c r="X1487">
        <v>461</v>
      </c>
      <c r="Y1487">
        <v>105</v>
      </c>
      <c r="Z1487">
        <v>0</v>
      </c>
      <c r="AA1487">
        <v>105</v>
      </c>
      <c r="AB1487">
        <v>0</v>
      </c>
      <c r="AC1487">
        <v>57</v>
      </c>
      <c r="AD1487">
        <v>37</v>
      </c>
      <c r="AE1487">
        <v>0</v>
      </c>
      <c r="AF1487">
        <v>0</v>
      </c>
      <c r="AG1487">
        <v>0</v>
      </c>
      <c r="AH1487" t="s">
        <v>132</v>
      </c>
      <c r="AI1487" s="1">
        <v>44211.662546296298</v>
      </c>
      <c r="AJ1487">
        <v>150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37</v>
      </c>
      <c r="AQ1487">
        <v>0</v>
      </c>
      <c r="AR1487">
        <v>0</v>
      </c>
      <c r="AS1487">
        <v>0</v>
      </c>
      <c r="AT1487" t="s">
        <v>90</v>
      </c>
      <c r="AU1487" s="1">
        <v>44211.688831018517</v>
      </c>
      <c r="AV1487">
        <v>390</v>
      </c>
      <c r="AW1487">
        <v>2</v>
      </c>
      <c r="AX1487">
        <v>0</v>
      </c>
      <c r="AY1487">
        <v>2</v>
      </c>
      <c r="AZ1487">
        <v>0</v>
      </c>
      <c r="BA1487">
        <v>2</v>
      </c>
      <c r="BB1487">
        <v>35</v>
      </c>
      <c r="BC1487">
        <v>0</v>
      </c>
      <c r="BD1487">
        <v>0</v>
      </c>
      <c r="BE1487">
        <v>0</v>
      </c>
    </row>
    <row r="1488" spans="1:57" x14ac:dyDescent="0.45">
      <c r="A1488" t="s">
        <v>3696</v>
      </c>
      <c r="B1488" t="s">
        <v>79</v>
      </c>
      <c r="C1488" t="s">
        <v>714</v>
      </c>
      <c r="D1488" t="s">
        <v>81</v>
      </c>
      <c r="E1488" s="2" t="str">
        <f>HYPERLINK("capsilon://?command=openfolder&amp;siteaddress=FAM.docvelocity-na8.net&amp;folderid=FX9DD83F41-93B3-B80D-879E-295696720A18","FX201221401")</f>
        <v>FX201221401</v>
      </c>
      <c r="F1488" t="s">
        <v>19</v>
      </c>
      <c r="G1488" t="s">
        <v>19</v>
      </c>
      <c r="H1488" t="s">
        <v>82</v>
      </c>
      <c r="I1488" t="s">
        <v>3692</v>
      </c>
      <c r="J1488">
        <v>38</v>
      </c>
      <c r="K1488" t="s">
        <v>84</v>
      </c>
      <c r="L1488" t="s">
        <v>85</v>
      </c>
      <c r="M1488" t="s">
        <v>86</v>
      </c>
      <c r="N1488">
        <v>3</v>
      </c>
      <c r="O1488" s="1">
        <v>44211.657326388886</v>
      </c>
      <c r="P1488" s="1">
        <v>44211.689340277779</v>
      </c>
      <c r="Q1488">
        <v>1536</v>
      </c>
      <c r="R1488">
        <v>1230</v>
      </c>
      <c r="S1488" t="b">
        <v>0</v>
      </c>
      <c r="T1488" t="s">
        <v>87</v>
      </c>
      <c r="U1488" t="b">
        <v>1</v>
      </c>
      <c r="V1488" t="s">
        <v>168</v>
      </c>
      <c r="W1488" s="1">
        <v>44211.66847222222</v>
      </c>
      <c r="X1488">
        <v>963</v>
      </c>
      <c r="Y1488">
        <v>37</v>
      </c>
      <c r="Z1488">
        <v>0</v>
      </c>
      <c r="AA1488">
        <v>37</v>
      </c>
      <c r="AB1488">
        <v>0</v>
      </c>
      <c r="AC1488">
        <v>34</v>
      </c>
      <c r="AD1488">
        <v>1</v>
      </c>
      <c r="AE1488">
        <v>0</v>
      </c>
      <c r="AF1488">
        <v>0</v>
      </c>
      <c r="AG1488">
        <v>0</v>
      </c>
      <c r="AH1488" t="s">
        <v>132</v>
      </c>
      <c r="AI1488" s="1">
        <v>44211.684999999998</v>
      </c>
      <c r="AJ1488">
        <v>263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 t="s">
        <v>90</v>
      </c>
      <c r="AU1488" s="1">
        <v>44211.689340277779</v>
      </c>
      <c r="AV1488">
        <v>4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</row>
    <row r="1489" spans="1:57" x14ac:dyDescent="0.45">
      <c r="A1489" t="s">
        <v>3697</v>
      </c>
      <c r="B1489" t="s">
        <v>79</v>
      </c>
      <c r="C1489" t="s">
        <v>3698</v>
      </c>
      <c r="D1489" t="s">
        <v>81</v>
      </c>
      <c r="E1489" s="2" t="str">
        <f>HYPERLINK("capsilon://?command=openfolder&amp;siteaddress=FAM.docvelocity-na8.net&amp;folderid=FX814665EA-7A90-BBF4-CDC5-47A8A408038C","FX21019645")</f>
        <v>FX21019645</v>
      </c>
      <c r="F1489" t="s">
        <v>19</v>
      </c>
      <c r="G1489" t="s">
        <v>19</v>
      </c>
      <c r="H1489" t="s">
        <v>82</v>
      </c>
      <c r="I1489" t="s">
        <v>3699</v>
      </c>
      <c r="J1489">
        <v>183</v>
      </c>
      <c r="K1489" t="s">
        <v>84</v>
      </c>
      <c r="L1489" t="s">
        <v>85</v>
      </c>
      <c r="M1489" t="s">
        <v>86</v>
      </c>
      <c r="N1489">
        <v>3</v>
      </c>
      <c r="O1489" s="1">
        <v>44211.66033564815</v>
      </c>
      <c r="P1489" s="1">
        <v>44215.334409722222</v>
      </c>
      <c r="Q1489">
        <v>315464</v>
      </c>
      <c r="R1489">
        <v>1976</v>
      </c>
      <c r="S1489" t="b">
        <v>0</v>
      </c>
      <c r="T1489" t="s">
        <v>87</v>
      </c>
      <c r="U1489" t="b">
        <v>0</v>
      </c>
      <c r="V1489" t="s">
        <v>142</v>
      </c>
      <c r="W1489" s="1">
        <v>44211.675567129627</v>
      </c>
      <c r="X1489">
        <v>1190</v>
      </c>
      <c r="Y1489">
        <v>243</v>
      </c>
      <c r="Z1489">
        <v>0</v>
      </c>
      <c r="AA1489">
        <v>243</v>
      </c>
      <c r="AB1489">
        <v>0</v>
      </c>
      <c r="AC1489">
        <v>171</v>
      </c>
      <c r="AD1489">
        <v>-60</v>
      </c>
      <c r="AE1489">
        <v>0</v>
      </c>
      <c r="AF1489">
        <v>0</v>
      </c>
      <c r="AG1489">
        <v>0</v>
      </c>
      <c r="AH1489" t="s">
        <v>128</v>
      </c>
      <c r="AI1489" s="1">
        <v>44211.693576388891</v>
      </c>
      <c r="AJ1489">
        <v>602</v>
      </c>
      <c r="AK1489">
        <v>5</v>
      </c>
      <c r="AL1489">
        <v>0</v>
      </c>
      <c r="AM1489">
        <v>5</v>
      </c>
      <c r="AN1489">
        <v>0</v>
      </c>
      <c r="AO1489">
        <v>5</v>
      </c>
      <c r="AP1489">
        <v>-65</v>
      </c>
      <c r="AQ1489">
        <v>0</v>
      </c>
      <c r="AR1489">
        <v>0</v>
      </c>
      <c r="AS1489">
        <v>0</v>
      </c>
      <c r="AT1489" t="s">
        <v>90</v>
      </c>
      <c r="AU1489" s="1">
        <v>44215.334409722222</v>
      </c>
      <c r="AV1489">
        <v>63</v>
      </c>
      <c r="AW1489">
        <v>3</v>
      </c>
      <c r="AX1489">
        <v>0</v>
      </c>
      <c r="AY1489">
        <v>3</v>
      </c>
      <c r="AZ1489">
        <v>0</v>
      </c>
      <c r="BA1489">
        <v>3</v>
      </c>
      <c r="BB1489">
        <v>-68</v>
      </c>
      <c r="BC1489">
        <v>0</v>
      </c>
      <c r="BD1489">
        <v>0</v>
      </c>
      <c r="BE1489">
        <v>0</v>
      </c>
    </row>
    <row r="1490" spans="1:57" x14ac:dyDescent="0.45">
      <c r="A1490" t="s">
        <v>3700</v>
      </c>
      <c r="B1490" t="s">
        <v>79</v>
      </c>
      <c r="C1490" t="s">
        <v>3701</v>
      </c>
      <c r="D1490" t="s">
        <v>81</v>
      </c>
      <c r="E1490" s="2" t="str">
        <f>HYPERLINK("capsilon://?command=openfolder&amp;siteaddress=FAM.docvelocity-na8.net&amp;folderid=FX62249A75-97A4-8E28-0A41-E08272A7D4B9","FX201224185")</f>
        <v>FX201224185</v>
      </c>
      <c r="F1490" t="s">
        <v>19</v>
      </c>
      <c r="G1490" t="s">
        <v>19</v>
      </c>
      <c r="H1490" t="s">
        <v>82</v>
      </c>
      <c r="I1490" t="s">
        <v>3702</v>
      </c>
      <c r="J1490">
        <v>38</v>
      </c>
      <c r="K1490" t="s">
        <v>84</v>
      </c>
      <c r="L1490" t="s">
        <v>85</v>
      </c>
      <c r="M1490" t="s">
        <v>86</v>
      </c>
      <c r="N1490">
        <v>3</v>
      </c>
      <c r="O1490" s="1">
        <v>44211.666365740741</v>
      </c>
      <c r="P1490" s="1">
        <v>44215.334479166668</v>
      </c>
      <c r="Q1490">
        <v>315886</v>
      </c>
      <c r="R1490">
        <v>1039</v>
      </c>
      <c r="S1490" t="b">
        <v>0</v>
      </c>
      <c r="T1490" t="s">
        <v>87</v>
      </c>
      <c r="U1490" t="b">
        <v>0</v>
      </c>
      <c r="V1490" t="s">
        <v>171</v>
      </c>
      <c r="W1490" s="1">
        <v>44211.677581018521</v>
      </c>
      <c r="X1490">
        <v>968</v>
      </c>
      <c r="Y1490">
        <v>37</v>
      </c>
      <c r="Z1490">
        <v>0</v>
      </c>
      <c r="AA1490">
        <v>37</v>
      </c>
      <c r="AB1490">
        <v>0</v>
      </c>
      <c r="AC1490">
        <v>34</v>
      </c>
      <c r="AD1490">
        <v>1</v>
      </c>
      <c r="AE1490">
        <v>0</v>
      </c>
      <c r="AF1490">
        <v>0</v>
      </c>
      <c r="AG1490">
        <v>0</v>
      </c>
      <c r="AH1490" t="s">
        <v>132</v>
      </c>
      <c r="AI1490" s="1">
        <v>44211.687430555554</v>
      </c>
      <c r="AJ1490">
        <v>66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 t="s">
        <v>90</v>
      </c>
      <c r="AU1490" s="1">
        <v>44215.334479166668</v>
      </c>
      <c r="AV1490">
        <v>5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</row>
    <row r="1491" spans="1:57" x14ac:dyDescent="0.45">
      <c r="A1491" t="s">
        <v>3703</v>
      </c>
      <c r="B1491" t="s">
        <v>79</v>
      </c>
      <c r="C1491" t="s">
        <v>3704</v>
      </c>
      <c r="D1491" t="s">
        <v>81</v>
      </c>
      <c r="E1491" s="2" t="str">
        <f>HYPERLINK("capsilon://?command=openfolder&amp;siteaddress=FAM.docvelocity-na8.net&amp;folderid=FXA9D756E3-F5BE-6BE8-EBE4-D891D382965A","FX21018954")</f>
        <v>FX21018954</v>
      </c>
      <c r="F1491" t="s">
        <v>19</v>
      </c>
      <c r="G1491" t="s">
        <v>19</v>
      </c>
      <c r="H1491" t="s">
        <v>82</v>
      </c>
      <c r="I1491" t="s">
        <v>3705</v>
      </c>
      <c r="J1491">
        <v>257</v>
      </c>
      <c r="K1491" t="s">
        <v>84</v>
      </c>
      <c r="L1491" t="s">
        <v>85</v>
      </c>
      <c r="M1491" t="s">
        <v>86</v>
      </c>
      <c r="N1491">
        <v>3</v>
      </c>
      <c r="O1491" s="1">
        <v>44211.671273148146</v>
      </c>
      <c r="P1491" s="1">
        <v>44215.335474537038</v>
      </c>
      <c r="Q1491">
        <v>315069</v>
      </c>
      <c r="R1491">
        <v>1518</v>
      </c>
      <c r="S1491" t="b">
        <v>0</v>
      </c>
      <c r="T1491" t="s">
        <v>87</v>
      </c>
      <c r="U1491" t="b">
        <v>0</v>
      </c>
      <c r="V1491" t="s">
        <v>160</v>
      </c>
      <c r="W1491" s="1">
        <v>44211.685081018521</v>
      </c>
      <c r="X1491">
        <v>1193</v>
      </c>
      <c r="Y1491">
        <v>197</v>
      </c>
      <c r="Z1491">
        <v>0</v>
      </c>
      <c r="AA1491">
        <v>197</v>
      </c>
      <c r="AB1491">
        <v>0</v>
      </c>
      <c r="AC1491">
        <v>26</v>
      </c>
      <c r="AD1491">
        <v>60</v>
      </c>
      <c r="AE1491">
        <v>0</v>
      </c>
      <c r="AF1491">
        <v>0</v>
      </c>
      <c r="AG1491">
        <v>0</v>
      </c>
      <c r="AH1491" t="s">
        <v>132</v>
      </c>
      <c r="AI1491" s="1">
        <v>44211.690208333333</v>
      </c>
      <c r="AJ1491">
        <v>239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60</v>
      </c>
      <c r="AQ1491">
        <v>0</v>
      </c>
      <c r="AR1491">
        <v>0</v>
      </c>
      <c r="AS1491">
        <v>0</v>
      </c>
      <c r="AT1491" t="s">
        <v>90</v>
      </c>
      <c r="AU1491" s="1">
        <v>44215.335474537038</v>
      </c>
      <c r="AV1491">
        <v>86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60</v>
      </c>
      <c r="BC1491">
        <v>0</v>
      </c>
      <c r="BD1491">
        <v>0</v>
      </c>
      <c r="BE1491">
        <v>0</v>
      </c>
    </row>
    <row r="1492" spans="1:57" x14ac:dyDescent="0.45">
      <c r="A1492" t="s">
        <v>3706</v>
      </c>
      <c r="B1492" t="s">
        <v>79</v>
      </c>
      <c r="C1492" t="s">
        <v>3707</v>
      </c>
      <c r="D1492" t="s">
        <v>81</v>
      </c>
      <c r="E1492" s="2" t="str">
        <f>HYPERLINK("capsilon://?command=openfolder&amp;siteaddress=FAM.docvelocity-na8.net&amp;folderid=FXC325EF76-21A1-A041-67C4-EE6AC5A64FF8","FX21017533")</f>
        <v>FX21017533</v>
      </c>
      <c r="F1492" t="s">
        <v>19</v>
      </c>
      <c r="G1492" t="s">
        <v>19</v>
      </c>
      <c r="H1492" t="s">
        <v>82</v>
      </c>
      <c r="I1492" t="s">
        <v>3708</v>
      </c>
      <c r="J1492">
        <v>363</v>
      </c>
      <c r="K1492" t="s">
        <v>84</v>
      </c>
      <c r="L1492" t="s">
        <v>85</v>
      </c>
      <c r="M1492" t="s">
        <v>86</v>
      </c>
      <c r="N1492">
        <v>3</v>
      </c>
      <c r="O1492" s="1">
        <v>44211.692175925928</v>
      </c>
      <c r="P1492" s="1">
        <v>44215.338807870372</v>
      </c>
      <c r="Q1492">
        <v>309599</v>
      </c>
      <c r="R1492">
        <v>5470</v>
      </c>
      <c r="S1492" t="b">
        <v>0</v>
      </c>
      <c r="T1492" t="s">
        <v>87</v>
      </c>
      <c r="U1492" t="b">
        <v>0</v>
      </c>
      <c r="V1492" t="s">
        <v>160</v>
      </c>
      <c r="W1492" s="1">
        <v>44211.743854166663</v>
      </c>
      <c r="X1492">
        <v>4464</v>
      </c>
      <c r="Y1492">
        <v>297</v>
      </c>
      <c r="Z1492">
        <v>0</v>
      </c>
      <c r="AA1492">
        <v>297</v>
      </c>
      <c r="AB1492">
        <v>37</v>
      </c>
      <c r="AC1492">
        <v>235</v>
      </c>
      <c r="AD1492">
        <v>66</v>
      </c>
      <c r="AE1492">
        <v>0</v>
      </c>
      <c r="AF1492">
        <v>0</v>
      </c>
      <c r="AG1492">
        <v>0</v>
      </c>
      <c r="AH1492" t="s">
        <v>128</v>
      </c>
      <c r="AI1492" s="1">
        <v>44211.752395833333</v>
      </c>
      <c r="AJ1492">
        <v>718</v>
      </c>
      <c r="AK1492">
        <v>0</v>
      </c>
      <c r="AL1492">
        <v>0</v>
      </c>
      <c r="AM1492">
        <v>0</v>
      </c>
      <c r="AN1492">
        <v>37</v>
      </c>
      <c r="AO1492">
        <v>0</v>
      </c>
      <c r="AP1492">
        <v>66</v>
      </c>
      <c r="AQ1492">
        <v>0</v>
      </c>
      <c r="AR1492">
        <v>0</v>
      </c>
      <c r="AS1492">
        <v>0</v>
      </c>
      <c r="AT1492" t="s">
        <v>90</v>
      </c>
      <c r="AU1492" s="1">
        <v>44215.338807870372</v>
      </c>
      <c r="AV1492">
        <v>288</v>
      </c>
      <c r="AW1492">
        <v>3</v>
      </c>
      <c r="AX1492">
        <v>0</v>
      </c>
      <c r="AY1492">
        <v>3</v>
      </c>
      <c r="AZ1492">
        <v>76</v>
      </c>
      <c r="BA1492">
        <v>3</v>
      </c>
      <c r="BB1492">
        <v>63</v>
      </c>
      <c r="BC1492">
        <v>0</v>
      </c>
      <c r="BD1492">
        <v>0</v>
      </c>
      <c r="BE1492">
        <v>0</v>
      </c>
    </row>
    <row r="1493" spans="1:57" hidden="1" x14ac:dyDescent="0.45">
      <c r="A1493" t="s">
        <v>3709</v>
      </c>
      <c r="B1493" t="s">
        <v>79</v>
      </c>
      <c r="C1493" t="s">
        <v>1109</v>
      </c>
      <c r="D1493" t="s">
        <v>81</v>
      </c>
      <c r="E1493" s="2" t="str">
        <f>HYPERLINK("capsilon://?command=openfolder&amp;siteaddress=FAM.docvelocity-na8.net&amp;folderid=FX752C2642-5ECF-773B-8E65-695284F4786D","FX201017101")</f>
        <v>FX201017101</v>
      </c>
      <c r="F1493" t="s">
        <v>19</v>
      </c>
      <c r="G1493" t="s">
        <v>19</v>
      </c>
      <c r="H1493" t="s">
        <v>82</v>
      </c>
      <c r="I1493" t="s">
        <v>3710</v>
      </c>
      <c r="J1493">
        <v>66</v>
      </c>
      <c r="K1493" t="s">
        <v>84</v>
      </c>
      <c r="L1493" t="s">
        <v>85</v>
      </c>
      <c r="M1493" t="s">
        <v>86</v>
      </c>
      <c r="N1493">
        <v>3</v>
      </c>
      <c r="O1493" s="1">
        <v>44211.69635416667</v>
      </c>
      <c r="P1493" s="1">
        <v>44215.338854166665</v>
      </c>
      <c r="Q1493">
        <v>314576</v>
      </c>
      <c r="R1493">
        <v>136</v>
      </c>
      <c r="S1493" t="b">
        <v>0</v>
      </c>
      <c r="T1493" t="s">
        <v>87</v>
      </c>
      <c r="U1493" t="b">
        <v>0</v>
      </c>
      <c r="V1493" t="s">
        <v>142</v>
      </c>
      <c r="W1493" s="1">
        <v>44211.697280092594</v>
      </c>
      <c r="X1493">
        <v>79</v>
      </c>
      <c r="Y1493">
        <v>0</v>
      </c>
      <c r="Z1493">
        <v>0</v>
      </c>
      <c r="AA1493">
        <v>0</v>
      </c>
      <c r="AB1493">
        <v>52</v>
      </c>
      <c r="AC1493">
        <v>0</v>
      </c>
      <c r="AD1493">
        <v>66</v>
      </c>
      <c r="AE1493">
        <v>0</v>
      </c>
      <c r="AF1493">
        <v>0</v>
      </c>
      <c r="AG1493">
        <v>0</v>
      </c>
      <c r="AH1493" t="s">
        <v>128</v>
      </c>
      <c r="AI1493" s="1">
        <v>44211.698194444441</v>
      </c>
      <c r="AJ1493">
        <v>53</v>
      </c>
      <c r="AK1493">
        <v>0</v>
      </c>
      <c r="AL1493">
        <v>0</v>
      </c>
      <c r="AM1493">
        <v>0</v>
      </c>
      <c r="AN1493">
        <v>52</v>
      </c>
      <c r="AO1493">
        <v>0</v>
      </c>
      <c r="AP1493">
        <v>66</v>
      </c>
      <c r="AQ1493">
        <v>0</v>
      </c>
      <c r="AR1493">
        <v>0</v>
      </c>
      <c r="AS1493">
        <v>0</v>
      </c>
      <c r="AT1493" t="s">
        <v>90</v>
      </c>
      <c r="AU1493" s="1">
        <v>44215.338854166665</v>
      </c>
      <c r="AV1493">
        <v>4</v>
      </c>
      <c r="AW1493">
        <v>0</v>
      </c>
      <c r="AX1493">
        <v>0</v>
      </c>
      <c r="AY1493">
        <v>0</v>
      </c>
      <c r="AZ1493">
        <v>52</v>
      </c>
      <c r="BA1493">
        <v>0</v>
      </c>
      <c r="BB1493">
        <v>66</v>
      </c>
      <c r="BC1493">
        <v>0</v>
      </c>
      <c r="BD1493">
        <v>0</v>
      </c>
      <c r="BE1493">
        <v>0</v>
      </c>
    </row>
    <row r="1494" spans="1:57" x14ac:dyDescent="0.45">
      <c r="A1494" t="s">
        <v>3711</v>
      </c>
      <c r="B1494" t="s">
        <v>79</v>
      </c>
      <c r="C1494" t="s">
        <v>3712</v>
      </c>
      <c r="D1494" t="s">
        <v>81</v>
      </c>
      <c r="E1494" s="2" t="str">
        <f>HYPERLINK("capsilon://?command=openfolder&amp;siteaddress=FAM.docvelocity-na8.net&amp;folderid=FX34EAC575-1A76-A7D5-D242-A963DADA03A6","FX201225711")</f>
        <v>FX201225711</v>
      </c>
      <c r="F1494" t="s">
        <v>19</v>
      </c>
      <c r="G1494" t="s">
        <v>19</v>
      </c>
      <c r="H1494" t="s">
        <v>82</v>
      </c>
      <c r="I1494" t="s">
        <v>3713</v>
      </c>
      <c r="J1494">
        <v>98</v>
      </c>
      <c r="K1494" t="s">
        <v>84</v>
      </c>
      <c r="L1494" t="s">
        <v>85</v>
      </c>
      <c r="M1494" t="s">
        <v>86</v>
      </c>
      <c r="N1494">
        <v>3</v>
      </c>
      <c r="O1494" s="1">
        <v>44211.696620370371</v>
      </c>
      <c r="P1494" s="1">
        <v>44215.339085648149</v>
      </c>
      <c r="Q1494">
        <v>312749</v>
      </c>
      <c r="R1494">
        <v>1960</v>
      </c>
      <c r="S1494" t="b">
        <v>0</v>
      </c>
      <c r="T1494" t="s">
        <v>87</v>
      </c>
      <c r="U1494" t="b">
        <v>0</v>
      </c>
      <c r="V1494" t="s">
        <v>146</v>
      </c>
      <c r="W1494" s="1">
        <v>44211.716782407406</v>
      </c>
      <c r="X1494">
        <v>1742</v>
      </c>
      <c r="Y1494">
        <v>76</v>
      </c>
      <c r="Z1494">
        <v>0</v>
      </c>
      <c r="AA1494">
        <v>76</v>
      </c>
      <c r="AB1494">
        <v>0</v>
      </c>
      <c r="AC1494">
        <v>29</v>
      </c>
      <c r="AD1494">
        <v>22</v>
      </c>
      <c r="AE1494">
        <v>0</v>
      </c>
      <c r="AF1494">
        <v>0</v>
      </c>
      <c r="AG1494">
        <v>0</v>
      </c>
      <c r="AH1494" t="s">
        <v>128</v>
      </c>
      <c r="AI1494" s="1">
        <v>44211.720578703702</v>
      </c>
      <c r="AJ1494">
        <v>198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22</v>
      </c>
      <c r="AQ1494">
        <v>0</v>
      </c>
      <c r="AR1494">
        <v>0</v>
      </c>
      <c r="AS1494">
        <v>0</v>
      </c>
      <c r="AT1494" t="s">
        <v>90</v>
      </c>
      <c r="AU1494" s="1">
        <v>44215.339085648149</v>
      </c>
      <c r="AV1494">
        <v>20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22</v>
      </c>
      <c r="BC1494">
        <v>0</v>
      </c>
      <c r="BD1494">
        <v>0</v>
      </c>
      <c r="BE1494">
        <v>0</v>
      </c>
    </row>
    <row r="1495" spans="1:57" x14ac:dyDescent="0.45">
      <c r="A1495" t="s">
        <v>3714</v>
      </c>
      <c r="B1495" t="s">
        <v>79</v>
      </c>
      <c r="C1495" t="s">
        <v>3715</v>
      </c>
      <c r="D1495" t="s">
        <v>81</v>
      </c>
      <c r="E1495" s="2" t="str">
        <f>HYPERLINK("capsilon://?command=openfolder&amp;siteaddress=FAM.docvelocity-na8.net&amp;folderid=FX73322A2D-519F-89B5-09E9-55216D9280E4","FX21017143")</f>
        <v>FX21017143</v>
      </c>
      <c r="F1495" t="s">
        <v>19</v>
      </c>
      <c r="G1495" t="s">
        <v>19</v>
      </c>
      <c r="H1495" t="s">
        <v>82</v>
      </c>
      <c r="I1495" t="s">
        <v>3716</v>
      </c>
      <c r="J1495">
        <v>38</v>
      </c>
      <c r="K1495" t="s">
        <v>84</v>
      </c>
      <c r="L1495" t="s">
        <v>85</v>
      </c>
      <c r="M1495" t="s">
        <v>86</v>
      </c>
      <c r="N1495">
        <v>3</v>
      </c>
      <c r="O1495" s="1">
        <v>44211.696932870371</v>
      </c>
      <c r="P1495" s="1">
        <v>44215.339166666665</v>
      </c>
      <c r="Q1495">
        <v>314288</v>
      </c>
      <c r="R1495">
        <v>401</v>
      </c>
      <c r="S1495" t="b">
        <v>0</v>
      </c>
      <c r="T1495" t="s">
        <v>87</v>
      </c>
      <c r="U1495" t="b">
        <v>0</v>
      </c>
      <c r="V1495" t="s">
        <v>142</v>
      </c>
      <c r="W1495" s="1">
        <v>44211.699490740742</v>
      </c>
      <c r="X1495">
        <v>190</v>
      </c>
      <c r="Y1495">
        <v>37</v>
      </c>
      <c r="Z1495">
        <v>0</v>
      </c>
      <c r="AA1495">
        <v>37</v>
      </c>
      <c r="AB1495">
        <v>0</v>
      </c>
      <c r="AC1495">
        <v>12</v>
      </c>
      <c r="AD1495">
        <v>1</v>
      </c>
      <c r="AE1495">
        <v>0</v>
      </c>
      <c r="AF1495">
        <v>0</v>
      </c>
      <c r="AG1495">
        <v>0</v>
      </c>
      <c r="AH1495" t="s">
        <v>128</v>
      </c>
      <c r="AI1495" s="1">
        <v>44211.701944444445</v>
      </c>
      <c r="AJ1495">
        <v>204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 t="s">
        <v>90</v>
      </c>
      <c r="AU1495" s="1">
        <v>44215.339166666665</v>
      </c>
      <c r="AV1495">
        <v>7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</row>
    <row r="1496" spans="1:57" hidden="1" x14ac:dyDescent="0.45">
      <c r="A1496" t="s">
        <v>3717</v>
      </c>
      <c r="B1496" t="s">
        <v>79</v>
      </c>
      <c r="C1496" t="s">
        <v>1109</v>
      </c>
      <c r="D1496" t="s">
        <v>81</v>
      </c>
      <c r="E1496" s="2" t="str">
        <f>HYPERLINK("capsilon://?command=openfolder&amp;siteaddress=FAM.docvelocity-na8.net&amp;folderid=FX752C2642-5ECF-773B-8E65-695284F4786D","FX201017101")</f>
        <v>FX201017101</v>
      </c>
      <c r="F1496" t="s">
        <v>19</v>
      </c>
      <c r="G1496" t="s">
        <v>19</v>
      </c>
      <c r="H1496" t="s">
        <v>82</v>
      </c>
      <c r="I1496" t="s">
        <v>3718</v>
      </c>
      <c r="J1496">
        <v>66</v>
      </c>
      <c r="K1496" t="s">
        <v>84</v>
      </c>
      <c r="L1496" t="s">
        <v>85</v>
      </c>
      <c r="M1496" t="s">
        <v>86</v>
      </c>
      <c r="N1496">
        <v>3</v>
      </c>
      <c r="O1496" s="1">
        <v>44211.697662037041</v>
      </c>
      <c r="P1496" s="1">
        <v>44215.339212962965</v>
      </c>
      <c r="Q1496">
        <v>314499</v>
      </c>
      <c r="R1496">
        <v>131</v>
      </c>
      <c r="S1496" t="b">
        <v>0</v>
      </c>
      <c r="T1496" t="s">
        <v>87</v>
      </c>
      <c r="U1496" t="b">
        <v>0</v>
      </c>
      <c r="V1496" t="s">
        <v>142</v>
      </c>
      <c r="W1496" s="1">
        <v>44211.700277777774</v>
      </c>
      <c r="X1496">
        <v>67</v>
      </c>
      <c r="Y1496">
        <v>0</v>
      </c>
      <c r="Z1496">
        <v>0</v>
      </c>
      <c r="AA1496">
        <v>0</v>
      </c>
      <c r="AB1496">
        <v>52</v>
      </c>
      <c r="AC1496">
        <v>0</v>
      </c>
      <c r="AD1496">
        <v>66</v>
      </c>
      <c r="AE1496">
        <v>0</v>
      </c>
      <c r="AF1496">
        <v>0</v>
      </c>
      <c r="AG1496">
        <v>0</v>
      </c>
      <c r="AH1496" t="s">
        <v>128</v>
      </c>
      <c r="AI1496" s="1">
        <v>44211.702662037038</v>
      </c>
      <c r="AJ1496">
        <v>61</v>
      </c>
      <c r="AK1496">
        <v>0</v>
      </c>
      <c r="AL1496">
        <v>0</v>
      </c>
      <c r="AM1496">
        <v>0</v>
      </c>
      <c r="AN1496">
        <v>52</v>
      </c>
      <c r="AO1496">
        <v>0</v>
      </c>
      <c r="AP1496">
        <v>66</v>
      </c>
      <c r="AQ1496">
        <v>0</v>
      </c>
      <c r="AR1496">
        <v>0</v>
      </c>
      <c r="AS1496">
        <v>0</v>
      </c>
      <c r="AT1496" t="s">
        <v>90</v>
      </c>
      <c r="AU1496" s="1">
        <v>44215.339212962965</v>
      </c>
      <c r="AV1496">
        <v>3</v>
      </c>
      <c r="AW1496">
        <v>0</v>
      </c>
      <c r="AX1496">
        <v>0</v>
      </c>
      <c r="AY1496">
        <v>0</v>
      </c>
      <c r="AZ1496">
        <v>52</v>
      </c>
      <c r="BA1496">
        <v>0</v>
      </c>
      <c r="BB1496">
        <v>66</v>
      </c>
      <c r="BC1496">
        <v>0</v>
      </c>
      <c r="BD1496">
        <v>0</v>
      </c>
      <c r="BE1496">
        <v>0</v>
      </c>
    </row>
    <row r="1497" spans="1:57" hidden="1" x14ac:dyDescent="0.45">
      <c r="A1497" t="s">
        <v>3719</v>
      </c>
      <c r="B1497" t="s">
        <v>79</v>
      </c>
      <c r="C1497" t="s">
        <v>3720</v>
      </c>
      <c r="D1497" t="s">
        <v>81</v>
      </c>
      <c r="E1497" s="2" t="str">
        <f>HYPERLINK("capsilon://?command=openfolder&amp;siteaddress=FAM.docvelocity-na8.net&amp;folderid=FX626125A0-95C7-9364-E90F-A86A00A4B080","FX20126963")</f>
        <v>FX20126963</v>
      </c>
      <c r="F1497" t="s">
        <v>19</v>
      </c>
      <c r="G1497" t="s">
        <v>19</v>
      </c>
      <c r="H1497" t="s">
        <v>82</v>
      </c>
      <c r="I1497" t="s">
        <v>3721</v>
      </c>
      <c r="J1497">
        <v>132</v>
      </c>
      <c r="K1497" t="s">
        <v>84</v>
      </c>
      <c r="L1497" t="s">
        <v>85</v>
      </c>
      <c r="M1497" t="s">
        <v>86</v>
      </c>
      <c r="N1497">
        <v>3</v>
      </c>
      <c r="O1497" s="1">
        <v>44211.699247685188</v>
      </c>
      <c r="P1497" s="1">
        <v>44215.339247685188</v>
      </c>
      <c r="Q1497">
        <v>314342</v>
      </c>
      <c r="R1497">
        <v>154</v>
      </c>
      <c r="S1497" t="b">
        <v>0</v>
      </c>
      <c r="T1497" t="s">
        <v>87</v>
      </c>
      <c r="U1497" t="b">
        <v>0</v>
      </c>
      <c r="V1497" t="s">
        <v>142</v>
      </c>
      <c r="W1497" s="1">
        <v>44211.701504629629</v>
      </c>
      <c r="X1497">
        <v>105</v>
      </c>
      <c r="Y1497">
        <v>0</v>
      </c>
      <c r="Z1497">
        <v>0</v>
      </c>
      <c r="AA1497">
        <v>0</v>
      </c>
      <c r="AB1497">
        <v>104</v>
      </c>
      <c r="AC1497">
        <v>0</v>
      </c>
      <c r="AD1497">
        <v>132</v>
      </c>
      <c r="AE1497">
        <v>0</v>
      </c>
      <c r="AF1497">
        <v>0</v>
      </c>
      <c r="AG1497">
        <v>0</v>
      </c>
      <c r="AH1497" t="s">
        <v>128</v>
      </c>
      <c r="AI1497" s="1">
        <v>44211.703206018516</v>
      </c>
      <c r="AJ1497">
        <v>46</v>
      </c>
      <c r="AK1497">
        <v>0</v>
      </c>
      <c r="AL1497">
        <v>0</v>
      </c>
      <c r="AM1497">
        <v>0</v>
      </c>
      <c r="AN1497">
        <v>104</v>
      </c>
      <c r="AO1497">
        <v>0</v>
      </c>
      <c r="AP1497">
        <v>132</v>
      </c>
      <c r="AQ1497">
        <v>0</v>
      </c>
      <c r="AR1497">
        <v>0</v>
      </c>
      <c r="AS1497">
        <v>0</v>
      </c>
      <c r="AT1497" t="s">
        <v>90</v>
      </c>
      <c r="AU1497" s="1">
        <v>44215.339247685188</v>
      </c>
      <c r="AV1497">
        <v>3</v>
      </c>
      <c r="AW1497">
        <v>0</v>
      </c>
      <c r="AX1497">
        <v>0</v>
      </c>
      <c r="AY1497">
        <v>0</v>
      </c>
      <c r="AZ1497">
        <v>104</v>
      </c>
      <c r="BA1497">
        <v>0</v>
      </c>
      <c r="BB1497">
        <v>132</v>
      </c>
      <c r="BC1497">
        <v>0</v>
      </c>
      <c r="BD1497">
        <v>0</v>
      </c>
      <c r="BE1497">
        <v>0</v>
      </c>
    </row>
    <row r="1498" spans="1:57" x14ac:dyDescent="0.45">
      <c r="A1498" t="s">
        <v>3722</v>
      </c>
      <c r="B1498" t="s">
        <v>79</v>
      </c>
      <c r="C1498" t="s">
        <v>3723</v>
      </c>
      <c r="D1498" t="s">
        <v>81</v>
      </c>
      <c r="E1498" s="2" t="str">
        <f>HYPERLINK("capsilon://?command=openfolder&amp;siteaddress=FAM.docvelocity-na8.net&amp;folderid=FXB87C62A1-73C3-3652-844B-6F8AFD2EDEE6","FX21016268")</f>
        <v>FX21016268</v>
      </c>
      <c r="F1498" t="s">
        <v>19</v>
      </c>
      <c r="G1498" t="s">
        <v>19</v>
      </c>
      <c r="H1498" t="s">
        <v>82</v>
      </c>
      <c r="I1498" t="s">
        <v>3724</v>
      </c>
      <c r="J1498">
        <v>450</v>
      </c>
      <c r="K1498" t="s">
        <v>84</v>
      </c>
      <c r="L1498" t="s">
        <v>85</v>
      </c>
      <c r="M1498" t="s">
        <v>86</v>
      </c>
      <c r="N1498">
        <v>3</v>
      </c>
      <c r="O1498" s="1">
        <v>44211.703958333332</v>
      </c>
      <c r="P1498" s="1">
        <v>44215.339918981481</v>
      </c>
      <c r="Q1498">
        <v>308600</v>
      </c>
      <c r="R1498">
        <v>5547</v>
      </c>
      <c r="S1498" t="b">
        <v>0</v>
      </c>
      <c r="T1498" t="s">
        <v>87</v>
      </c>
      <c r="U1498" t="b">
        <v>0</v>
      </c>
      <c r="V1498" t="s">
        <v>179</v>
      </c>
      <c r="W1498" s="1">
        <v>44211.757962962962</v>
      </c>
      <c r="X1498">
        <v>4665</v>
      </c>
      <c r="Y1498">
        <v>326</v>
      </c>
      <c r="Z1498">
        <v>0</v>
      </c>
      <c r="AA1498">
        <v>326</v>
      </c>
      <c r="AB1498">
        <v>0</v>
      </c>
      <c r="AC1498">
        <v>128</v>
      </c>
      <c r="AD1498">
        <v>124</v>
      </c>
      <c r="AE1498">
        <v>0</v>
      </c>
      <c r="AF1498">
        <v>0</v>
      </c>
      <c r="AG1498">
        <v>0</v>
      </c>
      <c r="AH1498" t="s">
        <v>128</v>
      </c>
      <c r="AI1498" s="1">
        <v>44211.771018518521</v>
      </c>
      <c r="AJ1498">
        <v>824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124</v>
      </c>
      <c r="AQ1498">
        <v>0</v>
      </c>
      <c r="AR1498">
        <v>0</v>
      </c>
      <c r="AS1498">
        <v>0</v>
      </c>
      <c r="AT1498" t="s">
        <v>90</v>
      </c>
      <c r="AU1498" s="1">
        <v>44215.339918981481</v>
      </c>
      <c r="AV1498">
        <v>58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124</v>
      </c>
      <c r="BC1498">
        <v>0</v>
      </c>
      <c r="BD1498">
        <v>0</v>
      </c>
      <c r="BE1498">
        <v>0</v>
      </c>
    </row>
    <row r="1499" spans="1:57" x14ac:dyDescent="0.45">
      <c r="A1499" t="s">
        <v>3725</v>
      </c>
      <c r="B1499" t="s">
        <v>79</v>
      </c>
      <c r="C1499" t="s">
        <v>3726</v>
      </c>
      <c r="D1499" t="s">
        <v>81</v>
      </c>
      <c r="E1499" s="2" t="str">
        <f>HYPERLINK("capsilon://?command=openfolder&amp;siteaddress=FAM.docvelocity-na8.net&amp;folderid=FX676AA919-57AB-A9C0-BED4-3C5FF91655B6","FX20126848")</f>
        <v>FX20126848</v>
      </c>
      <c r="F1499" t="s">
        <v>19</v>
      </c>
      <c r="G1499" t="s">
        <v>19</v>
      </c>
      <c r="H1499" t="s">
        <v>82</v>
      </c>
      <c r="I1499" t="s">
        <v>3727</v>
      </c>
      <c r="J1499">
        <v>175</v>
      </c>
      <c r="K1499" t="s">
        <v>84</v>
      </c>
      <c r="L1499" t="s">
        <v>85</v>
      </c>
      <c r="M1499" t="s">
        <v>86</v>
      </c>
      <c r="N1499">
        <v>3</v>
      </c>
      <c r="O1499" s="1">
        <v>44211.714178240742</v>
      </c>
      <c r="P1499" s="1">
        <v>44215.340115740742</v>
      </c>
      <c r="Q1499">
        <v>310815</v>
      </c>
      <c r="R1499">
        <v>2466</v>
      </c>
      <c r="S1499" t="b">
        <v>0</v>
      </c>
      <c r="T1499" t="s">
        <v>87</v>
      </c>
      <c r="U1499" t="b">
        <v>0</v>
      </c>
      <c r="V1499" t="s">
        <v>171</v>
      </c>
      <c r="W1499" s="1">
        <v>44211.739236111112</v>
      </c>
      <c r="X1499">
        <v>2165</v>
      </c>
      <c r="Y1499">
        <v>137</v>
      </c>
      <c r="Z1499">
        <v>0</v>
      </c>
      <c r="AA1499">
        <v>137</v>
      </c>
      <c r="AB1499">
        <v>0</v>
      </c>
      <c r="AC1499">
        <v>51</v>
      </c>
      <c r="AD1499">
        <v>38</v>
      </c>
      <c r="AE1499">
        <v>0</v>
      </c>
      <c r="AF1499">
        <v>0</v>
      </c>
      <c r="AG1499">
        <v>0</v>
      </c>
      <c r="AH1499" t="s">
        <v>128</v>
      </c>
      <c r="AI1499" s="1">
        <v>44211.743611111109</v>
      </c>
      <c r="AJ1499">
        <v>284</v>
      </c>
      <c r="AK1499">
        <v>1</v>
      </c>
      <c r="AL1499">
        <v>0</v>
      </c>
      <c r="AM1499">
        <v>1</v>
      </c>
      <c r="AN1499">
        <v>0</v>
      </c>
      <c r="AO1499">
        <v>1</v>
      </c>
      <c r="AP1499">
        <v>37</v>
      </c>
      <c r="AQ1499">
        <v>0</v>
      </c>
      <c r="AR1499">
        <v>0</v>
      </c>
      <c r="AS1499">
        <v>0</v>
      </c>
      <c r="AT1499" t="s">
        <v>90</v>
      </c>
      <c r="AU1499" s="1">
        <v>44215.340115740742</v>
      </c>
      <c r="AV1499">
        <v>17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37</v>
      </c>
      <c r="BC1499">
        <v>0</v>
      </c>
      <c r="BD1499">
        <v>0</v>
      </c>
      <c r="BE1499">
        <v>0</v>
      </c>
    </row>
    <row r="1500" spans="1:57" x14ac:dyDescent="0.45">
      <c r="A1500" t="s">
        <v>3728</v>
      </c>
      <c r="B1500" t="s">
        <v>79</v>
      </c>
      <c r="C1500" t="s">
        <v>3206</v>
      </c>
      <c r="D1500" t="s">
        <v>81</v>
      </c>
      <c r="E1500" s="2" t="str">
        <f>HYPERLINK("capsilon://?command=openfolder&amp;siteaddress=FAM.docvelocity-na8.net&amp;folderid=FX968F4438-35F2-CE8F-770B-947EE5D3999D","FX21018253")</f>
        <v>FX21018253</v>
      </c>
      <c r="F1500" t="s">
        <v>19</v>
      </c>
      <c r="G1500" t="s">
        <v>19</v>
      </c>
      <c r="H1500" t="s">
        <v>82</v>
      </c>
      <c r="I1500" t="s">
        <v>3729</v>
      </c>
      <c r="J1500">
        <v>66</v>
      </c>
      <c r="K1500" t="s">
        <v>84</v>
      </c>
      <c r="L1500" t="s">
        <v>85</v>
      </c>
      <c r="M1500" t="s">
        <v>86</v>
      </c>
      <c r="N1500">
        <v>3</v>
      </c>
      <c r="O1500" s="1">
        <v>44211.730879629627</v>
      </c>
      <c r="P1500" s="1">
        <v>44215.340219907404</v>
      </c>
      <c r="Q1500">
        <v>310670</v>
      </c>
      <c r="R1500">
        <v>1177</v>
      </c>
      <c r="S1500" t="b">
        <v>0</v>
      </c>
      <c r="T1500" t="s">
        <v>87</v>
      </c>
      <c r="U1500" t="b">
        <v>0</v>
      </c>
      <c r="V1500" t="s">
        <v>146</v>
      </c>
      <c r="W1500" s="1">
        <v>44211.740856481483</v>
      </c>
      <c r="X1500">
        <v>861</v>
      </c>
      <c r="Y1500">
        <v>52</v>
      </c>
      <c r="Z1500">
        <v>0</v>
      </c>
      <c r="AA1500">
        <v>52</v>
      </c>
      <c r="AB1500">
        <v>0</v>
      </c>
      <c r="AC1500">
        <v>30</v>
      </c>
      <c r="AD1500">
        <v>14</v>
      </c>
      <c r="AE1500">
        <v>0</v>
      </c>
      <c r="AF1500">
        <v>0</v>
      </c>
      <c r="AG1500">
        <v>0</v>
      </c>
      <c r="AH1500" t="s">
        <v>147</v>
      </c>
      <c r="AI1500" s="1">
        <v>44211.745671296296</v>
      </c>
      <c r="AJ1500">
        <v>308</v>
      </c>
      <c r="AK1500">
        <v>2</v>
      </c>
      <c r="AL1500">
        <v>0</v>
      </c>
      <c r="AM1500">
        <v>2</v>
      </c>
      <c r="AN1500">
        <v>0</v>
      </c>
      <c r="AO1500">
        <v>4</v>
      </c>
      <c r="AP1500">
        <v>12</v>
      </c>
      <c r="AQ1500">
        <v>0</v>
      </c>
      <c r="AR1500">
        <v>0</v>
      </c>
      <c r="AS1500">
        <v>0</v>
      </c>
      <c r="AT1500" t="s">
        <v>90</v>
      </c>
      <c r="AU1500" s="1">
        <v>44215.340219907404</v>
      </c>
      <c r="AV1500">
        <v>8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12</v>
      </c>
      <c r="BC1500">
        <v>0</v>
      </c>
      <c r="BD1500">
        <v>0</v>
      </c>
      <c r="BE1500">
        <v>0</v>
      </c>
    </row>
    <row r="1501" spans="1:57" x14ac:dyDescent="0.45">
      <c r="A1501" t="s">
        <v>3730</v>
      </c>
      <c r="B1501" t="s">
        <v>79</v>
      </c>
      <c r="C1501" t="s">
        <v>3731</v>
      </c>
      <c r="D1501" t="s">
        <v>81</v>
      </c>
      <c r="E1501" s="2" t="str">
        <f>HYPERLINK("capsilon://?command=openfolder&amp;siteaddress=FAM.docvelocity-na8.net&amp;folderid=FXC9BD24E8-7886-F9C5-5C21-59F0F3178E48","FX21018430")</f>
        <v>FX21018430</v>
      </c>
      <c r="F1501" t="s">
        <v>19</v>
      </c>
      <c r="G1501" t="s">
        <v>19</v>
      </c>
      <c r="H1501" t="s">
        <v>82</v>
      </c>
      <c r="I1501" t="s">
        <v>3732</v>
      </c>
      <c r="J1501">
        <v>57</v>
      </c>
      <c r="K1501" t="s">
        <v>84</v>
      </c>
      <c r="L1501" t="s">
        <v>85</v>
      </c>
      <c r="M1501" t="s">
        <v>86</v>
      </c>
      <c r="N1501">
        <v>3</v>
      </c>
      <c r="O1501" s="1">
        <v>44211.734502314815</v>
      </c>
      <c r="P1501" s="1">
        <v>44215.340787037036</v>
      </c>
      <c r="Q1501">
        <v>309841</v>
      </c>
      <c r="R1501">
        <v>1742</v>
      </c>
      <c r="S1501" t="b">
        <v>0</v>
      </c>
      <c r="T1501" t="s">
        <v>87</v>
      </c>
      <c r="U1501" t="b">
        <v>0</v>
      </c>
      <c r="V1501" t="s">
        <v>168</v>
      </c>
      <c r="W1501" s="1">
        <v>44211.751562500001</v>
      </c>
      <c r="X1501">
        <v>1468</v>
      </c>
      <c r="Y1501">
        <v>62</v>
      </c>
      <c r="Z1501">
        <v>0</v>
      </c>
      <c r="AA1501">
        <v>62</v>
      </c>
      <c r="AB1501">
        <v>0</v>
      </c>
      <c r="AC1501">
        <v>32</v>
      </c>
      <c r="AD1501">
        <v>-5</v>
      </c>
      <c r="AE1501">
        <v>0</v>
      </c>
      <c r="AF1501">
        <v>0</v>
      </c>
      <c r="AG1501">
        <v>0</v>
      </c>
      <c r="AH1501" t="s">
        <v>128</v>
      </c>
      <c r="AI1501" s="1">
        <v>44211.754814814813</v>
      </c>
      <c r="AJ1501">
        <v>208</v>
      </c>
      <c r="AK1501">
        <v>2</v>
      </c>
      <c r="AL1501">
        <v>0</v>
      </c>
      <c r="AM1501">
        <v>2</v>
      </c>
      <c r="AN1501">
        <v>0</v>
      </c>
      <c r="AO1501">
        <v>2</v>
      </c>
      <c r="AP1501">
        <v>-7</v>
      </c>
      <c r="AQ1501">
        <v>0</v>
      </c>
      <c r="AR1501">
        <v>0</v>
      </c>
      <c r="AS1501">
        <v>0</v>
      </c>
      <c r="AT1501" t="s">
        <v>90</v>
      </c>
      <c r="AU1501" s="1">
        <v>44215.340787037036</v>
      </c>
      <c r="AV1501">
        <v>49</v>
      </c>
      <c r="AW1501">
        <v>1</v>
      </c>
      <c r="AX1501">
        <v>0</v>
      </c>
      <c r="AY1501">
        <v>1</v>
      </c>
      <c r="AZ1501">
        <v>0</v>
      </c>
      <c r="BA1501">
        <v>1</v>
      </c>
      <c r="BB1501">
        <v>-8</v>
      </c>
      <c r="BC1501">
        <v>0</v>
      </c>
      <c r="BD1501">
        <v>0</v>
      </c>
      <c r="BE1501">
        <v>0</v>
      </c>
    </row>
    <row r="1502" spans="1:57" x14ac:dyDescent="0.45">
      <c r="A1502" t="s">
        <v>3733</v>
      </c>
      <c r="B1502" t="s">
        <v>79</v>
      </c>
      <c r="C1502" t="s">
        <v>3734</v>
      </c>
      <c r="D1502" t="s">
        <v>81</v>
      </c>
      <c r="E1502" s="2" t="str">
        <f>HYPERLINK("capsilon://?command=openfolder&amp;siteaddress=FAM.docvelocity-na8.net&amp;folderid=FXC2DAF371-804D-D4D0-9582-00F29A722DF3","FX21018991")</f>
        <v>FX21018991</v>
      </c>
      <c r="F1502" t="s">
        <v>19</v>
      </c>
      <c r="G1502" t="s">
        <v>19</v>
      </c>
      <c r="H1502" t="s">
        <v>82</v>
      </c>
      <c r="I1502" t="s">
        <v>3735</v>
      </c>
      <c r="J1502">
        <v>152</v>
      </c>
      <c r="K1502" t="s">
        <v>84</v>
      </c>
      <c r="L1502" t="s">
        <v>85</v>
      </c>
      <c r="M1502" t="s">
        <v>86</v>
      </c>
      <c r="N1502">
        <v>3</v>
      </c>
      <c r="O1502" s="1">
        <v>44211.735856481479</v>
      </c>
      <c r="P1502" s="1">
        <v>44215.341284722221</v>
      </c>
      <c r="Q1502">
        <v>306580</v>
      </c>
      <c r="R1502">
        <v>4929</v>
      </c>
      <c r="S1502" t="b">
        <v>0</v>
      </c>
      <c r="T1502" t="s">
        <v>87</v>
      </c>
      <c r="U1502" t="b">
        <v>0</v>
      </c>
      <c r="V1502" t="s">
        <v>171</v>
      </c>
      <c r="W1502" s="1">
        <v>44211.790706018517</v>
      </c>
      <c r="X1502">
        <v>4446</v>
      </c>
      <c r="Y1502">
        <v>181</v>
      </c>
      <c r="Z1502">
        <v>0</v>
      </c>
      <c r="AA1502">
        <v>181</v>
      </c>
      <c r="AB1502">
        <v>0</v>
      </c>
      <c r="AC1502">
        <v>129</v>
      </c>
      <c r="AD1502">
        <v>-29</v>
      </c>
      <c r="AE1502">
        <v>0</v>
      </c>
      <c r="AF1502">
        <v>0</v>
      </c>
      <c r="AG1502">
        <v>0</v>
      </c>
      <c r="AH1502" t="s">
        <v>128</v>
      </c>
      <c r="AI1502" s="1">
        <v>44211.79828703704</v>
      </c>
      <c r="AJ1502">
        <v>441</v>
      </c>
      <c r="AK1502">
        <v>2</v>
      </c>
      <c r="AL1502">
        <v>0</v>
      </c>
      <c r="AM1502">
        <v>2</v>
      </c>
      <c r="AN1502">
        <v>0</v>
      </c>
      <c r="AO1502">
        <v>2</v>
      </c>
      <c r="AP1502">
        <v>-31</v>
      </c>
      <c r="AQ1502">
        <v>0</v>
      </c>
      <c r="AR1502">
        <v>0</v>
      </c>
      <c r="AS1502">
        <v>0</v>
      </c>
      <c r="AT1502" t="s">
        <v>90</v>
      </c>
      <c r="AU1502" s="1">
        <v>44215.341284722221</v>
      </c>
      <c r="AV1502">
        <v>42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-31</v>
      </c>
      <c r="BC1502">
        <v>0</v>
      </c>
      <c r="BD1502">
        <v>0</v>
      </c>
      <c r="BE1502">
        <v>0</v>
      </c>
    </row>
    <row r="1503" spans="1:57" hidden="1" x14ac:dyDescent="0.45">
      <c r="A1503" t="s">
        <v>3736</v>
      </c>
      <c r="B1503" t="s">
        <v>79</v>
      </c>
      <c r="C1503" t="s">
        <v>3422</v>
      </c>
      <c r="D1503" t="s">
        <v>81</v>
      </c>
      <c r="E1503" s="2" t="str">
        <f>HYPERLINK("capsilon://?command=openfolder&amp;siteaddress=FAM.docvelocity-na8.net&amp;folderid=FX4B0290FA-E168-5DB8-0563-0D99108FD20D","FX20125248")</f>
        <v>FX20125248</v>
      </c>
      <c r="F1503" t="s">
        <v>19</v>
      </c>
      <c r="G1503" t="s">
        <v>19</v>
      </c>
      <c r="H1503" t="s">
        <v>82</v>
      </c>
      <c r="I1503" t="s">
        <v>3737</v>
      </c>
      <c r="J1503">
        <v>46</v>
      </c>
      <c r="K1503" t="s">
        <v>84</v>
      </c>
      <c r="L1503" t="s">
        <v>85</v>
      </c>
      <c r="M1503" t="s">
        <v>86</v>
      </c>
      <c r="N1503">
        <v>3</v>
      </c>
      <c r="O1503" s="1">
        <v>44211.740173611113</v>
      </c>
      <c r="P1503" s="1">
        <v>44215.341319444444</v>
      </c>
      <c r="Q1503">
        <v>310925</v>
      </c>
      <c r="R1503">
        <v>214</v>
      </c>
      <c r="S1503" t="b">
        <v>0</v>
      </c>
      <c r="T1503" t="s">
        <v>87</v>
      </c>
      <c r="U1503" t="b">
        <v>0</v>
      </c>
      <c r="V1503" t="s">
        <v>146</v>
      </c>
      <c r="W1503" s="1">
        <v>44211.74287037037</v>
      </c>
      <c r="X1503">
        <v>173</v>
      </c>
      <c r="Y1503">
        <v>0</v>
      </c>
      <c r="Z1503">
        <v>0</v>
      </c>
      <c r="AA1503">
        <v>0</v>
      </c>
      <c r="AB1503">
        <v>42</v>
      </c>
      <c r="AC1503">
        <v>0</v>
      </c>
      <c r="AD1503">
        <v>46</v>
      </c>
      <c r="AE1503">
        <v>0</v>
      </c>
      <c r="AF1503">
        <v>0</v>
      </c>
      <c r="AG1503">
        <v>0</v>
      </c>
      <c r="AH1503" t="s">
        <v>128</v>
      </c>
      <c r="AI1503" s="1">
        <v>44211.744074074071</v>
      </c>
      <c r="AJ1503">
        <v>39</v>
      </c>
      <c r="AK1503">
        <v>0</v>
      </c>
      <c r="AL1503">
        <v>0</v>
      </c>
      <c r="AM1503">
        <v>0</v>
      </c>
      <c r="AN1503">
        <v>42</v>
      </c>
      <c r="AO1503">
        <v>0</v>
      </c>
      <c r="AP1503">
        <v>46</v>
      </c>
      <c r="AQ1503">
        <v>0</v>
      </c>
      <c r="AR1503">
        <v>0</v>
      </c>
      <c r="AS1503">
        <v>0</v>
      </c>
      <c r="AT1503" t="s">
        <v>90</v>
      </c>
      <c r="AU1503" s="1">
        <v>44215.341319444444</v>
      </c>
      <c r="AV1503">
        <v>2</v>
      </c>
      <c r="AW1503">
        <v>0</v>
      </c>
      <c r="AX1503">
        <v>0</v>
      </c>
      <c r="AY1503">
        <v>0</v>
      </c>
      <c r="AZ1503">
        <v>42</v>
      </c>
      <c r="BA1503">
        <v>0</v>
      </c>
      <c r="BB1503">
        <v>46</v>
      </c>
      <c r="BC1503">
        <v>0</v>
      </c>
      <c r="BD1503">
        <v>0</v>
      </c>
      <c r="BE1503">
        <v>0</v>
      </c>
    </row>
    <row r="1504" spans="1:57" x14ac:dyDescent="0.45">
      <c r="A1504" t="s">
        <v>3738</v>
      </c>
      <c r="B1504" t="s">
        <v>79</v>
      </c>
      <c r="C1504" t="s">
        <v>2948</v>
      </c>
      <c r="D1504" t="s">
        <v>81</v>
      </c>
      <c r="E1504" s="2" t="str">
        <f>HYPERLINK("capsilon://?command=openfolder&amp;siteaddress=FAM.docvelocity-na8.net&amp;folderid=FX32377AC8-A9D1-101B-F9F3-FBA38B2A9693","FX20126532")</f>
        <v>FX20126532</v>
      </c>
      <c r="F1504" t="s">
        <v>19</v>
      </c>
      <c r="G1504" t="s">
        <v>19</v>
      </c>
      <c r="H1504" t="s">
        <v>82</v>
      </c>
      <c r="I1504" t="s">
        <v>2949</v>
      </c>
      <c r="J1504">
        <v>38</v>
      </c>
      <c r="K1504" t="s">
        <v>84</v>
      </c>
      <c r="L1504" t="s">
        <v>85</v>
      </c>
      <c r="M1504" t="s">
        <v>86</v>
      </c>
      <c r="N1504">
        <v>3</v>
      </c>
      <c r="O1504" s="1">
        <v>44200.781354166669</v>
      </c>
      <c r="P1504" s="1">
        <v>44201.344594907408</v>
      </c>
      <c r="Q1504">
        <v>48016</v>
      </c>
      <c r="R1504">
        <v>648</v>
      </c>
      <c r="S1504" t="b">
        <v>0</v>
      </c>
      <c r="T1504" t="s">
        <v>87</v>
      </c>
      <c r="U1504" t="b">
        <v>1</v>
      </c>
      <c r="V1504" t="s">
        <v>266</v>
      </c>
      <c r="W1504" s="1">
        <v>44200.787094907406</v>
      </c>
      <c r="X1504">
        <v>482</v>
      </c>
      <c r="Y1504">
        <v>37</v>
      </c>
      <c r="Z1504">
        <v>0</v>
      </c>
      <c r="AA1504">
        <v>37</v>
      </c>
      <c r="AB1504">
        <v>0</v>
      </c>
      <c r="AC1504">
        <v>33</v>
      </c>
      <c r="AD1504">
        <v>1</v>
      </c>
      <c r="AE1504">
        <v>0</v>
      </c>
      <c r="AF1504">
        <v>0</v>
      </c>
      <c r="AG1504">
        <v>0</v>
      </c>
      <c r="AH1504" t="s">
        <v>267</v>
      </c>
      <c r="AI1504" s="1">
        <v>44200.792962962965</v>
      </c>
      <c r="AJ1504">
        <v>161</v>
      </c>
      <c r="AK1504">
        <v>2</v>
      </c>
      <c r="AL1504">
        <v>0</v>
      </c>
      <c r="AM1504">
        <v>2</v>
      </c>
      <c r="AN1504">
        <v>0</v>
      </c>
      <c r="AO1504">
        <v>1</v>
      </c>
      <c r="AP1504">
        <v>-1</v>
      </c>
      <c r="AQ1504">
        <v>0</v>
      </c>
      <c r="AR1504">
        <v>0</v>
      </c>
      <c r="AS1504">
        <v>0</v>
      </c>
      <c r="AT1504" t="s">
        <v>90</v>
      </c>
      <c r="AU1504" s="1">
        <v>44201.344594907408</v>
      </c>
      <c r="AV1504">
        <v>5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-1</v>
      </c>
      <c r="BC1504">
        <v>0</v>
      </c>
      <c r="BD1504">
        <v>0</v>
      </c>
      <c r="BE1504">
        <v>0</v>
      </c>
    </row>
    <row r="1505" spans="1:57" x14ac:dyDescent="0.45">
      <c r="A1505" t="s">
        <v>3739</v>
      </c>
      <c r="B1505" t="s">
        <v>79</v>
      </c>
      <c r="C1505" t="s">
        <v>2845</v>
      </c>
      <c r="D1505" t="s">
        <v>81</v>
      </c>
      <c r="E1505" s="2" t="str">
        <f>HYPERLINK("capsilon://?command=openfolder&amp;siteaddress=FAM.docvelocity-na8.net&amp;folderid=FXDF59D329-7E99-CBD7-175B-3A125AE7478B","FX21016083")</f>
        <v>FX21016083</v>
      </c>
      <c r="F1505" t="s">
        <v>19</v>
      </c>
      <c r="G1505" t="s">
        <v>19</v>
      </c>
      <c r="H1505" t="s">
        <v>82</v>
      </c>
      <c r="I1505" t="s">
        <v>3740</v>
      </c>
      <c r="J1505">
        <v>66</v>
      </c>
      <c r="K1505" t="s">
        <v>84</v>
      </c>
      <c r="L1505" t="s">
        <v>85</v>
      </c>
      <c r="M1505" t="s">
        <v>86</v>
      </c>
      <c r="N1505">
        <v>3</v>
      </c>
      <c r="O1505" s="1">
        <v>44211.743090277778</v>
      </c>
      <c r="P1505" s="1">
        <v>44215.341562499998</v>
      </c>
      <c r="Q1505">
        <v>308605</v>
      </c>
      <c r="R1505">
        <v>2303</v>
      </c>
      <c r="S1505" t="b">
        <v>0</v>
      </c>
      <c r="T1505" t="s">
        <v>87</v>
      </c>
      <c r="U1505" t="b">
        <v>0</v>
      </c>
      <c r="V1505" t="s">
        <v>160</v>
      </c>
      <c r="W1505" s="1">
        <v>44211.768252314818</v>
      </c>
      <c r="X1505">
        <v>2107</v>
      </c>
      <c r="Y1505">
        <v>52</v>
      </c>
      <c r="Z1505">
        <v>0</v>
      </c>
      <c r="AA1505">
        <v>52</v>
      </c>
      <c r="AB1505">
        <v>0</v>
      </c>
      <c r="AC1505">
        <v>38</v>
      </c>
      <c r="AD1505">
        <v>14</v>
      </c>
      <c r="AE1505">
        <v>0</v>
      </c>
      <c r="AF1505">
        <v>0</v>
      </c>
      <c r="AG1505">
        <v>0</v>
      </c>
      <c r="AH1505" t="s">
        <v>128</v>
      </c>
      <c r="AI1505" s="1">
        <v>44211.773055555554</v>
      </c>
      <c r="AJ1505">
        <v>176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14</v>
      </c>
      <c r="AQ1505">
        <v>0</v>
      </c>
      <c r="AR1505">
        <v>0</v>
      </c>
      <c r="AS1505">
        <v>0</v>
      </c>
      <c r="AT1505" t="s">
        <v>90</v>
      </c>
      <c r="AU1505" s="1">
        <v>44215.341562499998</v>
      </c>
      <c r="AV1505">
        <v>20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14</v>
      </c>
      <c r="BC1505">
        <v>0</v>
      </c>
      <c r="BD1505">
        <v>0</v>
      </c>
      <c r="BE1505">
        <v>0</v>
      </c>
    </row>
    <row r="1506" spans="1:57" x14ac:dyDescent="0.45">
      <c r="A1506" t="s">
        <v>3741</v>
      </c>
      <c r="B1506" t="s">
        <v>79</v>
      </c>
      <c r="C1506" t="s">
        <v>634</v>
      </c>
      <c r="D1506" t="s">
        <v>81</v>
      </c>
      <c r="E1506" s="2" t="str">
        <f>HYPERLINK("capsilon://?command=openfolder&amp;siteaddress=FAM.docvelocity-na8.net&amp;folderid=FX49688E95-6606-8009-48D8-F186AA7A2DCA","FX2101500")</f>
        <v>FX2101500</v>
      </c>
      <c r="F1506" t="s">
        <v>19</v>
      </c>
      <c r="G1506" t="s">
        <v>19</v>
      </c>
      <c r="H1506" t="s">
        <v>82</v>
      </c>
      <c r="I1506" t="s">
        <v>3742</v>
      </c>
      <c r="J1506">
        <v>26</v>
      </c>
      <c r="K1506" t="s">
        <v>84</v>
      </c>
      <c r="L1506" t="s">
        <v>85</v>
      </c>
      <c r="M1506" t="s">
        <v>86</v>
      </c>
      <c r="N1506">
        <v>3</v>
      </c>
      <c r="O1506" s="1">
        <v>44211.745081018518</v>
      </c>
      <c r="P1506" s="1">
        <v>44215.341608796298</v>
      </c>
      <c r="Q1506">
        <v>309271</v>
      </c>
      <c r="R1506">
        <v>1469</v>
      </c>
      <c r="S1506" t="b">
        <v>0</v>
      </c>
      <c r="T1506" t="s">
        <v>87</v>
      </c>
      <c r="U1506" t="b">
        <v>0</v>
      </c>
      <c r="V1506" t="s">
        <v>146</v>
      </c>
      <c r="W1506" s="1">
        <v>44211.764050925929</v>
      </c>
      <c r="X1506">
        <v>1353</v>
      </c>
      <c r="Y1506">
        <v>21</v>
      </c>
      <c r="Z1506">
        <v>0</v>
      </c>
      <c r="AA1506">
        <v>21</v>
      </c>
      <c r="AB1506">
        <v>0</v>
      </c>
      <c r="AC1506">
        <v>16</v>
      </c>
      <c r="AD1506">
        <v>5</v>
      </c>
      <c r="AE1506">
        <v>0</v>
      </c>
      <c r="AF1506">
        <v>0</v>
      </c>
      <c r="AG1506">
        <v>0</v>
      </c>
      <c r="AH1506" t="s">
        <v>147</v>
      </c>
      <c r="AI1506" s="1">
        <v>44211.765393518515</v>
      </c>
      <c r="AJ1506">
        <v>113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5</v>
      </c>
      <c r="AQ1506">
        <v>0</v>
      </c>
      <c r="AR1506">
        <v>0</v>
      </c>
      <c r="AS1506">
        <v>0</v>
      </c>
      <c r="AT1506" t="s">
        <v>90</v>
      </c>
      <c r="AU1506" s="1">
        <v>44215.341608796298</v>
      </c>
      <c r="AV1506">
        <v>3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5</v>
      </c>
      <c r="BC1506">
        <v>0</v>
      </c>
      <c r="BD1506">
        <v>0</v>
      </c>
      <c r="BE1506">
        <v>0</v>
      </c>
    </row>
    <row r="1507" spans="1:57" hidden="1" x14ac:dyDescent="0.45">
      <c r="A1507" t="s">
        <v>3743</v>
      </c>
      <c r="B1507" t="s">
        <v>79</v>
      </c>
      <c r="C1507" t="s">
        <v>3744</v>
      </c>
      <c r="D1507" t="s">
        <v>81</v>
      </c>
      <c r="E1507" s="2" t="str">
        <f>HYPERLINK("capsilon://?command=openfolder&amp;siteaddress=FAM.docvelocity-na8.net&amp;folderid=FX96848556-A52A-CFD9-8E9D-D490B9378824","FX2012982")</f>
        <v>FX2012982</v>
      </c>
      <c r="F1507" t="s">
        <v>19</v>
      </c>
      <c r="G1507" t="s">
        <v>19</v>
      </c>
      <c r="H1507" t="s">
        <v>82</v>
      </c>
      <c r="I1507" t="s">
        <v>3745</v>
      </c>
      <c r="J1507">
        <v>66</v>
      </c>
      <c r="K1507" t="s">
        <v>84</v>
      </c>
      <c r="L1507" t="s">
        <v>85</v>
      </c>
      <c r="M1507" t="s">
        <v>86</v>
      </c>
      <c r="N1507">
        <v>1</v>
      </c>
      <c r="O1507" s="1">
        <v>44211.745358796295</v>
      </c>
      <c r="P1507" s="1">
        <v>44211.751956018517</v>
      </c>
      <c r="Q1507">
        <v>517</v>
      </c>
      <c r="R1507">
        <v>53</v>
      </c>
      <c r="S1507" t="b">
        <v>0</v>
      </c>
      <c r="T1507" t="s">
        <v>87</v>
      </c>
      <c r="U1507" t="b">
        <v>0</v>
      </c>
      <c r="V1507" t="s">
        <v>168</v>
      </c>
      <c r="W1507" s="1">
        <v>44211.751956018517</v>
      </c>
      <c r="X1507">
        <v>33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66</v>
      </c>
      <c r="AE1507">
        <v>52</v>
      </c>
      <c r="AF1507">
        <v>0</v>
      </c>
      <c r="AG1507">
        <v>1</v>
      </c>
      <c r="AH1507" t="s">
        <v>87</v>
      </c>
      <c r="AI1507" t="s">
        <v>87</v>
      </c>
      <c r="AJ1507" t="s">
        <v>87</v>
      </c>
      <c r="AK1507" t="s">
        <v>87</v>
      </c>
      <c r="AL1507" t="s">
        <v>87</v>
      </c>
      <c r="AM1507" t="s">
        <v>87</v>
      </c>
      <c r="AN1507" t="s">
        <v>87</v>
      </c>
      <c r="AO1507" t="s">
        <v>87</v>
      </c>
      <c r="AP1507" t="s">
        <v>87</v>
      </c>
      <c r="AQ1507" t="s">
        <v>87</v>
      </c>
      <c r="AR1507" t="s">
        <v>87</v>
      </c>
      <c r="AS1507" t="s">
        <v>87</v>
      </c>
      <c r="AT1507" t="s">
        <v>87</v>
      </c>
      <c r="AU1507" t="s">
        <v>87</v>
      </c>
      <c r="AV1507" t="s">
        <v>87</v>
      </c>
      <c r="AW1507" t="s">
        <v>87</v>
      </c>
      <c r="AX1507" t="s">
        <v>87</v>
      </c>
      <c r="AY1507" t="s">
        <v>87</v>
      </c>
      <c r="AZ1507" t="s">
        <v>87</v>
      </c>
      <c r="BA1507" t="s">
        <v>87</v>
      </c>
      <c r="BB1507" t="s">
        <v>87</v>
      </c>
      <c r="BC1507" t="s">
        <v>87</v>
      </c>
      <c r="BD1507" t="s">
        <v>87</v>
      </c>
      <c r="BE1507" t="s">
        <v>87</v>
      </c>
    </row>
    <row r="1508" spans="1:57" x14ac:dyDescent="0.45">
      <c r="A1508" t="s">
        <v>3746</v>
      </c>
      <c r="B1508" t="s">
        <v>79</v>
      </c>
      <c r="C1508" t="s">
        <v>3281</v>
      </c>
      <c r="D1508" t="s">
        <v>81</v>
      </c>
      <c r="E1508" s="2" t="str">
        <f>HYPERLINK("capsilon://?command=openfolder&amp;siteaddress=FAM.docvelocity-na8.net&amp;folderid=FX99EC845C-AEB1-33DF-777F-EB2A14AD452E","FX21018249")</f>
        <v>FX21018249</v>
      </c>
      <c r="F1508" t="s">
        <v>19</v>
      </c>
      <c r="G1508" t="s">
        <v>19</v>
      </c>
      <c r="H1508" t="s">
        <v>82</v>
      </c>
      <c r="I1508" t="s">
        <v>3747</v>
      </c>
      <c r="J1508">
        <v>66</v>
      </c>
      <c r="K1508" t="s">
        <v>84</v>
      </c>
      <c r="L1508" t="s">
        <v>85</v>
      </c>
      <c r="M1508" t="s">
        <v>86</v>
      </c>
      <c r="N1508">
        <v>3</v>
      </c>
      <c r="O1508" s="1">
        <v>44211.745682870373</v>
      </c>
      <c r="P1508" s="1">
        <v>44215.342430555553</v>
      </c>
      <c r="Q1508">
        <v>309804</v>
      </c>
      <c r="R1508">
        <v>955</v>
      </c>
      <c r="S1508" t="b">
        <v>0</v>
      </c>
      <c r="T1508" t="s">
        <v>87</v>
      </c>
      <c r="U1508" t="b">
        <v>0</v>
      </c>
      <c r="V1508" t="s">
        <v>168</v>
      </c>
      <c r="W1508" s="1">
        <v>44211.76017361111</v>
      </c>
      <c r="X1508">
        <v>709</v>
      </c>
      <c r="Y1508">
        <v>52</v>
      </c>
      <c r="Z1508">
        <v>0</v>
      </c>
      <c r="AA1508">
        <v>52</v>
      </c>
      <c r="AB1508">
        <v>0</v>
      </c>
      <c r="AC1508">
        <v>33</v>
      </c>
      <c r="AD1508">
        <v>14</v>
      </c>
      <c r="AE1508">
        <v>0</v>
      </c>
      <c r="AF1508">
        <v>0</v>
      </c>
      <c r="AG1508">
        <v>0</v>
      </c>
      <c r="AH1508" t="s">
        <v>147</v>
      </c>
      <c r="AI1508" s="1">
        <v>44211.764085648145</v>
      </c>
      <c r="AJ1508">
        <v>176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14</v>
      </c>
      <c r="AQ1508">
        <v>0</v>
      </c>
      <c r="AR1508">
        <v>0</v>
      </c>
      <c r="AS1508">
        <v>0</v>
      </c>
      <c r="AT1508" t="s">
        <v>90</v>
      </c>
      <c r="AU1508" s="1">
        <v>44215.342430555553</v>
      </c>
      <c r="AV1508">
        <v>70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14</v>
      </c>
      <c r="BC1508">
        <v>0</v>
      </c>
      <c r="BD1508">
        <v>0</v>
      </c>
      <c r="BE1508">
        <v>0</v>
      </c>
    </row>
    <row r="1509" spans="1:57" hidden="1" x14ac:dyDescent="0.45">
      <c r="A1509" t="s">
        <v>3748</v>
      </c>
      <c r="B1509" t="s">
        <v>79</v>
      </c>
      <c r="C1509" t="s">
        <v>3744</v>
      </c>
      <c r="D1509" t="s">
        <v>81</v>
      </c>
      <c r="E1509" s="2" t="str">
        <f>HYPERLINK("capsilon://?command=openfolder&amp;siteaddress=FAM.docvelocity-na8.net&amp;folderid=FX96848556-A52A-CFD9-8E9D-D490B9378824","FX2012982")</f>
        <v>FX2012982</v>
      </c>
      <c r="F1509" t="s">
        <v>19</v>
      </c>
      <c r="G1509" t="s">
        <v>19</v>
      </c>
      <c r="H1509" t="s">
        <v>82</v>
      </c>
      <c r="I1509" t="s">
        <v>3749</v>
      </c>
      <c r="J1509">
        <v>66</v>
      </c>
      <c r="K1509" t="s">
        <v>84</v>
      </c>
      <c r="L1509" t="s">
        <v>85</v>
      </c>
      <c r="M1509" t="s">
        <v>86</v>
      </c>
      <c r="N1509">
        <v>1</v>
      </c>
      <c r="O1509" s="1">
        <v>44211.746990740743</v>
      </c>
      <c r="P1509" s="1">
        <v>44211.760266203702</v>
      </c>
      <c r="Q1509">
        <v>949</v>
      </c>
      <c r="R1509">
        <v>198</v>
      </c>
      <c r="S1509" t="b">
        <v>0</v>
      </c>
      <c r="T1509" t="s">
        <v>87</v>
      </c>
      <c r="U1509" t="b">
        <v>0</v>
      </c>
      <c r="V1509" t="s">
        <v>179</v>
      </c>
      <c r="W1509" s="1">
        <v>44211.760266203702</v>
      </c>
      <c r="X1509">
        <v>198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66</v>
      </c>
      <c r="AE1509">
        <v>52</v>
      </c>
      <c r="AF1509">
        <v>0</v>
      </c>
      <c r="AG1509">
        <v>1</v>
      </c>
      <c r="AH1509" t="s">
        <v>87</v>
      </c>
      <c r="AI1509" t="s">
        <v>87</v>
      </c>
      <c r="AJ1509" t="s">
        <v>87</v>
      </c>
      <c r="AK1509" t="s">
        <v>87</v>
      </c>
      <c r="AL1509" t="s">
        <v>87</v>
      </c>
      <c r="AM1509" t="s">
        <v>87</v>
      </c>
      <c r="AN1509" t="s">
        <v>87</v>
      </c>
      <c r="AO1509" t="s">
        <v>87</v>
      </c>
      <c r="AP1509" t="s">
        <v>87</v>
      </c>
      <c r="AQ1509" t="s">
        <v>87</v>
      </c>
      <c r="AR1509" t="s">
        <v>87</v>
      </c>
      <c r="AS1509" t="s">
        <v>87</v>
      </c>
      <c r="AT1509" t="s">
        <v>87</v>
      </c>
      <c r="AU1509" t="s">
        <v>87</v>
      </c>
      <c r="AV1509" t="s">
        <v>87</v>
      </c>
      <c r="AW1509" t="s">
        <v>87</v>
      </c>
      <c r="AX1509" t="s">
        <v>87</v>
      </c>
      <c r="AY1509" t="s">
        <v>87</v>
      </c>
      <c r="AZ1509" t="s">
        <v>87</v>
      </c>
      <c r="BA1509" t="s">
        <v>87</v>
      </c>
      <c r="BB1509" t="s">
        <v>87</v>
      </c>
      <c r="BC1509" t="s">
        <v>87</v>
      </c>
      <c r="BD1509" t="s">
        <v>87</v>
      </c>
      <c r="BE1509" t="s">
        <v>87</v>
      </c>
    </row>
    <row r="1510" spans="1:57" x14ac:dyDescent="0.45">
      <c r="A1510" t="s">
        <v>3750</v>
      </c>
      <c r="B1510" t="s">
        <v>79</v>
      </c>
      <c r="C1510" t="s">
        <v>2497</v>
      </c>
      <c r="D1510" t="s">
        <v>81</v>
      </c>
      <c r="E1510" s="2" t="str">
        <f>HYPERLINK("capsilon://?command=openfolder&amp;siteaddress=FAM.docvelocity-na8.net&amp;folderid=FX56E93365-25A3-4F38-964F-D9E051322723","FX201227901")</f>
        <v>FX201227901</v>
      </c>
      <c r="F1510" t="s">
        <v>19</v>
      </c>
      <c r="G1510" t="s">
        <v>19</v>
      </c>
      <c r="H1510" t="s">
        <v>82</v>
      </c>
      <c r="I1510" t="s">
        <v>3751</v>
      </c>
      <c r="J1510">
        <v>66</v>
      </c>
      <c r="K1510" t="s">
        <v>84</v>
      </c>
      <c r="L1510" t="s">
        <v>85</v>
      </c>
      <c r="M1510" t="s">
        <v>86</v>
      </c>
      <c r="N1510">
        <v>3</v>
      </c>
      <c r="O1510" s="1">
        <v>44211.74900462963</v>
      </c>
      <c r="P1510" s="1">
        <v>44215.342534722222</v>
      </c>
      <c r="Q1510">
        <v>309816</v>
      </c>
      <c r="R1510">
        <v>665</v>
      </c>
      <c r="S1510" t="b">
        <v>0</v>
      </c>
      <c r="T1510" t="s">
        <v>87</v>
      </c>
      <c r="U1510" t="b">
        <v>0</v>
      </c>
      <c r="V1510" t="s">
        <v>259</v>
      </c>
      <c r="W1510" s="1">
        <v>44211.763043981482</v>
      </c>
      <c r="X1510">
        <v>408</v>
      </c>
      <c r="Y1510">
        <v>52</v>
      </c>
      <c r="Z1510">
        <v>0</v>
      </c>
      <c r="AA1510">
        <v>52</v>
      </c>
      <c r="AB1510">
        <v>0</v>
      </c>
      <c r="AC1510">
        <v>29</v>
      </c>
      <c r="AD1510">
        <v>14</v>
      </c>
      <c r="AE1510">
        <v>0</v>
      </c>
      <c r="AF1510">
        <v>0</v>
      </c>
      <c r="AG1510">
        <v>0</v>
      </c>
      <c r="AH1510" t="s">
        <v>147</v>
      </c>
      <c r="AI1510" s="1">
        <v>44211.768275462964</v>
      </c>
      <c r="AJ1510">
        <v>249</v>
      </c>
      <c r="AK1510">
        <v>3</v>
      </c>
      <c r="AL1510">
        <v>0</v>
      </c>
      <c r="AM1510">
        <v>3</v>
      </c>
      <c r="AN1510">
        <v>0</v>
      </c>
      <c r="AO1510">
        <v>2</v>
      </c>
      <c r="AP1510">
        <v>11</v>
      </c>
      <c r="AQ1510">
        <v>0</v>
      </c>
      <c r="AR1510">
        <v>0</v>
      </c>
      <c r="AS1510">
        <v>0</v>
      </c>
      <c r="AT1510" t="s">
        <v>90</v>
      </c>
      <c r="AU1510" s="1">
        <v>44215.342534722222</v>
      </c>
      <c r="AV1510">
        <v>8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11</v>
      </c>
      <c r="BC1510">
        <v>0</v>
      </c>
      <c r="BD1510">
        <v>0</v>
      </c>
      <c r="BE1510">
        <v>0</v>
      </c>
    </row>
    <row r="1511" spans="1:57" x14ac:dyDescent="0.45">
      <c r="A1511" t="s">
        <v>3752</v>
      </c>
      <c r="B1511" t="s">
        <v>79</v>
      </c>
      <c r="C1511" t="s">
        <v>2682</v>
      </c>
      <c r="D1511" t="s">
        <v>81</v>
      </c>
      <c r="E1511" s="2" t="str">
        <f>HYPERLINK("capsilon://?command=openfolder&amp;siteaddress=FAM.docvelocity-na8.net&amp;folderid=FXA5400BB4-6D98-933A-2A29-87221A9733B3","FX21017766")</f>
        <v>FX21017766</v>
      </c>
      <c r="F1511" t="s">
        <v>19</v>
      </c>
      <c r="G1511" t="s">
        <v>19</v>
      </c>
      <c r="H1511" t="s">
        <v>82</v>
      </c>
      <c r="I1511" t="s">
        <v>3753</v>
      </c>
      <c r="J1511">
        <v>66</v>
      </c>
      <c r="K1511" t="s">
        <v>84</v>
      </c>
      <c r="L1511" t="s">
        <v>85</v>
      </c>
      <c r="M1511" t="s">
        <v>86</v>
      </c>
      <c r="N1511">
        <v>3</v>
      </c>
      <c r="O1511" s="1">
        <v>44211.749490740738</v>
      </c>
      <c r="P1511" s="1">
        <v>44215.342731481483</v>
      </c>
      <c r="Q1511">
        <v>308770</v>
      </c>
      <c r="R1511">
        <v>1686</v>
      </c>
      <c r="S1511" t="b">
        <v>0</v>
      </c>
      <c r="T1511" t="s">
        <v>87</v>
      </c>
      <c r="U1511" t="b">
        <v>0</v>
      </c>
      <c r="V1511" t="s">
        <v>168</v>
      </c>
      <c r="W1511" s="1">
        <v>44211.772592592592</v>
      </c>
      <c r="X1511">
        <v>1072</v>
      </c>
      <c r="Y1511">
        <v>52</v>
      </c>
      <c r="Z1511">
        <v>0</v>
      </c>
      <c r="AA1511">
        <v>52</v>
      </c>
      <c r="AB1511">
        <v>0</v>
      </c>
      <c r="AC1511">
        <v>28</v>
      </c>
      <c r="AD1511">
        <v>14</v>
      </c>
      <c r="AE1511">
        <v>0</v>
      </c>
      <c r="AF1511">
        <v>0</v>
      </c>
      <c r="AG1511">
        <v>0</v>
      </c>
      <c r="AH1511" t="s">
        <v>128</v>
      </c>
      <c r="AI1511" s="1">
        <v>44211.781365740739</v>
      </c>
      <c r="AJ1511">
        <v>179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14</v>
      </c>
      <c r="AQ1511">
        <v>0</v>
      </c>
      <c r="AR1511">
        <v>0</v>
      </c>
      <c r="AS1511">
        <v>0</v>
      </c>
      <c r="AT1511" t="s">
        <v>90</v>
      </c>
      <c r="AU1511" s="1">
        <v>44215.342731481483</v>
      </c>
      <c r="AV1511">
        <v>17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14</v>
      </c>
      <c r="BC1511">
        <v>0</v>
      </c>
      <c r="BD1511">
        <v>0</v>
      </c>
      <c r="BE1511">
        <v>0</v>
      </c>
    </row>
    <row r="1512" spans="1:57" x14ac:dyDescent="0.45">
      <c r="A1512" t="s">
        <v>3754</v>
      </c>
      <c r="B1512" t="s">
        <v>79</v>
      </c>
      <c r="C1512" t="s">
        <v>3744</v>
      </c>
      <c r="D1512" t="s">
        <v>81</v>
      </c>
      <c r="E1512" s="2" t="str">
        <f>HYPERLINK("capsilon://?command=openfolder&amp;siteaddress=FAM.docvelocity-na8.net&amp;folderid=FX96848556-A52A-CFD9-8E9D-D490B9378824","FX2012982")</f>
        <v>FX2012982</v>
      </c>
      <c r="F1512" t="s">
        <v>19</v>
      </c>
      <c r="G1512" t="s">
        <v>19</v>
      </c>
      <c r="H1512" t="s">
        <v>82</v>
      </c>
      <c r="I1512" t="s">
        <v>3745</v>
      </c>
      <c r="J1512">
        <v>38</v>
      </c>
      <c r="K1512" t="s">
        <v>84</v>
      </c>
      <c r="L1512" t="s">
        <v>85</v>
      </c>
      <c r="M1512" t="s">
        <v>86</v>
      </c>
      <c r="N1512">
        <v>3</v>
      </c>
      <c r="O1512" s="1">
        <v>44211.752199074072</v>
      </c>
      <c r="P1512" s="1">
        <v>44215.332233796296</v>
      </c>
      <c r="Q1512">
        <v>308661</v>
      </c>
      <c r="R1512">
        <v>654</v>
      </c>
      <c r="S1512" t="b">
        <v>0</v>
      </c>
      <c r="T1512" t="s">
        <v>87</v>
      </c>
      <c r="U1512" t="b">
        <v>1</v>
      </c>
      <c r="V1512" t="s">
        <v>259</v>
      </c>
      <c r="W1512" s="1">
        <v>44211.758310185185</v>
      </c>
      <c r="X1512">
        <v>498</v>
      </c>
      <c r="Y1512">
        <v>37</v>
      </c>
      <c r="Z1512">
        <v>0</v>
      </c>
      <c r="AA1512">
        <v>37</v>
      </c>
      <c r="AB1512">
        <v>0</v>
      </c>
      <c r="AC1512">
        <v>34</v>
      </c>
      <c r="AD1512">
        <v>1</v>
      </c>
      <c r="AE1512">
        <v>0</v>
      </c>
      <c r="AF1512">
        <v>0</v>
      </c>
      <c r="AG1512">
        <v>0</v>
      </c>
      <c r="AH1512" t="s">
        <v>128</v>
      </c>
      <c r="AI1512" s="1">
        <v>44211.761469907404</v>
      </c>
      <c r="AJ1512">
        <v>148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 t="s">
        <v>90</v>
      </c>
      <c r="AU1512" s="1">
        <v>44215.332233796296</v>
      </c>
      <c r="AV1512">
        <v>8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</row>
    <row r="1513" spans="1:57" x14ac:dyDescent="0.45">
      <c r="A1513" t="s">
        <v>3755</v>
      </c>
      <c r="B1513" t="s">
        <v>79</v>
      </c>
      <c r="C1513" t="s">
        <v>2215</v>
      </c>
      <c r="D1513" t="s">
        <v>81</v>
      </c>
      <c r="E1513" s="2" t="str">
        <f>HYPERLINK("capsilon://?command=openfolder&amp;siteaddress=FAM.docvelocity-na8.net&amp;folderid=FX836FED4F-215B-446B-1405-EA5FAC9A9410","FX21014502")</f>
        <v>FX21014502</v>
      </c>
      <c r="F1513" t="s">
        <v>19</v>
      </c>
      <c r="G1513" t="s">
        <v>19</v>
      </c>
      <c r="H1513" t="s">
        <v>82</v>
      </c>
      <c r="I1513" t="s">
        <v>3756</v>
      </c>
      <c r="J1513">
        <v>66</v>
      </c>
      <c r="K1513" t="s">
        <v>84</v>
      </c>
      <c r="L1513" t="s">
        <v>85</v>
      </c>
      <c r="M1513" t="s">
        <v>86</v>
      </c>
      <c r="N1513">
        <v>3</v>
      </c>
      <c r="O1513" s="1">
        <v>44211.752210648148</v>
      </c>
      <c r="P1513" s="1">
        <v>44215.343090277776</v>
      </c>
      <c r="Q1513">
        <v>308429</v>
      </c>
      <c r="R1513">
        <v>1823</v>
      </c>
      <c r="S1513" t="b">
        <v>0</v>
      </c>
      <c r="T1513" t="s">
        <v>87</v>
      </c>
      <c r="U1513" t="b">
        <v>0</v>
      </c>
      <c r="V1513" t="s">
        <v>179</v>
      </c>
      <c r="W1513" s="1">
        <v>44211.778101851851</v>
      </c>
      <c r="X1513">
        <v>1541</v>
      </c>
      <c r="Y1513">
        <v>52</v>
      </c>
      <c r="Z1513">
        <v>0</v>
      </c>
      <c r="AA1513">
        <v>52</v>
      </c>
      <c r="AB1513">
        <v>0</v>
      </c>
      <c r="AC1513">
        <v>40</v>
      </c>
      <c r="AD1513">
        <v>14</v>
      </c>
      <c r="AE1513">
        <v>0</v>
      </c>
      <c r="AF1513">
        <v>0</v>
      </c>
      <c r="AG1513">
        <v>0</v>
      </c>
      <c r="AH1513" t="s">
        <v>147</v>
      </c>
      <c r="AI1513" s="1">
        <v>44211.781226851854</v>
      </c>
      <c r="AJ1513">
        <v>252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14</v>
      </c>
      <c r="AQ1513">
        <v>0</v>
      </c>
      <c r="AR1513">
        <v>0</v>
      </c>
      <c r="AS1513">
        <v>0</v>
      </c>
      <c r="AT1513" t="s">
        <v>90</v>
      </c>
      <c r="AU1513" s="1">
        <v>44215.343090277776</v>
      </c>
      <c r="AV1513">
        <v>30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14</v>
      </c>
      <c r="BC1513">
        <v>0</v>
      </c>
      <c r="BD1513">
        <v>0</v>
      </c>
      <c r="BE1513">
        <v>0</v>
      </c>
    </row>
    <row r="1514" spans="1:57" x14ac:dyDescent="0.45">
      <c r="A1514" t="s">
        <v>3757</v>
      </c>
      <c r="B1514" t="s">
        <v>79</v>
      </c>
      <c r="C1514" t="s">
        <v>2049</v>
      </c>
      <c r="D1514" t="s">
        <v>81</v>
      </c>
      <c r="E1514" s="2" t="str">
        <f>HYPERLINK("capsilon://?command=openfolder&amp;siteaddress=FAM.docvelocity-na8.net&amp;folderid=FX675CA0EC-E96D-E5C8-1C8A-720D11B9CFA0","FX21012672")</f>
        <v>FX21012672</v>
      </c>
      <c r="F1514" t="s">
        <v>19</v>
      </c>
      <c r="G1514" t="s">
        <v>19</v>
      </c>
      <c r="H1514" t="s">
        <v>82</v>
      </c>
      <c r="I1514" t="s">
        <v>3758</v>
      </c>
      <c r="J1514">
        <v>66</v>
      </c>
      <c r="K1514" t="s">
        <v>84</v>
      </c>
      <c r="L1514" t="s">
        <v>85</v>
      </c>
      <c r="M1514" t="s">
        <v>86</v>
      </c>
      <c r="N1514">
        <v>3</v>
      </c>
      <c r="O1514" s="1">
        <v>44211.752534722225</v>
      </c>
      <c r="P1514" s="1">
        <v>44215.343449074076</v>
      </c>
      <c r="Q1514">
        <v>306514</v>
      </c>
      <c r="R1514">
        <v>3741</v>
      </c>
      <c r="S1514" t="b">
        <v>0</v>
      </c>
      <c r="T1514" t="s">
        <v>87</v>
      </c>
      <c r="U1514" t="b">
        <v>0</v>
      </c>
      <c r="V1514" t="s">
        <v>146</v>
      </c>
      <c r="W1514" s="1">
        <v>44211.799212962964</v>
      </c>
      <c r="X1514">
        <v>3037</v>
      </c>
      <c r="Y1514">
        <v>52</v>
      </c>
      <c r="Z1514">
        <v>0</v>
      </c>
      <c r="AA1514">
        <v>52</v>
      </c>
      <c r="AB1514">
        <v>0</v>
      </c>
      <c r="AC1514">
        <v>35</v>
      </c>
      <c r="AD1514">
        <v>14</v>
      </c>
      <c r="AE1514">
        <v>0</v>
      </c>
      <c r="AF1514">
        <v>0</v>
      </c>
      <c r="AG1514">
        <v>0</v>
      </c>
      <c r="AH1514" t="s">
        <v>147</v>
      </c>
      <c r="AI1514" s="1">
        <v>44211.811909722222</v>
      </c>
      <c r="AJ1514">
        <v>674</v>
      </c>
      <c r="AK1514">
        <v>3</v>
      </c>
      <c r="AL1514">
        <v>0</v>
      </c>
      <c r="AM1514">
        <v>3</v>
      </c>
      <c r="AN1514">
        <v>0</v>
      </c>
      <c r="AO1514">
        <v>3</v>
      </c>
      <c r="AP1514">
        <v>11</v>
      </c>
      <c r="AQ1514">
        <v>0</v>
      </c>
      <c r="AR1514">
        <v>0</v>
      </c>
      <c r="AS1514">
        <v>0</v>
      </c>
      <c r="AT1514" t="s">
        <v>90</v>
      </c>
      <c r="AU1514" s="1">
        <v>44215.343449074076</v>
      </c>
      <c r="AV1514">
        <v>30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11</v>
      </c>
      <c r="BC1514">
        <v>0</v>
      </c>
      <c r="BD1514">
        <v>0</v>
      </c>
      <c r="BE1514">
        <v>0</v>
      </c>
    </row>
    <row r="1515" spans="1:57" x14ac:dyDescent="0.45">
      <c r="A1515" t="s">
        <v>3759</v>
      </c>
      <c r="B1515" t="s">
        <v>79</v>
      </c>
      <c r="C1515" t="s">
        <v>3760</v>
      </c>
      <c r="D1515" t="s">
        <v>81</v>
      </c>
      <c r="E1515" s="2" t="str">
        <f>HYPERLINK("capsilon://?command=openfolder&amp;siteaddress=FAM.docvelocity-na8.net&amp;folderid=FXC5B558DA-92E2-3130-54AC-DDFF292FE027","FX201228658")</f>
        <v>FX201228658</v>
      </c>
      <c r="F1515" t="s">
        <v>19</v>
      </c>
      <c r="G1515" t="s">
        <v>19</v>
      </c>
      <c r="H1515" t="s">
        <v>82</v>
      </c>
      <c r="I1515" t="s">
        <v>3761</v>
      </c>
      <c r="J1515">
        <v>304</v>
      </c>
      <c r="K1515" t="s">
        <v>84</v>
      </c>
      <c r="L1515" t="s">
        <v>85</v>
      </c>
      <c r="M1515" t="s">
        <v>86</v>
      </c>
      <c r="N1515">
        <v>3</v>
      </c>
      <c r="O1515" s="1">
        <v>44211.753611111111</v>
      </c>
      <c r="P1515" s="1">
        <v>44215.344004629631</v>
      </c>
      <c r="Q1515">
        <v>299104</v>
      </c>
      <c r="R1515">
        <v>11106</v>
      </c>
      <c r="S1515" t="b">
        <v>0</v>
      </c>
      <c r="T1515" t="s">
        <v>87</v>
      </c>
      <c r="U1515" t="b">
        <v>0</v>
      </c>
      <c r="V1515" t="s">
        <v>142</v>
      </c>
      <c r="W1515" s="1">
        <v>44211.893078703702</v>
      </c>
      <c r="X1515">
        <v>5587</v>
      </c>
      <c r="Y1515">
        <v>398</v>
      </c>
      <c r="Z1515">
        <v>0</v>
      </c>
      <c r="AA1515">
        <v>398</v>
      </c>
      <c r="AB1515">
        <v>0</v>
      </c>
      <c r="AC1515">
        <v>354</v>
      </c>
      <c r="AD1515">
        <v>-94</v>
      </c>
      <c r="AE1515">
        <v>0</v>
      </c>
      <c r="AF1515">
        <v>0</v>
      </c>
      <c r="AG1515">
        <v>0</v>
      </c>
      <c r="AH1515" t="s">
        <v>89</v>
      </c>
      <c r="AI1515" s="1">
        <v>44215.218842592592</v>
      </c>
      <c r="AJ1515">
        <v>5366</v>
      </c>
      <c r="AK1515">
        <v>7</v>
      </c>
      <c r="AL1515">
        <v>0</v>
      </c>
      <c r="AM1515">
        <v>7</v>
      </c>
      <c r="AN1515">
        <v>0</v>
      </c>
      <c r="AO1515">
        <v>7</v>
      </c>
      <c r="AP1515">
        <v>-101</v>
      </c>
      <c r="AQ1515">
        <v>0</v>
      </c>
      <c r="AR1515">
        <v>0</v>
      </c>
      <c r="AS1515">
        <v>0</v>
      </c>
      <c r="AT1515" t="s">
        <v>90</v>
      </c>
      <c r="AU1515" s="1">
        <v>44215.344004629631</v>
      </c>
      <c r="AV1515">
        <v>48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-101</v>
      </c>
      <c r="BC1515">
        <v>0</v>
      </c>
      <c r="BD1515">
        <v>0</v>
      </c>
      <c r="BE1515">
        <v>0</v>
      </c>
    </row>
    <row r="1516" spans="1:57" hidden="1" x14ac:dyDescent="0.45">
      <c r="A1516" t="s">
        <v>3762</v>
      </c>
      <c r="B1516" t="s">
        <v>79</v>
      </c>
      <c r="C1516" t="s">
        <v>2337</v>
      </c>
      <c r="D1516" t="s">
        <v>81</v>
      </c>
      <c r="E1516" s="2" t="str">
        <f>HYPERLINK("capsilon://?command=openfolder&amp;siteaddress=FAM.docvelocity-na8.net&amp;folderid=FXD29E1D51-DCE4-E31F-005E-3354B6179FC9","FX201225797")</f>
        <v>FX201225797</v>
      </c>
      <c r="F1516" t="s">
        <v>19</v>
      </c>
      <c r="G1516" t="s">
        <v>19</v>
      </c>
      <c r="H1516" t="s">
        <v>82</v>
      </c>
      <c r="I1516" t="s">
        <v>3763</v>
      </c>
      <c r="J1516">
        <v>66</v>
      </c>
      <c r="K1516" t="s">
        <v>84</v>
      </c>
      <c r="L1516" t="s">
        <v>85</v>
      </c>
      <c r="M1516" t="s">
        <v>86</v>
      </c>
      <c r="N1516">
        <v>1</v>
      </c>
      <c r="O1516" s="1">
        <v>44211.757557870369</v>
      </c>
      <c r="P1516" s="1">
        <v>44211.774340277778</v>
      </c>
      <c r="Q1516">
        <v>1309</v>
      </c>
      <c r="R1516">
        <v>141</v>
      </c>
      <c r="S1516" t="b">
        <v>0</v>
      </c>
      <c r="T1516" t="s">
        <v>87</v>
      </c>
      <c r="U1516" t="b">
        <v>0</v>
      </c>
      <c r="V1516" t="s">
        <v>160</v>
      </c>
      <c r="W1516" s="1">
        <v>44211.774340277778</v>
      </c>
      <c r="X1516">
        <v>141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66</v>
      </c>
      <c r="AE1516">
        <v>52</v>
      </c>
      <c r="AF1516">
        <v>0</v>
      </c>
      <c r="AG1516">
        <v>1</v>
      </c>
      <c r="AH1516" t="s">
        <v>87</v>
      </c>
      <c r="AI1516" t="s">
        <v>87</v>
      </c>
      <c r="AJ1516" t="s">
        <v>87</v>
      </c>
      <c r="AK1516" t="s">
        <v>87</v>
      </c>
      <c r="AL1516" t="s">
        <v>87</v>
      </c>
      <c r="AM1516" t="s">
        <v>87</v>
      </c>
      <c r="AN1516" t="s">
        <v>87</v>
      </c>
      <c r="AO1516" t="s">
        <v>87</v>
      </c>
      <c r="AP1516" t="s">
        <v>87</v>
      </c>
      <c r="AQ1516" t="s">
        <v>87</v>
      </c>
      <c r="AR1516" t="s">
        <v>87</v>
      </c>
      <c r="AS1516" t="s">
        <v>87</v>
      </c>
      <c r="AT1516" t="s">
        <v>87</v>
      </c>
      <c r="AU1516" t="s">
        <v>87</v>
      </c>
      <c r="AV1516" t="s">
        <v>87</v>
      </c>
      <c r="AW1516" t="s">
        <v>87</v>
      </c>
      <c r="AX1516" t="s">
        <v>87</v>
      </c>
      <c r="AY1516" t="s">
        <v>87</v>
      </c>
      <c r="AZ1516" t="s">
        <v>87</v>
      </c>
      <c r="BA1516" t="s">
        <v>87</v>
      </c>
      <c r="BB1516" t="s">
        <v>87</v>
      </c>
      <c r="BC1516" t="s">
        <v>87</v>
      </c>
      <c r="BD1516" t="s">
        <v>87</v>
      </c>
      <c r="BE1516" t="s">
        <v>87</v>
      </c>
    </row>
    <row r="1517" spans="1:57" x14ac:dyDescent="0.45">
      <c r="A1517" t="s">
        <v>3764</v>
      </c>
      <c r="B1517" t="s">
        <v>79</v>
      </c>
      <c r="C1517" t="s">
        <v>3744</v>
      </c>
      <c r="D1517" t="s">
        <v>81</v>
      </c>
      <c r="E1517" s="2" t="str">
        <f>HYPERLINK("capsilon://?command=openfolder&amp;siteaddress=FAM.docvelocity-na8.net&amp;folderid=FX96848556-A52A-CFD9-8E9D-D490B9378824","FX2012982")</f>
        <v>FX2012982</v>
      </c>
      <c r="F1517" t="s">
        <v>19</v>
      </c>
      <c r="G1517" t="s">
        <v>19</v>
      </c>
      <c r="H1517" t="s">
        <v>82</v>
      </c>
      <c r="I1517" t="s">
        <v>3749</v>
      </c>
      <c r="J1517">
        <v>38</v>
      </c>
      <c r="K1517" t="s">
        <v>84</v>
      </c>
      <c r="L1517" t="s">
        <v>85</v>
      </c>
      <c r="M1517" t="s">
        <v>86</v>
      </c>
      <c r="N1517">
        <v>3</v>
      </c>
      <c r="O1517" s="1">
        <v>44211.76048611111</v>
      </c>
      <c r="P1517" s="1">
        <v>44215.332303240742</v>
      </c>
      <c r="Q1517">
        <v>307770</v>
      </c>
      <c r="R1517">
        <v>835</v>
      </c>
      <c r="S1517" t="b">
        <v>0</v>
      </c>
      <c r="T1517" t="s">
        <v>87</v>
      </c>
      <c r="U1517" t="b">
        <v>1</v>
      </c>
      <c r="V1517" t="s">
        <v>259</v>
      </c>
      <c r="W1517" s="1">
        <v>44211.768125000002</v>
      </c>
      <c r="X1517">
        <v>438</v>
      </c>
      <c r="Y1517">
        <v>37</v>
      </c>
      <c r="Z1517">
        <v>0</v>
      </c>
      <c r="AA1517">
        <v>37</v>
      </c>
      <c r="AB1517">
        <v>0</v>
      </c>
      <c r="AC1517">
        <v>34</v>
      </c>
      <c r="AD1517">
        <v>1</v>
      </c>
      <c r="AE1517">
        <v>0</v>
      </c>
      <c r="AF1517">
        <v>0</v>
      </c>
      <c r="AG1517">
        <v>0</v>
      </c>
      <c r="AH1517" t="s">
        <v>147</v>
      </c>
      <c r="AI1517" s="1">
        <v>44211.772824074076</v>
      </c>
      <c r="AJ1517">
        <v>392</v>
      </c>
      <c r="AK1517">
        <v>3</v>
      </c>
      <c r="AL1517">
        <v>0</v>
      </c>
      <c r="AM1517">
        <v>3</v>
      </c>
      <c r="AN1517">
        <v>0</v>
      </c>
      <c r="AO1517">
        <v>3</v>
      </c>
      <c r="AP1517">
        <v>-2</v>
      </c>
      <c r="AQ1517">
        <v>0</v>
      </c>
      <c r="AR1517">
        <v>0</v>
      </c>
      <c r="AS1517">
        <v>0</v>
      </c>
      <c r="AT1517" t="s">
        <v>90</v>
      </c>
      <c r="AU1517" s="1">
        <v>44215.332303240742</v>
      </c>
      <c r="AV1517">
        <v>5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-2</v>
      </c>
      <c r="BC1517">
        <v>0</v>
      </c>
      <c r="BD1517">
        <v>0</v>
      </c>
      <c r="BE1517">
        <v>0</v>
      </c>
    </row>
    <row r="1518" spans="1:57" x14ac:dyDescent="0.45">
      <c r="A1518" t="s">
        <v>3765</v>
      </c>
      <c r="B1518" t="s">
        <v>79</v>
      </c>
      <c r="C1518" t="s">
        <v>1504</v>
      </c>
      <c r="D1518" t="s">
        <v>81</v>
      </c>
      <c r="E1518" s="2" t="str">
        <f>HYPERLINK("capsilon://?command=openfolder&amp;siteaddress=FAM.docvelocity-na8.net&amp;folderid=FXDA804CC3-019A-FA91-AF46-214A5D44745B","FX21013082")</f>
        <v>FX21013082</v>
      </c>
      <c r="F1518" t="s">
        <v>19</v>
      </c>
      <c r="G1518" t="s">
        <v>19</v>
      </c>
      <c r="H1518" t="s">
        <v>82</v>
      </c>
      <c r="I1518" t="s">
        <v>3766</v>
      </c>
      <c r="J1518">
        <v>66</v>
      </c>
      <c r="K1518" t="s">
        <v>84</v>
      </c>
      <c r="L1518" t="s">
        <v>85</v>
      </c>
      <c r="M1518" t="s">
        <v>86</v>
      </c>
      <c r="N1518">
        <v>3</v>
      </c>
      <c r="O1518" s="1">
        <v>44211.762094907404</v>
      </c>
      <c r="P1518" s="1">
        <v>44215.344247685185</v>
      </c>
      <c r="Q1518">
        <v>308761</v>
      </c>
      <c r="R1518">
        <v>737</v>
      </c>
      <c r="S1518" t="b">
        <v>0</v>
      </c>
      <c r="T1518" t="s">
        <v>87</v>
      </c>
      <c r="U1518" t="b">
        <v>0</v>
      </c>
      <c r="V1518" t="s">
        <v>242</v>
      </c>
      <c r="W1518" s="1">
        <v>44211.790069444447</v>
      </c>
      <c r="X1518">
        <v>638</v>
      </c>
      <c r="Y1518">
        <v>52</v>
      </c>
      <c r="Z1518">
        <v>0</v>
      </c>
      <c r="AA1518">
        <v>52</v>
      </c>
      <c r="AB1518">
        <v>0</v>
      </c>
      <c r="AC1518">
        <v>29</v>
      </c>
      <c r="AD1518">
        <v>14</v>
      </c>
      <c r="AE1518">
        <v>0</v>
      </c>
      <c r="AF1518">
        <v>0</v>
      </c>
      <c r="AG1518">
        <v>0</v>
      </c>
      <c r="AH1518" t="s">
        <v>132</v>
      </c>
      <c r="AI1518" s="1">
        <v>44211.795069444444</v>
      </c>
      <c r="AJ1518">
        <v>78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14</v>
      </c>
      <c r="AQ1518">
        <v>0</v>
      </c>
      <c r="AR1518">
        <v>0</v>
      </c>
      <c r="AS1518">
        <v>0</v>
      </c>
      <c r="AT1518" t="s">
        <v>90</v>
      </c>
      <c r="AU1518" s="1">
        <v>44215.344247685185</v>
      </c>
      <c r="AV1518">
        <v>21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14</v>
      </c>
      <c r="BC1518">
        <v>0</v>
      </c>
      <c r="BD1518">
        <v>0</v>
      </c>
      <c r="BE1518">
        <v>0</v>
      </c>
    </row>
    <row r="1519" spans="1:57" x14ac:dyDescent="0.45">
      <c r="A1519" t="s">
        <v>3767</v>
      </c>
      <c r="B1519" t="s">
        <v>79</v>
      </c>
      <c r="C1519" t="s">
        <v>3588</v>
      </c>
      <c r="D1519" t="s">
        <v>81</v>
      </c>
      <c r="E1519" s="2" t="str">
        <f>HYPERLINK("capsilon://?command=openfolder&amp;siteaddress=FAM.docvelocity-na8.net&amp;folderid=FX822C6C5F-CBA3-C4CC-857A-5EA57F5E7935","FX21019292")</f>
        <v>FX21019292</v>
      </c>
      <c r="F1519" t="s">
        <v>19</v>
      </c>
      <c r="G1519" t="s">
        <v>19</v>
      </c>
      <c r="H1519" t="s">
        <v>82</v>
      </c>
      <c r="I1519" t="s">
        <v>3768</v>
      </c>
      <c r="J1519">
        <v>66</v>
      </c>
      <c r="K1519" t="s">
        <v>84</v>
      </c>
      <c r="L1519" t="s">
        <v>85</v>
      </c>
      <c r="M1519" t="s">
        <v>86</v>
      </c>
      <c r="N1519">
        <v>3</v>
      </c>
      <c r="O1519" s="1">
        <v>44211.765381944446</v>
      </c>
      <c r="P1519" s="1">
        <v>44215.344699074078</v>
      </c>
      <c r="Q1519">
        <v>308779</v>
      </c>
      <c r="R1519">
        <v>474</v>
      </c>
      <c r="S1519" t="b">
        <v>0</v>
      </c>
      <c r="T1519" t="s">
        <v>87</v>
      </c>
      <c r="U1519" t="b">
        <v>0</v>
      </c>
      <c r="V1519" t="s">
        <v>242</v>
      </c>
      <c r="W1519" s="1">
        <v>44211.793819444443</v>
      </c>
      <c r="X1519">
        <v>323</v>
      </c>
      <c r="Y1519">
        <v>52</v>
      </c>
      <c r="Z1519">
        <v>0</v>
      </c>
      <c r="AA1519">
        <v>52</v>
      </c>
      <c r="AB1519">
        <v>0</v>
      </c>
      <c r="AC1519">
        <v>37</v>
      </c>
      <c r="AD1519">
        <v>14</v>
      </c>
      <c r="AE1519">
        <v>0</v>
      </c>
      <c r="AF1519">
        <v>0</v>
      </c>
      <c r="AG1519">
        <v>0</v>
      </c>
      <c r="AH1519" t="s">
        <v>132</v>
      </c>
      <c r="AI1519" s="1">
        <v>44211.796377314815</v>
      </c>
      <c r="AJ1519">
        <v>113</v>
      </c>
      <c r="AK1519">
        <v>2</v>
      </c>
      <c r="AL1519">
        <v>0</v>
      </c>
      <c r="AM1519">
        <v>2</v>
      </c>
      <c r="AN1519">
        <v>0</v>
      </c>
      <c r="AO1519">
        <v>1</v>
      </c>
      <c r="AP1519">
        <v>12</v>
      </c>
      <c r="AQ1519">
        <v>0</v>
      </c>
      <c r="AR1519">
        <v>0</v>
      </c>
      <c r="AS1519">
        <v>0</v>
      </c>
      <c r="AT1519" t="s">
        <v>90</v>
      </c>
      <c r="AU1519" s="1">
        <v>44215.344699074078</v>
      </c>
      <c r="AV1519">
        <v>38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12</v>
      </c>
      <c r="BC1519">
        <v>0</v>
      </c>
      <c r="BD1519">
        <v>0</v>
      </c>
      <c r="BE1519">
        <v>0</v>
      </c>
    </row>
    <row r="1520" spans="1:57" x14ac:dyDescent="0.45">
      <c r="A1520" t="s">
        <v>3769</v>
      </c>
      <c r="B1520" t="s">
        <v>79</v>
      </c>
      <c r="C1520" t="s">
        <v>2337</v>
      </c>
      <c r="D1520" t="s">
        <v>81</v>
      </c>
      <c r="E1520" s="2" t="str">
        <f>HYPERLINK("capsilon://?command=openfolder&amp;siteaddress=FAM.docvelocity-na8.net&amp;folderid=FXD29E1D51-DCE4-E31F-005E-3354B6179FC9","FX201225797")</f>
        <v>FX201225797</v>
      </c>
      <c r="F1520" t="s">
        <v>19</v>
      </c>
      <c r="G1520" t="s">
        <v>19</v>
      </c>
      <c r="H1520" t="s">
        <v>82</v>
      </c>
      <c r="I1520" t="s">
        <v>3763</v>
      </c>
      <c r="J1520">
        <v>66</v>
      </c>
      <c r="K1520" t="s">
        <v>84</v>
      </c>
      <c r="L1520" t="s">
        <v>85</v>
      </c>
      <c r="M1520" t="s">
        <v>86</v>
      </c>
      <c r="N1520">
        <v>3</v>
      </c>
      <c r="O1520" s="1">
        <v>44211.774861111109</v>
      </c>
      <c r="P1520" s="1">
        <v>44215.33258101852</v>
      </c>
      <c r="Q1520">
        <v>305491</v>
      </c>
      <c r="R1520">
        <v>1896</v>
      </c>
      <c r="S1520" t="b">
        <v>0</v>
      </c>
      <c r="T1520" t="s">
        <v>87</v>
      </c>
      <c r="U1520" t="b">
        <v>1</v>
      </c>
      <c r="V1520" t="s">
        <v>160</v>
      </c>
      <c r="W1520" s="1">
        <v>44211.795439814814</v>
      </c>
      <c r="X1520">
        <v>1773</v>
      </c>
      <c r="Y1520">
        <v>52</v>
      </c>
      <c r="Z1520">
        <v>0</v>
      </c>
      <c r="AA1520">
        <v>52</v>
      </c>
      <c r="AB1520">
        <v>0</v>
      </c>
      <c r="AC1520">
        <v>38</v>
      </c>
      <c r="AD1520">
        <v>14</v>
      </c>
      <c r="AE1520">
        <v>0</v>
      </c>
      <c r="AF1520">
        <v>0</v>
      </c>
      <c r="AG1520">
        <v>0</v>
      </c>
      <c r="AH1520" t="s">
        <v>132</v>
      </c>
      <c r="AI1520" s="1">
        <v>44211.797534722224</v>
      </c>
      <c r="AJ1520">
        <v>99</v>
      </c>
      <c r="AK1520">
        <v>1</v>
      </c>
      <c r="AL1520">
        <v>0</v>
      </c>
      <c r="AM1520">
        <v>1</v>
      </c>
      <c r="AN1520">
        <v>0</v>
      </c>
      <c r="AO1520">
        <v>1</v>
      </c>
      <c r="AP1520">
        <v>13</v>
      </c>
      <c r="AQ1520">
        <v>0</v>
      </c>
      <c r="AR1520">
        <v>0</v>
      </c>
      <c r="AS1520">
        <v>0</v>
      </c>
      <c r="AT1520" t="s">
        <v>90</v>
      </c>
      <c r="AU1520" s="1">
        <v>44215.33258101852</v>
      </c>
      <c r="AV1520">
        <v>24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13</v>
      </c>
      <c r="BC1520">
        <v>0</v>
      </c>
      <c r="BD1520">
        <v>0</v>
      </c>
      <c r="BE1520">
        <v>0</v>
      </c>
    </row>
    <row r="1521" spans="1:57" hidden="1" x14ac:dyDescent="0.45">
      <c r="A1521" t="s">
        <v>3770</v>
      </c>
      <c r="B1521" t="s">
        <v>79</v>
      </c>
      <c r="C1521" t="s">
        <v>3771</v>
      </c>
      <c r="D1521" t="s">
        <v>81</v>
      </c>
      <c r="E1521" s="2" t="str">
        <f>HYPERLINK("capsilon://?command=openfolder&amp;siteaddress=FAM.docvelocity-na8.net&amp;folderid=FX7B327F4A-FCC3-CB1C-113B-8E741CE50926","FX201223597")</f>
        <v>FX201223597</v>
      </c>
      <c r="F1521" t="s">
        <v>19</v>
      </c>
      <c r="G1521" t="s">
        <v>19</v>
      </c>
      <c r="H1521" t="s">
        <v>82</v>
      </c>
      <c r="I1521" t="s">
        <v>3772</v>
      </c>
      <c r="J1521">
        <v>66</v>
      </c>
      <c r="K1521" t="s">
        <v>84</v>
      </c>
      <c r="L1521" t="s">
        <v>85</v>
      </c>
      <c r="M1521" t="s">
        <v>86</v>
      </c>
      <c r="N1521">
        <v>1</v>
      </c>
      <c r="O1521" s="1">
        <v>44211.778043981481</v>
      </c>
      <c r="P1521" s="1">
        <v>44211.791122685187</v>
      </c>
      <c r="Q1521">
        <v>1095</v>
      </c>
      <c r="R1521">
        <v>35</v>
      </c>
      <c r="S1521" t="b">
        <v>0</v>
      </c>
      <c r="T1521" t="s">
        <v>87</v>
      </c>
      <c r="U1521" t="b">
        <v>0</v>
      </c>
      <c r="V1521" t="s">
        <v>171</v>
      </c>
      <c r="W1521" s="1">
        <v>44211.791122685187</v>
      </c>
      <c r="X1521">
        <v>35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66</v>
      </c>
      <c r="AE1521">
        <v>52</v>
      </c>
      <c r="AF1521">
        <v>0</v>
      </c>
      <c r="AG1521">
        <v>1</v>
      </c>
      <c r="AH1521" t="s">
        <v>87</v>
      </c>
      <c r="AI1521" t="s">
        <v>87</v>
      </c>
      <c r="AJ1521" t="s">
        <v>87</v>
      </c>
      <c r="AK1521" t="s">
        <v>87</v>
      </c>
      <c r="AL1521" t="s">
        <v>87</v>
      </c>
      <c r="AM1521" t="s">
        <v>87</v>
      </c>
      <c r="AN1521" t="s">
        <v>87</v>
      </c>
      <c r="AO1521" t="s">
        <v>87</v>
      </c>
      <c r="AP1521" t="s">
        <v>87</v>
      </c>
      <c r="AQ1521" t="s">
        <v>87</v>
      </c>
      <c r="AR1521" t="s">
        <v>87</v>
      </c>
      <c r="AS1521" t="s">
        <v>87</v>
      </c>
      <c r="AT1521" t="s">
        <v>87</v>
      </c>
      <c r="AU1521" t="s">
        <v>87</v>
      </c>
      <c r="AV1521" t="s">
        <v>87</v>
      </c>
      <c r="AW1521" t="s">
        <v>87</v>
      </c>
      <c r="AX1521" t="s">
        <v>87</v>
      </c>
      <c r="AY1521" t="s">
        <v>87</v>
      </c>
      <c r="AZ1521" t="s">
        <v>87</v>
      </c>
      <c r="BA1521" t="s">
        <v>87</v>
      </c>
      <c r="BB1521" t="s">
        <v>87</v>
      </c>
      <c r="BC1521" t="s">
        <v>87</v>
      </c>
      <c r="BD1521" t="s">
        <v>87</v>
      </c>
      <c r="BE1521" t="s">
        <v>87</v>
      </c>
    </row>
    <row r="1522" spans="1:57" hidden="1" x14ac:dyDescent="0.45">
      <c r="A1522" t="s">
        <v>3773</v>
      </c>
      <c r="B1522" t="s">
        <v>79</v>
      </c>
      <c r="C1522" t="s">
        <v>3771</v>
      </c>
      <c r="D1522" t="s">
        <v>81</v>
      </c>
      <c r="E1522" s="2" t="str">
        <f>HYPERLINK("capsilon://?command=openfolder&amp;siteaddress=FAM.docvelocity-na8.net&amp;folderid=FX7B327F4A-FCC3-CB1C-113B-8E741CE50926","FX201223597")</f>
        <v>FX201223597</v>
      </c>
      <c r="F1522" t="s">
        <v>19</v>
      </c>
      <c r="G1522" t="s">
        <v>19</v>
      </c>
      <c r="H1522" t="s">
        <v>82</v>
      </c>
      <c r="I1522" t="s">
        <v>3774</v>
      </c>
      <c r="J1522">
        <v>66</v>
      </c>
      <c r="K1522" t="s">
        <v>84</v>
      </c>
      <c r="L1522" t="s">
        <v>85</v>
      </c>
      <c r="M1522" t="s">
        <v>86</v>
      </c>
      <c r="N1522">
        <v>1</v>
      </c>
      <c r="O1522" s="1">
        <v>44211.778726851851</v>
      </c>
      <c r="P1522" s="1">
        <v>44211.791458333333</v>
      </c>
      <c r="Q1522">
        <v>1072</v>
      </c>
      <c r="R1522">
        <v>28</v>
      </c>
      <c r="S1522" t="b">
        <v>0</v>
      </c>
      <c r="T1522" t="s">
        <v>87</v>
      </c>
      <c r="U1522" t="b">
        <v>0</v>
      </c>
      <c r="V1522" t="s">
        <v>171</v>
      </c>
      <c r="W1522" s="1">
        <v>44211.791458333333</v>
      </c>
      <c r="X1522">
        <v>28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66</v>
      </c>
      <c r="AE1522">
        <v>52</v>
      </c>
      <c r="AF1522">
        <v>0</v>
      </c>
      <c r="AG1522">
        <v>1</v>
      </c>
      <c r="AH1522" t="s">
        <v>87</v>
      </c>
      <c r="AI1522" t="s">
        <v>87</v>
      </c>
      <c r="AJ1522" t="s">
        <v>87</v>
      </c>
      <c r="AK1522" t="s">
        <v>87</v>
      </c>
      <c r="AL1522" t="s">
        <v>87</v>
      </c>
      <c r="AM1522" t="s">
        <v>87</v>
      </c>
      <c r="AN1522" t="s">
        <v>87</v>
      </c>
      <c r="AO1522" t="s">
        <v>87</v>
      </c>
      <c r="AP1522" t="s">
        <v>87</v>
      </c>
      <c r="AQ1522" t="s">
        <v>87</v>
      </c>
      <c r="AR1522" t="s">
        <v>87</v>
      </c>
      <c r="AS1522" t="s">
        <v>87</v>
      </c>
      <c r="AT1522" t="s">
        <v>87</v>
      </c>
      <c r="AU1522" t="s">
        <v>87</v>
      </c>
      <c r="AV1522" t="s">
        <v>87</v>
      </c>
      <c r="AW1522" t="s">
        <v>87</v>
      </c>
      <c r="AX1522" t="s">
        <v>87</v>
      </c>
      <c r="AY1522" t="s">
        <v>87</v>
      </c>
      <c r="AZ1522" t="s">
        <v>87</v>
      </c>
      <c r="BA1522" t="s">
        <v>87</v>
      </c>
      <c r="BB1522" t="s">
        <v>87</v>
      </c>
      <c r="BC1522" t="s">
        <v>87</v>
      </c>
      <c r="BD1522" t="s">
        <v>87</v>
      </c>
      <c r="BE1522" t="s">
        <v>87</v>
      </c>
    </row>
    <row r="1523" spans="1:57" x14ac:dyDescent="0.45">
      <c r="A1523" t="s">
        <v>3775</v>
      </c>
      <c r="B1523" t="s">
        <v>79</v>
      </c>
      <c r="C1523" t="s">
        <v>3771</v>
      </c>
      <c r="D1523" t="s">
        <v>81</v>
      </c>
      <c r="E1523" s="2" t="str">
        <f>HYPERLINK("capsilon://?command=openfolder&amp;siteaddress=FAM.docvelocity-na8.net&amp;folderid=FX7B327F4A-FCC3-CB1C-113B-8E741CE50926","FX201223597")</f>
        <v>FX201223597</v>
      </c>
      <c r="F1523" t="s">
        <v>19</v>
      </c>
      <c r="G1523" t="s">
        <v>19</v>
      </c>
      <c r="H1523" t="s">
        <v>82</v>
      </c>
      <c r="I1523" t="s">
        <v>3772</v>
      </c>
      <c r="J1523">
        <v>38</v>
      </c>
      <c r="K1523" t="s">
        <v>84</v>
      </c>
      <c r="L1523" t="s">
        <v>85</v>
      </c>
      <c r="M1523" t="s">
        <v>86</v>
      </c>
      <c r="N1523">
        <v>3</v>
      </c>
      <c r="O1523" s="1">
        <v>44211.791342592594</v>
      </c>
      <c r="P1523" s="1">
        <v>44215.332731481481</v>
      </c>
      <c r="Q1523">
        <v>304985</v>
      </c>
      <c r="R1523">
        <v>991</v>
      </c>
      <c r="S1523" t="b">
        <v>0</v>
      </c>
      <c r="T1523" t="s">
        <v>87</v>
      </c>
      <c r="U1523" t="b">
        <v>1</v>
      </c>
      <c r="V1523" t="s">
        <v>171</v>
      </c>
      <c r="W1523" s="1">
        <v>44211.801145833335</v>
      </c>
      <c r="X1523">
        <v>828</v>
      </c>
      <c r="Y1523">
        <v>37</v>
      </c>
      <c r="Z1523">
        <v>0</v>
      </c>
      <c r="AA1523">
        <v>37</v>
      </c>
      <c r="AB1523">
        <v>0</v>
      </c>
      <c r="AC1523">
        <v>33</v>
      </c>
      <c r="AD1523">
        <v>1</v>
      </c>
      <c r="AE1523">
        <v>0</v>
      </c>
      <c r="AF1523">
        <v>0</v>
      </c>
      <c r="AG1523">
        <v>0</v>
      </c>
      <c r="AH1523" t="s">
        <v>128</v>
      </c>
      <c r="AI1523" s="1">
        <v>44211.803587962961</v>
      </c>
      <c r="AJ1523">
        <v>145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 t="s">
        <v>90</v>
      </c>
      <c r="AU1523" s="1">
        <v>44215.332731481481</v>
      </c>
      <c r="AV1523">
        <v>13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</row>
    <row r="1524" spans="1:57" x14ac:dyDescent="0.45">
      <c r="A1524" t="s">
        <v>3776</v>
      </c>
      <c r="B1524" t="s">
        <v>79</v>
      </c>
      <c r="C1524" t="s">
        <v>3771</v>
      </c>
      <c r="D1524" t="s">
        <v>81</v>
      </c>
      <c r="E1524" s="2" t="str">
        <f>HYPERLINK("capsilon://?command=openfolder&amp;siteaddress=FAM.docvelocity-na8.net&amp;folderid=FX7B327F4A-FCC3-CB1C-113B-8E741CE50926","FX201223597")</f>
        <v>FX201223597</v>
      </c>
      <c r="F1524" t="s">
        <v>19</v>
      </c>
      <c r="G1524" t="s">
        <v>19</v>
      </c>
      <c r="H1524" t="s">
        <v>82</v>
      </c>
      <c r="I1524" t="s">
        <v>3774</v>
      </c>
      <c r="J1524">
        <v>38</v>
      </c>
      <c r="K1524" t="s">
        <v>84</v>
      </c>
      <c r="L1524" t="s">
        <v>85</v>
      </c>
      <c r="M1524" t="s">
        <v>86</v>
      </c>
      <c r="N1524">
        <v>3</v>
      </c>
      <c r="O1524" s="1">
        <v>44211.791689814818</v>
      </c>
      <c r="P1524" s="1">
        <v>44215.332789351851</v>
      </c>
      <c r="Q1524">
        <v>304847</v>
      </c>
      <c r="R1524">
        <v>1104</v>
      </c>
      <c r="S1524" t="b">
        <v>0</v>
      </c>
      <c r="T1524" t="s">
        <v>87</v>
      </c>
      <c r="U1524" t="b">
        <v>1</v>
      </c>
      <c r="V1524" t="s">
        <v>168</v>
      </c>
      <c r="W1524" s="1">
        <v>44211.802476851852</v>
      </c>
      <c r="X1524">
        <v>867</v>
      </c>
      <c r="Y1524">
        <v>37</v>
      </c>
      <c r="Z1524">
        <v>0</v>
      </c>
      <c r="AA1524">
        <v>37</v>
      </c>
      <c r="AB1524">
        <v>0</v>
      </c>
      <c r="AC1524">
        <v>35</v>
      </c>
      <c r="AD1524">
        <v>1</v>
      </c>
      <c r="AE1524">
        <v>0</v>
      </c>
      <c r="AF1524">
        <v>0</v>
      </c>
      <c r="AG1524">
        <v>0</v>
      </c>
      <c r="AH1524" t="s">
        <v>128</v>
      </c>
      <c r="AI1524" s="1">
        <v>44211.806296296294</v>
      </c>
      <c r="AJ1524">
        <v>233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 t="s">
        <v>90</v>
      </c>
      <c r="AU1524" s="1">
        <v>44215.332789351851</v>
      </c>
      <c r="AV1524">
        <v>4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</row>
    <row r="1525" spans="1:57" x14ac:dyDescent="0.45">
      <c r="A1525" t="s">
        <v>3777</v>
      </c>
      <c r="B1525" t="s">
        <v>79</v>
      </c>
      <c r="C1525" t="s">
        <v>3778</v>
      </c>
      <c r="D1525" t="s">
        <v>81</v>
      </c>
      <c r="E1525" s="2" t="str">
        <f>HYPERLINK("capsilon://?command=openfolder&amp;siteaddress=FAM.docvelocity-na8.net&amp;folderid=FXA3F879DC-DFBD-F456-8F92-A8CBB1FBF32E","FX201228147")</f>
        <v>FX201228147</v>
      </c>
      <c r="F1525" t="s">
        <v>19</v>
      </c>
      <c r="G1525" t="s">
        <v>19</v>
      </c>
      <c r="H1525" t="s">
        <v>82</v>
      </c>
      <c r="I1525" t="s">
        <v>3779</v>
      </c>
      <c r="J1525">
        <v>140</v>
      </c>
      <c r="K1525" t="s">
        <v>84</v>
      </c>
      <c r="L1525" t="s">
        <v>85</v>
      </c>
      <c r="M1525" t="s">
        <v>86</v>
      </c>
      <c r="N1525">
        <v>3</v>
      </c>
      <c r="O1525" s="1">
        <v>44211.803715277776</v>
      </c>
      <c r="P1525" s="1">
        <v>44215.344918981478</v>
      </c>
      <c r="Q1525">
        <v>304376</v>
      </c>
      <c r="R1525">
        <v>1584</v>
      </c>
      <c r="S1525" t="b">
        <v>0</v>
      </c>
      <c r="T1525" t="s">
        <v>87</v>
      </c>
      <c r="U1525" t="b">
        <v>0</v>
      </c>
      <c r="V1525" t="s">
        <v>142</v>
      </c>
      <c r="W1525" s="1">
        <v>44211.828402777777</v>
      </c>
      <c r="X1525">
        <v>869</v>
      </c>
      <c r="Y1525">
        <v>139</v>
      </c>
      <c r="Z1525">
        <v>0</v>
      </c>
      <c r="AA1525">
        <v>139</v>
      </c>
      <c r="AB1525">
        <v>0</v>
      </c>
      <c r="AC1525">
        <v>82</v>
      </c>
      <c r="AD1525">
        <v>1</v>
      </c>
      <c r="AE1525">
        <v>0</v>
      </c>
      <c r="AF1525">
        <v>0</v>
      </c>
      <c r="AG1525">
        <v>0</v>
      </c>
      <c r="AH1525" t="s">
        <v>128</v>
      </c>
      <c r="AI1525" s="1">
        <v>44211.83662037037</v>
      </c>
      <c r="AJ1525">
        <v>697</v>
      </c>
      <c r="AK1525">
        <v>2</v>
      </c>
      <c r="AL1525">
        <v>0</v>
      </c>
      <c r="AM1525">
        <v>2</v>
      </c>
      <c r="AN1525">
        <v>0</v>
      </c>
      <c r="AO1525">
        <v>2</v>
      </c>
      <c r="AP1525">
        <v>-1</v>
      </c>
      <c r="AQ1525">
        <v>0</v>
      </c>
      <c r="AR1525">
        <v>0</v>
      </c>
      <c r="AS1525">
        <v>0</v>
      </c>
      <c r="AT1525" t="s">
        <v>90</v>
      </c>
      <c r="AU1525" s="1">
        <v>44215.344918981478</v>
      </c>
      <c r="AV1525">
        <v>18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-1</v>
      </c>
      <c r="BC1525">
        <v>0</v>
      </c>
      <c r="BD1525">
        <v>0</v>
      </c>
      <c r="BE1525">
        <v>0</v>
      </c>
    </row>
    <row r="1526" spans="1:57" x14ac:dyDescent="0.45">
      <c r="A1526" t="s">
        <v>3780</v>
      </c>
      <c r="B1526" t="s">
        <v>79</v>
      </c>
      <c r="C1526" t="s">
        <v>3781</v>
      </c>
      <c r="D1526" t="s">
        <v>81</v>
      </c>
      <c r="E1526" s="2" t="str">
        <f>HYPERLINK("capsilon://?command=openfolder&amp;siteaddress=FAM.docvelocity-na8.net&amp;folderid=FX678C5C6D-32FE-FD7D-F733-1F9C92180930","FX20127343")</f>
        <v>FX20127343</v>
      </c>
      <c r="F1526" t="s">
        <v>19</v>
      </c>
      <c r="G1526" t="s">
        <v>19</v>
      </c>
      <c r="H1526" t="s">
        <v>82</v>
      </c>
      <c r="I1526" t="s">
        <v>3782</v>
      </c>
      <c r="J1526">
        <v>251</v>
      </c>
      <c r="K1526" t="s">
        <v>84</v>
      </c>
      <c r="L1526" t="s">
        <v>85</v>
      </c>
      <c r="M1526" t="s">
        <v>86</v>
      </c>
      <c r="N1526">
        <v>3</v>
      </c>
      <c r="O1526" s="1">
        <v>44211.831365740742</v>
      </c>
      <c r="P1526" s="1">
        <v>44215.345393518517</v>
      </c>
      <c r="Q1526">
        <v>298117</v>
      </c>
      <c r="R1526">
        <v>5495</v>
      </c>
      <c r="S1526" t="b">
        <v>0</v>
      </c>
      <c r="T1526" t="s">
        <v>87</v>
      </c>
      <c r="U1526" t="b">
        <v>0</v>
      </c>
      <c r="V1526" t="s">
        <v>142</v>
      </c>
      <c r="W1526" s="1">
        <v>44211.911990740744</v>
      </c>
      <c r="X1526">
        <v>1633</v>
      </c>
      <c r="Y1526">
        <v>285</v>
      </c>
      <c r="Z1526">
        <v>0</v>
      </c>
      <c r="AA1526">
        <v>285</v>
      </c>
      <c r="AB1526">
        <v>0</v>
      </c>
      <c r="AC1526">
        <v>197</v>
      </c>
      <c r="AD1526">
        <v>-34</v>
      </c>
      <c r="AE1526">
        <v>0</v>
      </c>
      <c r="AF1526">
        <v>0</v>
      </c>
      <c r="AG1526">
        <v>0</v>
      </c>
      <c r="AH1526" t="s">
        <v>89</v>
      </c>
      <c r="AI1526" s="1">
        <v>44215.261354166665</v>
      </c>
      <c r="AJ1526">
        <v>3672</v>
      </c>
      <c r="AK1526">
        <v>1</v>
      </c>
      <c r="AL1526">
        <v>0</v>
      </c>
      <c r="AM1526">
        <v>1</v>
      </c>
      <c r="AN1526">
        <v>0</v>
      </c>
      <c r="AO1526">
        <v>1</v>
      </c>
      <c r="AP1526">
        <v>-35</v>
      </c>
      <c r="AQ1526">
        <v>0</v>
      </c>
      <c r="AR1526">
        <v>0</v>
      </c>
      <c r="AS1526">
        <v>0</v>
      </c>
      <c r="AT1526" t="s">
        <v>90</v>
      </c>
      <c r="AU1526" s="1">
        <v>44215.345393518517</v>
      </c>
      <c r="AV1526">
        <v>41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-35</v>
      </c>
      <c r="BC1526">
        <v>0</v>
      </c>
      <c r="BD1526">
        <v>0</v>
      </c>
      <c r="BE1526">
        <v>0</v>
      </c>
    </row>
    <row r="1527" spans="1:57" x14ac:dyDescent="0.45">
      <c r="A1527" t="s">
        <v>3783</v>
      </c>
      <c r="B1527" t="s">
        <v>79</v>
      </c>
      <c r="C1527" t="s">
        <v>564</v>
      </c>
      <c r="D1527" t="s">
        <v>81</v>
      </c>
      <c r="E1527" s="2" t="str">
        <f>HYPERLINK("capsilon://?command=openfolder&amp;siteaddress=FAM.docvelocity-na8.net&amp;folderid=FXFD42786B-228E-616C-E66E-288418782958","FX2101666")</f>
        <v>FX2101666</v>
      </c>
      <c r="F1527" t="s">
        <v>19</v>
      </c>
      <c r="G1527" t="s">
        <v>19</v>
      </c>
      <c r="H1527" t="s">
        <v>82</v>
      </c>
      <c r="I1527" t="s">
        <v>3784</v>
      </c>
      <c r="J1527">
        <v>66</v>
      </c>
      <c r="K1527" t="s">
        <v>84</v>
      </c>
      <c r="L1527" t="s">
        <v>85</v>
      </c>
      <c r="M1527" t="s">
        <v>86</v>
      </c>
      <c r="N1527">
        <v>3</v>
      </c>
      <c r="O1527" s="1">
        <v>44212.246851851851</v>
      </c>
      <c r="P1527" s="1">
        <v>44215.345578703702</v>
      </c>
      <c r="Q1527">
        <v>266243</v>
      </c>
      <c r="R1527">
        <v>1487</v>
      </c>
      <c r="S1527" t="b">
        <v>0</v>
      </c>
      <c r="T1527" t="s">
        <v>87</v>
      </c>
      <c r="U1527" t="b">
        <v>0</v>
      </c>
      <c r="V1527" t="s">
        <v>105</v>
      </c>
      <c r="W1527" s="1">
        <v>44215.158935185187</v>
      </c>
      <c r="X1527">
        <v>1214</v>
      </c>
      <c r="Y1527">
        <v>52</v>
      </c>
      <c r="Z1527">
        <v>0</v>
      </c>
      <c r="AA1527">
        <v>52</v>
      </c>
      <c r="AB1527">
        <v>0</v>
      </c>
      <c r="AC1527">
        <v>31</v>
      </c>
      <c r="AD1527">
        <v>14</v>
      </c>
      <c r="AE1527">
        <v>0</v>
      </c>
      <c r="AF1527">
        <v>0</v>
      </c>
      <c r="AG1527">
        <v>0</v>
      </c>
      <c r="AH1527" t="s">
        <v>94</v>
      </c>
      <c r="AI1527" s="1">
        <v>44215.223032407404</v>
      </c>
      <c r="AJ1527">
        <v>258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14</v>
      </c>
      <c r="AQ1527">
        <v>0</v>
      </c>
      <c r="AR1527">
        <v>0</v>
      </c>
      <c r="AS1527">
        <v>0</v>
      </c>
      <c r="AT1527" t="s">
        <v>90</v>
      </c>
      <c r="AU1527" s="1">
        <v>44215.345578703702</v>
      </c>
      <c r="AV1527">
        <v>15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14</v>
      </c>
      <c r="BC1527">
        <v>0</v>
      </c>
      <c r="BD1527">
        <v>0</v>
      </c>
      <c r="BE1527">
        <v>0</v>
      </c>
    </row>
    <row r="1528" spans="1:57" x14ac:dyDescent="0.45">
      <c r="A1528" t="s">
        <v>3785</v>
      </c>
      <c r="B1528" t="s">
        <v>79</v>
      </c>
      <c r="C1528" t="s">
        <v>819</v>
      </c>
      <c r="D1528" t="s">
        <v>81</v>
      </c>
      <c r="E1528" s="2" t="str">
        <f>HYPERLINK("capsilon://?command=openfolder&amp;siteaddress=FAM.docvelocity-na8.net&amp;folderid=FXC467FC2D-36D2-E208-3D6D-7C6B48007C19","FX201229255")</f>
        <v>FX201229255</v>
      </c>
      <c r="F1528" t="s">
        <v>19</v>
      </c>
      <c r="G1528" t="s">
        <v>19</v>
      </c>
      <c r="H1528" t="s">
        <v>82</v>
      </c>
      <c r="I1528" t="s">
        <v>3786</v>
      </c>
      <c r="J1528">
        <v>66</v>
      </c>
      <c r="K1528" t="s">
        <v>84</v>
      </c>
      <c r="L1528" t="s">
        <v>85</v>
      </c>
      <c r="M1528" t="s">
        <v>86</v>
      </c>
      <c r="N1528">
        <v>3</v>
      </c>
      <c r="O1528" s="1">
        <v>44212.249884259261</v>
      </c>
      <c r="P1528" s="1">
        <v>44215.345879629633</v>
      </c>
      <c r="Q1528">
        <v>266280</v>
      </c>
      <c r="R1528">
        <v>1214</v>
      </c>
      <c r="S1528" t="b">
        <v>0</v>
      </c>
      <c r="T1528" t="s">
        <v>87</v>
      </c>
      <c r="U1528" t="b">
        <v>0</v>
      </c>
      <c r="V1528" t="s">
        <v>88</v>
      </c>
      <c r="W1528" s="1">
        <v>44215.160254629627</v>
      </c>
      <c r="X1528">
        <v>792</v>
      </c>
      <c r="Y1528">
        <v>52</v>
      </c>
      <c r="Z1528">
        <v>0</v>
      </c>
      <c r="AA1528">
        <v>52</v>
      </c>
      <c r="AB1528">
        <v>0</v>
      </c>
      <c r="AC1528">
        <v>37</v>
      </c>
      <c r="AD1528">
        <v>14</v>
      </c>
      <c r="AE1528">
        <v>0</v>
      </c>
      <c r="AF1528">
        <v>0</v>
      </c>
      <c r="AG1528">
        <v>0</v>
      </c>
      <c r="AH1528" t="s">
        <v>94</v>
      </c>
      <c r="AI1528" s="1">
        <v>44215.227627314816</v>
      </c>
      <c r="AJ1528">
        <v>397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14</v>
      </c>
      <c r="AQ1528">
        <v>0</v>
      </c>
      <c r="AR1528">
        <v>0</v>
      </c>
      <c r="AS1528">
        <v>0</v>
      </c>
      <c r="AT1528" t="s">
        <v>90</v>
      </c>
      <c r="AU1528" s="1">
        <v>44215.345879629633</v>
      </c>
      <c r="AV1528">
        <v>25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14</v>
      </c>
      <c r="BC1528">
        <v>0</v>
      </c>
      <c r="BD1528">
        <v>0</v>
      </c>
      <c r="BE1528">
        <v>0</v>
      </c>
    </row>
    <row r="1529" spans="1:57" x14ac:dyDescent="0.45">
      <c r="A1529" t="s">
        <v>3787</v>
      </c>
      <c r="B1529" t="s">
        <v>79</v>
      </c>
      <c r="C1529" t="s">
        <v>835</v>
      </c>
      <c r="D1529" t="s">
        <v>81</v>
      </c>
      <c r="E1529" s="2" t="str">
        <f>HYPERLINK("capsilon://?command=openfolder&amp;siteaddress=FAM.docvelocity-na8.net&amp;folderid=FX528DF45B-3494-7B0E-6A93-81C8B5013526","FX21012232")</f>
        <v>FX21012232</v>
      </c>
      <c r="F1529" t="s">
        <v>19</v>
      </c>
      <c r="G1529" t="s">
        <v>19</v>
      </c>
      <c r="H1529" t="s">
        <v>82</v>
      </c>
      <c r="I1529" t="s">
        <v>3788</v>
      </c>
      <c r="J1529">
        <v>66</v>
      </c>
      <c r="K1529" t="s">
        <v>84</v>
      </c>
      <c r="L1529" t="s">
        <v>85</v>
      </c>
      <c r="M1529" t="s">
        <v>86</v>
      </c>
      <c r="N1529">
        <v>3</v>
      </c>
      <c r="O1529" s="1">
        <v>44212.252557870372</v>
      </c>
      <c r="P1529" s="1">
        <v>44215.34611111111</v>
      </c>
      <c r="Q1529">
        <v>266116</v>
      </c>
      <c r="R1529">
        <v>1167</v>
      </c>
      <c r="S1529" t="b">
        <v>0</v>
      </c>
      <c r="T1529" t="s">
        <v>87</v>
      </c>
      <c r="U1529" t="b">
        <v>0</v>
      </c>
      <c r="V1529" t="s">
        <v>1418</v>
      </c>
      <c r="W1529" s="1">
        <v>44215.15625</v>
      </c>
      <c r="X1529">
        <v>442</v>
      </c>
      <c r="Y1529">
        <v>52</v>
      </c>
      <c r="Z1529">
        <v>0</v>
      </c>
      <c r="AA1529">
        <v>52</v>
      </c>
      <c r="AB1529">
        <v>0</v>
      </c>
      <c r="AC1529">
        <v>32</v>
      </c>
      <c r="AD1529">
        <v>14</v>
      </c>
      <c r="AE1529">
        <v>0</v>
      </c>
      <c r="AF1529">
        <v>0</v>
      </c>
      <c r="AG1529">
        <v>0</v>
      </c>
      <c r="AH1529" t="s">
        <v>94</v>
      </c>
      <c r="AI1529" s="1">
        <v>44215.23578703704</v>
      </c>
      <c r="AJ1529">
        <v>705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14</v>
      </c>
      <c r="AQ1529">
        <v>0</v>
      </c>
      <c r="AR1529">
        <v>0</v>
      </c>
      <c r="AS1529">
        <v>0</v>
      </c>
      <c r="AT1529" t="s">
        <v>90</v>
      </c>
      <c r="AU1529" s="1">
        <v>44215.34611111111</v>
      </c>
      <c r="AV1529">
        <v>20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14</v>
      </c>
      <c r="BC1529">
        <v>0</v>
      </c>
      <c r="BD1529">
        <v>0</v>
      </c>
      <c r="BE1529">
        <v>0</v>
      </c>
    </row>
    <row r="1530" spans="1:57" x14ac:dyDescent="0.45">
      <c r="A1530" t="s">
        <v>3789</v>
      </c>
      <c r="B1530" t="s">
        <v>79</v>
      </c>
      <c r="C1530" t="s">
        <v>1255</v>
      </c>
      <c r="D1530" t="s">
        <v>81</v>
      </c>
      <c r="E1530" s="2" t="str">
        <f>HYPERLINK("capsilon://?command=openfolder&amp;siteaddress=FAM.docvelocity-na8.net&amp;folderid=FX1AD5FBFA-CC8F-1585-A9A2-F7F6F0E108B6","FX21013185")</f>
        <v>FX21013185</v>
      </c>
      <c r="F1530" t="s">
        <v>19</v>
      </c>
      <c r="G1530" t="s">
        <v>19</v>
      </c>
      <c r="H1530" t="s">
        <v>82</v>
      </c>
      <c r="I1530" t="s">
        <v>3790</v>
      </c>
      <c r="J1530">
        <v>66</v>
      </c>
      <c r="K1530" t="s">
        <v>84</v>
      </c>
      <c r="L1530" t="s">
        <v>85</v>
      </c>
      <c r="M1530" t="s">
        <v>86</v>
      </c>
      <c r="N1530">
        <v>3</v>
      </c>
      <c r="O1530" s="1">
        <v>44212.399537037039</v>
      </c>
      <c r="P1530" s="1">
        <v>44215.34652777778</v>
      </c>
      <c r="Q1530">
        <v>253812</v>
      </c>
      <c r="R1530">
        <v>808</v>
      </c>
      <c r="S1530" t="b">
        <v>0</v>
      </c>
      <c r="T1530" t="s">
        <v>87</v>
      </c>
      <c r="U1530" t="b">
        <v>0</v>
      </c>
      <c r="V1530" t="s">
        <v>419</v>
      </c>
      <c r="W1530" s="1">
        <v>44215.158356481479</v>
      </c>
      <c r="X1530">
        <v>611</v>
      </c>
      <c r="Y1530">
        <v>52</v>
      </c>
      <c r="Z1530">
        <v>0</v>
      </c>
      <c r="AA1530">
        <v>52</v>
      </c>
      <c r="AB1530">
        <v>0</v>
      </c>
      <c r="AC1530">
        <v>30</v>
      </c>
      <c r="AD1530">
        <v>14</v>
      </c>
      <c r="AE1530">
        <v>0</v>
      </c>
      <c r="AF1530">
        <v>0</v>
      </c>
      <c r="AG1530">
        <v>0</v>
      </c>
      <c r="AH1530" t="s">
        <v>94</v>
      </c>
      <c r="AI1530" s="1">
        <v>44215.237662037034</v>
      </c>
      <c r="AJ1530">
        <v>162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14</v>
      </c>
      <c r="AQ1530">
        <v>0</v>
      </c>
      <c r="AR1530">
        <v>0</v>
      </c>
      <c r="AS1530">
        <v>0</v>
      </c>
      <c r="AT1530" t="s">
        <v>90</v>
      </c>
      <c r="AU1530" s="1">
        <v>44215.34652777778</v>
      </c>
      <c r="AV1530">
        <v>35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14</v>
      </c>
      <c r="BC1530">
        <v>0</v>
      </c>
      <c r="BD1530">
        <v>0</v>
      </c>
      <c r="BE1530">
        <v>0</v>
      </c>
    </row>
    <row r="1531" spans="1:57" hidden="1" x14ac:dyDescent="0.45">
      <c r="A1531" t="s">
        <v>3791</v>
      </c>
      <c r="B1531" t="s">
        <v>79</v>
      </c>
      <c r="C1531" t="s">
        <v>3792</v>
      </c>
      <c r="D1531" t="s">
        <v>81</v>
      </c>
      <c r="E1531" s="2" t="str">
        <f>HYPERLINK("capsilon://?command=openfolder&amp;siteaddress=FAM.docvelocity-na8.net&amp;folderid=FX70483AA5-53A6-DD69-AEB4-151F7A5AD96E","FX201222639")</f>
        <v>FX201222639</v>
      </c>
      <c r="F1531" t="s">
        <v>19</v>
      </c>
      <c r="G1531" t="s">
        <v>19</v>
      </c>
      <c r="H1531" t="s">
        <v>82</v>
      </c>
      <c r="I1531" t="s">
        <v>3793</v>
      </c>
      <c r="J1531">
        <v>66</v>
      </c>
      <c r="K1531" t="s">
        <v>84</v>
      </c>
      <c r="L1531" t="s">
        <v>85</v>
      </c>
      <c r="M1531" t="s">
        <v>86</v>
      </c>
      <c r="N1531">
        <v>1</v>
      </c>
      <c r="O1531" s="1">
        <v>44212.401145833333</v>
      </c>
      <c r="P1531" s="1">
        <v>44215.171412037038</v>
      </c>
      <c r="Q1531">
        <v>238034</v>
      </c>
      <c r="R1531">
        <v>1317</v>
      </c>
      <c r="S1531" t="b">
        <v>0</v>
      </c>
      <c r="T1531" t="s">
        <v>87</v>
      </c>
      <c r="U1531" t="b">
        <v>0</v>
      </c>
      <c r="V1531" t="s">
        <v>98</v>
      </c>
      <c r="W1531" s="1">
        <v>44215.171412037038</v>
      </c>
      <c r="X1531">
        <v>1317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66</v>
      </c>
      <c r="AE1531">
        <v>52</v>
      </c>
      <c r="AF1531">
        <v>0</v>
      </c>
      <c r="AG1531">
        <v>2</v>
      </c>
      <c r="AH1531" t="s">
        <v>87</v>
      </c>
      <c r="AI1531" t="s">
        <v>87</v>
      </c>
      <c r="AJ1531" t="s">
        <v>87</v>
      </c>
      <c r="AK1531" t="s">
        <v>87</v>
      </c>
      <c r="AL1531" t="s">
        <v>87</v>
      </c>
      <c r="AM1531" t="s">
        <v>87</v>
      </c>
      <c r="AN1531" t="s">
        <v>87</v>
      </c>
      <c r="AO1531" t="s">
        <v>87</v>
      </c>
      <c r="AP1531" t="s">
        <v>87</v>
      </c>
      <c r="AQ1531" t="s">
        <v>87</v>
      </c>
      <c r="AR1531" t="s">
        <v>87</v>
      </c>
      <c r="AS1531" t="s">
        <v>87</v>
      </c>
      <c r="AT1531" t="s">
        <v>87</v>
      </c>
      <c r="AU1531" t="s">
        <v>87</v>
      </c>
      <c r="AV1531" t="s">
        <v>87</v>
      </c>
      <c r="AW1531" t="s">
        <v>87</v>
      </c>
      <c r="AX1531" t="s">
        <v>87</v>
      </c>
      <c r="AY1531" t="s">
        <v>87</v>
      </c>
      <c r="AZ1531" t="s">
        <v>87</v>
      </c>
      <c r="BA1531" t="s">
        <v>87</v>
      </c>
      <c r="BB1531" t="s">
        <v>87</v>
      </c>
      <c r="BC1531" t="s">
        <v>87</v>
      </c>
      <c r="BD1531" t="s">
        <v>87</v>
      </c>
      <c r="BE1531" t="s">
        <v>87</v>
      </c>
    </row>
    <row r="1532" spans="1:57" hidden="1" x14ac:dyDescent="0.45">
      <c r="A1532" t="s">
        <v>3794</v>
      </c>
      <c r="B1532" t="s">
        <v>79</v>
      </c>
      <c r="C1532" t="s">
        <v>3792</v>
      </c>
      <c r="D1532" t="s">
        <v>81</v>
      </c>
      <c r="E1532" s="2" t="str">
        <f>HYPERLINK("capsilon://?command=openfolder&amp;siteaddress=FAM.docvelocity-na8.net&amp;folderid=FX70483AA5-53A6-DD69-AEB4-151F7A5AD96E","FX201222639")</f>
        <v>FX201222639</v>
      </c>
      <c r="F1532" t="s">
        <v>19</v>
      </c>
      <c r="G1532" t="s">
        <v>19</v>
      </c>
      <c r="H1532" t="s">
        <v>82</v>
      </c>
      <c r="I1532" t="s">
        <v>3795</v>
      </c>
      <c r="J1532">
        <v>66</v>
      </c>
      <c r="K1532" t="s">
        <v>84</v>
      </c>
      <c r="L1532" t="s">
        <v>85</v>
      </c>
      <c r="M1532" t="s">
        <v>86</v>
      </c>
      <c r="N1532">
        <v>1</v>
      </c>
      <c r="O1532" s="1">
        <v>44212.401736111111</v>
      </c>
      <c r="P1532" s="1">
        <v>44215.160486111112</v>
      </c>
      <c r="Q1532">
        <v>237990</v>
      </c>
      <c r="R1532">
        <v>366</v>
      </c>
      <c r="S1532" t="b">
        <v>0</v>
      </c>
      <c r="T1532" t="s">
        <v>87</v>
      </c>
      <c r="U1532" t="b">
        <v>0</v>
      </c>
      <c r="V1532" t="s">
        <v>1418</v>
      </c>
      <c r="W1532" s="1">
        <v>44215.160486111112</v>
      </c>
      <c r="X1532">
        <v>366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66</v>
      </c>
      <c r="AE1532">
        <v>52</v>
      </c>
      <c r="AF1532">
        <v>0</v>
      </c>
      <c r="AG1532">
        <v>2</v>
      </c>
      <c r="AH1532" t="s">
        <v>87</v>
      </c>
      <c r="AI1532" t="s">
        <v>87</v>
      </c>
      <c r="AJ1532" t="s">
        <v>87</v>
      </c>
      <c r="AK1532" t="s">
        <v>87</v>
      </c>
      <c r="AL1532" t="s">
        <v>87</v>
      </c>
      <c r="AM1532" t="s">
        <v>87</v>
      </c>
      <c r="AN1532" t="s">
        <v>87</v>
      </c>
      <c r="AO1532" t="s">
        <v>87</v>
      </c>
      <c r="AP1532" t="s">
        <v>87</v>
      </c>
      <c r="AQ1532" t="s">
        <v>87</v>
      </c>
      <c r="AR1532" t="s">
        <v>87</v>
      </c>
      <c r="AS1532" t="s">
        <v>87</v>
      </c>
      <c r="AT1532" t="s">
        <v>87</v>
      </c>
      <c r="AU1532" t="s">
        <v>87</v>
      </c>
      <c r="AV1532" t="s">
        <v>87</v>
      </c>
      <c r="AW1532" t="s">
        <v>87</v>
      </c>
      <c r="AX1532" t="s">
        <v>87</v>
      </c>
      <c r="AY1532" t="s">
        <v>87</v>
      </c>
      <c r="AZ1532" t="s">
        <v>87</v>
      </c>
      <c r="BA1532" t="s">
        <v>87</v>
      </c>
      <c r="BB1532" t="s">
        <v>87</v>
      </c>
      <c r="BC1532" t="s">
        <v>87</v>
      </c>
      <c r="BD1532" t="s">
        <v>87</v>
      </c>
      <c r="BE1532" t="s">
        <v>87</v>
      </c>
    </row>
    <row r="1533" spans="1:57" hidden="1" x14ac:dyDescent="0.45">
      <c r="A1533" t="s">
        <v>3796</v>
      </c>
      <c r="B1533" t="s">
        <v>79</v>
      </c>
      <c r="C1533" t="s">
        <v>3797</v>
      </c>
      <c r="D1533" t="s">
        <v>81</v>
      </c>
      <c r="E1533" s="2" t="str">
        <f>HYPERLINK("capsilon://?command=openfolder&amp;siteaddress=FAM.docvelocity-na8.net&amp;folderid=FX0C97C4C2-004E-707D-9069-D87A5837E892","FX201225641")</f>
        <v>FX201225641</v>
      </c>
      <c r="F1533" t="s">
        <v>19</v>
      </c>
      <c r="G1533" t="s">
        <v>19</v>
      </c>
      <c r="H1533" t="s">
        <v>82</v>
      </c>
      <c r="I1533" t="s">
        <v>3798</v>
      </c>
      <c r="J1533">
        <v>66</v>
      </c>
      <c r="K1533" t="s">
        <v>84</v>
      </c>
      <c r="L1533" t="s">
        <v>85</v>
      </c>
      <c r="M1533" t="s">
        <v>86</v>
      </c>
      <c r="N1533">
        <v>1</v>
      </c>
      <c r="O1533" s="1">
        <v>44212.440092592595</v>
      </c>
      <c r="P1533" s="1">
        <v>44215.159814814811</v>
      </c>
      <c r="Q1533">
        <v>234858</v>
      </c>
      <c r="R1533">
        <v>126</v>
      </c>
      <c r="S1533" t="b">
        <v>0</v>
      </c>
      <c r="T1533" t="s">
        <v>87</v>
      </c>
      <c r="U1533" t="b">
        <v>0</v>
      </c>
      <c r="V1533" t="s">
        <v>419</v>
      </c>
      <c r="W1533" s="1">
        <v>44215.159814814811</v>
      </c>
      <c r="X1533">
        <v>126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66</v>
      </c>
      <c r="AE1533">
        <v>52</v>
      </c>
      <c r="AF1533">
        <v>0</v>
      </c>
      <c r="AG1533">
        <v>1</v>
      </c>
      <c r="AH1533" t="s">
        <v>87</v>
      </c>
      <c r="AI1533" t="s">
        <v>87</v>
      </c>
      <c r="AJ1533" t="s">
        <v>87</v>
      </c>
      <c r="AK1533" t="s">
        <v>87</v>
      </c>
      <c r="AL1533" t="s">
        <v>87</v>
      </c>
      <c r="AM1533" t="s">
        <v>87</v>
      </c>
      <c r="AN1533" t="s">
        <v>87</v>
      </c>
      <c r="AO1533" t="s">
        <v>87</v>
      </c>
      <c r="AP1533" t="s">
        <v>87</v>
      </c>
      <c r="AQ1533" t="s">
        <v>87</v>
      </c>
      <c r="AR1533" t="s">
        <v>87</v>
      </c>
      <c r="AS1533" t="s">
        <v>87</v>
      </c>
      <c r="AT1533" t="s">
        <v>87</v>
      </c>
      <c r="AU1533" t="s">
        <v>87</v>
      </c>
      <c r="AV1533" t="s">
        <v>87</v>
      </c>
      <c r="AW1533" t="s">
        <v>87</v>
      </c>
      <c r="AX1533" t="s">
        <v>87</v>
      </c>
      <c r="AY1533" t="s">
        <v>87</v>
      </c>
      <c r="AZ1533" t="s">
        <v>87</v>
      </c>
      <c r="BA1533" t="s">
        <v>87</v>
      </c>
      <c r="BB1533" t="s">
        <v>87</v>
      </c>
      <c r="BC1533" t="s">
        <v>87</v>
      </c>
      <c r="BD1533" t="s">
        <v>87</v>
      </c>
      <c r="BE1533" t="s">
        <v>87</v>
      </c>
    </row>
    <row r="1534" spans="1:57" x14ac:dyDescent="0.45">
      <c r="A1534" t="s">
        <v>3799</v>
      </c>
      <c r="B1534" t="s">
        <v>79</v>
      </c>
      <c r="C1534" t="s">
        <v>3800</v>
      </c>
      <c r="D1534" t="s">
        <v>81</v>
      </c>
      <c r="E1534" s="2" t="str">
        <f>HYPERLINK("capsilon://?command=openfolder&amp;siteaddress=FAM.docvelocity-na8.net&amp;folderid=FX70909F6E-2773-1EE2-7611-6D02FD3CA388","FX2101510")</f>
        <v>FX2101510</v>
      </c>
      <c r="F1534" t="s">
        <v>19</v>
      </c>
      <c r="G1534" t="s">
        <v>19</v>
      </c>
      <c r="H1534" t="s">
        <v>82</v>
      </c>
      <c r="I1534" t="s">
        <v>3801</v>
      </c>
      <c r="J1534">
        <v>38</v>
      </c>
      <c r="K1534" t="s">
        <v>84</v>
      </c>
      <c r="L1534" t="s">
        <v>85</v>
      </c>
      <c r="M1534" t="s">
        <v>86</v>
      </c>
      <c r="N1534">
        <v>3</v>
      </c>
      <c r="O1534" s="1">
        <v>44200.792511574073</v>
      </c>
      <c r="P1534" s="1">
        <v>44201.431608796294</v>
      </c>
      <c r="Q1534">
        <v>54841</v>
      </c>
      <c r="R1534">
        <v>377</v>
      </c>
      <c r="S1534" t="b">
        <v>0</v>
      </c>
      <c r="T1534" t="s">
        <v>87</v>
      </c>
      <c r="U1534" t="b">
        <v>0</v>
      </c>
      <c r="V1534" t="s">
        <v>266</v>
      </c>
      <c r="W1534" s="1">
        <v>44200.869490740741</v>
      </c>
      <c r="X1534">
        <v>298</v>
      </c>
      <c r="Y1534">
        <v>37</v>
      </c>
      <c r="Z1534">
        <v>0</v>
      </c>
      <c r="AA1534">
        <v>37</v>
      </c>
      <c r="AB1534">
        <v>0</v>
      </c>
      <c r="AC1534">
        <v>16</v>
      </c>
      <c r="AD1534">
        <v>1</v>
      </c>
      <c r="AE1534">
        <v>0</v>
      </c>
      <c r="AF1534">
        <v>0</v>
      </c>
      <c r="AG1534">
        <v>0</v>
      </c>
      <c r="AH1534" t="s">
        <v>267</v>
      </c>
      <c r="AI1534" s="1">
        <v>44200.87427083333</v>
      </c>
      <c r="AJ1534">
        <v>60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 t="s">
        <v>549</v>
      </c>
      <c r="AU1534" s="1">
        <v>44201.431608796294</v>
      </c>
      <c r="AV1534">
        <v>19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</row>
    <row r="1535" spans="1:57" x14ac:dyDescent="0.45">
      <c r="A1535" t="s">
        <v>3802</v>
      </c>
      <c r="B1535" t="s">
        <v>79</v>
      </c>
      <c r="C1535" t="s">
        <v>3803</v>
      </c>
      <c r="D1535" t="s">
        <v>81</v>
      </c>
      <c r="E1535" s="2" t="str">
        <f>HYPERLINK("capsilon://?command=openfolder&amp;siteaddress=FAM.docvelocity-na8.net&amp;folderid=FX11D0AF1D-56B0-F36E-98DD-934D3D865ABB","FX201229254")</f>
        <v>FX201229254</v>
      </c>
      <c r="F1535" t="s">
        <v>19</v>
      </c>
      <c r="G1535" t="s">
        <v>19</v>
      </c>
      <c r="H1535" t="s">
        <v>82</v>
      </c>
      <c r="I1535" t="s">
        <v>3804</v>
      </c>
      <c r="J1535">
        <v>66</v>
      </c>
      <c r="K1535" t="s">
        <v>84</v>
      </c>
      <c r="L1535" t="s">
        <v>85</v>
      </c>
      <c r="M1535" t="s">
        <v>86</v>
      </c>
      <c r="N1535">
        <v>3</v>
      </c>
      <c r="O1535" s="1">
        <v>44212.559363425928</v>
      </c>
      <c r="P1535" s="1">
        <v>44215.346759259257</v>
      </c>
      <c r="Q1535">
        <v>239606</v>
      </c>
      <c r="R1535">
        <v>1225</v>
      </c>
      <c r="S1535" t="b">
        <v>0</v>
      </c>
      <c r="T1535" t="s">
        <v>87</v>
      </c>
      <c r="U1535" t="b">
        <v>0</v>
      </c>
      <c r="V1535" t="s">
        <v>105</v>
      </c>
      <c r="W1535" s="1">
        <v>44215.17082175926</v>
      </c>
      <c r="X1535">
        <v>1026</v>
      </c>
      <c r="Y1535">
        <v>52</v>
      </c>
      <c r="Z1535">
        <v>0</v>
      </c>
      <c r="AA1535">
        <v>52</v>
      </c>
      <c r="AB1535">
        <v>0</v>
      </c>
      <c r="AC1535">
        <v>33</v>
      </c>
      <c r="AD1535">
        <v>14</v>
      </c>
      <c r="AE1535">
        <v>0</v>
      </c>
      <c r="AF1535">
        <v>0</v>
      </c>
      <c r="AG1535">
        <v>0</v>
      </c>
      <c r="AH1535" t="s">
        <v>94</v>
      </c>
      <c r="AI1535" s="1">
        <v>44215.239756944444</v>
      </c>
      <c r="AJ1535">
        <v>180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14</v>
      </c>
      <c r="AQ1535">
        <v>0</v>
      </c>
      <c r="AR1535">
        <v>0</v>
      </c>
      <c r="AS1535">
        <v>0</v>
      </c>
      <c r="AT1535" t="s">
        <v>90</v>
      </c>
      <c r="AU1535" s="1">
        <v>44215.346759259257</v>
      </c>
      <c r="AV1535">
        <v>19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14</v>
      </c>
      <c r="BC1535">
        <v>0</v>
      </c>
      <c r="BD1535">
        <v>0</v>
      </c>
      <c r="BE1535">
        <v>0</v>
      </c>
    </row>
    <row r="1536" spans="1:57" x14ac:dyDescent="0.45">
      <c r="A1536" t="s">
        <v>3805</v>
      </c>
      <c r="B1536" t="s">
        <v>79</v>
      </c>
      <c r="C1536" t="s">
        <v>3806</v>
      </c>
      <c r="D1536" t="s">
        <v>81</v>
      </c>
      <c r="E1536" s="2" t="str">
        <f>HYPERLINK("capsilon://?command=openfolder&amp;siteaddress=FAM.docvelocity-na8.net&amp;folderid=FXF35B5DEB-711B-E866-8E50-42A0E33B70CB","FX201229002")</f>
        <v>FX201229002</v>
      </c>
      <c r="F1536" t="s">
        <v>19</v>
      </c>
      <c r="G1536" t="s">
        <v>19</v>
      </c>
      <c r="H1536" t="s">
        <v>82</v>
      </c>
      <c r="I1536" t="s">
        <v>3807</v>
      </c>
      <c r="J1536">
        <v>219</v>
      </c>
      <c r="K1536" t="s">
        <v>84</v>
      </c>
      <c r="L1536" t="s">
        <v>85</v>
      </c>
      <c r="M1536" t="s">
        <v>86</v>
      </c>
      <c r="N1536">
        <v>3</v>
      </c>
      <c r="O1536" s="1">
        <v>44200.793344907404</v>
      </c>
      <c r="P1536" s="1">
        <v>44201.441076388888</v>
      </c>
      <c r="Q1536">
        <v>52335</v>
      </c>
      <c r="R1536">
        <v>3629</v>
      </c>
      <c r="S1536" t="b">
        <v>0</v>
      </c>
      <c r="T1536" t="s">
        <v>87</v>
      </c>
      <c r="U1536" t="b">
        <v>0</v>
      </c>
      <c r="V1536" t="s">
        <v>142</v>
      </c>
      <c r="W1536" s="1">
        <v>44200.875439814816</v>
      </c>
      <c r="X1536">
        <v>791</v>
      </c>
      <c r="Y1536">
        <v>176</v>
      </c>
      <c r="Z1536">
        <v>0</v>
      </c>
      <c r="AA1536">
        <v>176</v>
      </c>
      <c r="AB1536">
        <v>0</v>
      </c>
      <c r="AC1536">
        <v>64</v>
      </c>
      <c r="AD1536">
        <v>43</v>
      </c>
      <c r="AE1536">
        <v>0</v>
      </c>
      <c r="AF1536">
        <v>0</v>
      </c>
      <c r="AG1536">
        <v>0</v>
      </c>
      <c r="AH1536" t="s">
        <v>89</v>
      </c>
      <c r="AI1536" s="1">
        <v>44201.229155092595</v>
      </c>
      <c r="AJ1536">
        <v>2012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43</v>
      </c>
      <c r="AQ1536">
        <v>0</v>
      </c>
      <c r="AR1536">
        <v>0</v>
      </c>
      <c r="AS1536">
        <v>0</v>
      </c>
      <c r="AT1536" t="s">
        <v>549</v>
      </c>
      <c r="AU1536" s="1">
        <v>44201.441076388888</v>
      </c>
      <c r="AV1536">
        <v>817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43</v>
      </c>
      <c r="BC1536">
        <v>0</v>
      </c>
      <c r="BD1536">
        <v>0</v>
      </c>
      <c r="BE1536">
        <v>0</v>
      </c>
    </row>
    <row r="1537" spans="1:57" x14ac:dyDescent="0.45">
      <c r="A1537" t="s">
        <v>3808</v>
      </c>
      <c r="B1537" t="s">
        <v>79</v>
      </c>
      <c r="C1537" t="s">
        <v>3809</v>
      </c>
      <c r="D1537" t="s">
        <v>81</v>
      </c>
      <c r="E1537" s="2" t="str">
        <f>HYPERLINK("capsilon://?command=openfolder&amp;siteaddress=FAM.docvelocity-na8.net&amp;folderid=FX0251CF2E-C110-1D22-83AC-1DCF11773C4B","FX20123154")</f>
        <v>FX20123154</v>
      </c>
      <c r="F1537" t="s">
        <v>19</v>
      </c>
      <c r="G1537" t="s">
        <v>19</v>
      </c>
      <c r="H1537" t="s">
        <v>82</v>
      </c>
      <c r="I1537" t="s">
        <v>3810</v>
      </c>
      <c r="J1537">
        <v>100</v>
      </c>
      <c r="K1537" t="s">
        <v>84</v>
      </c>
      <c r="L1537" t="s">
        <v>85</v>
      </c>
      <c r="M1537" t="s">
        <v>86</v>
      </c>
      <c r="N1537">
        <v>3</v>
      </c>
      <c r="O1537" s="1">
        <v>44214.415891203702</v>
      </c>
      <c r="P1537" s="1">
        <v>44215.347037037034</v>
      </c>
      <c r="Q1537">
        <v>78445</v>
      </c>
      <c r="R1537">
        <v>2006</v>
      </c>
      <c r="S1537" t="b">
        <v>0</v>
      </c>
      <c r="T1537" t="s">
        <v>87</v>
      </c>
      <c r="U1537" t="b">
        <v>0</v>
      </c>
      <c r="V1537" t="s">
        <v>88</v>
      </c>
      <c r="W1537" s="1">
        <v>44215.179039351853</v>
      </c>
      <c r="X1537">
        <v>1622</v>
      </c>
      <c r="Y1537">
        <v>80</v>
      </c>
      <c r="Z1537">
        <v>0</v>
      </c>
      <c r="AA1537">
        <v>80</v>
      </c>
      <c r="AB1537">
        <v>0</v>
      </c>
      <c r="AC1537">
        <v>45</v>
      </c>
      <c r="AD1537">
        <v>20</v>
      </c>
      <c r="AE1537">
        <v>0</v>
      </c>
      <c r="AF1537">
        <v>0</v>
      </c>
      <c r="AG1537">
        <v>0</v>
      </c>
      <c r="AH1537" t="s">
        <v>108</v>
      </c>
      <c r="AI1537" s="1">
        <v>44215.256365740737</v>
      </c>
      <c r="AJ1537">
        <v>306</v>
      </c>
      <c r="AK1537">
        <v>2</v>
      </c>
      <c r="AL1537">
        <v>0</v>
      </c>
      <c r="AM1537">
        <v>2</v>
      </c>
      <c r="AN1537">
        <v>0</v>
      </c>
      <c r="AO1537">
        <v>0</v>
      </c>
      <c r="AP1537">
        <v>18</v>
      </c>
      <c r="AQ1537">
        <v>0</v>
      </c>
      <c r="AR1537">
        <v>0</v>
      </c>
      <c r="AS1537">
        <v>0</v>
      </c>
      <c r="AT1537" t="s">
        <v>90</v>
      </c>
      <c r="AU1537" s="1">
        <v>44215.347037037034</v>
      </c>
      <c r="AV1537">
        <v>24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18</v>
      </c>
      <c r="BC1537">
        <v>0</v>
      </c>
      <c r="BD1537">
        <v>0</v>
      </c>
      <c r="BE1537">
        <v>0</v>
      </c>
    </row>
    <row r="1538" spans="1:57" x14ac:dyDescent="0.45">
      <c r="A1538" t="s">
        <v>3811</v>
      </c>
      <c r="B1538" t="s">
        <v>79</v>
      </c>
      <c r="C1538" t="s">
        <v>3812</v>
      </c>
      <c r="D1538" t="s">
        <v>81</v>
      </c>
      <c r="E1538" s="2" t="str">
        <f>HYPERLINK("capsilon://?command=openfolder&amp;siteaddress=FAM.docvelocity-na8.net&amp;folderid=FXA7ADB4B3-7E6C-4743-0476-EA035A200C00","FX2101234")</f>
        <v>FX2101234</v>
      </c>
      <c r="F1538" t="s">
        <v>19</v>
      </c>
      <c r="G1538" t="s">
        <v>19</v>
      </c>
      <c r="H1538" t="s">
        <v>82</v>
      </c>
      <c r="I1538" t="s">
        <v>3813</v>
      </c>
      <c r="J1538">
        <v>299</v>
      </c>
      <c r="K1538" t="s">
        <v>84</v>
      </c>
      <c r="L1538" t="s">
        <v>85</v>
      </c>
      <c r="M1538" t="s">
        <v>86</v>
      </c>
      <c r="N1538">
        <v>3</v>
      </c>
      <c r="O1538" s="1">
        <v>44200.81045138889</v>
      </c>
      <c r="P1538" s="1">
        <v>44201.434999999998</v>
      </c>
      <c r="Q1538">
        <v>50387</v>
      </c>
      <c r="R1538">
        <v>3574</v>
      </c>
      <c r="S1538" t="b">
        <v>0</v>
      </c>
      <c r="T1538" t="s">
        <v>87</v>
      </c>
      <c r="U1538" t="b">
        <v>0</v>
      </c>
      <c r="V1538" t="s">
        <v>266</v>
      </c>
      <c r="W1538" s="1">
        <v>44200.883831018517</v>
      </c>
      <c r="X1538">
        <v>1190</v>
      </c>
      <c r="Y1538">
        <v>223</v>
      </c>
      <c r="Z1538">
        <v>0</v>
      </c>
      <c r="AA1538">
        <v>223</v>
      </c>
      <c r="AB1538">
        <v>0</v>
      </c>
      <c r="AC1538">
        <v>43</v>
      </c>
      <c r="AD1538">
        <v>76</v>
      </c>
      <c r="AE1538">
        <v>0</v>
      </c>
      <c r="AF1538">
        <v>0</v>
      </c>
      <c r="AG1538">
        <v>0</v>
      </c>
      <c r="AH1538" t="s">
        <v>94</v>
      </c>
      <c r="AI1538" s="1">
        <v>44201.231481481482</v>
      </c>
      <c r="AJ1538">
        <v>2173</v>
      </c>
      <c r="AK1538">
        <v>2</v>
      </c>
      <c r="AL1538">
        <v>0</v>
      </c>
      <c r="AM1538">
        <v>2</v>
      </c>
      <c r="AN1538">
        <v>0</v>
      </c>
      <c r="AO1538">
        <v>2</v>
      </c>
      <c r="AP1538">
        <v>74</v>
      </c>
      <c r="AQ1538">
        <v>0</v>
      </c>
      <c r="AR1538">
        <v>0</v>
      </c>
      <c r="AS1538">
        <v>0</v>
      </c>
      <c r="AT1538" t="s">
        <v>90</v>
      </c>
      <c r="AU1538" s="1">
        <v>44201.434999999998</v>
      </c>
      <c r="AV1538">
        <v>211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74</v>
      </c>
      <c r="BC1538">
        <v>0</v>
      </c>
      <c r="BD1538">
        <v>0</v>
      </c>
      <c r="BE1538">
        <v>0</v>
      </c>
    </row>
    <row r="1539" spans="1:57" hidden="1" x14ac:dyDescent="0.45">
      <c r="A1539" t="s">
        <v>3814</v>
      </c>
      <c r="B1539" t="s">
        <v>79</v>
      </c>
      <c r="C1539" t="s">
        <v>3815</v>
      </c>
      <c r="D1539" t="s">
        <v>81</v>
      </c>
      <c r="E1539" s="2" t="str">
        <f>HYPERLINK("capsilon://?command=openfolder&amp;siteaddress=FAM.docvelocity-na8.net&amp;folderid=FXC8574CA4-F9AC-B0C9-3E6D-CE0DA4ABD1A6","FX20128284")</f>
        <v>FX20128284</v>
      </c>
      <c r="F1539" t="s">
        <v>19</v>
      </c>
      <c r="G1539" t="s">
        <v>19</v>
      </c>
      <c r="H1539" t="s">
        <v>82</v>
      </c>
      <c r="I1539" t="s">
        <v>3816</v>
      </c>
      <c r="J1539">
        <v>66</v>
      </c>
      <c r="K1539" t="s">
        <v>84</v>
      </c>
      <c r="L1539" t="s">
        <v>85</v>
      </c>
      <c r="M1539" t="s">
        <v>86</v>
      </c>
      <c r="N1539">
        <v>3</v>
      </c>
      <c r="O1539" s="1">
        <v>44214.58803240741</v>
      </c>
      <c r="P1539" s="1">
        <v>44215.34710648148</v>
      </c>
      <c r="Q1539">
        <v>64841</v>
      </c>
      <c r="R1539">
        <v>743</v>
      </c>
      <c r="S1539" t="b">
        <v>0</v>
      </c>
      <c r="T1539" t="s">
        <v>87</v>
      </c>
      <c r="U1539" t="b">
        <v>0</v>
      </c>
      <c r="V1539" t="s">
        <v>1418</v>
      </c>
      <c r="W1539" s="1">
        <v>44215.168020833335</v>
      </c>
      <c r="X1539">
        <v>650</v>
      </c>
      <c r="Y1539">
        <v>0</v>
      </c>
      <c r="Z1539">
        <v>0</v>
      </c>
      <c r="AA1539">
        <v>0</v>
      </c>
      <c r="AB1539">
        <v>52</v>
      </c>
      <c r="AC1539">
        <v>0</v>
      </c>
      <c r="AD1539">
        <v>66</v>
      </c>
      <c r="AE1539">
        <v>0</v>
      </c>
      <c r="AF1539">
        <v>0</v>
      </c>
      <c r="AG1539">
        <v>0</v>
      </c>
      <c r="AH1539" t="s">
        <v>94</v>
      </c>
      <c r="AI1539" s="1">
        <v>44215.257384259261</v>
      </c>
      <c r="AJ1539">
        <v>88</v>
      </c>
      <c r="AK1539">
        <v>0</v>
      </c>
      <c r="AL1539">
        <v>0</v>
      </c>
      <c r="AM1539">
        <v>0</v>
      </c>
      <c r="AN1539">
        <v>52</v>
      </c>
      <c r="AO1539">
        <v>0</v>
      </c>
      <c r="AP1539">
        <v>66</v>
      </c>
      <c r="AQ1539">
        <v>0</v>
      </c>
      <c r="AR1539">
        <v>0</v>
      </c>
      <c r="AS1539">
        <v>0</v>
      </c>
      <c r="AT1539" t="s">
        <v>90</v>
      </c>
      <c r="AU1539" s="1">
        <v>44215.34710648148</v>
      </c>
      <c r="AV1539">
        <v>5</v>
      </c>
      <c r="AW1539">
        <v>0</v>
      </c>
      <c r="AX1539">
        <v>0</v>
      </c>
      <c r="AY1539">
        <v>0</v>
      </c>
      <c r="AZ1539">
        <v>52</v>
      </c>
      <c r="BA1539">
        <v>0</v>
      </c>
      <c r="BB1539">
        <v>66</v>
      </c>
      <c r="BC1539">
        <v>0</v>
      </c>
      <c r="BD1539">
        <v>0</v>
      </c>
      <c r="BE1539">
        <v>0</v>
      </c>
    </row>
    <row r="1540" spans="1:57" hidden="1" x14ac:dyDescent="0.45">
      <c r="A1540" t="s">
        <v>3817</v>
      </c>
      <c r="B1540" t="s">
        <v>79</v>
      </c>
      <c r="C1540" t="s">
        <v>3818</v>
      </c>
      <c r="D1540" t="s">
        <v>81</v>
      </c>
      <c r="E1540" s="2" t="str">
        <f>HYPERLINK("capsilon://?command=openfolder&amp;siteaddress=FAM.docvelocity-na8.net&amp;folderid=FX9B9BF4AD-6D7A-9E57-624C-798B6222C92B","FX20125969")</f>
        <v>FX20125969</v>
      </c>
      <c r="F1540" t="s">
        <v>19</v>
      </c>
      <c r="G1540" t="s">
        <v>19</v>
      </c>
      <c r="H1540" t="s">
        <v>82</v>
      </c>
      <c r="I1540" t="s">
        <v>3819</v>
      </c>
      <c r="J1540">
        <v>66</v>
      </c>
      <c r="K1540" t="s">
        <v>84</v>
      </c>
      <c r="L1540" t="s">
        <v>85</v>
      </c>
      <c r="M1540" t="s">
        <v>86</v>
      </c>
      <c r="N1540">
        <v>3</v>
      </c>
      <c r="O1540" s="1">
        <v>44200.818472222221</v>
      </c>
      <c r="P1540" s="1">
        <v>44201.435081018521</v>
      </c>
      <c r="Q1540">
        <v>53130</v>
      </c>
      <c r="R1540">
        <v>145</v>
      </c>
      <c r="S1540" t="b">
        <v>0</v>
      </c>
      <c r="T1540" t="s">
        <v>87</v>
      </c>
      <c r="U1540" t="b">
        <v>0</v>
      </c>
      <c r="V1540" t="s">
        <v>142</v>
      </c>
      <c r="W1540" s="1">
        <v>44200.876226851855</v>
      </c>
      <c r="X1540">
        <v>67</v>
      </c>
      <c r="Y1540">
        <v>0</v>
      </c>
      <c r="Z1540">
        <v>0</v>
      </c>
      <c r="AA1540">
        <v>0</v>
      </c>
      <c r="AB1540">
        <v>52</v>
      </c>
      <c r="AC1540">
        <v>0</v>
      </c>
      <c r="AD1540">
        <v>66</v>
      </c>
      <c r="AE1540">
        <v>0</v>
      </c>
      <c r="AF1540">
        <v>0</v>
      </c>
      <c r="AG1540">
        <v>0</v>
      </c>
      <c r="AH1540" t="s">
        <v>89</v>
      </c>
      <c r="AI1540" s="1">
        <v>44201.23</v>
      </c>
      <c r="AJ1540">
        <v>72</v>
      </c>
      <c r="AK1540">
        <v>0</v>
      </c>
      <c r="AL1540">
        <v>0</v>
      </c>
      <c r="AM1540">
        <v>0</v>
      </c>
      <c r="AN1540">
        <v>52</v>
      </c>
      <c r="AO1540">
        <v>0</v>
      </c>
      <c r="AP1540">
        <v>66</v>
      </c>
      <c r="AQ1540">
        <v>0</v>
      </c>
      <c r="AR1540">
        <v>0</v>
      </c>
      <c r="AS1540">
        <v>0</v>
      </c>
      <c r="AT1540" t="s">
        <v>90</v>
      </c>
      <c r="AU1540" s="1">
        <v>44201.435081018521</v>
      </c>
      <c r="AV1540">
        <v>6</v>
      </c>
      <c r="AW1540">
        <v>0</v>
      </c>
      <c r="AX1540">
        <v>0</v>
      </c>
      <c r="AY1540">
        <v>0</v>
      </c>
      <c r="AZ1540">
        <v>52</v>
      </c>
      <c r="BA1540">
        <v>0</v>
      </c>
      <c r="BB1540">
        <v>66</v>
      </c>
      <c r="BC1540">
        <v>0</v>
      </c>
      <c r="BD1540">
        <v>0</v>
      </c>
      <c r="BE1540">
        <v>0</v>
      </c>
    </row>
    <row r="1541" spans="1:57" x14ac:dyDescent="0.45">
      <c r="A1541" t="s">
        <v>3820</v>
      </c>
      <c r="B1541" t="s">
        <v>79</v>
      </c>
      <c r="C1541" t="s">
        <v>3821</v>
      </c>
      <c r="D1541" t="s">
        <v>81</v>
      </c>
      <c r="E1541" s="2" t="str">
        <f>HYPERLINK("capsilon://?command=openfolder&amp;siteaddress=FAM.docvelocity-na8.net&amp;folderid=FX92B90181-86CC-92DA-78A3-24109768E2F9","FX201228847")</f>
        <v>FX201228847</v>
      </c>
      <c r="F1541" t="s">
        <v>19</v>
      </c>
      <c r="G1541" t="s">
        <v>19</v>
      </c>
      <c r="H1541" t="s">
        <v>82</v>
      </c>
      <c r="I1541" t="s">
        <v>3822</v>
      </c>
      <c r="J1541">
        <v>294</v>
      </c>
      <c r="K1541" t="s">
        <v>84</v>
      </c>
      <c r="L1541" t="s">
        <v>85</v>
      </c>
      <c r="M1541" t="s">
        <v>86</v>
      </c>
      <c r="N1541">
        <v>3</v>
      </c>
      <c r="O1541" s="1">
        <v>44200.819155092591</v>
      </c>
      <c r="P1541" s="1">
        <v>44201.436238425929</v>
      </c>
      <c r="Q1541">
        <v>48722</v>
      </c>
      <c r="R1541">
        <v>4594</v>
      </c>
      <c r="S1541" t="b">
        <v>0</v>
      </c>
      <c r="T1541" t="s">
        <v>87</v>
      </c>
      <c r="U1541" t="b">
        <v>0</v>
      </c>
      <c r="V1541" t="s">
        <v>132</v>
      </c>
      <c r="W1541" s="1">
        <v>44200.946412037039</v>
      </c>
      <c r="X1541">
        <v>2599</v>
      </c>
      <c r="Y1541">
        <v>227</v>
      </c>
      <c r="Z1541">
        <v>0</v>
      </c>
      <c r="AA1541">
        <v>227</v>
      </c>
      <c r="AB1541">
        <v>64</v>
      </c>
      <c r="AC1541">
        <v>90</v>
      </c>
      <c r="AD1541">
        <v>67</v>
      </c>
      <c r="AE1541">
        <v>0</v>
      </c>
      <c r="AF1541">
        <v>0</v>
      </c>
      <c r="AG1541">
        <v>0</v>
      </c>
      <c r="AH1541" t="s">
        <v>89</v>
      </c>
      <c r="AI1541" s="1">
        <v>44201.251828703702</v>
      </c>
      <c r="AJ1541">
        <v>1885</v>
      </c>
      <c r="AK1541">
        <v>0</v>
      </c>
      <c r="AL1541">
        <v>0</v>
      </c>
      <c r="AM1541">
        <v>0</v>
      </c>
      <c r="AN1541">
        <v>64</v>
      </c>
      <c r="AO1541">
        <v>0</v>
      </c>
      <c r="AP1541">
        <v>67</v>
      </c>
      <c r="AQ1541">
        <v>0</v>
      </c>
      <c r="AR1541">
        <v>0</v>
      </c>
      <c r="AS1541">
        <v>0</v>
      </c>
      <c r="AT1541" t="s">
        <v>90</v>
      </c>
      <c r="AU1541" s="1">
        <v>44201.436238425929</v>
      </c>
      <c r="AV1541">
        <v>99</v>
      </c>
      <c r="AW1541">
        <v>0</v>
      </c>
      <c r="AX1541">
        <v>0</v>
      </c>
      <c r="AY1541">
        <v>0</v>
      </c>
      <c r="AZ1541">
        <v>64</v>
      </c>
      <c r="BA1541">
        <v>0</v>
      </c>
      <c r="BB1541">
        <v>67</v>
      </c>
      <c r="BC1541">
        <v>0</v>
      </c>
      <c r="BD1541">
        <v>0</v>
      </c>
      <c r="BE1541">
        <v>0</v>
      </c>
    </row>
    <row r="1542" spans="1:57" hidden="1" x14ac:dyDescent="0.45">
      <c r="A1542" t="s">
        <v>3823</v>
      </c>
      <c r="B1542" t="s">
        <v>79</v>
      </c>
      <c r="C1542" t="s">
        <v>3824</v>
      </c>
      <c r="D1542" t="s">
        <v>81</v>
      </c>
      <c r="E1542" s="2" t="str">
        <f>HYPERLINK("capsilon://?command=openfolder&amp;siteaddress=FAM.docvelocity-na8.net&amp;folderid=FX916D7369-E95E-75D5-5B50-8E1B0B8D8E7C","FX201116320")</f>
        <v>FX201116320</v>
      </c>
      <c r="F1542" t="s">
        <v>19</v>
      </c>
      <c r="G1542" t="s">
        <v>19</v>
      </c>
      <c r="H1542" t="s">
        <v>82</v>
      </c>
      <c r="I1542" t="s">
        <v>3825</v>
      </c>
      <c r="J1542">
        <v>66</v>
      </c>
      <c r="K1542" t="s">
        <v>84</v>
      </c>
      <c r="L1542" t="s">
        <v>85</v>
      </c>
      <c r="M1542" t="s">
        <v>86</v>
      </c>
      <c r="N1542">
        <v>3</v>
      </c>
      <c r="O1542" s="1">
        <v>44214.71297453704</v>
      </c>
      <c r="P1542" s="1">
        <v>44215.347141203703</v>
      </c>
      <c r="Q1542">
        <v>54520</v>
      </c>
      <c r="R1542">
        <v>272</v>
      </c>
      <c r="S1542" t="b">
        <v>0</v>
      </c>
      <c r="T1542" t="s">
        <v>87</v>
      </c>
      <c r="U1542" t="b">
        <v>0</v>
      </c>
      <c r="V1542" t="s">
        <v>419</v>
      </c>
      <c r="W1542" s="1">
        <v>44215.170520833337</v>
      </c>
      <c r="X1542">
        <v>191</v>
      </c>
      <c r="Y1542">
        <v>0</v>
      </c>
      <c r="Z1542">
        <v>0</v>
      </c>
      <c r="AA1542">
        <v>0</v>
      </c>
      <c r="AB1542">
        <v>52</v>
      </c>
      <c r="AC1542">
        <v>0</v>
      </c>
      <c r="AD1542">
        <v>66</v>
      </c>
      <c r="AE1542">
        <v>0</v>
      </c>
      <c r="AF1542">
        <v>0</v>
      </c>
      <c r="AG1542">
        <v>0</v>
      </c>
      <c r="AH1542" t="s">
        <v>108</v>
      </c>
      <c r="AI1542" s="1">
        <v>44215.257280092592</v>
      </c>
      <c r="AJ1542">
        <v>78</v>
      </c>
      <c r="AK1542">
        <v>0</v>
      </c>
      <c r="AL1542">
        <v>0</v>
      </c>
      <c r="AM1542">
        <v>0</v>
      </c>
      <c r="AN1542">
        <v>52</v>
      </c>
      <c r="AO1542">
        <v>0</v>
      </c>
      <c r="AP1542">
        <v>66</v>
      </c>
      <c r="AQ1542">
        <v>0</v>
      </c>
      <c r="AR1542">
        <v>0</v>
      </c>
      <c r="AS1542">
        <v>0</v>
      </c>
      <c r="AT1542" t="s">
        <v>90</v>
      </c>
      <c r="AU1542" s="1">
        <v>44215.347141203703</v>
      </c>
      <c r="AV1542">
        <v>3</v>
      </c>
      <c r="AW1542">
        <v>0</v>
      </c>
      <c r="AX1542">
        <v>0</v>
      </c>
      <c r="AY1542">
        <v>0</v>
      </c>
      <c r="AZ1542">
        <v>52</v>
      </c>
      <c r="BA1542">
        <v>0</v>
      </c>
      <c r="BB1542">
        <v>66</v>
      </c>
      <c r="BC1542">
        <v>0</v>
      </c>
      <c r="BD1542">
        <v>0</v>
      </c>
      <c r="BE1542">
        <v>0</v>
      </c>
    </row>
    <row r="1543" spans="1:57" x14ac:dyDescent="0.45">
      <c r="A1543" t="s">
        <v>3826</v>
      </c>
      <c r="B1543" t="s">
        <v>79</v>
      </c>
      <c r="C1543" t="s">
        <v>1491</v>
      </c>
      <c r="D1543" t="s">
        <v>81</v>
      </c>
      <c r="E1543" s="2" t="str">
        <f>HYPERLINK("capsilon://?command=openfolder&amp;siteaddress=FAM.docvelocity-na8.net&amp;folderid=FX9A2AF898-6D21-94AE-B855-C0A0FB820866","FX21012816")</f>
        <v>FX21012816</v>
      </c>
      <c r="F1543" t="s">
        <v>19</v>
      </c>
      <c r="G1543" t="s">
        <v>19</v>
      </c>
      <c r="H1543" t="s">
        <v>82</v>
      </c>
      <c r="I1543" t="s">
        <v>3827</v>
      </c>
      <c r="J1543">
        <v>123</v>
      </c>
      <c r="K1543" t="s">
        <v>84</v>
      </c>
      <c r="L1543" t="s">
        <v>85</v>
      </c>
      <c r="M1543" t="s">
        <v>86</v>
      </c>
      <c r="N1543">
        <v>3</v>
      </c>
      <c r="O1543" s="1">
        <v>44214.767395833333</v>
      </c>
      <c r="P1543" s="1">
        <v>44215.347442129627</v>
      </c>
      <c r="Q1543">
        <v>48195</v>
      </c>
      <c r="R1543">
        <v>1921</v>
      </c>
      <c r="S1543" t="b">
        <v>0</v>
      </c>
      <c r="T1543" t="s">
        <v>87</v>
      </c>
      <c r="U1543" t="b">
        <v>0</v>
      </c>
      <c r="V1543" t="s">
        <v>419</v>
      </c>
      <c r="W1543" s="1">
        <v>44215.187858796293</v>
      </c>
      <c r="X1543">
        <v>1497</v>
      </c>
      <c r="Y1543">
        <v>104</v>
      </c>
      <c r="Z1543">
        <v>0</v>
      </c>
      <c r="AA1543">
        <v>104</v>
      </c>
      <c r="AB1543">
        <v>0</v>
      </c>
      <c r="AC1543">
        <v>59</v>
      </c>
      <c r="AD1543">
        <v>19</v>
      </c>
      <c r="AE1543">
        <v>0</v>
      </c>
      <c r="AF1543">
        <v>0</v>
      </c>
      <c r="AG1543">
        <v>0</v>
      </c>
      <c r="AH1543" t="s">
        <v>108</v>
      </c>
      <c r="AI1543" s="1">
        <v>44215.26190972222</v>
      </c>
      <c r="AJ1543">
        <v>399</v>
      </c>
      <c r="AK1543">
        <v>2</v>
      </c>
      <c r="AL1543">
        <v>0</v>
      </c>
      <c r="AM1543">
        <v>2</v>
      </c>
      <c r="AN1543">
        <v>0</v>
      </c>
      <c r="AO1543">
        <v>0</v>
      </c>
      <c r="AP1543">
        <v>17</v>
      </c>
      <c r="AQ1543">
        <v>0</v>
      </c>
      <c r="AR1543">
        <v>0</v>
      </c>
      <c r="AS1543">
        <v>0</v>
      </c>
      <c r="AT1543" t="s">
        <v>90</v>
      </c>
      <c r="AU1543" s="1">
        <v>44215.347442129627</v>
      </c>
      <c r="AV1543">
        <v>25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17</v>
      </c>
      <c r="BC1543">
        <v>0</v>
      </c>
      <c r="BD1543">
        <v>0</v>
      </c>
      <c r="BE1543">
        <v>0</v>
      </c>
    </row>
    <row r="1544" spans="1:57" hidden="1" x14ac:dyDescent="0.45">
      <c r="A1544" t="s">
        <v>3828</v>
      </c>
      <c r="B1544" t="s">
        <v>79</v>
      </c>
      <c r="C1544" t="s">
        <v>3829</v>
      </c>
      <c r="D1544" t="s">
        <v>81</v>
      </c>
      <c r="E1544" s="2" t="str">
        <f>HYPERLINK("capsilon://?command=openfolder&amp;siteaddress=FAM.docvelocity-na8.net&amp;folderid=FXFB033F66-B15A-8525-49BA-1F9EE659EF9F","FX20126597")</f>
        <v>FX20126597</v>
      </c>
      <c r="F1544" t="s">
        <v>19</v>
      </c>
      <c r="G1544" t="s">
        <v>19</v>
      </c>
      <c r="H1544" t="s">
        <v>82</v>
      </c>
      <c r="I1544" t="s">
        <v>3830</v>
      </c>
      <c r="J1544">
        <v>66</v>
      </c>
      <c r="K1544" t="s">
        <v>84</v>
      </c>
      <c r="L1544" t="s">
        <v>85</v>
      </c>
      <c r="M1544" t="s">
        <v>86</v>
      </c>
      <c r="N1544">
        <v>1</v>
      </c>
      <c r="O1544" s="1">
        <v>44200.828773148147</v>
      </c>
      <c r="P1544" s="1">
        <v>44200.917731481481</v>
      </c>
      <c r="Q1544">
        <v>7601</v>
      </c>
      <c r="R1544">
        <v>85</v>
      </c>
      <c r="S1544" t="b">
        <v>0</v>
      </c>
      <c r="T1544" t="s">
        <v>87</v>
      </c>
      <c r="U1544" t="b">
        <v>0</v>
      </c>
      <c r="V1544" t="s">
        <v>266</v>
      </c>
      <c r="W1544" s="1">
        <v>44200.917731481481</v>
      </c>
      <c r="X1544">
        <v>85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66</v>
      </c>
      <c r="AE1544">
        <v>52</v>
      </c>
      <c r="AF1544">
        <v>0</v>
      </c>
      <c r="AG1544">
        <v>1</v>
      </c>
      <c r="AH1544" t="s">
        <v>87</v>
      </c>
      <c r="AI1544" t="s">
        <v>87</v>
      </c>
      <c r="AJ1544" t="s">
        <v>87</v>
      </c>
      <c r="AK1544" t="s">
        <v>87</v>
      </c>
      <c r="AL1544" t="s">
        <v>87</v>
      </c>
      <c r="AM1544" t="s">
        <v>87</v>
      </c>
      <c r="AN1544" t="s">
        <v>87</v>
      </c>
      <c r="AO1544" t="s">
        <v>87</v>
      </c>
      <c r="AP1544" t="s">
        <v>87</v>
      </c>
      <c r="AQ1544" t="s">
        <v>87</v>
      </c>
      <c r="AR1544" t="s">
        <v>87</v>
      </c>
      <c r="AS1544" t="s">
        <v>87</v>
      </c>
      <c r="AT1544" t="s">
        <v>87</v>
      </c>
      <c r="AU1544" t="s">
        <v>87</v>
      </c>
      <c r="AV1544" t="s">
        <v>87</v>
      </c>
      <c r="AW1544" t="s">
        <v>87</v>
      </c>
      <c r="AX1544" t="s">
        <v>87</v>
      </c>
      <c r="AY1544" t="s">
        <v>87</v>
      </c>
      <c r="AZ1544" t="s">
        <v>87</v>
      </c>
      <c r="BA1544" t="s">
        <v>87</v>
      </c>
      <c r="BB1544" t="s">
        <v>87</v>
      </c>
      <c r="BC1544" t="s">
        <v>87</v>
      </c>
      <c r="BD1544" t="s">
        <v>87</v>
      </c>
      <c r="BE1544" t="s">
        <v>87</v>
      </c>
    </row>
    <row r="1545" spans="1:57" x14ac:dyDescent="0.45">
      <c r="A1545" t="s">
        <v>3831</v>
      </c>
      <c r="B1545" t="s">
        <v>79</v>
      </c>
      <c r="C1545" t="s">
        <v>1106</v>
      </c>
      <c r="D1545" t="s">
        <v>81</v>
      </c>
      <c r="E1545" s="2" t="str">
        <f>HYPERLINK("capsilon://?command=openfolder&amp;siteaddress=FAM.docvelocity-na8.net&amp;folderid=FX00503E86-7EEF-089D-9EDE-AA93BC2593BF","FX201228745")</f>
        <v>FX201228745</v>
      </c>
      <c r="F1545" t="s">
        <v>19</v>
      </c>
      <c r="G1545" t="s">
        <v>19</v>
      </c>
      <c r="H1545" t="s">
        <v>82</v>
      </c>
      <c r="I1545" t="s">
        <v>3832</v>
      </c>
      <c r="J1545">
        <v>100</v>
      </c>
      <c r="K1545" t="s">
        <v>84</v>
      </c>
      <c r="L1545" t="s">
        <v>85</v>
      </c>
      <c r="M1545" t="s">
        <v>86</v>
      </c>
      <c r="N1545">
        <v>3</v>
      </c>
      <c r="O1545" s="1">
        <v>44200.831180555557</v>
      </c>
      <c r="P1545" s="1">
        <v>44201.440057870372</v>
      </c>
      <c r="Q1545">
        <v>49172</v>
      </c>
      <c r="R1545">
        <v>3435</v>
      </c>
      <c r="S1545" t="b">
        <v>0</v>
      </c>
      <c r="T1545" t="s">
        <v>87</v>
      </c>
      <c r="U1545" t="b">
        <v>0</v>
      </c>
      <c r="V1545" t="s">
        <v>132</v>
      </c>
      <c r="W1545" s="1">
        <v>44200.968460648146</v>
      </c>
      <c r="X1545">
        <v>1594</v>
      </c>
      <c r="Y1545">
        <v>139</v>
      </c>
      <c r="Z1545">
        <v>0</v>
      </c>
      <c r="AA1545">
        <v>139</v>
      </c>
      <c r="AB1545">
        <v>0</v>
      </c>
      <c r="AC1545">
        <v>91</v>
      </c>
      <c r="AD1545">
        <v>-39</v>
      </c>
      <c r="AE1545">
        <v>0</v>
      </c>
      <c r="AF1545">
        <v>0</v>
      </c>
      <c r="AG1545">
        <v>0</v>
      </c>
      <c r="AH1545" t="s">
        <v>94</v>
      </c>
      <c r="AI1545" s="1">
        <v>44201.248749999999</v>
      </c>
      <c r="AJ1545">
        <v>1491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-39</v>
      </c>
      <c r="AQ1545">
        <v>0</v>
      </c>
      <c r="AR1545">
        <v>0</v>
      </c>
      <c r="AS1545">
        <v>0</v>
      </c>
      <c r="AT1545" t="s">
        <v>90</v>
      </c>
      <c r="AU1545" s="1">
        <v>44201.440057870372</v>
      </c>
      <c r="AV1545">
        <v>330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-39</v>
      </c>
      <c r="BC1545">
        <v>0</v>
      </c>
      <c r="BD1545">
        <v>0</v>
      </c>
      <c r="BE1545">
        <v>0</v>
      </c>
    </row>
    <row r="1546" spans="1:57" x14ac:dyDescent="0.45">
      <c r="A1546" t="s">
        <v>3833</v>
      </c>
      <c r="B1546" t="s">
        <v>79</v>
      </c>
      <c r="C1546" t="s">
        <v>3797</v>
      </c>
      <c r="D1546" t="s">
        <v>81</v>
      </c>
      <c r="E1546" s="2" t="str">
        <f>HYPERLINK("capsilon://?command=openfolder&amp;siteaddress=FAM.docvelocity-na8.net&amp;folderid=FX0C97C4C2-004E-707D-9069-D87A5837E892","FX201225641")</f>
        <v>FX201225641</v>
      </c>
      <c r="F1546" t="s">
        <v>19</v>
      </c>
      <c r="G1546" t="s">
        <v>19</v>
      </c>
      <c r="H1546" t="s">
        <v>82</v>
      </c>
      <c r="I1546" t="s">
        <v>3798</v>
      </c>
      <c r="J1546">
        <v>38</v>
      </c>
      <c r="K1546" t="s">
        <v>84</v>
      </c>
      <c r="L1546" t="s">
        <v>85</v>
      </c>
      <c r="M1546" t="s">
        <v>86</v>
      </c>
      <c r="N1546">
        <v>3</v>
      </c>
      <c r="O1546" s="1">
        <v>44215.160057870373</v>
      </c>
      <c r="P1546" s="1">
        <v>44215.33284722222</v>
      </c>
      <c r="Q1546">
        <v>13805</v>
      </c>
      <c r="R1546">
        <v>1124</v>
      </c>
      <c r="S1546" t="b">
        <v>0</v>
      </c>
      <c r="T1546" t="s">
        <v>87</v>
      </c>
      <c r="U1546" t="b">
        <v>1</v>
      </c>
      <c r="V1546" t="s">
        <v>419</v>
      </c>
      <c r="W1546" s="1">
        <v>44215.168298611112</v>
      </c>
      <c r="X1546">
        <v>709</v>
      </c>
      <c r="Y1546">
        <v>37</v>
      </c>
      <c r="Z1546">
        <v>0</v>
      </c>
      <c r="AA1546">
        <v>37</v>
      </c>
      <c r="AB1546">
        <v>0</v>
      </c>
      <c r="AC1546">
        <v>34</v>
      </c>
      <c r="AD1546">
        <v>1</v>
      </c>
      <c r="AE1546">
        <v>0</v>
      </c>
      <c r="AF1546">
        <v>0</v>
      </c>
      <c r="AG1546">
        <v>0</v>
      </c>
      <c r="AH1546" t="s">
        <v>94</v>
      </c>
      <c r="AI1546" s="1">
        <v>44215.17328703704</v>
      </c>
      <c r="AJ1546">
        <v>411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 t="s">
        <v>90</v>
      </c>
      <c r="AU1546" s="1">
        <v>44215.33284722222</v>
      </c>
      <c r="AV1546">
        <v>4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</row>
    <row r="1547" spans="1:57" x14ac:dyDescent="0.45">
      <c r="A1547" t="s">
        <v>3834</v>
      </c>
      <c r="B1547" t="s">
        <v>79</v>
      </c>
      <c r="C1547" t="s">
        <v>3792</v>
      </c>
      <c r="D1547" t="s">
        <v>81</v>
      </c>
      <c r="E1547" s="2" t="str">
        <f>HYPERLINK("capsilon://?command=openfolder&amp;siteaddress=FAM.docvelocity-na8.net&amp;folderid=FX70483AA5-53A6-DD69-AEB4-151F7A5AD96E","FX201222639")</f>
        <v>FX201222639</v>
      </c>
      <c r="F1547" t="s">
        <v>19</v>
      </c>
      <c r="G1547" t="s">
        <v>19</v>
      </c>
      <c r="H1547" t="s">
        <v>82</v>
      </c>
      <c r="I1547" t="s">
        <v>3795</v>
      </c>
      <c r="J1547">
        <v>76</v>
      </c>
      <c r="K1547" t="s">
        <v>84</v>
      </c>
      <c r="L1547" t="s">
        <v>85</v>
      </c>
      <c r="M1547" t="s">
        <v>86</v>
      </c>
      <c r="N1547">
        <v>3</v>
      </c>
      <c r="O1547" s="1">
        <v>44215.160752314812</v>
      </c>
      <c r="P1547" s="1">
        <v>44215.333090277774</v>
      </c>
      <c r="Q1547">
        <v>13388</v>
      </c>
      <c r="R1547">
        <v>1502</v>
      </c>
      <c r="S1547" t="b">
        <v>0</v>
      </c>
      <c r="T1547" t="s">
        <v>87</v>
      </c>
      <c r="U1547" t="b">
        <v>1</v>
      </c>
      <c r="V1547" t="s">
        <v>1418</v>
      </c>
      <c r="W1547" s="1">
        <v>44215.178344907406</v>
      </c>
      <c r="X1547">
        <v>892</v>
      </c>
      <c r="Y1547">
        <v>74</v>
      </c>
      <c r="Z1547">
        <v>0</v>
      </c>
      <c r="AA1547">
        <v>74</v>
      </c>
      <c r="AB1547">
        <v>0</v>
      </c>
      <c r="AC1547">
        <v>39</v>
      </c>
      <c r="AD1547">
        <v>2</v>
      </c>
      <c r="AE1547">
        <v>0</v>
      </c>
      <c r="AF1547">
        <v>0</v>
      </c>
      <c r="AG1547">
        <v>0</v>
      </c>
      <c r="AH1547" t="s">
        <v>94</v>
      </c>
      <c r="AI1547" s="1">
        <v>44215.185254629629</v>
      </c>
      <c r="AJ1547">
        <v>590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2</v>
      </c>
      <c r="AQ1547">
        <v>0</v>
      </c>
      <c r="AR1547">
        <v>0</v>
      </c>
      <c r="AS1547">
        <v>0</v>
      </c>
      <c r="AT1547" t="s">
        <v>90</v>
      </c>
      <c r="AU1547" s="1">
        <v>44215.333090277774</v>
      </c>
      <c r="AV1547">
        <v>20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2</v>
      </c>
      <c r="BC1547">
        <v>0</v>
      </c>
      <c r="BD1547">
        <v>0</v>
      </c>
      <c r="BE1547">
        <v>0</v>
      </c>
    </row>
    <row r="1548" spans="1:57" x14ac:dyDescent="0.45">
      <c r="A1548" t="s">
        <v>3835</v>
      </c>
      <c r="B1548" t="s">
        <v>79</v>
      </c>
      <c r="C1548" t="s">
        <v>3792</v>
      </c>
      <c r="D1548" t="s">
        <v>81</v>
      </c>
      <c r="E1548" s="2" t="str">
        <f>HYPERLINK("capsilon://?command=openfolder&amp;siteaddress=FAM.docvelocity-na8.net&amp;folderid=FX70483AA5-53A6-DD69-AEB4-151F7A5AD96E","FX201222639")</f>
        <v>FX201222639</v>
      </c>
      <c r="F1548" t="s">
        <v>19</v>
      </c>
      <c r="G1548" t="s">
        <v>19</v>
      </c>
      <c r="H1548" t="s">
        <v>82</v>
      </c>
      <c r="I1548" t="s">
        <v>3793</v>
      </c>
      <c r="J1548">
        <v>76</v>
      </c>
      <c r="K1548" t="s">
        <v>84</v>
      </c>
      <c r="L1548" t="s">
        <v>85</v>
      </c>
      <c r="M1548" t="s">
        <v>86</v>
      </c>
      <c r="N1548">
        <v>3</v>
      </c>
      <c r="O1548" s="1">
        <v>44215.171759259261</v>
      </c>
      <c r="P1548" s="1">
        <v>44215.333182870374</v>
      </c>
      <c r="Q1548">
        <v>12394</v>
      </c>
      <c r="R1548">
        <v>1553</v>
      </c>
      <c r="S1548" t="b">
        <v>0</v>
      </c>
      <c r="T1548" t="s">
        <v>87</v>
      </c>
      <c r="U1548" t="b">
        <v>1</v>
      </c>
      <c r="V1548" t="s">
        <v>98</v>
      </c>
      <c r="W1548" s="1">
        <v>44215.188402777778</v>
      </c>
      <c r="X1548">
        <v>1394</v>
      </c>
      <c r="Y1548">
        <v>74</v>
      </c>
      <c r="Z1548">
        <v>0</v>
      </c>
      <c r="AA1548">
        <v>74</v>
      </c>
      <c r="AB1548">
        <v>0</v>
      </c>
      <c r="AC1548">
        <v>37</v>
      </c>
      <c r="AD1548">
        <v>2</v>
      </c>
      <c r="AE1548">
        <v>0</v>
      </c>
      <c r="AF1548">
        <v>0</v>
      </c>
      <c r="AG1548">
        <v>0</v>
      </c>
      <c r="AH1548" t="s">
        <v>94</v>
      </c>
      <c r="AI1548" s="1">
        <v>44215.191458333335</v>
      </c>
      <c r="AJ1548">
        <v>152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2</v>
      </c>
      <c r="AQ1548">
        <v>0</v>
      </c>
      <c r="AR1548">
        <v>0</v>
      </c>
      <c r="AS1548">
        <v>0</v>
      </c>
      <c r="AT1548" t="s">
        <v>90</v>
      </c>
      <c r="AU1548" s="1">
        <v>44215.333182870374</v>
      </c>
      <c r="AV1548">
        <v>7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</v>
      </c>
      <c r="BC1548">
        <v>0</v>
      </c>
      <c r="BD1548">
        <v>0</v>
      </c>
      <c r="BE1548">
        <v>0</v>
      </c>
    </row>
    <row r="1549" spans="1:57" x14ac:dyDescent="0.45">
      <c r="A1549" t="s">
        <v>3836</v>
      </c>
      <c r="B1549" t="s">
        <v>79</v>
      </c>
      <c r="C1549" t="s">
        <v>3837</v>
      </c>
      <c r="D1549" t="s">
        <v>81</v>
      </c>
      <c r="E1549" s="2" t="str">
        <f>HYPERLINK("capsilon://?command=openfolder&amp;siteaddress=FAM.docvelocity-na8.net&amp;folderid=FX2F51683B-18E4-30FE-5B0E-F06BF7C41775","FX201221869")</f>
        <v>FX201221869</v>
      </c>
      <c r="F1549" t="s">
        <v>19</v>
      </c>
      <c r="G1549" t="s">
        <v>19</v>
      </c>
      <c r="H1549" t="s">
        <v>82</v>
      </c>
      <c r="I1549" t="s">
        <v>3838</v>
      </c>
      <c r="J1549">
        <v>88</v>
      </c>
      <c r="K1549" t="s">
        <v>84</v>
      </c>
      <c r="L1549" t="s">
        <v>85</v>
      </c>
      <c r="M1549" t="s">
        <v>86</v>
      </c>
      <c r="N1549">
        <v>3</v>
      </c>
      <c r="O1549" s="1">
        <v>44215.312569444446</v>
      </c>
      <c r="P1549" s="1">
        <v>44215.3987037037</v>
      </c>
      <c r="Q1549">
        <v>3424</v>
      </c>
      <c r="R1549">
        <v>4018</v>
      </c>
      <c r="S1549" t="b">
        <v>0</v>
      </c>
      <c r="T1549" t="s">
        <v>87</v>
      </c>
      <c r="U1549" t="b">
        <v>0</v>
      </c>
      <c r="V1549" t="s">
        <v>88</v>
      </c>
      <c r="W1549" s="1">
        <v>44215.338773148149</v>
      </c>
      <c r="X1549">
        <v>2225</v>
      </c>
      <c r="Y1549">
        <v>142</v>
      </c>
      <c r="Z1549">
        <v>0</v>
      </c>
      <c r="AA1549">
        <v>142</v>
      </c>
      <c r="AB1549">
        <v>0</v>
      </c>
      <c r="AC1549">
        <v>124</v>
      </c>
      <c r="AD1549">
        <v>-54</v>
      </c>
      <c r="AE1549">
        <v>0</v>
      </c>
      <c r="AF1549">
        <v>0</v>
      </c>
      <c r="AG1549">
        <v>0</v>
      </c>
      <c r="AH1549" t="s">
        <v>89</v>
      </c>
      <c r="AI1549" s="1">
        <v>44215.360312500001</v>
      </c>
      <c r="AJ1549">
        <v>1768</v>
      </c>
      <c r="AK1549">
        <v>3</v>
      </c>
      <c r="AL1549">
        <v>0</v>
      </c>
      <c r="AM1549">
        <v>3</v>
      </c>
      <c r="AN1549">
        <v>0</v>
      </c>
      <c r="AO1549">
        <v>2</v>
      </c>
      <c r="AP1549">
        <v>-57</v>
      </c>
      <c r="AQ1549">
        <v>0</v>
      </c>
      <c r="AR1549">
        <v>0</v>
      </c>
      <c r="AS1549">
        <v>0</v>
      </c>
      <c r="AT1549" t="s">
        <v>90</v>
      </c>
      <c r="AU1549" s="1">
        <v>44215.3987037037</v>
      </c>
      <c r="AV1549">
        <v>25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-57</v>
      </c>
      <c r="BC1549">
        <v>0</v>
      </c>
      <c r="BD1549">
        <v>0</v>
      </c>
      <c r="BE1549">
        <v>0</v>
      </c>
    </row>
    <row r="1550" spans="1:57" x14ac:dyDescent="0.45">
      <c r="A1550" t="s">
        <v>3839</v>
      </c>
      <c r="B1550" t="s">
        <v>79</v>
      </c>
      <c r="C1550" t="s">
        <v>361</v>
      </c>
      <c r="D1550" t="s">
        <v>81</v>
      </c>
      <c r="E1550" s="2" t="str">
        <f>HYPERLINK("capsilon://?command=openfolder&amp;siteaddress=FAM.docvelocity-na8.net&amp;folderid=FXAFF75FC4-3E33-DFDB-F6B7-E48387BE3769","FX201220780")</f>
        <v>FX201220780</v>
      </c>
      <c r="F1550" t="s">
        <v>19</v>
      </c>
      <c r="G1550" t="s">
        <v>19</v>
      </c>
      <c r="H1550" t="s">
        <v>82</v>
      </c>
      <c r="I1550" t="s">
        <v>3840</v>
      </c>
      <c r="J1550">
        <v>165</v>
      </c>
      <c r="K1550" t="s">
        <v>84</v>
      </c>
      <c r="L1550" t="s">
        <v>85</v>
      </c>
      <c r="M1550" t="s">
        <v>86</v>
      </c>
      <c r="N1550">
        <v>3</v>
      </c>
      <c r="O1550" s="1">
        <v>44215.33221064815</v>
      </c>
      <c r="P1550" s="1">
        <v>44215.398969907408</v>
      </c>
      <c r="Q1550">
        <v>3251</v>
      </c>
      <c r="R1550">
        <v>2517</v>
      </c>
      <c r="S1550" t="b">
        <v>0</v>
      </c>
      <c r="T1550" t="s">
        <v>87</v>
      </c>
      <c r="U1550" t="b">
        <v>0</v>
      </c>
      <c r="V1550" t="s">
        <v>919</v>
      </c>
      <c r="W1550" s="1">
        <v>44215.35491898148</v>
      </c>
      <c r="X1550">
        <v>1824</v>
      </c>
      <c r="Y1550">
        <v>128</v>
      </c>
      <c r="Z1550">
        <v>0</v>
      </c>
      <c r="AA1550">
        <v>128</v>
      </c>
      <c r="AB1550">
        <v>0</v>
      </c>
      <c r="AC1550">
        <v>78</v>
      </c>
      <c r="AD1550">
        <v>37</v>
      </c>
      <c r="AE1550">
        <v>0</v>
      </c>
      <c r="AF1550">
        <v>0</v>
      </c>
      <c r="AG1550">
        <v>0</v>
      </c>
      <c r="AH1550" t="s">
        <v>108</v>
      </c>
      <c r="AI1550" s="1">
        <v>44215.363483796296</v>
      </c>
      <c r="AJ1550">
        <v>621</v>
      </c>
      <c r="AK1550">
        <v>5</v>
      </c>
      <c r="AL1550">
        <v>0</v>
      </c>
      <c r="AM1550">
        <v>5</v>
      </c>
      <c r="AN1550">
        <v>0</v>
      </c>
      <c r="AO1550">
        <v>6</v>
      </c>
      <c r="AP1550">
        <v>32</v>
      </c>
      <c r="AQ1550">
        <v>0</v>
      </c>
      <c r="AR1550">
        <v>0</v>
      </c>
      <c r="AS1550">
        <v>0</v>
      </c>
      <c r="AT1550" t="s">
        <v>90</v>
      </c>
      <c r="AU1550" s="1">
        <v>44215.398969907408</v>
      </c>
      <c r="AV1550">
        <v>23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32</v>
      </c>
      <c r="BC1550">
        <v>0</v>
      </c>
      <c r="BD1550">
        <v>0</v>
      </c>
      <c r="BE1550">
        <v>0</v>
      </c>
    </row>
    <row r="1551" spans="1:57" x14ac:dyDescent="0.45">
      <c r="A1551" t="s">
        <v>3841</v>
      </c>
      <c r="B1551" t="s">
        <v>79</v>
      </c>
      <c r="C1551" t="s">
        <v>3842</v>
      </c>
      <c r="D1551" t="s">
        <v>81</v>
      </c>
      <c r="E1551" s="2" t="str">
        <f>HYPERLINK("capsilon://?command=openfolder&amp;siteaddress=FAM.docvelocity-na8.net&amp;folderid=FX79FF3FCC-B436-693F-B594-C6DE45E07BE0","FX2101662")</f>
        <v>FX2101662</v>
      </c>
      <c r="F1551" t="s">
        <v>19</v>
      </c>
      <c r="G1551" t="s">
        <v>19</v>
      </c>
      <c r="H1551" t="s">
        <v>82</v>
      </c>
      <c r="I1551" t="s">
        <v>3843</v>
      </c>
      <c r="J1551">
        <v>66</v>
      </c>
      <c r="K1551" t="s">
        <v>84</v>
      </c>
      <c r="L1551" t="s">
        <v>85</v>
      </c>
      <c r="M1551" t="s">
        <v>86</v>
      </c>
      <c r="N1551">
        <v>3</v>
      </c>
      <c r="O1551" s="1">
        <v>44215.337048611109</v>
      </c>
      <c r="P1551" s="1">
        <v>44215.399050925924</v>
      </c>
      <c r="Q1551">
        <v>3813</v>
      </c>
      <c r="R1551">
        <v>1544</v>
      </c>
      <c r="S1551" t="b">
        <v>0</v>
      </c>
      <c r="T1551" t="s">
        <v>87</v>
      </c>
      <c r="U1551" t="b">
        <v>0</v>
      </c>
      <c r="V1551" t="s">
        <v>98</v>
      </c>
      <c r="W1551" s="1">
        <v>44215.352268518516</v>
      </c>
      <c r="X1551">
        <v>1204</v>
      </c>
      <c r="Y1551">
        <v>52</v>
      </c>
      <c r="Z1551">
        <v>0</v>
      </c>
      <c r="AA1551">
        <v>52</v>
      </c>
      <c r="AB1551">
        <v>0</v>
      </c>
      <c r="AC1551">
        <v>32</v>
      </c>
      <c r="AD1551">
        <v>14</v>
      </c>
      <c r="AE1551">
        <v>0</v>
      </c>
      <c r="AF1551">
        <v>0</v>
      </c>
      <c r="AG1551">
        <v>0</v>
      </c>
      <c r="AH1551" t="s">
        <v>108</v>
      </c>
      <c r="AI1551" s="1">
        <v>44215.35628472222</v>
      </c>
      <c r="AJ1551">
        <v>310</v>
      </c>
      <c r="AK1551">
        <v>3</v>
      </c>
      <c r="AL1551">
        <v>0</v>
      </c>
      <c r="AM1551">
        <v>3</v>
      </c>
      <c r="AN1551">
        <v>0</v>
      </c>
      <c r="AO1551">
        <v>2</v>
      </c>
      <c r="AP1551">
        <v>11</v>
      </c>
      <c r="AQ1551">
        <v>0</v>
      </c>
      <c r="AR1551">
        <v>0</v>
      </c>
      <c r="AS1551">
        <v>0</v>
      </c>
      <c r="AT1551" t="s">
        <v>90</v>
      </c>
      <c r="AU1551" s="1">
        <v>44215.399050925924</v>
      </c>
      <c r="AV1551">
        <v>6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11</v>
      </c>
      <c r="BC1551">
        <v>0</v>
      </c>
      <c r="BD1551">
        <v>0</v>
      </c>
      <c r="BE1551">
        <v>0</v>
      </c>
    </row>
    <row r="1552" spans="1:57" x14ac:dyDescent="0.45">
      <c r="A1552" t="s">
        <v>3844</v>
      </c>
      <c r="B1552" t="s">
        <v>79</v>
      </c>
      <c r="C1552" t="s">
        <v>3162</v>
      </c>
      <c r="D1552" t="s">
        <v>81</v>
      </c>
      <c r="E1552" s="2" t="str">
        <f>HYPERLINK("capsilon://?command=openfolder&amp;siteaddress=FAM.docvelocity-na8.net&amp;folderid=FXA7CD1609-3F26-26FF-C2E3-9B944D443898","FX20124612")</f>
        <v>FX20124612</v>
      </c>
      <c r="F1552" t="s">
        <v>19</v>
      </c>
      <c r="G1552" t="s">
        <v>19</v>
      </c>
      <c r="H1552" t="s">
        <v>82</v>
      </c>
      <c r="I1552" t="s">
        <v>3845</v>
      </c>
      <c r="J1552">
        <v>62</v>
      </c>
      <c r="K1552" t="s">
        <v>84</v>
      </c>
      <c r="L1552" t="s">
        <v>85</v>
      </c>
      <c r="M1552" t="s">
        <v>86</v>
      </c>
      <c r="N1552">
        <v>3</v>
      </c>
      <c r="O1552" s="1">
        <v>44215.337754629632</v>
      </c>
      <c r="P1552" s="1">
        <v>44215.400613425925</v>
      </c>
      <c r="Q1552">
        <v>1942</v>
      </c>
      <c r="R1552">
        <v>3489</v>
      </c>
      <c r="S1552" t="b">
        <v>0</v>
      </c>
      <c r="T1552" t="s">
        <v>87</v>
      </c>
      <c r="U1552" t="b">
        <v>0</v>
      </c>
      <c r="V1552" t="s">
        <v>88</v>
      </c>
      <c r="W1552" s="1">
        <v>44215.363553240742</v>
      </c>
      <c r="X1552">
        <v>2140</v>
      </c>
      <c r="Y1552">
        <v>78</v>
      </c>
      <c r="Z1552">
        <v>0</v>
      </c>
      <c r="AA1552">
        <v>78</v>
      </c>
      <c r="AB1552">
        <v>0</v>
      </c>
      <c r="AC1552">
        <v>54</v>
      </c>
      <c r="AD1552">
        <v>-16</v>
      </c>
      <c r="AE1552">
        <v>0</v>
      </c>
      <c r="AF1552">
        <v>0</v>
      </c>
      <c r="AG1552">
        <v>0</v>
      </c>
      <c r="AH1552" t="s">
        <v>89</v>
      </c>
      <c r="AI1552" s="1">
        <v>44215.377627314818</v>
      </c>
      <c r="AJ1552">
        <v>1215</v>
      </c>
      <c r="AK1552">
        <v>7</v>
      </c>
      <c r="AL1552">
        <v>0</v>
      </c>
      <c r="AM1552">
        <v>7</v>
      </c>
      <c r="AN1552">
        <v>0</v>
      </c>
      <c r="AO1552">
        <v>6</v>
      </c>
      <c r="AP1552">
        <v>-23</v>
      </c>
      <c r="AQ1552">
        <v>0</v>
      </c>
      <c r="AR1552">
        <v>0</v>
      </c>
      <c r="AS1552">
        <v>0</v>
      </c>
      <c r="AT1552" t="s">
        <v>90</v>
      </c>
      <c r="AU1552" s="1">
        <v>44215.400613425925</v>
      </c>
      <c r="AV1552">
        <v>134</v>
      </c>
      <c r="AW1552">
        <v>0</v>
      </c>
      <c r="AX1552">
        <v>0</v>
      </c>
      <c r="AY1552">
        <v>0</v>
      </c>
      <c r="AZ1552">
        <v>78</v>
      </c>
      <c r="BA1552">
        <v>0</v>
      </c>
      <c r="BB1552">
        <v>-23</v>
      </c>
      <c r="BC1552">
        <v>0</v>
      </c>
      <c r="BD1552">
        <v>0</v>
      </c>
      <c r="BE1552">
        <v>0</v>
      </c>
    </row>
    <row r="1553" spans="1:57" x14ac:dyDescent="0.45">
      <c r="A1553" t="s">
        <v>3846</v>
      </c>
      <c r="B1553" t="s">
        <v>79</v>
      </c>
      <c r="C1553" t="s">
        <v>3422</v>
      </c>
      <c r="D1553" t="s">
        <v>81</v>
      </c>
      <c r="E1553" s="2" t="str">
        <f>HYPERLINK("capsilon://?command=openfolder&amp;siteaddress=FAM.docvelocity-na8.net&amp;folderid=FX4B0290FA-E168-5DB8-0563-0D99108FD20D","FX20125248")</f>
        <v>FX20125248</v>
      </c>
      <c r="F1553" t="s">
        <v>19</v>
      </c>
      <c r="G1553" t="s">
        <v>19</v>
      </c>
      <c r="H1553" t="s">
        <v>82</v>
      </c>
      <c r="I1553" t="s">
        <v>3847</v>
      </c>
      <c r="J1553">
        <v>61</v>
      </c>
      <c r="K1553" t="s">
        <v>84</v>
      </c>
      <c r="L1553" t="s">
        <v>85</v>
      </c>
      <c r="M1553" t="s">
        <v>86</v>
      </c>
      <c r="N1553">
        <v>3</v>
      </c>
      <c r="O1553" s="1">
        <v>44215.340254629627</v>
      </c>
      <c r="P1553" s="1">
        <v>44215.40079861111</v>
      </c>
      <c r="Q1553">
        <v>2922</v>
      </c>
      <c r="R1553">
        <v>2309</v>
      </c>
      <c r="S1553" t="b">
        <v>0</v>
      </c>
      <c r="T1553" t="s">
        <v>87</v>
      </c>
      <c r="U1553" t="b">
        <v>0</v>
      </c>
      <c r="V1553" t="s">
        <v>419</v>
      </c>
      <c r="W1553" s="1">
        <v>44215.361967592595</v>
      </c>
      <c r="X1553">
        <v>1640</v>
      </c>
      <c r="Y1553">
        <v>56</v>
      </c>
      <c r="Z1553">
        <v>0</v>
      </c>
      <c r="AA1553">
        <v>56</v>
      </c>
      <c r="AB1553">
        <v>0</v>
      </c>
      <c r="AC1553">
        <v>43</v>
      </c>
      <c r="AD1553">
        <v>5</v>
      </c>
      <c r="AE1553">
        <v>0</v>
      </c>
      <c r="AF1553">
        <v>0</v>
      </c>
      <c r="AG1553">
        <v>0</v>
      </c>
      <c r="AH1553" t="s">
        <v>108</v>
      </c>
      <c r="AI1553" s="1">
        <v>44215.371053240742</v>
      </c>
      <c r="AJ1553">
        <v>653</v>
      </c>
      <c r="AK1553">
        <v>7</v>
      </c>
      <c r="AL1553">
        <v>0</v>
      </c>
      <c r="AM1553">
        <v>7</v>
      </c>
      <c r="AN1553">
        <v>0</v>
      </c>
      <c r="AO1553">
        <v>6</v>
      </c>
      <c r="AP1553">
        <v>-2</v>
      </c>
      <c r="AQ1553">
        <v>0</v>
      </c>
      <c r="AR1553">
        <v>0</v>
      </c>
      <c r="AS1553">
        <v>0</v>
      </c>
      <c r="AT1553" t="s">
        <v>90</v>
      </c>
      <c r="AU1553" s="1">
        <v>44215.40079861111</v>
      </c>
      <c r="AV1553">
        <v>16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-2</v>
      </c>
      <c r="BC1553">
        <v>0</v>
      </c>
      <c r="BD1553">
        <v>0</v>
      </c>
      <c r="BE1553">
        <v>0</v>
      </c>
    </row>
    <row r="1554" spans="1:57" x14ac:dyDescent="0.45">
      <c r="A1554" t="s">
        <v>3848</v>
      </c>
      <c r="B1554" t="s">
        <v>79</v>
      </c>
      <c r="C1554" t="s">
        <v>2362</v>
      </c>
      <c r="D1554" t="s">
        <v>81</v>
      </c>
      <c r="E1554" s="2" t="str">
        <f>HYPERLINK("capsilon://?command=openfolder&amp;siteaddress=FAM.docvelocity-na8.net&amp;folderid=FX9AF999B0-86F9-7762-14CC-25BCBDB1E777","FX20116542")</f>
        <v>FX20116542</v>
      </c>
      <c r="F1554" t="s">
        <v>19</v>
      </c>
      <c r="G1554" t="s">
        <v>19</v>
      </c>
      <c r="H1554" t="s">
        <v>82</v>
      </c>
      <c r="I1554" t="s">
        <v>3849</v>
      </c>
      <c r="J1554">
        <v>66</v>
      </c>
      <c r="K1554" t="s">
        <v>84</v>
      </c>
      <c r="L1554" t="s">
        <v>85</v>
      </c>
      <c r="M1554" t="s">
        <v>86</v>
      </c>
      <c r="N1554">
        <v>3</v>
      </c>
      <c r="O1554" s="1">
        <v>44215.343252314815</v>
      </c>
      <c r="P1554" s="1">
        <v>44215.401041666664</v>
      </c>
      <c r="Q1554">
        <v>4174</v>
      </c>
      <c r="R1554">
        <v>819</v>
      </c>
      <c r="S1554" t="b">
        <v>0</v>
      </c>
      <c r="T1554" t="s">
        <v>87</v>
      </c>
      <c r="U1554" t="b">
        <v>0</v>
      </c>
      <c r="V1554" t="s">
        <v>112</v>
      </c>
      <c r="W1554" s="1">
        <v>44215.352037037039</v>
      </c>
      <c r="X1554">
        <v>498</v>
      </c>
      <c r="Y1554">
        <v>52</v>
      </c>
      <c r="Z1554">
        <v>0</v>
      </c>
      <c r="AA1554">
        <v>52</v>
      </c>
      <c r="AB1554">
        <v>0</v>
      </c>
      <c r="AC1554">
        <v>26</v>
      </c>
      <c r="AD1554">
        <v>14</v>
      </c>
      <c r="AE1554">
        <v>0</v>
      </c>
      <c r="AF1554">
        <v>0</v>
      </c>
      <c r="AG1554">
        <v>0</v>
      </c>
      <c r="AH1554" t="s">
        <v>89</v>
      </c>
      <c r="AI1554" s="1">
        <v>44215.363553240742</v>
      </c>
      <c r="AJ1554">
        <v>280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14</v>
      </c>
      <c r="AQ1554">
        <v>0</v>
      </c>
      <c r="AR1554">
        <v>0</v>
      </c>
      <c r="AS1554">
        <v>0</v>
      </c>
      <c r="AT1554" t="s">
        <v>90</v>
      </c>
      <c r="AU1554" s="1">
        <v>44215.401041666664</v>
      </c>
      <c r="AV1554">
        <v>20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14</v>
      </c>
      <c r="BC1554">
        <v>0</v>
      </c>
      <c r="BD1554">
        <v>0</v>
      </c>
      <c r="BE1554">
        <v>0</v>
      </c>
    </row>
    <row r="1555" spans="1:57" x14ac:dyDescent="0.45">
      <c r="A1555" t="s">
        <v>3850</v>
      </c>
      <c r="B1555" t="s">
        <v>79</v>
      </c>
      <c r="C1555" t="s">
        <v>1317</v>
      </c>
      <c r="D1555" t="s">
        <v>81</v>
      </c>
      <c r="E1555" s="2" t="str">
        <f>HYPERLINK("capsilon://?command=openfolder&amp;siteaddress=FAM.docvelocity-na8.net&amp;folderid=FXB116B044-2931-863F-54C9-8462069A5A4A","FX20128681")</f>
        <v>FX20128681</v>
      </c>
      <c r="F1555" t="s">
        <v>19</v>
      </c>
      <c r="G1555" t="s">
        <v>19</v>
      </c>
      <c r="H1555" t="s">
        <v>82</v>
      </c>
      <c r="I1555" t="s">
        <v>3851</v>
      </c>
      <c r="J1555">
        <v>38</v>
      </c>
      <c r="K1555" t="s">
        <v>84</v>
      </c>
      <c r="L1555" t="s">
        <v>85</v>
      </c>
      <c r="M1555" t="s">
        <v>86</v>
      </c>
      <c r="N1555">
        <v>3</v>
      </c>
      <c r="O1555" s="1">
        <v>44215.346539351849</v>
      </c>
      <c r="P1555" s="1">
        <v>44215.401087962964</v>
      </c>
      <c r="Q1555">
        <v>4311</v>
      </c>
      <c r="R1555">
        <v>402</v>
      </c>
      <c r="S1555" t="b">
        <v>0</v>
      </c>
      <c r="T1555" t="s">
        <v>87</v>
      </c>
      <c r="U1555" t="b">
        <v>0</v>
      </c>
      <c r="V1555" t="s">
        <v>112</v>
      </c>
      <c r="W1555" s="1">
        <v>44215.354004629633</v>
      </c>
      <c r="X1555">
        <v>169</v>
      </c>
      <c r="Y1555">
        <v>2</v>
      </c>
      <c r="Z1555">
        <v>0</v>
      </c>
      <c r="AA1555">
        <v>2</v>
      </c>
      <c r="AB1555">
        <v>37</v>
      </c>
      <c r="AC1555">
        <v>1</v>
      </c>
      <c r="AD1555">
        <v>36</v>
      </c>
      <c r="AE1555">
        <v>0</v>
      </c>
      <c r="AF1555">
        <v>0</v>
      </c>
      <c r="AG1555">
        <v>0</v>
      </c>
      <c r="AH1555" t="s">
        <v>108</v>
      </c>
      <c r="AI1555" s="1">
        <v>44215.373726851853</v>
      </c>
      <c r="AJ1555">
        <v>230</v>
      </c>
      <c r="AK1555">
        <v>0</v>
      </c>
      <c r="AL1555">
        <v>0</v>
      </c>
      <c r="AM1555">
        <v>0</v>
      </c>
      <c r="AN1555">
        <v>37</v>
      </c>
      <c r="AO1555">
        <v>0</v>
      </c>
      <c r="AP1555">
        <v>36</v>
      </c>
      <c r="AQ1555">
        <v>0</v>
      </c>
      <c r="AR1555">
        <v>0</v>
      </c>
      <c r="AS1555">
        <v>0</v>
      </c>
      <c r="AT1555" t="s">
        <v>90</v>
      </c>
      <c r="AU1555" s="1">
        <v>44215.401087962964</v>
      </c>
      <c r="AV1555">
        <v>3</v>
      </c>
      <c r="AW1555">
        <v>0</v>
      </c>
      <c r="AX1555">
        <v>0</v>
      </c>
      <c r="AY1555">
        <v>0</v>
      </c>
      <c r="AZ1555">
        <v>37</v>
      </c>
      <c r="BA1555">
        <v>0</v>
      </c>
      <c r="BB1555">
        <v>36</v>
      </c>
      <c r="BC1555">
        <v>0</v>
      </c>
      <c r="BD1555">
        <v>0</v>
      </c>
      <c r="BE1555">
        <v>0</v>
      </c>
    </row>
    <row r="1556" spans="1:57" x14ac:dyDescent="0.45">
      <c r="A1556" t="s">
        <v>3852</v>
      </c>
      <c r="B1556" t="s">
        <v>79</v>
      </c>
      <c r="C1556" t="s">
        <v>3853</v>
      </c>
      <c r="D1556" t="s">
        <v>81</v>
      </c>
      <c r="E1556" s="2" t="str">
        <f>HYPERLINK("capsilon://?command=openfolder&amp;siteaddress=FAM.docvelocity-na8.net&amp;folderid=FXAA1048E8-A4C1-8B72-3D45-13CA3AC4A672","FX21017210")</f>
        <v>FX21017210</v>
      </c>
      <c r="F1556" t="s">
        <v>19</v>
      </c>
      <c r="G1556" t="s">
        <v>19</v>
      </c>
      <c r="H1556" t="s">
        <v>82</v>
      </c>
      <c r="I1556" t="s">
        <v>3854</v>
      </c>
      <c r="J1556">
        <v>423</v>
      </c>
      <c r="K1556" t="s">
        <v>84</v>
      </c>
      <c r="L1556" t="s">
        <v>85</v>
      </c>
      <c r="M1556" t="s">
        <v>86</v>
      </c>
      <c r="N1556">
        <v>3</v>
      </c>
      <c r="O1556" s="1">
        <v>44215.349108796298</v>
      </c>
      <c r="P1556" s="1">
        <v>44215.438020833331</v>
      </c>
      <c r="Q1556">
        <v>1700</v>
      </c>
      <c r="R1556">
        <v>5982</v>
      </c>
      <c r="S1556" t="b">
        <v>0</v>
      </c>
      <c r="T1556" t="s">
        <v>87</v>
      </c>
      <c r="U1556" t="b">
        <v>0</v>
      </c>
      <c r="V1556" t="s">
        <v>98</v>
      </c>
      <c r="W1556" s="1">
        <v>44215.389525462961</v>
      </c>
      <c r="X1556">
        <v>3218</v>
      </c>
      <c r="Y1556">
        <v>297</v>
      </c>
      <c r="Z1556">
        <v>0</v>
      </c>
      <c r="AA1556">
        <v>297</v>
      </c>
      <c r="AB1556">
        <v>74</v>
      </c>
      <c r="AC1556">
        <v>120</v>
      </c>
      <c r="AD1556">
        <v>126</v>
      </c>
      <c r="AE1556">
        <v>0</v>
      </c>
      <c r="AF1556">
        <v>0</v>
      </c>
      <c r="AG1556">
        <v>0</v>
      </c>
      <c r="AH1556" t="s">
        <v>89</v>
      </c>
      <c r="AI1556" s="1">
        <v>44215.422384259262</v>
      </c>
      <c r="AJ1556">
        <v>2736</v>
      </c>
      <c r="AK1556">
        <v>0</v>
      </c>
      <c r="AL1556">
        <v>0</v>
      </c>
      <c r="AM1556">
        <v>0</v>
      </c>
      <c r="AN1556">
        <v>74</v>
      </c>
      <c r="AO1556">
        <v>0</v>
      </c>
      <c r="AP1556">
        <v>126</v>
      </c>
      <c r="AQ1556">
        <v>0</v>
      </c>
      <c r="AR1556">
        <v>0</v>
      </c>
      <c r="AS1556">
        <v>0</v>
      </c>
      <c r="AT1556" t="s">
        <v>90</v>
      </c>
      <c r="AU1556" s="1">
        <v>44215.438020833331</v>
      </c>
      <c r="AV1556">
        <v>28</v>
      </c>
      <c r="AW1556">
        <v>0</v>
      </c>
      <c r="AX1556">
        <v>0</v>
      </c>
      <c r="AY1556">
        <v>0</v>
      </c>
      <c r="AZ1556">
        <v>74</v>
      </c>
      <c r="BA1556">
        <v>0</v>
      </c>
      <c r="BB1556">
        <v>126</v>
      </c>
      <c r="BC1556">
        <v>0</v>
      </c>
      <c r="BD1556">
        <v>0</v>
      </c>
      <c r="BE1556">
        <v>0</v>
      </c>
    </row>
    <row r="1557" spans="1:57" x14ac:dyDescent="0.45">
      <c r="A1557" t="s">
        <v>3855</v>
      </c>
      <c r="B1557" t="s">
        <v>79</v>
      </c>
      <c r="C1557" t="s">
        <v>3856</v>
      </c>
      <c r="D1557" t="s">
        <v>81</v>
      </c>
      <c r="E1557" s="2" t="str">
        <f>HYPERLINK("capsilon://?command=openfolder&amp;siteaddress=FAM.docvelocity-na8.net&amp;folderid=FX1EECC9EA-6ABB-47FB-B1E5-4C9015BF075D","FX21013997")</f>
        <v>FX21013997</v>
      </c>
      <c r="F1557" t="s">
        <v>19</v>
      </c>
      <c r="G1557" t="s">
        <v>19</v>
      </c>
      <c r="H1557" t="s">
        <v>82</v>
      </c>
      <c r="I1557" t="s">
        <v>3857</v>
      </c>
      <c r="J1557">
        <v>340</v>
      </c>
      <c r="K1557" t="s">
        <v>84</v>
      </c>
      <c r="L1557" t="s">
        <v>85</v>
      </c>
      <c r="M1557" t="s">
        <v>86</v>
      </c>
      <c r="N1557">
        <v>3</v>
      </c>
      <c r="O1557" s="1">
        <v>44215.34952546296</v>
      </c>
      <c r="P1557" s="1">
        <v>44215.519108796296</v>
      </c>
      <c r="Q1557">
        <v>2734</v>
      </c>
      <c r="R1557">
        <v>11918</v>
      </c>
      <c r="S1557" t="b">
        <v>0</v>
      </c>
      <c r="T1557" t="s">
        <v>87</v>
      </c>
      <c r="U1557" t="b">
        <v>0</v>
      </c>
      <c r="V1557" t="s">
        <v>919</v>
      </c>
      <c r="W1557" s="1">
        <v>44215.43341435185</v>
      </c>
      <c r="X1557">
        <v>6517</v>
      </c>
      <c r="Y1557">
        <v>443</v>
      </c>
      <c r="Z1557">
        <v>0</v>
      </c>
      <c r="AA1557">
        <v>443</v>
      </c>
      <c r="AB1557">
        <v>0</v>
      </c>
      <c r="AC1557">
        <v>310</v>
      </c>
      <c r="AD1557">
        <v>-103</v>
      </c>
      <c r="AE1557">
        <v>0</v>
      </c>
      <c r="AF1557">
        <v>0</v>
      </c>
      <c r="AG1557">
        <v>0</v>
      </c>
      <c r="AH1557" t="s">
        <v>89</v>
      </c>
      <c r="AI1557" s="1">
        <v>44215.517395833333</v>
      </c>
      <c r="AJ1557">
        <v>5166</v>
      </c>
      <c r="AK1557">
        <v>10</v>
      </c>
      <c r="AL1557">
        <v>0</v>
      </c>
      <c r="AM1557">
        <v>10</v>
      </c>
      <c r="AN1557">
        <v>0</v>
      </c>
      <c r="AO1557">
        <v>9</v>
      </c>
      <c r="AP1557">
        <v>-113</v>
      </c>
      <c r="AQ1557">
        <v>0</v>
      </c>
      <c r="AR1557">
        <v>0</v>
      </c>
      <c r="AS1557">
        <v>0</v>
      </c>
      <c r="AT1557" t="s">
        <v>90</v>
      </c>
      <c r="AU1557" s="1">
        <v>44215.519108796296</v>
      </c>
      <c r="AV1557">
        <v>43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-113</v>
      </c>
      <c r="BC1557">
        <v>0</v>
      </c>
      <c r="BD1557">
        <v>0</v>
      </c>
      <c r="BE1557">
        <v>0</v>
      </c>
    </row>
    <row r="1558" spans="1:57" x14ac:dyDescent="0.45">
      <c r="A1558" t="s">
        <v>3858</v>
      </c>
      <c r="B1558" t="s">
        <v>79</v>
      </c>
      <c r="C1558" t="s">
        <v>3859</v>
      </c>
      <c r="D1558" t="s">
        <v>81</v>
      </c>
      <c r="E1558" s="2" t="str">
        <f>HYPERLINK("capsilon://?command=openfolder&amp;siteaddress=FAM.docvelocity-na8.net&amp;folderid=FX78A64F53-0B80-3EF4-1A71-C8B346D95072","FX20117538")</f>
        <v>FX20117538</v>
      </c>
      <c r="F1558" t="s">
        <v>19</v>
      </c>
      <c r="G1558" t="s">
        <v>19</v>
      </c>
      <c r="H1558" t="s">
        <v>82</v>
      </c>
      <c r="I1558" t="s">
        <v>3860</v>
      </c>
      <c r="J1558">
        <v>75</v>
      </c>
      <c r="K1558" t="s">
        <v>84</v>
      </c>
      <c r="L1558" t="s">
        <v>85</v>
      </c>
      <c r="M1558" t="s">
        <v>86</v>
      </c>
      <c r="N1558">
        <v>3</v>
      </c>
      <c r="O1558" s="1">
        <v>44215.363379629627</v>
      </c>
      <c r="P1558" s="1">
        <v>44215.401319444441</v>
      </c>
      <c r="Q1558">
        <v>2279</v>
      </c>
      <c r="R1558">
        <v>999</v>
      </c>
      <c r="S1558" t="b">
        <v>0</v>
      </c>
      <c r="T1558" t="s">
        <v>87</v>
      </c>
      <c r="U1558" t="b">
        <v>0</v>
      </c>
      <c r="V1558" t="s">
        <v>88</v>
      </c>
      <c r="W1558" s="1">
        <v>44215.371087962965</v>
      </c>
      <c r="X1558">
        <v>650</v>
      </c>
      <c r="Y1558">
        <v>47</v>
      </c>
      <c r="Z1558">
        <v>0</v>
      </c>
      <c r="AA1558">
        <v>47</v>
      </c>
      <c r="AB1558">
        <v>0</v>
      </c>
      <c r="AC1558">
        <v>18</v>
      </c>
      <c r="AD1558">
        <v>28</v>
      </c>
      <c r="AE1558">
        <v>0</v>
      </c>
      <c r="AF1558">
        <v>0</v>
      </c>
      <c r="AG1558">
        <v>0</v>
      </c>
      <c r="AH1558" t="s">
        <v>108</v>
      </c>
      <c r="AI1558" s="1">
        <v>44215.376631944448</v>
      </c>
      <c r="AJ1558">
        <v>251</v>
      </c>
      <c r="AK1558">
        <v>1</v>
      </c>
      <c r="AL1558">
        <v>0</v>
      </c>
      <c r="AM1558">
        <v>1</v>
      </c>
      <c r="AN1558">
        <v>0</v>
      </c>
      <c r="AO1558">
        <v>0</v>
      </c>
      <c r="AP1558">
        <v>27</v>
      </c>
      <c r="AQ1558">
        <v>0</v>
      </c>
      <c r="AR1558">
        <v>0</v>
      </c>
      <c r="AS1558">
        <v>0</v>
      </c>
      <c r="AT1558" t="s">
        <v>90</v>
      </c>
      <c r="AU1558" s="1">
        <v>44215.401319444441</v>
      </c>
      <c r="AV1558">
        <v>19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27</v>
      </c>
      <c r="BC1558">
        <v>0</v>
      </c>
      <c r="BD1558">
        <v>0</v>
      </c>
      <c r="BE1558">
        <v>0</v>
      </c>
    </row>
    <row r="1559" spans="1:57" hidden="1" x14ac:dyDescent="0.45">
      <c r="A1559" t="s">
        <v>3861</v>
      </c>
      <c r="B1559" t="s">
        <v>79</v>
      </c>
      <c r="C1559" t="s">
        <v>3862</v>
      </c>
      <c r="D1559" t="s">
        <v>81</v>
      </c>
      <c r="E1559" s="2" t="str">
        <f>HYPERLINK("capsilon://?command=openfolder&amp;siteaddress=FAM.docvelocity-na8.net&amp;folderid=FXC8A996B5-8BB8-AA33-E3BF-EDF75A8911B1","FX20124417")</f>
        <v>FX20124417</v>
      </c>
      <c r="F1559" t="s">
        <v>19</v>
      </c>
      <c r="G1559" t="s">
        <v>19</v>
      </c>
      <c r="H1559" t="s">
        <v>82</v>
      </c>
      <c r="I1559" t="s">
        <v>3863</v>
      </c>
      <c r="J1559">
        <v>66</v>
      </c>
      <c r="K1559" t="s">
        <v>84</v>
      </c>
      <c r="L1559" t="s">
        <v>85</v>
      </c>
      <c r="M1559" t="s">
        <v>86</v>
      </c>
      <c r="N1559">
        <v>3</v>
      </c>
      <c r="O1559" s="1">
        <v>44215.364027777781</v>
      </c>
      <c r="P1559" s="1">
        <v>44215.401354166665</v>
      </c>
      <c r="Q1559">
        <v>2688</v>
      </c>
      <c r="R1559">
        <v>537</v>
      </c>
      <c r="S1559" t="b">
        <v>0</v>
      </c>
      <c r="T1559" t="s">
        <v>87</v>
      </c>
      <c r="U1559" t="b">
        <v>0</v>
      </c>
      <c r="V1559" t="s">
        <v>112</v>
      </c>
      <c r="W1559" s="1">
        <v>44215.369849537034</v>
      </c>
      <c r="X1559">
        <v>431</v>
      </c>
      <c r="Y1559">
        <v>0</v>
      </c>
      <c r="Z1559">
        <v>0</v>
      </c>
      <c r="AA1559">
        <v>0</v>
      </c>
      <c r="AB1559">
        <v>52</v>
      </c>
      <c r="AC1559">
        <v>0</v>
      </c>
      <c r="AD1559">
        <v>66</v>
      </c>
      <c r="AE1559">
        <v>0</v>
      </c>
      <c r="AF1559">
        <v>0</v>
      </c>
      <c r="AG1559">
        <v>0</v>
      </c>
      <c r="AH1559" t="s">
        <v>89</v>
      </c>
      <c r="AI1559" s="1">
        <v>44215.378217592595</v>
      </c>
      <c r="AJ1559">
        <v>50</v>
      </c>
      <c r="AK1559">
        <v>0</v>
      </c>
      <c r="AL1559">
        <v>0</v>
      </c>
      <c r="AM1559">
        <v>0</v>
      </c>
      <c r="AN1559">
        <v>52</v>
      </c>
      <c r="AO1559">
        <v>0</v>
      </c>
      <c r="AP1559">
        <v>66</v>
      </c>
      <c r="AQ1559">
        <v>0</v>
      </c>
      <c r="AR1559">
        <v>0</v>
      </c>
      <c r="AS1559">
        <v>0</v>
      </c>
      <c r="AT1559" t="s">
        <v>90</v>
      </c>
      <c r="AU1559" s="1">
        <v>44215.401354166665</v>
      </c>
      <c r="AV1559">
        <v>2</v>
      </c>
      <c r="AW1559">
        <v>0</v>
      </c>
      <c r="AX1559">
        <v>0</v>
      </c>
      <c r="AY1559">
        <v>0</v>
      </c>
      <c r="AZ1559">
        <v>52</v>
      </c>
      <c r="BA1559">
        <v>0</v>
      </c>
      <c r="BB1559">
        <v>66</v>
      </c>
      <c r="BC1559">
        <v>0</v>
      </c>
      <c r="BD1559">
        <v>0</v>
      </c>
      <c r="BE1559">
        <v>0</v>
      </c>
    </row>
    <row r="1560" spans="1:57" x14ac:dyDescent="0.45">
      <c r="A1560" t="s">
        <v>3864</v>
      </c>
      <c r="B1560" t="s">
        <v>79</v>
      </c>
      <c r="C1560" t="s">
        <v>3859</v>
      </c>
      <c r="D1560" t="s">
        <v>81</v>
      </c>
      <c r="E1560" s="2" t="str">
        <f>HYPERLINK("capsilon://?command=openfolder&amp;siteaddress=FAM.docvelocity-na8.net&amp;folderid=FX78A64F53-0B80-3EF4-1A71-C8B346D95072","FX20117538")</f>
        <v>FX20117538</v>
      </c>
      <c r="F1560" t="s">
        <v>19</v>
      </c>
      <c r="G1560" t="s">
        <v>19</v>
      </c>
      <c r="H1560" t="s">
        <v>82</v>
      </c>
      <c r="I1560" t="s">
        <v>3865</v>
      </c>
      <c r="J1560">
        <v>70</v>
      </c>
      <c r="K1560" t="s">
        <v>84</v>
      </c>
      <c r="L1560" t="s">
        <v>85</v>
      </c>
      <c r="M1560" t="s">
        <v>86</v>
      </c>
      <c r="N1560">
        <v>3</v>
      </c>
      <c r="O1560" s="1">
        <v>44215.364305555559</v>
      </c>
      <c r="P1560" s="1">
        <v>44215.401435185187</v>
      </c>
      <c r="Q1560">
        <v>2548</v>
      </c>
      <c r="R1560">
        <v>660</v>
      </c>
      <c r="S1560" t="b">
        <v>0</v>
      </c>
      <c r="T1560" t="s">
        <v>87</v>
      </c>
      <c r="U1560" t="b">
        <v>0</v>
      </c>
      <c r="V1560" t="s">
        <v>105</v>
      </c>
      <c r="W1560" s="1">
        <v>44215.369317129633</v>
      </c>
      <c r="X1560">
        <v>372</v>
      </c>
      <c r="Y1560">
        <v>52</v>
      </c>
      <c r="Z1560">
        <v>0</v>
      </c>
      <c r="AA1560">
        <v>52</v>
      </c>
      <c r="AB1560">
        <v>0</v>
      </c>
      <c r="AC1560">
        <v>20</v>
      </c>
      <c r="AD1560">
        <v>18</v>
      </c>
      <c r="AE1560">
        <v>0</v>
      </c>
      <c r="AF1560">
        <v>0</v>
      </c>
      <c r="AG1560">
        <v>0</v>
      </c>
      <c r="AH1560" t="s">
        <v>108</v>
      </c>
      <c r="AI1560" s="1">
        <v>44215.381342592591</v>
      </c>
      <c r="AJ1560">
        <v>282</v>
      </c>
      <c r="AK1560">
        <v>3</v>
      </c>
      <c r="AL1560">
        <v>0</v>
      </c>
      <c r="AM1560">
        <v>3</v>
      </c>
      <c r="AN1560">
        <v>0</v>
      </c>
      <c r="AO1560">
        <v>1</v>
      </c>
      <c r="AP1560">
        <v>15</v>
      </c>
      <c r="AQ1560">
        <v>0</v>
      </c>
      <c r="AR1560">
        <v>0</v>
      </c>
      <c r="AS1560">
        <v>0</v>
      </c>
      <c r="AT1560" t="s">
        <v>90</v>
      </c>
      <c r="AU1560" s="1">
        <v>44215.401435185187</v>
      </c>
      <c r="AV1560">
        <v>6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15</v>
      </c>
      <c r="BC1560">
        <v>0</v>
      </c>
      <c r="BD1560">
        <v>0</v>
      </c>
      <c r="BE1560">
        <v>0</v>
      </c>
    </row>
    <row r="1561" spans="1:57" hidden="1" x14ac:dyDescent="0.45">
      <c r="A1561" t="s">
        <v>3866</v>
      </c>
      <c r="B1561" t="s">
        <v>79</v>
      </c>
      <c r="C1561" t="s">
        <v>1040</v>
      </c>
      <c r="D1561" t="s">
        <v>81</v>
      </c>
      <c r="E1561" s="2" t="str">
        <f>HYPERLINK("capsilon://?command=openfolder&amp;siteaddress=FAM.docvelocity-na8.net&amp;folderid=FX25AE985D-5D36-7BC0-0903-FF17BD3F5E9E","FX201113035")</f>
        <v>FX201113035</v>
      </c>
      <c r="F1561" t="s">
        <v>19</v>
      </c>
      <c r="G1561" t="s">
        <v>19</v>
      </c>
      <c r="H1561" t="s">
        <v>82</v>
      </c>
      <c r="I1561" t="s">
        <v>3867</v>
      </c>
      <c r="J1561">
        <v>66</v>
      </c>
      <c r="K1561" t="s">
        <v>84</v>
      </c>
      <c r="L1561" t="s">
        <v>85</v>
      </c>
      <c r="M1561" t="s">
        <v>86</v>
      </c>
      <c r="N1561">
        <v>3</v>
      </c>
      <c r="O1561" s="1">
        <v>44215.369305555556</v>
      </c>
      <c r="P1561" s="1">
        <v>44215.401469907411</v>
      </c>
      <c r="Q1561">
        <v>2536</v>
      </c>
      <c r="R1561">
        <v>243</v>
      </c>
      <c r="S1561" t="b">
        <v>0</v>
      </c>
      <c r="T1561" t="s">
        <v>87</v>
      </c>
      <c r="U1561" t="b">
        <v>0</v>
      </c>
      <c r="V1561" t="s">
        <v>112</v>
      </c>
      <c r="W1561" s="1">
        <v>44215.371423611112</v>
      </c>
      <c r="X1561">
        <v>135</v>
      </c>
      <c r="Y1561">
        <v>0</v>
      </c>
      <c r="Z1561">
        <v>0</v>
      </c>
      <c r="AA1561">
        <v>0</v>
      </c>
      <c r="AB1561">
        <v>52</v>
      </c>
      <c r="AC1561">
        <v>0</v>
      </c>
      <c r="AD1561">
        <v>66</v>
      </c>
      <c r="AE1561">
        <v>0</v>
      </c>
      <c r="AF1561">
        <v>0</v>
      </c>
      <c r="AG1561">
        <v>0</v>
      </c>
      <c r="AH1561" t="s">
        <v>89</v>
      </c>
      <c r="AI1561" s="1">
        <v>44215.379224537035</v>
      </c>
      <c r="AJ1561">
        <v>87</v>
      </c>
      <c r="AK1561">
        <v>0</v>
      </c>
      <c r="AL1561">
        <v>0</v>
      </c>
      <c r="AM1561">
        <v>0</v>
      </c>
      <c r="AN1561">
        <v>52</v>
      </c>
      <c r="AO1561">
        <v>0</v>
      </c>
      <c r="AP1561">
        <v>66</v>
      </c>
      <c r="AQ1561">
        <v>0</v>
      </c>
      <c r="AR1561">
        <v>0</v>
      </c>
      <c r="AS1561">
        <v>0</v>
      </c>
      <c r="AT1561" t="s">
        <v>90</v>
      </c>
      <c r="AU1561" s="1">
        <v>44215.401469907411</v>
      </c>
      <c r="AV1561">
        <v>3</v>
      </c>
      <c r="AW1561">
        <v>0</v>
      </c>
      <c r="AX1561">
        <v>0</v>
      </c>
      <c r="AY1561">
        <v>0</v>
      </c>
      <c r="AZ1561">
        <v>52</v>
      </c>
      <c r="BA1561">
        <v>0</v>
      </c>
      <c r="BB1561">
        <v>66</v>
      </c>
      <c r="BC1561">
        <v>0</v>
      </c>
      <c r="BD1561">
        <v>0</v>
      </c>
      <c r="BE1561">
        <v>0</v>
      </c>
    </row>
    <row r="1562" spans="1:57" x14ac:dyDescent="0.45">
      <c r="A1562" t="s">
        <v>3868</v>
      </c>
      <c r="B1562" t="s">
        <v>79</v>
      </c>
      <c r="C1562" t="s">
        <v>1011</v>
      </c>
      <c r="D1562" t="s">
        <v>81</v>
      </c>
      <c r="E1562" s="2" t="str">
        <f>HYPERLINK("capsilon://?command=openfolder&amp;siteaddress=FAM.docvelocity-na8.net&amp;folderid=FX5DA0394A-8F4A-EF62-AF6D-AC34F1946013","FX21012658")</f>
        <v>FX21012658</v>
      </c>
      <c r="F1562" t="s">
        <v>19</v>
      </c>
      <c r="G1562" t="s">
        <v>19</v>
      </c>
      <c r="H1562" t="s">
        <v>82</v>
      </c>
      <c r="I1562" t="s">
        <v>3869</v>
      </c>
      <c r="J1562">
        <v>26</v>
      </c>
      <c r="K1562" t="s">
        <v>84</v>
      </c>
      <c r="L1562" t="s">
        <v>85</v>
      </c>
      <c r="M1562" t="s">
        <v>86</v>
      </c>
      <c r="N1562">
        <v>3</v>
      </c>
      <c r="O1562" s="1">
        <v>44215.371678240743</v>
      </c>
      <c r="P1562" s="1">
        <v>44215.40152777778</v>
      </c>
      <c r="Q1562">
        <v>1652</v>
      </c>
      <c r="R1562">
        <v>927</v>
      </c>
      <c r="S1562" t="b">
        <v>0</v>
      </c>
      <c r="T1562" t="s">
        <v>87</v>
      </c>
      <c r="U1562" t="b">
        <v>0</v>
      </c>
      <c r="V1562" t="s">
        <v>112</v>
      </c>
      <c r="W1562" s="1">
        <v>44215.375949074078</v>
      </c>
      <c r="X1562">
        <v>283</v>
      </c>
      <c r="Y1562">
        <v>21</v>
      </c>
      <c r="Z1562">
        <v>0</v>
      </c>
      <c r="AA1562">
        <v>21</v>
      </c>
      <c r="AB1562">
        <v>0</v>
      </c>
      <c r="AC1562">
        <v>2</v>
      </c>
      <c r="AD1562">
        <v>5</v>
      </c>
      <c r="AE1562">
        <v>0</v>
      </c>
      <c r="AF1562">
        <v>0</v>
      </c>
      <c r="AG1562">
        <v>0</v>
      </c>
      <c r="AH1562" t="s">
        <v>89</v>
      </c>
      <c r="AI1562" s="1">
        <v>44215.386643518519</v>
      </c>
      <c r="AJ1562">
        <v>640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5</v>
      </c>
      <c r="AQ1562">
        <v>0</v>
      </c>
      <c r="AR1562">
        <v>0</v>
      </c>
      <c r="AS1562">
        <v>0</v>
      </c>
      <c r="AT1562" t="s">
        <v>90</v>
      </c>
      <c r="AU1562" s="1">
        <v>44215.40152777778</v>
      </c>
      <c r="AV1562">
        <v>4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5</v>
      </c>
      <c r="BC1562">
        <v>0</v>
      </c>
      <c r="BD1562">
        <v>0</v>
      </c>
      <c r="BE1562">
        <v>0</v>
      </c>
    </row>
    <row r="1563" spans="1:57" x14ac:dyDescent="0.45">
      <c r="A1563" t="s">
        <v>3870</v>
      </c>
      <c r="B1563" t="s">
        <v>79</v>
      </c>
      <c r="C1563" t="s">
        <v>1011</v>
      </c>
      <c r="D1563" t="s">
        <v>81</v>
      </c>
      <c r="E1563" s="2" t="str">
        <f>HYPERLINK("capsilon://?command=openfolder&amp;siteaddress=FAM.docvelocity-na8.net&amp;folderid=FX5DA0394A-8F4A-EF62-AF6D-AC34F1946013","FX21012658")</f>
        <v>FX21012658</v>
      </c>
      <c r="F1563" t="s">
        <v>19</v>
      </c>
      <c r="G1563" t="s">
        <v>19</v>
      </c>
      <c r="H1563" t="s">
        <v>82</v>
      </c>
      <c r="I1563" t="s">
        <v>3871</v>
      </c>
      <c r="J1563">
        <v>26</v>
      </c>
      <c r="K1563" t="s">
        <v>84</v>
      </c>
      <c r="L1563" t="s">
        <v>85</v>
      </c>
      <c r="M1563" t="s">
        <v>86</v>
      </c>
      <c r="N1563">
        <v>3</v>
      </c>
      <c r="O1563" s="1">
        <v>44215.372152777774</v>
      </c>
      <c r="P1563" s="1">
        <v>44215.401562500003</v>
      </c>
      <c r="Q1563">
        <v>2026</v>
      </c>
      <c r="R1563">
        <v>515</v>
      </c>
      <c r="S1563" t="b">
        <v>0</v>
      </c>
      <c r="T1563" t="s">
        <v>87</v>
      </c>
      <c r="U1563" t="b">
        <v>0</v>
      </c>
      <c r="V1563" t="s">
        <v>112</v>
      </c>
      <c r="W1563" s="1">
        <v>44215.38003472222</v>
      </c>
      <c r="X1563">
        <v>352</v>
      </c>
      <c r="Y1563">
        <v>21</v>
      </c>
      <c r="Z1563">
        <v>0</v>
      </c>
      <c r="AA1563">
        <v>21</v>
      </c>
      <c r="AB1563">
        <v>0</v>
      </c>
      <c r="AC1563">
        <v>3</v>
      </c>
      <c r="AD1563">
        <v>5</v>
      </c>
      <c r="AE1563">
        <v>0</v>
      </c>
      <c r="AF1563">
        <v>0</v>
      </c>
      <c r="AG1563">
        <v>0</v>
      </c>
      <c r="AH1563" t="s">
        <v>108</v>
      </c>
      <c r="AI1563" s="1">
        <v>44215.383206018516</v>
      </c>
      <c r="AJ1563">
        <v>160</v>
      </c>
      <c r="AK1563">
        <v>1</v>
      </c>
      <c r="AL1563">
        <v>0</v>
      </c>
      <c r="AM1563">
        <v>1</v>
      </c>
      <c r="AN1563">
        <v>0</v>
      </c>
      <c r="AO1563">
        <v>0</v>
      </c>
      <c r="AP1563">
        <v>4</v>
      </c>
      <c r="AQ1563">
        <v>0</v>
      </c>
      <c r="AR1563">
        <v>0</v>
      </c>
      <c r="AS1563">
        <v>0</v>
      </c>
      <c r="AT1563" t="s">
        <v>90</v>
      </c>
      <c r="AU1563" s="1">
        <v>44215.401562500003</v>
      </c>
      <c r="AV1563">
        <v>3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4</v>
      </c>
      <c r="BC1563">
        <v>0</v>
      </c>
      <c r="BD1563">
        <v>0</v>
      </c>
      <c r="BE1563">
        <v>0</v>
      </c>
    </row>
    <row r="1564" spans="1:57" x14ac:dyDescent="0.45">
      <c r="A1564" t="s">
        <v>3872</v>
      </c>
      <c r="B1564" t="s">
        <v>79</v>
      </c>
      <c r="C1564" t="s">
        <v>1255</v>
      </c>
      <c r="D1564" t="s">
        <v>81</v>
      </c>
      <c r="E1564" s="2" t="str">
        <f>HYPERLINK("capsilon://?command=openfolder&amp;siteaddress=FAM.docvelocity-na8.net&amp;folderid=FX1AD5FBFA-CC8F-1585-A9A2-F7F6F0E108B6","FX21013185")</f>
        <v>FX21013185</v>
      </c>
      <c r="F1564" t="s">
        <v>19</v>
      </c>
      <c r="G1564" t="s">
        <v>19</v>
      </c>
      <c r="H1564" t="s">
        <v>82</v>
      </c>
      <c r="I1564" t="s">
        <v>3873</v>
      </c>
      <c r="J1564">
        <v>66</v>
      </c>
      <c r="K1564" t="s">
        <v>84</v>
      </c>
      <c r="L1564" t="s">
        <v>85</v>
      </c>
      <c r="M1564" t="s">
        <v>86</v>
      </c>
      <c r="N1564">
        <v>3</v>
      </c>
      <c r="O1564" s="1">
        <v>44215.374548611115</v>
      </c>
      <c r="P1564" s="1">
        <v>44215.401967592596</v>
      </c>
      <c r="Q1564">
        <v>1558</v>
      </c>
      <c r="R1564">
        <v>811</v>
      </c>
      <c r="S1564" t="b">
        <v>0</v>
      </c>
      <c r="T1564" t="s">
        <v>87</v>
      </c>
      <c r="U1564" t="b">
        <v>0</v>
      </c>
      <c r="V1564" t="s">
        <v>88</v>
      </c>
      <c r="W1564" s="1">
        <v>44215.382893518516</v>
      </c>
      <c r="X1564">
        <v>570</v>
      </c>
      <c r="Y1564">
        <v>52</v>
      </c>
      <c r="Z1564">
        <v>0</v>
      </c>
      <c r="AA1564">
        <v>52</v>
      </c>
      <c r="AB1564">
        <v>0</v>
      </c>
      <c r="AC1564">
        <v>35</v>
      </c>
      <c r="AD1564">
        <v>14</v>
      </c>
      <c r="AE1564">
        <v>0</v>
      </c>
      <c r="AF1564">
        <v>0</v>
      </c>
      <c r="AG1564">
        <v>0</v>
      </c>
      <c r="AH1564" t="s">
        <v>108</v>
      </c>
      <c r="AI1564" s="1">
        <v>44215.385613425926</v>
      </c>
      <c r="AJ1564">
        <v>207</v>
      </c>
      <c r="AK1564">
        <v>3</v>
      </c>
      <c r="AL1564">
        <v>0</v>
      </c>
      <c r="AM1564">
        <v>3</v>
      </c>
      <c r="AN1564">
        <v>0</v>
      </c>
      <c r="AO1564">
        <v>0</v>
      </c>
      <c r="AP1564">
        <v>11</v>
      </c>
      <c r="AQ1564">
        <v>0</v>
      </c>
      <c r="AR1564">
        <v>0</v>
      </c>
      <c r="AS1564">
        <v>0</v>
      </c>
      <c r="AT1564" t="s">
        <v>90</v>
      </c>
      <c r="AU1564" s="1">
        <v>44215.401967592596</v>
      </c>
      <c r="AV1564">
        <v>34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11</v>
      </c>
      <c r="BC1564">
        <v>0</v>
      </c>
      <c r="BD1564">
        <v>0</v>
      </c>
      <c r="BE1564">
        <v>0</v>
      </c>
    </row>
    <row r="1565" spans="1:57" x14ac:dyDescent="0.45">
      <c r="A1565" t="s">
        <v>3874</v>
      </c>
      <c r="B1565" t="s">
        <v>79</v>
      </c>
      <c r="C1565" t="s">
        <v>2362</v>
      </c>
      <c r="D1565" t="s">
        <v>81</v>
      </c>
      <c r="E1565" s="2" t="str">
        <f>HYPERLINK("capsilon://?command=openfolder&amp;siteaddress=FAM.docvelocity-na8.net&amp;folderid=FX9AF999B0-86F9-7762-14CC-25BCBDB1E777","FX20116542")</f>
        <v>FX20116542</v>
      </c>
      <c r="F1565" t="s">
        <v>19</v>
      </c>
      <c r="G1565" t="s">
        <v>19</v>
      </c>
      <c r="H1565" t="s">
        <v>82</v>
      </c>
      <c r="I1565" t="s">
        <v>3875</v>
      </c>
      <c r="J1565">
        <v>66</v>
      </c>
      <c r="K1565" t="s">
        <v>84</v>
      </c>
      <c r="L1565" t="s">
        <v>85</v>
      </c>
      <c r="M1565" t="s">
        <v>86</v>
      </c>
      <c r="N1565">
        <v>3</v>
      </c>
      <c r="O1565" s="1">
        <v>44215.3750462963</v>
      </c>
      <c r="P1565" s="1">
        <v>44215.402233796296</v>
      </c>
      <c r="Q1565">
        <v>1506</v>
      </c>
      <c r="R1565">
        <v>843</v>
      </c>
      <c r="S1565" t="b">
        <v>0</v>
      </c>
      <c r="T1565" t="s">
        <v>87</v>
      </c>
      <c r="U1565" t="b">
        <v>0</v>
      </c>
      <c r="V1565" t="s">
        <v>112</v>
      </c>
      <c r="W1565" s="1">
        <v>44215.385752314818</v>
      </c>
      <c r="X1565">
        <v>493</v>
      </c>
      <c r="Y1565">
        <v>52</v>
      </c>
      <c r="Z1565">
        <v>0</v>
      </c>
      <c r="AA1565">
        <v>52</v>
      </c>
      <c r="AB1565">
        <v>0</v>
      </c>
      <c r="AC1565">
        <v>26</v>
      </c>
      <c r="AD1565">
        <v>14</v>
      </c>
      <c r="AE1565">
        <v>0</v>
      </c>
      <c r="AF1565">
        <v>0</v>
      </c>
      <c r="AG1565">
        <v>0</v>
      </c>
      <c r="AH1565" t="s">
        <v>89</v>
      </c>
      <c r="AI1565" s="1">
        <v>44215.390706018516</v>
      </c>
      <c r="AJ1565">
        <v>316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14</v>
      </c>
      <c r="AQ1565">
        <v>0</v>
      </c>
      <c r="AR1565">
        <v>0</v>
      </c>
      <c r="AS1565">
        <v>0</v>
      </c>
      <c r="AT1565" t="s">
        <v>90</v>
      </c>
      <c r="AU1565" s="1">
        <v>44215.402233796296</v>
      </c>
      <c r="AV1565">
        <v>23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14</v>
      </c>
      <c r="BC1565">
        <v>0</v>
      </c>
      <c r="BD1565">
        <v>0</v>
      </c>
      <c r="BE1565">
        <v>0</v>
      </c>
    </row>
    <row r="1566" spans="1:57" x14ac:dyDescent="0.45">
      <c r="A1566" t="s">
        <v>3876</v>
      </c>
      <c r="B1566" t="s">
        <v>79</v>
      </c>
      <c r="C1566" t="s">
        <v>1255</v>
      </c>
      <c r="D1566" t="s">
        <v>81</v>
      </c>
      <c r="E1566" s="2" t="str">
        <f>HYPERLINK("capsilon://?command=openfolder&amp;siteaddress=FAM.docvelocity-na8.net&amp;folderid=FX1AD5FBFA-CC8F-1585-A9A2-F7F6F0E108B6","FX21013185")</f>
        <v>FX21013185</v>
      </c>
      <c r="F1566" t="s">
        <v>19</v>
      </c>
      <c r="G1566" t="s">
        <v>19</v>
      </c>
      <c r="H1566" t="s">
        <v>82</v>
      </c>
      <c r="I1566" t="s">
        <v>3877</v>
      </c>
      <c r="J1566">
        <v>66</v>
      </c>
      <c r="K1566" t="s">
        <v>84</v>
      </c>
      <c r="L1566" t="s">
        <v>85</v>
      </c>
      <c r="M1566" t="s">
        <v>86</v>
      </c>
      <c r="N1566">
        <v>3</v>
      </c>
      <c r="O1566" s="1">
        <v>44215.375208333331</v>
      </c>
      <c r="P1566" s="1">
        <v>44215.438101851854</v>
      </c>
      <c r="Q1566">
        <v>4388</v>
      </c>
      <c r="R1566">
        <v>1046</v>
      </c>
      <c r="S1566" t="b">
        <v>0</v>
      </c>
      <c r="T1566" t="s">
        <v>87</v>
      </c>
      <c r="U1566" t="b">
        <v>0</v>
      </c>
      <c r="V1566" t="s">
        <v>419</v>
      </c>
      <c r="W1566" s="1">
        <v>44215.391145833331</v>
      </c>
      <c r="X1566">
        <v>755</v>
      </c>
      <c r="Y1566">
        <v>52</v>
      </c>
      <c r="Z1566">
        <v>0</v>
      </c>
      <c r="AA1566">
        <v>52</v>
      </c>
      <c r="AB1566">
        <v>0</v>
      </c>
      <c r="AC1566">
        <v>30</v>
      </c>
      <c r="AD1566">
        <v>14</v>
      </c>
      <c r="AE1566">
        <v>0</v>
      </c>
      <c r="AF1566">
        <v>0</v>
      </c>
      <c r="AG1566">
        <v>0</v>
      </c>
      <c r="AH1566" t="s">
        <v>94</v>
      </c>
      <c r="AI1566" s="1">
        <v>44215.409837962965</v>
      </c>
      <c r="AJ1566">
        <v>129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14</v>
      </c>
      <c r="AQ1566">
        <v>0</v>
      </c>
      <c r="AR1566">
        <v>0</v>
      </c>
      <c r="AS1566">
        <v>0</v>
      </c>
      <c r="AT1566" t="s">
        <v>90</v>
      </c>
      <c r="AU1566" s="1">
        <v>44215.438101851854</v>
      </c>
      <c r="AV1566">
        <v>6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14</v>
      </c>
      <c r="BC1566">
        <v>0</v>
      </c>
      <c r="BD1566">
        <v>0</v>
      </c>
      <c r="BE1566">
        <v>0</v>
      </c>
    </row>
    <row r="1567" spans="1:57" x14ac:dyDescent="0.45">
      <c r="A1567" t="s">
        <v>3878</v>
      </c>
      <c r="B1567" t="s">
        <v>79</v>
      </c>
      <c r="C1567" t="s">
        <v>3151</v>
      </c>
      <c r="D1567" t="s">
        <v>81</v>
      </c>
      <c r="E1567" s="2" t="str">
        <f>HYPERLINK("capsilon://?command=openfolder&amp;siteaddress=FAM.docvelocity-na8.net&amp;folderid=FX840F6609-675B-58D2-037C-F45A9631873A","FX201221281")</f>
        <v>FX201221281</v>
      </c>
      <c r="F1567" t="s">
        <v>19</v>
      </c>
      <c r="G1567" t="s">
        <v>19</v>
      </c>
      <c r="H1567" t="s">
        <v>82</v>
      </c>
      <c r="I1567" t="s">
        <v>3879</v>
      </c>
      <c r="J1567">
        <v>38</v>
      </c>
      <c r="K1567" t="s">
        <v>84</v>
      </c>
      <c r="L1567" t="s">
        <v>85</v>
      </c>
      <c r="M1567" t="s">
        <v>86</v>
      </c>
      <c r="N1567">
        <v>3</v>
      </c>
      <c r="O1567" s="1">
        <v>44215.377916666665</v>
      </c>
      <c r="P1567" s="1">
        <v>44215.438171296293</v>
      </c>
      <c r="Q1567">
        <v>4227</v>
      </c>
      <c r="R1567">
        <v>979</v>
      </c>
      <c r="S1567" t="b">
        <v>0</v>
      </c>
      <c r="T1567" t="s">
        <v>87</v>
      </c>
      <c r="U1567" t="b">
        <v>0</v>
      </c>
      <c r="V1567" t="s">
        <v>88</v>
      </c>
      <c r="W1567" s="1">
        <v>44215.391516203701</v>
      </c>
      <c r="X1567">
        <v>744</v>
      </c>
      <c r="Y1567">
        <v>37</v>
      </c>
      <c r="Z1567">
        <v>0</v>
      </c>
      <c r="AA1567">
        <v>37</v>
      </c>
      <c r="AB1567">
        <v>0</v>
      </c>
      <c r="AC1567">
        <v>36</v>
      </c>
      <c r="AD1567">
        <v>1</v>
      </c>
      <c r="AE1567">
        <v>0</v>
      </c>
      <c r="AF1567">
        <v>0</v>
      </c>
      <c r="AG1567">
        <v>0</v>
      </c>
      <c r="AH1567" t="s">
        <v>94</v>
      </c>
      <c r="AI1567" s="1">
        <v>44215.415671296294</v>
      </c>
      <c r="AJ1567">
        <v>214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 t="s">
        <v>90</v>
      </c>
      <c r="AU1567" s="1">
        <v>44215.438171296293</v>
      </c>
      <c r="AV1567">
        <v>6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</row>
    <row r="1568" spans="1:57" x14ac:dyDescent="0.45">
      <c r="A1568" t="s">
        <v>3880</v>
      </c>
      <c r="B1568" t="s">
        <v>79</v>
      </c>
      <c r="C1568" t="s">
        <v>3881</v>
      </c>
      <c r="D1568" t="s">
        <v>81</v>
      </c>
      <c r="E1568" s="2" t="str">
        <f>HYPERLINK("capsilon://?command=openfolder&amp;siteaddress=FAM.docvelocity-na8.net&amp;folderid=FX21B50A41-C6F3-681E-210E-0BBC4BD0D2AA","FX21017976")</f>
        <v>FX21017976</v>
      </c>
      <c r="F1568" t="s">
        <v>19</v>
      </c>
      <c r="G1568" t="s">
        <v>19</v>
      </c>
      <c r="H1568" t="s">
        <v>82</v>
      </c>
      <c r="I1568" t="s">
        <v>3882</v>
      </c>
      <c r="J1568">
        <v>357</v>
      </c>
      <c r="K1568" t="s">
        <v>84</v>
      </c>
      <c r="L1568" t="s">
        <v>85</v>
      </c>
      <c r="M1568" t="s">
        <v>86</v>
      </c>
      <c r="N1568">
        <v>3</v>
      </c>
      <c r="O1568" s="1">
        <v>44215.379930555559</v>
      </c>
      <c r="P1568" s="1">
        <v>44215.473981481482</v>
      </c>
      <c r="Q1568">
        <v>849</v>
      </c>
      <c r="R1568">
        <v>7277</v>
      </c>
      <c r="S1568" t="b">
        <v>0</v>
      </c>
      <c r="T1568" t="s">
        <v>87</v>
      </c>
      <c r="U1568" t="b">
        <v>0</v>
      </c>
      <c r="V1568" t="s">
        <v>105</v>
      </c>
      <c r="W1568" s="1">
        <v>44215.447025462963</v>
      </c>
      <c r="X1568">
        <v>5535</v>
      </c>
      <c r="Y1568">
        <v>430</v>
      </c>
      <c r="Z1568">
        <v>0</v>
      </c>
      <c r="AA1568">
        <v>430</v>
      </c>
      <c r="AB1568">
        <v>0</v>
      </c>
      <c r="AC1568">
        <v>266</v>
      </c>
      <c r="AD1568">
        <v>-73</v>
      </c>
      <c r="AE1568">
        <v>0</v>
      </c>
      <c r="AF1568">
        <v>0</v>
      </c>
      <c r="AG1568">
        <v>0</v>
      </c>
      <c r="AH1568" t="s">
        <v>108</v>
      </c>
      <c r="AI1568" s="1">
        <v>44215.467557870368</v>
      </c>
      <c r="AJ1568">
        <v>1671</v>
      </c>
      <c r="AK1568">
        <v>27</v>
      </c>
      <c r="AL1568">
        <v>0</v>
      </c>
      <c r="AM1568">
        <v>27</v>
      </c>
      <c r="AN1568">
        <v>0</v>
      </c>
      <c r="AO1568">
        <v>24</v>
      </c>
      <c r="AP1568">
        <v>-100</v>
      </c>
      <c r="AQ1568">
        <v>0</v>
      </c>
      <c r="AR1568">
        <v>0</v>
      </c>
      <c r="AS1568">
        <v>0</v>
      </c>
      <c r="AT1568" t="s">
        <v>90</v>
      </c>
      <c r="AU1568" s="1">
        <v>44215.473981481482</v>
      </c>
      <c r="AV1568">
        <v>71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-100</v>
      </c>
      <c r="BC1568">
        <v>0</v>
      </c>
      <c r="BD1568">
        <v>0</v>
      </c>
      <c r="BE1568">
        <v>0</v>
      </c>
    </row>
    <row r="1569" spans="1:57" x14ac:dyDescent="0.45">
      <c r="A1569" t="s">
        <v>3883</v>
      </c>
      <c r="B1569" t="s">
        <v>79</v>
      </c>
      <c r="C1569" t="s">
        <v>3151</v>
      </c>
      <c r="D1569" t="s">
        <v>81</v>
      </c>
      <c r="E1569" s="2" t="str">
        <f>HYPERLINK("capsilon://?command=openfolder&amp;siteaddress=FAM.docvelocity-na8.net&amp;folderid=FX840F6609-675B-58D2-037C-F45A9631873A","FX201221281")</f>
        <v>FX201221281</v>
      </c>
      <c r="F1569" t="s">
        <v>19</v>
      </c>
      <c r="G1569" t="s">
        <v>19</v>
      </c>
      <c r="H1569" t="s">
        <v>82</v>
      </c>
      <c r="I1569" t="s">
        <v>3884</v>
      </c>
      <c r="J1569">
        <v>38</v>
      </c>
      <c r="K1569" t="s">
        <v>84</v>
      </c>
      <c r="L1569" t="s">
        <v>85</v>
      </c>
      <c r="M1569" t="s">
        <v>86</v>
      </c>
      <c r="N1569">
        <v>3</v>
      </c>
      <c r="O1569" s="1">
        <v>44215.380497685182</v>
      </c>
      <c r="P1569" s="1">
        <v>44215.438668981478</v>
      </c>
      <c r="Q1569">
        <v>3414</v>
      </c>
      <c r="R1569">
        <v>1612</v>
      </c>
      <c r="S1569" t="b">
        <v>0</v>
      </c>
      <c r="T1569" t="s">
        <v>87</v>
      </c>
      <c r="U1569" t="b">
        <v>0</v>
      </c>
      <c r="V1569" t="s">
        <v>112</v>
      </c>
      <c r="W1569" s="1">
        <v>44215.401759259257</v>
      </c>
      <c r="X1569">
        <v>1382</v>
      </c>
      <c r="Y1569">
        <v>37</v>
      </c>
      <c r="Z1569">
        <v>0</v>
      </c>
      <c r="AA1569">
        <v>37</v>
      </c>
      <c r="AB1569">
        <v>0</v>
      </c>
      <c r="AC1569">
        <v>23</v>
      </c>
      <c r="AD1569">
        <v>1</v>
      </c>
      <c r="AE1569">
        <v>0</v>
      </c>
      <c r="AF1569">
        <v>0</v>
      </c>
      <c r="AG1569">
        <v>0</v>
      </c>
      <c r="AH1569" t="s">
        <v>108</v>
      </c>
      <c r="AI1569" s="1">
        <v>44215.419305555559</v>
      </c>
      <c r="AJ1569">
        <v>183</v>
      </c>
      <c r="AK1569">
        <v>4</v>
      </c>
      <c r="AL1569">
        <v>0</v>
      </c>
      <c r="AM1569">
        <v>4</v>
      </c>
      <c r="AN1569">
        <v>0</v>
      </c>
      <c r="AO1569">
        <v>2</v>
      </c>
      <c r="AP1569">
        <v>-3</v>
      </c>
      <c r="AQ1569">
        <v>0</v>
      </c>
      <c r="AR1569">
        <v>0</v>
      </c>
      <c r="AS1569">
        <v>0</v>
      </c>
      <c r="AT1569" t="s">
        <v>90</v>
      </c>
      <c r="AU1569" s="1">
        <v>44215.438668981478</v>
      </c>
      <c r="AV1569">
        <v>42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-3</v>
      </c>
      <c r="BC1569">
        <v>0</v>
      </c>
      <c r="BD1569">
        <v>0</v>
      </c>
      <c r="BE1569">
        <v>0</v>
      </c>
    </row>
    <row r="1570" spans="1:57" hidden="1" x14ac:dyDescent="0.45">
      <c r="A1570" t="s">
        <v>3885</v>
      </c>
      <c r="B1570" t="s">
        <v>79</v>
      </c>
      <c r="C1570" t="s">
        <v>3886</v>
      </c>
      <c r="D1570" t="s">
        <v>81</v>
      </c>
      <c r="E1570" s="2" t="str">
        <f>HYPERLINK("capsilon://?command=openfolder&amp;siteaddress=FAM.docvelocity-na8.net&amp;folderid=FX11CA4EB6-513B-30D5-FA48-D0D75921E475","FX20124980")</f>
        <v>FX20124980</v>
      </c>
      <c r="F1570" t="s">
        <v>19</v>
      </c>
      <c r="G1570" t="s">
        <v>19</v>
      </c>
      <c r="H1570" t="s">
        <v>82</v>
      </c>
      <c r="I1570" t="s">
        <v>3887</v>
      </c>
      <c r="J1570">
        <v>66</v>
      </c>
      <c r="K1570" t="s">
        <v>84</v>
      </c>
      <c r="L1570" t="s">
        <v>85</v>
      </c>
      <c r="M1570" t="s">
        <v>86</v>
      </c>
      <c r="N1570">
        <v>1</v>
      </c>
      <c r="O1570" s="1">
        <v>44215.398495370369</v>
      </c>
      <c r="P1570" s="1">
        <v>44215.400497685187</v>
      </c>
      <c r="Q1570">
        <v>1</v>
      </c>
      <c r="R1570">
        <v>172</v>
      </c>
      <c r="S1570" t="b">
        <v>0</v>
      </c>
      <c r="T1570" t="s">
        <v>87</v>
      </c>
      <c r="U1570" t="b">
        <v>0</v>
      </c>
      <c r="V1570" t="s">
        <v>98</v>
      </c>
      <c r="W1570" s="1">
        <v>44215.400497685187</v>
      </c>
      <c r="X1570">
        <v>172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66</v>
      </c>
      <c r="AE1570">
        <v>52</v>
      </c>
      <c r="AF1570">
        <v>0</v>
      </c>
      <c r="AG1570">
        <v>1</v>
      </c>
      <c r="AH1570" t="s">
        <v>87</v>
      </c>
      <c r="AI1570" t="s">
        <v>87</v>
      </c>
      <c r="AJ1570" t="s">
        <v>87</v>
      </c>
      <c r="AK1570" t="s">
        <v>87</v>
      </c>
      <c r="AL1570" t="s">
        <v>87</v>
      </c>
      <c r="AM1570" t="s">
        <v>87</v>
      </c>
      <c r="AN1570" t="s">
        <v>87</v>
      </c>
      <c r="AO1570" t="s">
        <v>87</v>
      </c>
      <c r="AP1570" t="s">
        <v>87</v>
      </c>
      <c r="AQ1570" t="s">
        <v>87</v>
      </c>
      <c r="AR1570" t="s">
        <v>87</v>
      </c>
      <c r="AS1570" t="s">
        <v>87</v>
      </c>
      <c r="AT1570" t="s">
        <v>87</v>
      </c>
      <c r="AU1570" t="s">
        <v>87</v>
      </c>
      <c r="AV1570" t="s">
        <v>87</v>
      </c>
      <c r="AW1570" t="s">
        <v>87</v>
      </c>
      <c r="AX1570" t="s">
        <v>87</v>
      </c>
      <c r="AY1570" t="s">
        <v>87</v>
      </c>
      <c r="AZ1570" t="s">
        <v>87</v>
      </c>
      <c r="BA1570" t="s">
        <v>87</v>
      </c>
      <c r="BB1570" t="s">
        <v>87</v>
      </c>
      <c r="BC1570" t="s">
        <v>87</v>
      </c>
      <c r="BD1570" t="s">
        <v>87</v>
      </c>
      <c r="BE1570" t="s">
        <v>87</v>
      </c>
    </row>
    <row r="1571" spans="1:57" x14ac:dyDescent="0.45">
      <c r="A1571" t="s">
        <v>3888</v>
      </c>
      <c r="B1571" t="s">
        <v>79</v>
      </c>
      <c r="C1571" t="s">
        <v>3889</v>
      </c>
      <c r="D1571" t="s">
        <v>81</v>
      </c>
      <c r="E1571" s="2" t="str">
        <f>HYPERLINK("capsilon://?command=openfolder&amp;siteaddress=FAM.docvelocity-na8.net&amp;folderid=FX33D7BF4E-4528-E472-CDBA-CB50F25CAA7E","FX201229313")</f>
        <v>FX201229313</v>
      </c>
      <c r="F1571" t="s">
        <v>19</v>
      </c>
      <c r="G1571" t="s">
        <v>19</v>
      </c>
      <c r="H1571" t="s">
        <v>82</v>
      </c>
      <c r="I1571" t="s">
        <v>3890</v>
      </c>
      <c r="J1571">
        <v>66</v>
      </c>
      <c r="K1571" t="s">
        <v>84</v>
      </c>
      <c r="L1571" t="s">
        <v>85</v>
      </c>
      <c r="M1571" t="s">
        <v>86</v>
      </c>
      <c r="N1571">
        <v>3</v>
      </c>
      <c r="O1571" s="1">
        <v>44215.400370370371</v>
      </c>
      <c r="P1571" s="1">
        <v>44215.442430555559</v>
      </c>
      <c r="Q1571">
        <v>2650</v>
      </c>
      <c r="R1571">
        <v>984</v>
      </c>
      <c r="S1571" t="b">
        <v>0</v>
      </c>
      <c r="T1571" t="s">
        <v>87</v>
      </c>
      <c r="U1571" t="b">
        <v>0</v>
      </c>
      <c r="V1571" t="s">
        <v>98</v>
      </c>
      <c r="W1571" s="1">
        <v>44215.405543981484</v>
      </c>
      <c r="X1571">
        <v>435</v>
      </c>
      <c r="Y1571">
        <v>52</v>
      </c>
      <c r="Z1571">
        <v>0</v>
      </c>
      <c r="AA1571">
        <v>52</v>
      </c>
      <c r="AB1571">
        <v>0</v>
      </c>
      <c r="AC1571">
        <v>30</v>
      </c>
      <c r="AD1571">
        <v>14</v>
      </c>
      <c r="AE1571">
        <v>0</v>
      </c>
      <c r="AF1571">
        <v>0</v>
      </c>
      <c r="AG1571">
        <v>0</v>
      </c>
      <c r="AH1571" t="s">
        <v>108</v>
      </c>
      <c r="AI1571" s="1">
        <v>44215.421909722223</v>
      </c>
      <c r="AJ1571">
        <v>224</v>
      </c>
      <c r="AK1571">
        <v>2</v>
      </c>
      <c r="AL1571">
        <v>0</v>
      </c>
      <c r="AM1571">
        <v>2</v>
      </c>
      <c r="AN1571">
        <v>0</v>
      </c>
      <c r="AO1571">
        <v>1</v>
      </c>
      <c r="AP1571">
        <v>12</v>
      </c>
      <c r="AQ1571">
        <v>0</v>
      </c>
      <c r="AR1571">
        <v>0</v>
      </c>
      <c r="AS1571">
        <v>0</v>
      </c>
      <c r="AT1571" t="s">
        <v>90</v>
      </c>
      <c r="AU1571" s="1">
        <v>44215.442430555559</v>
      </c>
      <c r="AV1571">
        <v>325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12</v>
      </c>
      <c r="BC1571">
        <v>0</v>
      </c>
      <c r="BD1571">
        <v>0</v>
      </c>
      <c r="BE1571">
        <v>0</v>
      </c>
    </row>
    <row r="1572" spans="1:57" x14ac:dyDescent="0.45">
      <c r="A1572" t="s">
        <v>3891</v>
      </c>
      <c r="B1572" t="s">
        <v>79</v>
      </c>
      <c r="C1572" t="s">
        <v>3886</v>
      </c>
      <c r="D1572" t="s">
        <v>81</v>
      </c>
      <c r="E1572" s="2" t="str">
        <f>HYPERLINK("capsilon://?command=openfolder&amp;siteaddress=FAM.docvelocity-na8.net&amp;folderid=FX11CA4EB6-513B-30D5-FA48-D0D75921E475","FX20124980")</f>
        <v>FX20124980</v>
      </c>
      <c r="F1572" t="s">
        <v>19</v>
      </c>
      <c r="G1572" t="s">
        <v>19</v>
      </c>
      <c r="H1572" t="s">
        <v>82</v>
      </c>
      <c r="I1572" t="s">
        <v>3887</v>
      </c>
      <c r="J1572">
        <v>38</v>
      </c>
      <c r="K1572" t="s">
        <v>84</v>
      </c>
      <c r="L1572" t="s">
        <v>85</v>
      </c>
      <c r="M1572" t="s">
        <v>86</v>
      </c>
      <c r="N1572">
        <v>3</v>
      </c>
      <c r="O1572" s="1">
        <v>44215.400763888887</v>
      </c>
      <c r="P1572" s="1">
        <v>44215.437615740739</v>
      </c>
      <c r="Q1572">
        <v>2391</v>
      </c>
      <c r="R1572">
        <v>793</v>
      </c>
      <c r="S1572" t="b">
        <v>0</v>
      </c>
      <c r="T1572" t="s">
        <v>87</v>
      </c>
      <c r="U1572" t="b">
        <v>1</v>
      </c>
      <c r="V1572" t="s">
        <v>112</v>
      </c>
      <c r="W1572" s="1">
        <v>44215.40865740741</v>
      </c>
      <c r="X1572">
        <v>595</v>
      </c>
      <c r="Y1572">
        <v>37</v>
      </c>
      <c r="Z1572">
        <v>0</v>
      </c>
      <c r="AA1572">
        <v>37</v>
      </c>
      <c r="AB1572">
        <v>0</v>
      </c>
      <c r="AC1572">
        <v>13</v>
      </c>
      <c r="AD1572">
        <v>1</v>
      </c>
      <c r="AE1572">
        <v>0</v>
      </c>
      <c r="AF1572">
        <v>0</v>
      </c>
      <c r="AG1572">
        <v>0</v>
      </c>
      <c r="AH1572" t="s">
        <v>94</v>
      </c>
      <c r="AI1572" s="1">
        <v>44215.412939814814</v>
      </c>
      <c r="AJ1572">
        <v>142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 t="s">
        <v>90</v>
      </c>
      <c r="AU1572" s="1">
        <v>44215.437615740739</v>
      </c>
      <c r="AV1572">
        <v>6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</row>
    <row r="1573" spans="1:57" x14ac:dyDescent="0.45">
      <c r="A1573" t="s">
        <v>3892</v>
      </c>
      <c r="B1573" t="s">
        <v>79</v>
      </c>
      <c r="C1573" t="s">
        <v>3723</v>
      </c>
      <c r="D1573" t="s">
        <v>81</v>
      </c>
      <c r="E1573" s="2" t="str">
        <f>HYPERLINK("capsilon://?command=openfolder&amp;siteaddress=FAM.docvelocity-na8.net&amp;folderid=FXB87C62A1-73C3-3652-844B-6F8AFD2EDEE6","FX21016268")</f>
        <v>FX21016268</v>
      </c>
      <c r="F1573" t="s">
        <v>19</v>
      </c>
      <c r="G1573" t="s">
        <v>19</v>
      </c>
      <c r="H1573" t="s">
        <v>82</v>
      </c>
      <c r="I1573" t="s">
        <v>3893</v>
      </c>
      <c r="J1573">
        <v>66</v>
      </c>
      <c r="K1573" t="s">
        <v>84</v>
      </c>
      <c r="L1573" t="s">
        <v>85</v>
      </c>
      <c r="M1573" t="s">
        <v>86</v>
      </c>
      <c r="N1573">
        <v>3</v>
      </c>
      <c r="O1573" s="1">
        <v>44215.401064814818</v>
      </c>
      <c r="P1573" s="1">
        <v>44215.442523148151</v>
      </c>
      <c r="Q1573">
        <v>1839</v>
      </c>
      <c r="R1573">
        <v>1743</v>
      </c>
      <c r="S1573" t="b">
        <v>0</v>
      </c>
      <c r="T1573" t="s">
        <v>87</v>
      </c>
      <c r="U1573" t="b">
        <v>0</v>
      </c>
      <c r="V1573" t="s">
        <v>88</v>
      </c>
      <c r="W1573" s="1">
        <v>44215.411099537036</v>
      </c>
      <c r="X1573">
        <v>699</v>
      </c>
      <c r="Y1573">
        <v>52</v>
      </c>
      <c r="Z1573">
        <v>0</v>
      </c>
      <c r="AA1573">
        <v>52</v>
      </c>
      <c r="AB1573">
        <v>0</v>
      </c>
      <c r="AC1573">
        <v>37</v>
      </c>
      <c r="AD1573">
        <v>14</v>
      </c>
      <c r="AE1573">
        <v>0</v>
      </c>
      <c r="AF1573">
        <v>0</v>
      </c>
      <c r="AG1573">
        <v>0</v>
      </c>
      <c r="AH1573" t="s">
        <v>94</v>
      </c>
      <c r="AI1573" s="1">
        <v>44215.431388888886</v>
      </c>
      <c r="AJ1573">
        <v>1037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14</v>
      </c>
      <c r="AQ1573">
        <v>0</v>
      </c>
      <c r="AR1573">
        <v>0</v>
      </c>
      <c r="AS1573">
        <v>0</v>
      </c>
      <c r="AT1573" t="s">
        <v>90</v>
      </c>
      <c r="AU1573" s="1">
        <v>44215.442523148151</v>
      </c>
      <c r="AV1573">
        <v>7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14</v>
      </c>
      <c r="BC1573">
        <v>0</v>
      </c>
      <c r="BD1573">
        <v>0</v>
      </c>
      <c r="BE1573">
        <v>0</v>
      </c>
    </row>
    <row r="1574" spans="1:57" x14ac:dyDescent="0.45">
      <c r="A1574" t="s">
        <v>3894</v>
      </c>
      <c r="B1574" t="s">
        <v>79</v>
      </c>
      <c r="C1574" t="s">
        <v>2911</v>
      </c>
      <c r="D1574" t="s">
        <v>81</v>
      </c>
      <c r="E1574" s="2" t="str">
        <f>HYPERLINK("capsilon://?command=openfolder&amp;siteaddress=FAM.docvelocity-na8.net&amp;folderid=FX6DC256AE-1FD5-0E4E-F0A7-04055D38A6FD","FX201220558")</f>
        <v>FX201220558</v>
      </c>
      <c r="F1574" t="s">
        <v>19</v>
      </c>
      <c r="G1574" t="s">
        <v>19</v>
      </c>
      <c r="H1574" t="s">
        <v>82</v>
      </c>
      <c r="I1574" t="s">
        <v>3895</v>
      </c>
      <c r="J1574">
        <v>66</v>
      </c>
      <c r="K1574" t="s">
        <v>84</v>
      </c>
      <c r="L1574" t="s">
        <v>85</v>
      </c>
      <c r="M1574" t="s">
        <v>86</v>
      </c>
      <c r="N1574">
        <v>3</v>
      </c>
      <c r="O1574" s="1">
        <v>44215.407627314817</v>
      </c>
      <c r="P1574" s="1">
        <v>44215.44259259259</v>
      </c>
      <c r="Q1574">
        <v>2366</v>
      </c>
      <c r="R1574">
        <v>655</v>
      </c>
      <c r="S1574" t="b">
        <v>0</v>
      </c>
      <c r="T1574" t="s">
        <v>87</v>
      </c>
      <c r="U1574" t="b">
        <v>0</v>
      </c>
      <c r="V1574" t="s">
        <v>98</v>
      </c>
      <c r="W1574" s="1">
        <v>44215.412280092591</v>
      </c>
      <c r="X1574">
        <v>401</v>
      </c>
      <c r="Y1574">
        <v>52</v>
      </c>
      <c r="Z1574">
        <v>0</v>
      </c>
      <c r="AA1574">
        <v>52</v>
      </c>
      <c r="AB1574">
        <v>0</v>
      </c>
      <c r="AC1574">
        <v>28</v>
      </c>
      <c r="AD1574">
        <v>14</v>
      </c>
      <c r="AE1574">
        <v>0</v>
      </c>
      <c r="AF1574">
        <v>0</v>
      </c>
      <c r="AG1574">
        <v>0</v>
      </c>
      <c r="AH1574" t="s">
        <v>108</v>
      </c>
      <c r="AI1574" s="1">
        <v>44215.424780092595</v>
      </c>
      <c r="AJ1574">
        <v>248</v>
      </c>
      <c r="AK1574">
        <v>2</v>
      </c>
      <c r="AL1574">
        <v>0</v>
      </c>
      <c r="AM1574">
        <v>2</v>
      </c>
      <c r="AN1574">
        <v>0</v>
      </c>
      <c r="AO1574">
        <v>0</v>
      </c>
      <c r="AP1574">
        <v>12</v>
      </c>
      <c r="AQ1574">
        <v>0</v>
      </c>
      <c r="AR1574">
        <v>0</v>
      </c>
      <c r="AS1574">
        <v>0</v>
      </c>
      <c r="AT1574" t="s">
        <v>90</v>
      </c>
      <c r="AU1574" s="1">
        <v>44215.44259259259</v>
      </c>
      <c r="AV1574">
        <v>6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12</v>
      </c>
      <c r="BC1574">
        <v>0</v>
      </c>
      <c r="BD1574">
        <v>0</v>
      </c>
      <c r="BE1574">
        <v>0</v>
      </c>
    </row>
    <row r="1575" spans="1:57" x14ac:dyDescent="0.45">
      <c r="A1575" t="s">
        <v>3896</v>
      </c>
      <c r="B1575" t="s">
        <v>79</v>
      </c>
      <c r="C1575" t="s">
        <v>1060</v>
      </c>
      <c r="D1575" t="s">
        <v>81</v>
      </c>
      <c r="E1575" s="2" t="str">
        <f>HYPERLINK("capsilon://?command=openfolder&amp;siteaddress=FAM.docvelocity-na8.net&amp;folderid=FX70D3D9B0-BFEE-4B16-1D27-04252D87A9F2","FX21011782")</f>
        <v>FX21011782</v>
      </c>
      <c r="F1575" t="s">
        <v>19</v>
      </c>
      <c r="G1575" t="s">
        <v>19</v>
      </c>
      <c r="H1575" t="s">
        <v>82</v>
      </c>
      <c r="I1575" t="s">
        <v>3897</v>
      </c>
      <c r="J1575">
        <v>38</v>
      </c>
      <c r="K1575" t="s">
        <v>84</v>
      </c>
      <c r="L1575" t="s">
        <v>85</v>
      </c>
      <c r="M1575" t="s">
        <v>86</v>
      </c>
      <c r="N1575">
        <v>3</v>
      </c>
      <c r="O1575" s="1">
        <v>44215.411932870367</v>
      </c>
      <c r="P1575" s="1">
        <v>44215.442685185182</v>
      </c>
      <c r="Q1575">
        <v>1522</v>
      </c>
      <c r="R1575">
        <v>1135</v>
      </c>
      <c r="S1575" t="b">
        <v>0</v>
      </c>
      <c r="T1575" t="s">
        <v>87</v>
      </c>
      <c r="U1575" t="b">
        <v>0</v>
      </c>
      <c r="V1575" t="s">
        <v>98</v>
      </c>
      <c r="W1575" s="1">
        <v>44215.423587962963</v>
      </c>
      <c r="X1575">
        <v>976</v>
      </c>
      <c r="Y1575">
        <v>37</v>
      </c>
      <c r="Z1575">
        <v>0</v>
      </c>
      <c r="AA1575">
        <v>37</v>
      </c>
      <c r="AB1575">
        <v>0</v>
      </c>
      <c r="AC1575">
        <v>21</v>
      </c>
      <c r="AD1575">
        <v>1</v>
      </c>
      <c r="AE1575">
        <v>0</v>
      </c>
      <c r="AF1575">
        <v>0</v>
      </c>
      <c r="AG1575">
        <v>0</v>
      </c>
      <c r="AH1575" t="s">
        <v>108</v>
      </c>
      <c r="AI1575" s="1">
        <v>44215.428993055553</v>
      </c>
      <c r="AJ1575">
        <v>152</v>
      </c>
      <c r="AK1575">
        <v>2</v>
      </c>
      <c r="AL1575">
        <v>0</v>
      </c>
      <c r="AM1575">
        <v>2</v>
      </c>
      <c r="AN1575">
        <v>0</v>
      </c>
      <c r="AO1575">
        <v>0</v>
      </c>
      <c r="AP1575">
        <v>-1</v>
      </c>
      <c r="AQ1575">
        <v>0</v>
      </c>
      <c r="AR1575">
        <v>0</v>
      </c>
      <c r="AS1575">
        <v>0</v>
      </c>
      <c r="AT1575" t="s">
        <v>90</v>
      </c>
      <c r="AU1575" s="1">
        <v>44215.442685185182</v>
      </c>
      <c r="AV1575">
        <v>7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-1</v>
      </c>
      <c r="BC1575">
        <v>0</v>
      </c>
      <c r="BD1575">
        <v>0</v>
      </c>
      <c r="BE1575">
        <v>0</v>
      </c>
    </row>
    <row r="1576" spans="1:57" hidden="1" x14ac:dyDescent="0.45">
      <c r="A1576" t="s">
        <v>3898</v>
      </c>
      <c r="B1576" t="s">
        <v>79</v>
      </c>
      <c r="C1576" t="s">
        <v>3899</v>
      </c>
      <c r="D1576" t="s">
        <v>81</v>
      </c>
      <c r="E1576" s="2" t="str">
        <f>HYPERLINK("capsilon://?command=openfolder&amp;siteaddress=FAM.docvelocity-na8.net&amp;folderid=FX4DB9D35D-0064-4D99-FC0F-35BDA6B29119","FX20127893")</f>
        <v>FX20127893</v>
      </c>
      <c r="F1576" t="s">
        <v>19</v>
      </c>
      <c r="G1576" t="s">
        <v>19</v>
      </c>
      <c r="H1576" t="s">
        <v>82</v>
      </c>
      <c r="I1576" t="s">
        <v>3900</v>
      </c>
      <c r="J1576">
        <v>66</v>
      </c>
      <c r="K1576" t="s">
        <v>84</v>
      </c>
      <c r="L1576" t="s">
        <v>85</v>
      </c>
      <c r="M1576" t="s">
        <v>86</v>
      </c>
      <c r="N1576">
        <v>1</v>
      </c>
      <c r="O1576" s="1">
        <v>44215.413194444445</v>
      </c>
      <c r="P1576" s="1">
        <v>44215.415671296294</v>
      </c>
      <c r="Q1576">
        <v>33</v>
      </c>
      <c r="R1576">
        <v>181</v>
      </c>
      <c r="S1576" t="b">
        <v>0</v>
      </c>
      <c r="T1576" t="s">
        <v>87</v>
      </c>
      <c r="U1576" t="b">
        <v>0</v>
      </c>
      <c r="V1576" t="s">
        <v>88</v>
      </c>
      <c r="W1576" s="1">
        <v>44215.415671296294</v>
      </c>
      <c r="X1576">
        <v>181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66</v>
      </c>
      <c r="AE1576">
        <v>52</v>
      </c>
      <c r="AF1576">
        <v>0</v>
      </c>
      <c r="AG1576">
        <v>1</v>
      </c>
      <c r="AH1576" t="s">
        <v>87</v>
      </c>
      <c r="AI1576" t="s">
        <v>87</v>
      </c>
      <c r="AJ1576" t="s">
        <v>87</v>
      </c>
      <c r="AK1576" t="s">
        <v>87</v>
      </c>
      <c r="AL1576" t="s">
        <v>87</v>
      </c>
      <c r="AM1576" t="s">
        <v>87</v>
      </c>
      <c r="AN1576" t="s">
        <v>87</v>
      </c>
      <c r="AO1576" t="s">
        <v>87</v>
      </c>
      <c r="AP1576" t="s">
        <v>87</v>
      </c>
      <c r="AQ1576" t="s">
        <v>87</v>
      </c>
      <c r="AR1576" t="s">
        <v>87</v>
      </c>
      <c r="AS1576" t="s">
        <v>87</v>
      </c>
      <c r="AT1576" t="s">
        <v>87</v>
      </c>
      <c r="AU1576" t="s">
        <v>87</v>
      </c>
      <c r="AV1576" t="s">
        <v>87</v>
      </c>
      <c r="AW1576" t="s">
        <v>87</v>
      </c>
      <c r="AX1576" t="s">
        <v>87</v>
      </c>
      <c r="AY1576" t="s">
        <v>87</v>
      </c>
      <c r="AZ1576" t="s">
        <v>87</v>
      </c>
      <c r="BA1576" t="s">
        <v>87</v>
      </c>
      <c r="BB1576" t="s">
        <v>87</v>
      </c>
      <c r="BC1576" t="s">
        <v>87</v>
      </c>
      <c r="BD1576" t="s">
        <v>87</v>
      </c>
      <c r="BE1576" t="s">
        <v>87</v>
      </c>
    </row>
    <row r="1577" spans="1:57" hidden="1" x14ac:dyDescent="0.45">
      <c r="A1577" t="s">
        <v>3901</v>
      </c>
      <c r="B1577" t="s">
        <v>79</v>
      </c>
      <c r="C1577" t="s">
        <v>349</v>
      </c>
      <c r="D1577" t="s">
        <v>81</v>
      </c>
      <c r="E1577" s="2" t="str">
        <f>HYPERLINK("capsilon://?command=openfolder&amp;siteaddress=FAM.docvelocity-na8.net&amp;folderid=FX46C28C40-7299-63C9-BD02-FBF9B73D2FE5","FX20127220")</f>
        <v>FX20127220</v>
      </c>
      <c r="F1577" t="s">
        <v>19</v>
      </c>
      <c r="G1577" t="s">
        <v>19</v>
      </c>
      <c r="H1577" t="s">
        <v>82</v>
      </c>
      <c r="I1577" t="s">
        <v>3902</v>
      </c>
      <c r="J1577">
        <v>66</v>
      </c>
      <c r="K1577" t="s">
        <v>84</v>
      </c>
      <c r="L1577" t="s">
        <v>85</v>
      </c>
      <c r="M1577" t="s">
        <v>86</v>
      </c>
      <c r="N1577">
        <v>1</v>
      </c>
      <c r="O1577" s="1">
        <v>44215.4137962963</v>
      </c>
      <c r="P1577" s="1">
        <v>44215.416631944441</v>
      </c>
      <c r="Q1577">
        <v>163</v>
      </c>
      <c r="R1577">
        <v>82</v>
      </c>
      <c r="S1577" t="b">
        <v>0</v>
      </c>
      <c r="T1577" t="s">
        <v>87</v>
      </c>
      <c r="U1577" t="b">
        <v>0</v>
      </c>
      <c r="V1577" t="s">
        <v>88</v>
      </c>
      <c r="W1577" s="1">
        <v>44215.416631944441</v>
      </c>
      <c r="X1577">
        <v>82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66</v>
      </c>
      <c r="AE1577">
        <v>52</v>
      </c>
      <c r="AF1577">
        <v>0</v>
      </c>
      <c r="AG1577">
        <v>1</v>
      </c>
      <c r="AH1577" t="s">
        <v>87</v>
      </c>
      <c r="AI1577" t="s">
        <v>87</v>
      </c>
      <c r="AJ1577" t="s">
        <v>87</v>
      </c>
      <c r="AK1577" t="s">
        <v>87</v>
      </c>
      <c r="AL1577" t="s">
        <v>87</v>
      </c>
      <c r="AM1577" t="s">
        <v>87</v>
      </c>
      <c r="AN1577" t="s">
        <v>87</v>
      </c>
      <c r="AO1577" t="s">
        <v>87</v>
      </c>
      <c r="AP1577" t="s">
        <v>87</v>
      </c>
      <c r="AQ1577" t="s">
        <v>87</v>
      </c>
      <c r="AR1577" t="s">
        <v>87</v>
      </c>
      <c r="AS1577" t="s">
        <v>87</v>
      </c>
      <c r="AT1577" t="s">
        <v>87</v>
      </c>
      <c r="AU1577" t="s">
        <v>87</v>
      </c>
      <c r="AV1577" t="s">
        <v>87</v>
      </c>
      <c r="AW1577" t="s">
        <v>87</v>
      </c>
      <c r="AX1577" t="s">
        <v>87</v>
      </c>
      <c r="AY1577" t="s">
        <v>87</v>
      </c>
      <c r="AZ1577" t="s">
        <v>87</v>
      </c>
      <c r="BA1577" t="s">
        <v>87</v>
      </c>
      <c r="BB1577" t="s">
        <v>87</v>
      </c>
      <c r="BC1577" t="s">
        <v>87</v>
      </c>
      <c r="BD1577" t="s">
        <v>87</v>
      </c>
      <c r="BE1577" t="s">
        <v>87</v>
      </c>
    </row>
    <row r="1578" spans="1:57" x14ac:dyDescent="0.45">
      <c r="A1578" t="s">
        <v>3903</v>
      </c>
      <c r="B1578" t="s">
        <v>79</v>
      </c>
      <c r="C1578" t="s">
        <v>3899</v>
      </c>
      <c r="D1578" t="s">
        <v>81</v>
      </c>
      <c r="E1578" s="2" t="str">
        <f>HYPERLINK("capsilon://?command=openfolder&amp;siteaddress=FAM.docvelocity-na8.net&amp;folderid=FX4DB9D35D-0064-4D99-FC0F-35BDA6B29119","FX20127893")</f>
        <v>FX20127893</v>
      </c>
      <c r="F1578" t="s">
        <v>19</v>
      </c>
      <c r="G1578" t="s">
        <v>19</v>
      </c>
      <c r="H1578" t="s">
        <v>82</v>
      </c>
      <c r="I1578" t="s">
        <v>3900</v>
      </c>
      <c r="J1578">
        <v>38</v>
      </c>
      <c r="K1578" t="s">
        <v>84</v>
      </c>
      <c r="L1578" t="s">
        <v>85</v>
      </c>
      <c r="M1578" t="s">
        <v>86</v>
      </c>
      <c r="N1578">
        <v>3</v>
      </c>
      <c r="O1578" s="1">
        <v>44215.416087962964</v>
      </c>
      <c r="P1578" s="1">
        <v>44215.437685185185</v>
      </c>
      <c r="Q1578">
        <v>950</v>
      </c>
      <c r="R1578">
        <v>916</v>
      </c>
      <c r="S1578" t="b">
        <v>0</v>
      </c>
      <c r="T1578" t="s">
        <v>87</v>
      </c>
      <c r="U1578" t="b">
        <v>1</v>
      </c>
      <c r="V1578" t="s">
        <v>88</v>
      </c>
      <c r="W1578" s="1">
        <v>44215.424745370372</v>
      </c>
      <c r="X1578">
        <v>700</v>
      </c>
      <c r="Y1578">
        <v>37</v>
      </c>
      <c r="Z1578">
        <v>0</v>
      </c>
      <c r="AA1578">
        <v>37</v>
      </c>
      <c r="AB1578">
        <v>0</v>
      </c>
      <c r="AC1578">
        <v>33</v>
      </c>
      <c r="AD1578">
        <v>1</v>
      </c>
      <c r="AE1578">
        <v>0</v>
      </c>
      <c r="AF1578">
        <v>0</v>
      </c>
      <c r="AG1578">
        <v>0</v>
      </c>
      <c r="AH1578" t="s">
        <v>108</v>
      </c>
      <c r="AI1578" s="1">
        <v>44215.427222222221</v>
      </c>
      <c r="AJ1578">
        <v>210</v>
      </c>
      <c r="AK1578">
        <v>2</v>
      </c>
      <c r="AL1578">
        <v>0</v>
      </c>
      <c r="AM1578">
        <v>2</v>
      </c>
      <c r="AN1578">
        <v>0</v>
      </c>
      <c r="AO1578">
        <v>0</v>
      </c>
      <c r="AP1578">
        <v>-1</v>
      </c>
      <c r="AQ1578">
        <v>0</v>
      </c>
      <c r="AR1578">
        <v>0</v>
      </c>
      <c r="AS1578">
        <v>0</v>
      </c>
      <c r="AT1578" t="s">
        <v>90</v>
      </c>
      <c r="AU1578" s="1">
        <v>44215.437685185185</v>
      </c>
      <c r="AV1578">
        <v>6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-1</v>
      </c>
      <c r="BC1578">
        <v>0</v>
      </c>
      <c r="BD1578">
        <v>0</v>
      </c>
      <c r="BE1578">
        <v>0</v>
      </c>
    </row>
    <row r="1579" spans="1:57" x14ac:dyDescent="0.45">
      <c r="A1579" t="s">
        <v>3904</v>
      </c>
      <c r="B1579" t="s">
        <v>79</v>
      </c>
      <c r="C1579" t="s">
        <v>349</v>
      </c>
      <c r="D1579" t="s">
        <v>81</v>
      </c>
      <c r="E1579" s="2" t="str">
        <f>HYPERLINK("capsilon://?command=openfolder&amp;siteaddress=FAM.docvelocity-na8.net&amp;folderid=FX46C28C40-7299-63C9-BD02-FBF9B73D2FE5","FX20127220")</f>
        <v>FX20127220</v>
      </c>
      <c r="F1579" t="s">
        <v>19</v>
      </c>
      <c r="G1579" t="s">
        <v>19</v>
      </c>
      <c r="H1579" t="s">
        <v>82</v>
      </c>
      <c r="I1579" t="s">
        <v>3902</v>
      </c>
      <c r="J1579">
        <v>38</v>
      </c>
      <c r="K1579" t="s">
        <v>84</v>
      </c>
      <c r="L1579" t="s">
        <v>85</v>
      </c>
      <c r="M1579" t="s">
        <v>86</v>
      </c>
      <c r="N1579">
        <v>3</v>
      </c>
      <c r="O1579" s="1">
        <v>44215.416956018518</v>
      </c>
      <c r="P1579" s="1">
        <v>44215.45108796296</v>
      </c>
      <c r="Q1579">
        <v>1169</v>
      </c>
      <c r="R1579">
        <v>1780</v>
      </c>
      <c r="S1579" t="b">
        <v>0</v>
      </c>
      <c r="T1579" t="s">
        <v>87</v>
      </c>
      <c r="U1579" t="b">
        <v>1</v>
      </c>
      <c r="V1579" t="s">
        <v>112</v>
      </c>
      <c r="W1579" s="1">
        <v>44215.439016203702</v>
      </c>
      <c r="X1579">
        <v>1392</v>
      </c>
      <c r="Y1579">
        <v>37</v>
      </c>
      <c r="Z1579">
        <v>0</v>
      </c>
      <c r="AA1579">
        <v>37</v>
      </c>
      <c r="AB1579">
        <v>0</v>
      </c>
      <c r="AC1579">
        <v>23</v>
      </c>
      <c r="AD1579">
        <v>1</v>
      </c>
      <c r="AE1579">
        <v>0</v>
      </c>
      <c r="AF1579">
        <v>0</v>
      </c>
      <c r="AG1579">
        <v>0</v>
      </c>
      <c r="AH1579" t="s">
        <v>94</v>
      </c>
      <c r="AI1579" s="1">
        <v>44215.44798611111</v>
      </c>
      <c r="AJ1579">
        <v>383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 t="s">
        <v>90</v>
      </c>
      <c r="AU1579" s="1">
        <v>44215.45108796296</v>
      </c>
      <c r="AV1579">
        <v>5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</row>
    <row r="1580" spans="1:57" x14ac:dyDescent="0.45">
      <c r="A1580" t="s">
        <v>3905</v>
      </c>
      <c r="B1580" t="s">
        <v>79</v>
      </c>
      <c r="C1580" t="s">
        <v>3906</v>
      </c>
      <c r="D1580" t="s">
        <v>81</v>
      </c>
      <c r="E1580" s="2" t="str">
        <f>HYPERLINK("capsilon://?command=openfolder&amp;siteaddress=FAM.docvelocity-na8.net&amp;folderid=FX87DB5245-2164-E399-48A2-989BD6B6EC5C","FX21019979")</f>
        <v>FX21019979</v>
      </c>
      <c r="F1580" t="s">
        <v>19</v>
      </c>
      <c r="G1580" t="s">
        <v>19</v>
      </c>
      <c r="H1580" t="s">
        <v>82</v>
      </c>
      <c r="I1580" t="s">
        <v>3907</v>
      </c>
      <c r="J1580">
        <v>302</v>
      </c>
      <c r="K1580" t="s">
        <v>84</v>
      </c>
      <c r="L1580" t="s">
        <v>85</v>
      </c>
      <c r="M1580" t="s">
        <v>86</v>
      </c>
      <c r="N1580">
        <v>3</v>
      </c>
      <c r="O1580" s="1">
        <v>44215.426076388889</v>
      </c>
      <c r="P1580" s="1">
        <v>44215.495925925927</v>
      </c>
      <c r="Q1580">
        <v>880</v>
      </c>
      <c r="R1580">
        <v>5155</v>
      </c>
      <c r="S1580" t="b">
        <v>0</v>
      </c>
      <c r="T1580" t="s">
        <v>87</v>
      </c>
      <c r="U1580" t="b">
        <v>0</v>
      </c>
      <c r="V1580" t="s">
        <v>98</v>
      </c>
      <c r="W1580" s="1">
        <v>44215.469560185185</v>
      </c>
      <c r="X1580">
        <v>3756</v>
      </c>
      <c r="Y1580">
        <v>295</v>
      </c>
      <c r="Z1580">
        <v>0</v>
      </c>
      <c r="AA1580">
        <v>295</v>
      </c>
      <c r="AB1580">
        <v>37</v>
      </c>
      <c r="AC1580">
        <v>178</v>
      </c>
      <c r="AD1580">
        <v>7</v>
      </c>
      <c r="AE1580">
        <v>0</v>
      </c>
      <c r="AF1580">
        <v>0</v>
      </c>
      <c r="AG1580">
        <v>0</v>
      </c>
      <c r="AH1580" t="s">
        <v>128</v>
      </c>
      <c r="AI1580" s="1">
        <v>44215.488807870373</v>
      </c>
      <c r="AJ1580">
        <v>1298</v>
      </c>
      <c r="AK1580">
        <v>3</v>
      </c>
      <c r="AL1580">
        <v>0</v>
      </c>
      <c r="AM1580">
        <v>3</v>
      </c>
      <c r="AN1580">
        <v>37</v>
      </c>
      <c r="AO1580">
        <v>3</v>
      </c>
      <c r="AP1580">
        <v>4</v>
      </c>
      <c r="AQ1580">
        <v>0</v>
      </c>
      <c r="AR1580">
        <v>0</v>
      </c>
      <c r="AS1580">
        <v>0</v>
      </c>
      <c r="AT1580" t="s">
        <v>90</v>
      </c>
      <c r="AU1580" s="1">
        <v>44215.495925925927</v>
      </c>
      <c r="AV1580">
        <v>23</v>
      </c>
      <c r="AW1580">
        <v>0</v>
      </c>
      <c r="AX1580">
        <v>0</v>
      </c>
      <c r="AY1580">
        <v>0</v>
      </c>
      <c r="AZ1580">
        <v>37</v>
      </c>
      <c r="BA1580">
        <v>0</v>
      </c>
      <c r="BB1580">
        <v>4</v>
      </c>
      <c r="BC1580">
        <v>0</v>
      </c>
      <c r="BD1580">
        <v>0</v>
      </c>
      <c r="BE1580">
        <v>0</v>
      </c>
    </row>
    <row r="1581" spans="1:57" hidden="1" x14ac:dyDescent="0.45">
      <c r="A1581" t="s">
        <v>3908</v>
      </c>
      <c r="B1581" t="s">
        <v>79</v>
      </c>
      <c r="C1581" t="s">
        <v>664</v>
      </c>
      <c r="D1581" t="s">
        <v>81</v>
      </c>
      <c r="E1581" s="2" t="str">
        <f>HYPERLINK("capsilon://?command=openfolder&amp;siteaddress=FAM.docvelocity-na8.net&amp;folderid=FX4939BCD1-56B6-E3F2-C139-B9240E65ECAB","FX20124482")</f>
        <v>FX20124482</v>
      </c>
      <c r="F1581" t="s">
        <v>19</v>
      </c>
      <c r="G1581" t="s">
        <v>19</v>
      </c>
      <c r="H1581" t="s">
        <v>82</v>
      </c>
      <c r="I1581" t="s">
        <v>3909</v>
      </c>
      <c r="J1581">
        <v>38</v>
      </c>
      <c r="K1581" t="s">
        <v>84</v>
      </c>
      <c r="L1581" t="s">
        <v>85</v>
      </c>
      <c r="M1581" t="s">
        <v>86</v>
      </c>
      <c r="N1581">
        <v>3</v>
      </c>
      <c r="O1581" s="1">
        <v>44215.431354166663</v>
      </c>
      <c r="P1581" s="1">
        <v>44215.474027777775</v>
      </c>
      <c r="Q1581">
        <v>3413</v>
      </c>
      <c r="R1581">
        <v>274</v>
      </c>
      <c r="S1581" t="b">
        <v>0</v>
      </c>
      <c r="T1581" t="s">
        <v>87</v>
      </c>
      <c r="U1581" t="b">
        <v>0</v>
      </c>
      <c r="V1581" t="s">
        <v>88</v>
      </c>
      <c r="W1581" s="1">
        <v>44215.433819444443</v>
      </c>
      <c r="X1581">
        <v>207</v>
      </c>
      <c r="Y1581">
        <v>0</v>
      </c>
      <c r="Z1581">
        <v>0</v>
      </c>
      <c r="AA1581">
        <v>0</v>
      </c>
      <c r="AB1581">
        <v>37</v>
      </c>
      <c r="AC1581">
        <v>0</v>
      </c>
      <c r="AD1581">
        <v>38</v>
      </c>
      <c r="AE1581">
        <v>0</v>
      </c>
      <c r="AF1581">
        <v>0</v>
      </c>
      <c r="AG1581">
        <v>0</v>
      </c>
      <c r="AH1581" t="s">
        <v>94</v>
      </c>
      <c r="AI1581" s="1">
        <v>44215.458425925928</v>
      </c>
      <c r="AJ1581">
        <v>64</v>
      </c>
      <c r="AK1581">
        <v>0</v>
      </c>
      <c r="AL1581">
        <v>0</v>
      </c>
      <c r="AM1581">
        <v>0</v>
      </c>
      <c r="AN1581">
        <v>37</v>
      </c>
      <c r="AO1581">
        <v>0</v>
      </c>
      <c r="AP1581">
        <v>38</v>
      </c>
      <c r="AQ1581">
        <v>0</v>
      </c>
      <c r="AR1581">
        <v>0</v>
      </c>
      <c r="AS1581">
        <v>0</v>
      </c>
      <c r="AT1581" t="s">
        <v>90</v>
      </c>
      <c r="AU1581" s="1">
        <v>44215.474027777775</v>
      </c>
      <c r="AV1581">
        <v>3</v>
      </c>
      <c r="AW1581">
        <v>0</v>
      </c>
      <c r="AX1581">
        <v>0</v>
      </c>
      <c r="AY1581">
        <v>0</v>
      </c>
      <c r="AZ1581">
        <v>37</v>
      </c>
      <c r="BA1581">
        <v>0</v>
      </c>
      <c r="BB1581">
        <v>38</v>
      </c>
      <c r="BC1581">
        <v>0</v>
      </c>
      <c r="BD1581">
        <v>0</v>
      </c>
      <c r="BE1581">
        <v>0</v>
      </c>
    </row>
    <row r="1582" spans="1:57" x14ac:dyDescent="0.45">
      <c r="A1582" t="s">
        <v>3910</v>
      </c>
      <c r="B1582" t="s">
        <v>79</v>
      </c>
      <c r="C1582" t="s">
        <v>3911</v>
      </c>
      <c r="D1582" t="s">
        <v>81</v>
      </c>
      <c r="E1582" s="2" t="str">
        <f>HYPERLINK("capsilon://?command=openfolder&amp;siteaddress=FAM.docvelocity-na8.net&amp;folderid=FXEFB93BC7-5084-49CD-A240-6277BBFA45E2","FX21019304")</f>
        <v>FX21019304</v>
      </c>
      <c r="F1582" t="s">
        <v>19</v>
      </c>
      <c r="G1582" t="s">
        <v>19</v>
      </c>
      <c r="H1582" t="s">
        <v>82</v>
      </c>
      <c r="I1582" t="s">
        <v>3912</v>
      </c>
      <c r="J1582">
        <v>136</v>
      </c>
      <c r="K1582" t="s">
        <v>84</v>
      </c>
      <c r="L1582" t="s">
        <v>85</v>
      </c>
      <c r="M1582" t="s">
        <v>86</v>
      </c>
      <c r="N1582">
        <v>3</v>
      </c>
      <c r="O1582" s="1">
        <v>44215.431956018518</v>
      </c>
      <c r="P1582" s="1">
        <v>44215.474340277775</v>
      </c>
      <c r="Q1582">
        <v>848</v>
      </c>
      <c r="R1582">
        <v>2814</v>
      </c>
      <c r="S1582" t="b">
        <v>0</v>
      </c>
      <c r="T1582" t="s">
        <v>87</v>
      </c>
      <c r="U1582" t="b">
        <v>0</v>
      </c>
      <c r="V1582" t="s">
        <v>419</v>
      </c>
      <c r="W1582" s="1">
        <v>44215.458541666667</v>
      </c>
      <c r="X1582">
        <v>2258</v>
      </c>
      <c r="Y1582">
        <v>146</v>
      </c>
      <c r="Z1582">
        <v>0</v>
      </c>
      <c r="AA1582">
        <v>146</v>
      </c>
      <c r="AB1582">
        <v>0</v>
      </c>
      <c r="AC1582">
        <v>74</v>
      </c>
      <c r="AD1582">
        <v>-10</v>
      </c>
      <c r="AE1582">
        <v>0</v>
      </c>
      <c r="AF1582">
        <v>0</v>
      </c>
      <c r="AG1582">
        <v>0</v>
      </c>
      <c r="AH1582" t="s">
        <v>128</v>
      </c>
      <c r="AI1582" s="1">
        <v>44215.468425925923</v>
      </c>
      <c r="AJ1582">
        <v>452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-10</v>
      </c>
      <c r="AQ1582">
        <v>0</v>
      </c>
      <c r="AR1582">
        <v>0</v>
      </c>
      <c r="AS1582">
        <v>0</v>
      </c>
      <c r="AT1582" t="s">
        <v>90</v>
      </c>
      <c r="AU1582" s="1">
        <v>44215.474340277775</v>
      </c>
      <c r="AV1582">
        <v>27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-10</v>
      </c>
      <c r="BC1582">
        <v>0</v>
      </c>
      <c r="BD1582">
        <v>0</v>
      </c>
      <c r="BE1582">
        <v>0</v>
      </c>
    </row>
    <row r="1583" spans="1:57" x14ac:dyDescent="0.45">
      <c r="A1583" t="s">
        <v>3913</v>
      </c>
      <c r="B1583" t="s">
        <v>79</v>
      </c>
      <c r="C1583" t="s">
        <v>3914</v>
      </c>
      <c r="D1583" t="s">
        <v>81</v>
      </c>
      <c r="E1583" s="2" t="str">
        <f>HYPERLINK("capsilon://?command=openfolder&amp;siteaddress=FAM.docvelocity-na8.net&amp;folderid=FX44DA1EE9-E281-32AC-CA55-C7451C6EE6E9","FX210110329")</f>
        <v>FX210110329</v>
      </c>
      <c r="F1583" t="s">
        <v>19</v>
      </c>
      <c r="G1583" t="s">
        <v>19</v>
      </c>
      <c r="H1583" t="s">
        <v>82</v>
      </c>
      <c r="I1583" t="s">
        <v>3915</v>
      </c>
      <c r="J1583">
        <v>269</v>
      </c>
      <c r="K1583" t="s">
        <v>84</v>
      </c>
      <c r="L1583" t="s">
        <v>85</v>
      </c>
      <c r="M1583" t="s">
        <v>86</v>
      </c>
      <c r="N1583">
        <v>3</v>
      </c>
      <c r="O1583" s="1">
        <v>44215.432951388888</v>
      </c>
      <c r="P1583" s="1">
        <v>44215.497164351851</v>
      </c>
      <c r="Q1583">
        <v>2735</v>
      </c>
      <c r="R1583">
        <v>2813</v>
      </c>
      <c r="S1583" t="b">
        <v>0</v>
      </c>
      <c r="T1583" t="s">
        <v>87</v>
      </c>
      <c r="U1583" t="b">
        <v>0</v>
      </c>
      <c r="V1583" t="s">
        <v>88</v>
      </c>
      <c r="W1583" s="1">
        <v>44215.460520833331</v>
      </c>
      <c r="X1583">
        <v>2306</v>
      </c>
      <c r="Y1583">
        <v>190</v>
      </c>
      <c r="Z1583">
        <v>0</v>
      </c>
      <c r="AA1583">
        <v>190</v>
      </c>
      <c r="AB1583">
        <v>0</v>
      </c>
      <c r="AC1583">
        <v>84</v>
      </c>
      <c r="AD1583">
        <v>79</v>
      </c>
      <c r="AE1583">
        <v>0</v>
      </c>
      <c r="AF1583">
        <v>0</v>
      </c>
      <c r="AG1583">
        <v>0</v>
      </c>
      <c r="AH1583" t="s">
        <v>128</v>
      </c>
      <c r="AI1583" s="1">
        <v>44215.492997685185</v>
      </c>
      <c r="AJ1583">
        <v>361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79</v>
      </c>
      <c r="AQ1583">
        <v>0</v>
      </c>
      <c r="AR1583">
        <v>0</v>
      </c>
      <c r="AS1583">
        <v>0</v>
      </c>
      <c r="AT1583" t="s">
        <v>90</v>
      </c>
      <c r="AU1583" s="1">
        <v>44215.497164351851</v>
      </c>
      <c r="AV1583">
        <v>107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79</v>
      </c>
      <c r="BC1583">
        <v>0</v>
      </c>
      <c r="BD1583">
        <v>0</v>
      </c>
      <c r="BE1583">
        <v>0</v>
      </c>
    </row>
    <row r="1584" spans="1:57" x14ac:dyDescent="0.45">
      <c r="A1584" t="s">
        <v>3916</v>
      </c>
      <c r="B1584" t="s">
        <v>79</v>
      </c>
      <c r="C1584" t="s">
        <v>3917</v>
      </c>
      <c r="D1584" t="s">
        <v>81</v>
      </c>
      <c r="E1584" s="2" t="str">
        <f>HYPERLINK("capsilon://?command=openfolder&amp;siteaddress=FAM.docvelocity-na8.net&amp;folderid=FXA2E3C9E3-673C-1FC7-6428-52B52F5AB3D9","FX210110888")</f>
        <v>FX210110888</v>
      </c>
      <c r="F1584" t="s">
        <v>19</v>
      </c>
      <c r="G1584" t="s">
        <v>19</v>
      </c>
      <c r="H1584" t="s">
        <v>82</v>
      </c>
      <c r="I1584" t="s">
        <v>3918</v>
      </c>
      <c r="J1584">
        <v>334</v>
      </c>
      <c r="K1584" t="s">
        <v>84</v>
      </c>
      <c r="L1584" t="s">
        <v>85</v>
      </c>
      <c r="M1584" t="s">
        <v>86</v>
      </c>
      <c r="N1584">
        <v>3</v>
      </c>
      <c r="O1584" s="1">
        <v>44215.43677083333</v>
      </c>
      <c r="P1584" s="1">
        <v>44215.543912037036</v>
      </c>
      <c r="Q1584">
        <v>345</v>
      </c>
      <c r="R1584">
        <v>8912</v>
      </c>
      <c r="S1584" t="b">
        <v>0</v>
      </c>
      <c r="T1584" t="s">
        <v>87</v>
      </c>
      <c r="U1584" t="b">
        <v>0</v>
      </c>
      <c r="V1584" t="s">
        <v>919</v>
      </c>
      <c r="W1584" s="1">
        <v>44215.514548611114</v>
      </c>
      <c r="X1584">
        <v>6582</v>
      </c>
      <c r="Y1584">
        <v>284</v>
      </c>
      <c r="Z1584">
        <v>0</v>
      </c>
      <c r="AA1584">
        <v>284</v>
      </c>
      <c r="AB1584">
        <v>0</v>
      </c>
      <c r="AC1584">
        <v>91</v>
      </c>
      <c r="AD1584">
        <v>50</v>
      </c>
      <c r="AE1584">
        <v>0</v>
      </c>
      <c r="AF1584">
        <v>0</v>
      </c>
      <c r="AG1584">
        <v>0</v>
      </c>
      <c r="AH1584" t="s">
        <v>267</v>
      </c>
      <c r="AI1584" s="1">
        <v>44215.543055555558</v>
      </c>
      <c r="AJ1584">
        <v>2301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50</v>
      </c>
      <c r="AQ1584">
        <v>0</v>
      </c>
      <c r="AR1584">
        <v>0</v>
      </c>
      <c r="AS1584">
        <v>0</v>
      </c>
      <c r="AT1584" t="s">
        <v>90</v>
      </c>
      <c r="AU1584" s="1">
        <v>44215.543912037036</v>
      </c>
      <c r="AV1584">
        <v>29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50</v>
      </c>
      <c r="BC1584">
        <v>0</v>
      </c>
      <c r="BD1584">
        <v>0</v>
      </c>
      <c r="BE1584">
        <v>0</v>
      </c>
    </row>
    <row r="1585" spans="1:57" x14ac:dyDescent="0.45">
      <c r="A1585" t="s">
        <v>3919</v>
      </c>
      <c r="B1585" t="s">
        <v>79</v>
      </c>
      <c r="C1585" t="s">
        <v>3920</v>
      </c>
      <c r="D1585" t="s">
        <v>81</v>
      </c>
      <c r="E1585" s="2" t="str">
        <f>HYPERLINK("capsilon://?command=openfolder&amp;siteaddress=FAM.docvelocity-na8.net&amp;folderid=FX47F2EF66-56A3-A5EA-DE0C-7173D82A2A9E","FX201229319")</f>
        <v>FX201229319</v>
      </c>
      <c r="F1585" t="s">
        <v>19</v>
      </c>
      <c r="G1585" t="s">
        <v>19</v>
      </c>
      <c r="H1585" t="s">
        <v>82</v>
      </c>
      <c r="I1585" t="s">
        <v>3921</v>
      </c>
      <c r="J1585">
        <v>224</v>
      </c>
      <c r="K1585" t="s">
        <v>84</v>
      </c>
      <c r="L1585" t="s">
        <v>85</v>
      </c>
      <c r="M1585" t="s">
        <v>86</v>
      </c>
      <c r="N1585">
        <v>3</v>
      </c>
      <c r="O1585" s="1">
        <v>44200.836111111108</v>
      </c>
      <c r="P1585" s="1">
        <v>44201.448657407411</v>
      </c>
      <c r="Q1585">
        <v>48248</v>
      </c>
      <c r="R1585">
        <v>4676</v>
      </c>
      <c r="S1585" t="b">
        <v>0</v>
      </c>
      <c r="T1585" t="s">
        <v>87</v>
      </c>
      <c r="U1585" t="b">
        <v>0</v>
      </c>
      <c r="V1585" t="s">
        <v>132</v>
      </c>
      <c r="W1585" s="1">
        <v>44200.999895833331</v>
      </c>
      <c r="X1585">
        <v>2715</v>
      </c>
      <c r="Y1585">
        <v>145</v>
      </c>
      <c r="Z1585">
        <v>0</v>
      </c>
      <c r="AA1585">
        <v>145</v>
      </c>
      <c r="AB1585">
        <v>39</v>
      </c>
      <c r="AC1585">
        <v>89</v>
      </c>
      <c r="AD1585">
        <v>79</v>
      </c>
      <c r="AE1585">
        <v>0</v>
      </c>
      <c r="AF1585">
        <v>0</v>
      </c>
      <c r="AG1585">
        <v>0</v>
      </c>
      <c r="AH1585" t="s">
        <v>89</v>
      </c>
      <c r="AI1585" s="1">
        <v>44201.317546296297</v>
      </c>
      <c r="AJ1585">
        <v>1204</v>
      </c>
      <c r="AK1585">
        <v>1</v>
      </c>
      <c r="AL1585">
        <v>0</v>
      </c>
      <c r="AM1585">
        <v>1</v>
      </c>
      <c r="AN1585">
        <v>39</v>
      </c>
      <c r="AO1585">
        <v>0</v>
      </c>
      <c r="AP1585">
        <v>78</v>
      </c>
      <c r="AQ1585">
        <v>0</v>
      </c>
      <c r="AR1585">
        <v>0</v>
      </c>
      <c r="AS1585">
        <v>0</v>
      </c>
      <c r="AT1585" t="s">
        <v>90</v>
      </c>
      <c r="AU1585" s="1">
        <v>44201.448657407411</v>
      </c>
      <c r="AV1585">
        <v>743</v>
      </c>
      <c r="AW1585">
        <v>0</v>
      </c>
      <c r="AX1585">
        <v>0</v>
      </c>
      <c r="AY1585">
        <v>0</v>
      </c>
      <c r="AZ1585">
        <v>39</v>
      </c>
      <c r="BA1585">
        <v>0</v>
      </c>
      <c r="BB1585">
        <v>78</v>
      </c>
      <c r="BC1585">
        <v>0</v>
      </c>
      <c r="BD1585">
        <v>0</v>
      </c>
      <c r="BE1585">
        <v>0</v>
      </c>
    </row>
    <row r="1586" spans="1:57" hidden="1" x14ac:dyDescent="0.45">
      <c r="A1586" t="s">
        <v>3922</v>
      </c>
      <c r="B1586" t="s">
        <v>79</v>
      </c>
      <c r="C1586" t="s">
        <v>1755</v>
      </c>
      <c r="D1586" t="s">
        <v>81</v>
      </c>
      <c r="E1586" s="2" t="str">
        <f>HYPERLINK("capsilon://?command=openfolder&amp;siteaddress=FAM.docvelocity-na8.net&amp;folderid=FX775F73F1-08F7-249D-2963-F9CEFAE6FC5B","FX20125235")</f>
        <v>FX20125235</v>
      </c>
      <c r="F1586" t="s">
        <v>19</v>
      </c>
      <c r="G1586" t="s">
        <v>19</v>
      </c>
      <c r="H1586" t="s">
        <v>82</v>
      </c>
      <c r="I1586" t="s">
        <v>3923</v>
      </c>
      <c r="J1586">
        <v>31</v>
      </c>
      <c r="K1586" t="s">
        <v>84</v>
      </c>
      <c r="L1586" t="s">
        <v>85</v>
      </c>
      <c r="M1586" t="s">
        <v>86</v>
      </c>
      <c r="N1586">
        <v>1</v>
      </c>
      <c r="O1586" s="1">
        <v>44215.442893518521</v>
      </c>
      <c r="P1586" s="1">
        <v>44215.458240740743</v>
      </c>
      <c r="Q1586">
        <v>495</v>
      </c>
      <c r="R1586">
        <v>831</v>
      </c>
      <c r="S1586" t="b">
        <v>0</v>
      </c>
      <c r="T1586" t="s">
        <v>87</v>
      </c>
      <c r="U1586" t="b">
        <v>0</v>
      </c>
      <c r="V1586" t="s">
        <v>171</v>
      </c>
      <c r="W1586" s="1">
        <v>44215.458240740743</v>
      </c>
      <c r="X1586">
        <v>762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31</v>
      </c>
      <c r="AE1586">
        <v>27</v>
      </c>
      <c r="AF1586">
        <v>0</v>
      </c>
      <c r="AG1586">
        <v>5</v>
      </c>
      <c r="AH1586" t="s">
        <v>87</v>
      </c>
      <c r="AI1586" t="s">
        <v>87</v>
      </c>
      <c r="AJ1586" t="s">
        <v>87</v>
      </c>
      <c r="AK1586" t="s">
        <v>87</v>
      </c>
      <c r="AL1586" t="s">
        <v>87</v>
      </c>
      <c r="AM1586" t="s">
        <v>87</v>
      </c>
      <c r="AN1586" t="s">
        <v>87</v>
      </c>
      <c r="AO1586" t="s">
        <v>87</v>
      </c>
      <c r="AP1586" t="s">
        <v>87</v>
      </c>
      <c r="AQ1586" t="s">
        <v>87</v>
      </c>
      <c r="AR1586" t="s">
        <v>87</v>
      </c>
      <c r="AS1586" t="s">
        <v>87</v>
      </c>
      <c r="AT1586" t="s">
        <v>87</v>
      </c>
      <c r="AU1586" t="s">
        <v>87</v>
      </c>
      <c r="AV1586" t="s">
        <v>87</v>
      </c>
      <c r="AW1586" t="s">
        <v>87</v>
      </c>
      <c r="AX1586" t="s">
        <v>87</v>
      </c>
      <c r="AY1586" t="s">
        <v>87</v>
      </c>
      <c r="AZ1586" t="s">
        <v>87</v>
      </c>
      <c r="BA1586" t="s">
        <v>87</v>
      </c>
      <c r="BB1586" t="s">
        <v>87</v>
      </c>
      <c r="BC1586" t="s">
        <v>87</v>
      </c>
      <c r="BD1586" t="s">
        <v>87</v>
      </c>
      <c r="BE1586" t="s">
        <v>87</v>
      </c>
    </row>
    <row r="1587" spans="1:57" x14ac:dyDescent="0.45">
      <c r="A1587" t="s">
        <v>3924</v>
      </c>
      <c r="B1587" t="s">
        <v>79</v>
      </c>
      <c r="C1587" t="s">
        <v>3925</v>
      </c>
      <c r="D1587" t="s">
        <v>81</v>
      </c>
      <c r="E1587" s="2" t="str">
        <f>HYPERLINK("capsilon://?command=openfolder&amp;siteaddress=FAM.docvelocity-na8.net&amp;folderid=FXAC1ED14C-1305-BD3E-0697-AFCD46D165A7","FX21019246")</f>
        <v>FX21019246</v>
      </c>
      <c r="F1587" t="s">
        <v>19</v>
      </c>
      <c r="G1587" t="s">
        <v>19</v>
      </c>
      <c r="H1587" t="s">
        <v>82</v>
      </c>
      <c r="I1587" t="s">
        <v>3926</v>
      </c>
      <c r="J1587">
        <v>474</v>
      </c>
      <c r="K1587" t="s">
        <v>84</v>
      </c>
      <c r="L1587" t="s">
        <v>85</v>
      </c>
      <c r="M1587" t="s">
        <v>86</v>
      </c>
      <c r="N1587">
        <v>3</v>
      </c>
      <c r="O1587" s="1">
        <v>44215.44290509259</v>
      </c>
      <c r="P1587" s="1">
        <v>44215.605185185188</v>
      </c>
      <c r="Q1587">
        <v>4248</v>
      </c>
      <c r="R1587">
        <v>9773</v>
      </c>
      <c r="S1587" t="b">
        <v>0</v>
      </c>
      <c r="T1587" t="s">
        <v>87</v>
      </c>
      <c r="U1587" t="b">
        <v>0</v>
      </c>
      <c r="V1587" t="s">
        <v>160</v>
      </c>
      <c r="W1587" s="1">
        <v>44215.537604166668</v>
      </c>
      <c r="X1587">
        <v>7815</v>
      </c>
      <c r="Y1587">
        <v>354</v>
      </c>
      <c r="Z1587">
        <v>0</v>
      </c>
      <c r="AA1587">
        <v>354</v>
      </c>
      <c r="AB1587">
        <v>0</v>
      </c>
      <c r="AC1587">
        <v>287</v>
      </c>
      <c r="AD1587">
        <v>120</v>
      </c>
      <c r="AE1587">
        <v>0</v>
      </c>
      <c r="AF1587">
        <v>0</v>
      </c>
      <c r="AG1587">
        <v>0</v>
      </c>
      <c r="AH1587" t="s">
        <v>267</v>
      </c>
      <c r="AI1587" s="1">
        <v>44215.564282407409</v>
      </c>
      <c r="AJ1587">
        <v>1833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119</v>
      </c>
      <c r="AQ1587">
        <v>0</v>
      </c>
      <c r="AR1587">
        <v>0</v>
      </c>
      <c r="AS1587">
        <v>0</v>
      </c>
      <c r="AT1587" t="s">
        <v>90</v>
      </c>
      <c r="AU1587" s="1">
        <v>44215.605185185188</v>
      </c>
      <c r="AV1587">
        <v>125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119</v>
      </c>
      <c r="BC1587">
        <v>0</v>
      </c>
      <c r="BD1587">
        <v>0</v>
      </c>
      <c r="BE1587">
        <v>0</v>
      </c>
    </row>
    <row r="1588" spans="1:57" x14ac:dyDescent="0.45">
      <c r="A1588" t="s">
        <v>3927</v>
      </c>
      <c r="B1588" t="s">
        <v>79</v>
      </c>
      <c r="C1588" t="s">
        <v>1068</v>
      </c>
      <c r="D1588" t="s">
        <v>81</v>
      </c>
      <c r="E1588" s="2" t="str">
        <f>HYPERLINK("capsilon://?command=openfolder&amp;siteaddress=FAM.docvelocity-na8.net&amp;folderid=FX70D774B1-DAD6-C7D3-3B49-2F6EC3202CA5","FX21012328")</f>
        <v>FX21012328</v>
      </c>
      <c r="F1588" t="s">
        <v>19</v>
      </c>
      <c r="G1588" t="s">
        <v>19</v>
      </c>
      <c r="H1588" t="s">
        <v>82</v>
      </c>
      <c r="I1588" t="s">
        <v>3928</v>
      </c>
      <c r="J1588">
        <v>26</v>
      </c>
      <c r="K1588" t="s">
        <v>84</v>
      </c>
      <c r="L1588" t="s">
        <v>85</v>
      </c>
      <c r="M1588" t="s">
        <v>86</v>
      </c>
      <c r="N1588">
        <v>3</v>
      </c>
      <c r="O1588" s="1">
        <v>44215.447418981479</v>
      </c>
      <c r="P1588" s="1">
        <v>44215.49722222222</v>
      </c>
      <c r="Q1588">
        <v>2945</v>
      </c>
      <c r="R1588">
        <v>1358</v>
      </c>
      <c r="S1588" t="b">
        <v>0</v>
      </c>
      <c r="T1588" t="s">
        <v>87</v>
      </c>
      <c r="U1588" t="b">
        <v>0</v>
      </c>
      <c r="V1588" t="s">
        <v>179</v>
      </c>
      <c r="W1588" s="1">
        <v>44215.462847222225</v>
      </c>
      <c r="X1588">
        <v>1140</v>
      </c>
      <c r="Y1588">
        <v>21</v>
      </c>
      <c r="Z1588">
        <v>0</v>
      </c>
      <c r="AA1588">
        <v>21</v>
      </c>
      <c r="AB1588">
        <v>0</v>
      </c>
      <c r="AC1588">
        <v>21</v>
      </c>
      <c r="AD1588">
        <v>5</v>
      </c>
      <c r="AE1588">
        <v>0</v>
      </c>
      <c r="AF1588">
        <v>0</v>
      </c>
      <c r="AG1588">
        <v>0</v>
      </c>
      <c r="AH1588" t="s">
        <v>108</v>
      </c>
      <c r="AI1588" s="1">
        <v>44215.491516203707</v>
      </c>
      <c r="AJ1588">
        <v>214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4</v>
      </c>
      <c r="AQ1588">
        <v>0</v>
      </c>
      <c r="AR1588">
        <v>0</v>
      </c>
      <c r="AS1588">
        <v>0</v>
      </c>
      <c r="AT1588" t="s">
        <v>90</v>
      </c>
      <c r="AU1588" s="1">
        <v>44215.49722222222</v>
      </c>
      <c r="AV1588">
        <v>4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4</v>
      </c>
      <c r="BC1588">
        <v>0</v>
      </c>
      <c r="BD1588">
        <v>0</v>
      </c>
      <c r="BE1588">
        <v>0</v>
      </c>
    </row>
    <row r="1589" spans="1:57" x14ac:dyDescent="0.45">
      <c r="A1589" t="s">
        <v>3929</v>
      </c>
      <c r="B1589" t="s">
        <v>79</v>
      </c>
      <c r="C1589" t="s">
        <v>3930</v>
      </c>
      <c r="D1589" t="s">
        <v>81</v>
      </c>
      <c r="E1589" s="2" t="str">
        <f>HYPERLINK("capsilon://?command=openfolder&amp;siteaddress=FAM.docvelocity-na8.net&amp;folderid=FXB5C81DB2-E87D-B648-D86C-8280423B8BBE","FX20123671")</f>
        <v>FX20123671</v>
      </c>
      <c r="F1589" t="s">
        <v>19</v>
      </c>
      <c r="G1589" t="s">
        <v>19</v>
      </c>
      <c r="H1589" t="s">
        <v>82</v>
      </c>
      <c r="I1589" t="s">
        <v>3931</v>
      </c>
      <c r="J1589">
        <v>48</v>
      </c>
      <c r="K1589" t="s">
        <v>84</v>
      </c>
      <c r="L1589" t="s">
        <v>85</v>
      </c>
      <c r="M1589" t="s">
        <v>86</v>
      </c>
      <c r="N1589">
        <v>3</v>
      </c>
      <c r="O1589" s="1">
        <v>44215.451354166667</v>
      </c>
      <c r="P1589" s="1">
        <v>44215.497627314813</v>
      </c>
      <c r="Q1589">
        <v>2265</v>
      </c>
      <c r="R1589">
        <v>1733</v>
      </c>
      <c r="S1589" t="b">
        <v>0</v>
      </c>
      <c r="T1589" t="s">
        <v>87</v>
      </c>
      <c r="U1589" t="b">
        <v>0</v>
      </c>
      <c r="V1589" t="s">
        <v>146</v>
      </c>
      <c r="W1589" s="1">
        <v>44215.468171296299</v>
      </c>
      <c r="X1589">
        <v>1445</v>
      </c>
      <c r="Y1589">
        <v>38</v>
      </c>
      <c r="Z1589">
        <v>0</v>
      </c>
      <c r="AA1589">
        <v>38</v>
      </c>
      <c r="AB1589">
        <v>0</v>
      </c>
      <c r="AC1589">
        <v>30</v>
      </c>
      <c r="AD1589">
        <v>10</v>
      </c>
      <c r="AE1589">
        <v>0</v>
      </c>
      <c r="AF1589">
        <v>0</v>
      </c>
      <c r="AG1589">
        <v>0</v>
      </c>
      <c r="AH1589" t="s">
        <v>108</v>
      </c>
      <c r="AI1589" s="1">
        <v>44215.494317129633</v>
      </c>
      <c r="AJ1589">
        <v>241</v>
      </c>
      <c r="AK1589">
        <v>3</v>
      </c>
      <c r="AL1589">
        <v>0</v>
      </c>
      <c r="AM1589">
        <v>3</v>
      </c>
      <c r="AN1589">
        <v>0</v>
      </c>
      <c r="AO1589">
        <v>1</v>
      </c>
      <c r="AP1589">
        <v>7</v>
      </c>
      <c r="AQ1589">
        <v>0</v>
      </c>
      <c r="AR1589">
        <v>0</v>
      </c>
      <c r="AS1589">
        <v>0</v>
      </c>
      <c r="AT1589" t="s">
        <v>90</v>
      </c>
      <c r="AU1589" s="1">
        <v>44215.497627314813</v>
      </c>
      <c r="AV1589">
        <v>34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7</v>
      </c>
      <c r="BC1589">
        <v>0</v>
      </c>
      <c r="BD1589">
        <v>0</v>
      </c>
      <c r="BE1589">
        <v>0</v>
      </c>
    </row>
    <row r="1590" spans="1:57" x14ac:dyDescent="0.45">
      <c r="A1590" t="s">
        <v>3932</v>
      </c>
      <c r="B1590" t="s">
        <v>79</v>
      </c>
      <c r="C1590" t="s">
        <v>3933</v>
      </c>
      <c r="D1590" t="s">
        <v>81</v>
      </c>
      <c r="E1590" s="2" t="str">
        <f>HYPERLINK("capsilon://?command=openfolder&amp;siteaddress=FAM.docvelocity-na8.net&amp;folderid=FX37B53CDD-F3C2-59E6-1B38-4945B0D7C06A","FX21014610")</f>
        <v>FX21014610</v>
      </c>
      <c r="F1590" t="s">
        <v>19</v>
      </c>
      <c r="G1590" t="s">
        <v>19</v>
      </c>
      <c r="H1590" t="s">
        <v>82</v>
      </c>
      <c r="I1590" t="s">
        <v>3934</v>
      </c>
      <c r="J1590">
        <v>157</v>
      </c>
      <c r="K1590" t="s">
        <v>84</v>
      </c>
      <c r="L1590" t="s">
        <v>85</v>
      </c>
      <c r="M1590" t="s">
        <v>81</v>
      </c>
      <c r="N1590">
        <v>2</v>
      </c>
      <c r="O1590" s="1">
        <v>44215.452303240738</v>
      </c>
      <c r="P1590" s="1">
        <v>44215.502870370372</v>
      </c>
      <c r="Q1590">
        <v>1241</v>
      </c>
      <c r="R1590">
        <v>3128</v>
      </c>
      <c r="S1590" t="b">
        <v>0</v>
      </c>
      <c r="T1590" t="s">
        <v>343</v>
      </c>
      <c r="U1590" t="b">
        <v>0</v>
      </c>
      <c r="V1590" t="s">
        <v>171</v>
      </c>
      <c r="W1590" s="1">
        <v>44215.484594907408</v>
      </c>
      <c r="X1590">
        <v>2277</v>
      </c>
      <c r="Y1590">
        <v>150</v>
      </c>
      <c r="Z1590">
        <v>0</v>
      </c>
      <c r="AA1590">
        <v>150</v>
      </c>
      <c r="AB1590">
        <v>0</v>
      </c>
      <c r="AC1590">
        <v>94</v>
      </c>
      <c r="AD1590">
        <v>7</v>
      </c>
      <c r="AE1590">
        <v>0</v>
      </c>
      <c r="AF1590">
        <v>0</v>
      </c>
      <c r="AG1590">
        <v>0</v>
      </c>
      <c r="AH1590" t="s">
        <v>343</v>
      </c>
      <c r="AI1590" s="1">
        <v>44215.502870370372</v>
      </c>
      <c r="AJ1590">
        <v>175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7</v>
      </c>
      <c r="AQ1590">
        <v>21</v>
      </c>
      <c r="AR1590">
        <v>0</v>
      </c>
      <c r="AS1590">
        <v>2</v>
      </c>
      <c r="AT1590" t="s">
        <v>87</v>
      </c>
      <c r="AU1590" t="s">
        <v>87</v>
      </c>
      <c r="AV1590" t="s">
        <v>87</v>
      </c>
      <c r="AW1590" t="s">
        <v>87</v>
      </c>
      <c r="AX1590" t="s">
        <v>87</v>
      </c>
      <c r="AY1590" t="s">
        <v>87</v>
      </c>
      <c r="AZ1590" t="s">
        <v>87</v>
      </c>
      <c r="BA1590" t="s">
        <v>87</v>
      </c>
      <c r="BB1590" t="s">
        <v>87</v>
      </c>
      <c r="BC1590" t="s">
        <v>87</v>
      </c>
      <c r="BD1590" t="s">
        <v>87</v>
      </c>
      <c r="BE1590" t="s">
        <v>87</v>
      </c>
    </row>
    <row r="1591" spans="1:57" hidden="1" x14ac:dyDescent="0.45">
      <c r="A1591" t="s">
        <v>3935</v>
      </c>
      <c r="B1591" t="s">
        <v>79</v>
      </c>
      <c r="C1591" t="s">
        <v>1068</v>
      </c>
      <c r="D1591" t="s">
        <v>81</v>
      </c>
      <c r="E1591" s="2" t="str">
        <f>HYPERLINK("capsilon://?command=openfolder&amp;siteaddress=FAM.docvelocity-na8.net&amp;folderid=FX70D774B1-DAD6-C7D3-3B49-2F6EC3202CA5","FX21012328")</f>
        <v>FX21012328</v>
      </c>
      <c r="F1591" t="s">
        <v>19</v>
      </c>
      <c r="G1591" t="s">
        <v>19</v>
      </c>
      <c r="H1591" t="s">
        <v>82</v>
      </c>
      <c r="I1591" t="s">
        <v>3936</v>
      </c>
      <c r="J1591">
        <v>26</v>
      </c>
      <c r="K1591" t="s">
        <v>84</v>
      </c>
      <c r="L1591" t="s">
        <v>85</v>
      </c>
      <c r="M1591" t="s">
        <v>86</v>
      </c>
      <c r="N1591">
        <v>3</v>
      </c>
      <c r="O1591" s="1">
        <v>44215.452604166669</v>
      </c>
      <c r="P1591" s="1">
        <v>44215.519166666665</v>
      </c>
      <c r="Q1591">
        <v>4489</v>
      </c>
      <c r="R1591">
        <v>1262</v>
      </c>
      <c r="S1591" t="b">
        <v>0</v>
      </c>
      <c r="T1591" t="s">
        <v>87</v>
      </c>
      <c r="U1591" t="b">
        <v>0</v>
      </c>
      <c r="V1591" t="s">
        <v>419</v>
      </c>
      <c r="W1591" s="1">
        <v>44215.463831018518</v>
      </c>
      <c r="X1591">
        <v>456</v>
      </c>
      <c r="Y1591">
        <v>0</v>
      </c>
      <c r="Z1591">
        <v>0</v>
      </c>
      <c r="AA1591">
        <v>0</v>
      </c>
      <c r="AB1591">
        <v>21</v>
      </c>
      <c r="AC1591">
        <v>0</v>
      </c>
      <c r="AD1591">
        <v>26</v>
      </c>
      <c r="AE1591">
        <v>0</v>
      </c>
      <c r="AF1591">
        <v>0</v>
      </c>
      <c r="AG1591">
        <v>0</v>
      </c>
      <c r="AH1591" t="s">
        <v>267</v>
      </c>
      <c r="AI1591" s="1">
        <v>44215.505266203705</v>
      </c>
      <c r="AJ1591">
        <v>777</v>
      </c>
      <c r="AK1591">
        <v>0</v>
      </c>
      <c r="AL1591">
        <v>0</v>
      </c>
      <c r="AM1591">
        <v>0</v>
      </c>
      <c r="AN1591">
        <v>21</v>
      </c>
      <c r="AO1591">
        <v>0</v>
      </c>
      <c r="AP1591">
        <v>26</v>
      </c>
      <c r="AQ1591">
        <v>0</v>
      </c>
      <c r="AR1591">
        <v>0</v>
      </c>
      <c r="AS1591">
        <v>0</v>
      </c>
      <c r="AT1591" t="s">
        <v>90</v>
      </c>
      <c r="AU1591" s="1">
        <v>44215.519166666665</v>
      </c>
      <c r="AV1591">
        <v>4</v>
      </c>
      <c r="AW1591">
        <v>0</v>
      </c>
      <c r="AX1591">
        <v>0</v>
      </c>
      <c r="AY1591">
        <v>0</v>
      </c>
      <c r="AZ1591">
        <v>21</v>
      </c>
      <c r="BA1591">
        <v>0</v>
      </c>
      <c r="BB1591">
        <v>26</v>
      </c>
      <c r="BC1591">
        <v>0</v>
      </c>
      <c r="BD1591">
        <v>0</v>
      </c>
      <c r="BE1591">
        <v>0</v>
      </c>
    </row>
    <row r="1592" spans="1:57" x14ac:dyDescent="0.45">
      <c r="A1592" t="s">
        <v>3937</v>
      </c>
      <c r="B1592" t="s">
        <v>79</v>
      </c>
      <c r="C1592" t="s">
        <v>1285</v>
      </c>
      <c r="D1592" t="s">
        <v>81</v>
      </c>
      <c r="E1592" s="2" t="str">
        <f>HYPERLINK("capsilon://?command=openfolder&amp;siteaddress=FAM.docvelocity-na8.net&amp;folderid=FX9867633D-524E-48D1-9337-871330B745EB","FX201227024")</f>
        <v>FX201227024</v>
      </c>
      <c r="F1592" t="s">
        <v>19</v>
      </c>
      <c r="G1592" t="s">
        <v>19</v>
      </c>
      <c r="H1592" t="s">
        <v>82</v>
      </c>
      <c r="I1592" t="s">
        <v>3938</v>
      </c>
      <c r="J1592">
        <v>118</v>
      </c>
      <c r="K1592" t="s">
        <v>84</v>
      </c>
      <c r="L1592" t="s">
        <v>85</v>
      </c>
      <c r="M1592" t="s">
        <v>86</v>
      </c>
      <c r="N1592">
        <v>3</v>
      </c>
      <c r="O1592" s="1">
        <v>44215.453067129631</v>
      </c>
      <c r="P1592" s="1">
        <v>44215.519583333335</v>
      </c>
      <c r="Q1592">
        <v>3261</v>
      </c>
      <c r="R1592">
        <v>2486</v>
      </c>
      <c r="S1592" t="b">
        <v>0</v>
      </c>
      <c r="T1592" t="s">
        <v>87</v>
      </c>
      <c r="U1592" t="b">
        <v>0</v>
      </c>
      <c r="V1592" t="s">
        <v>112</v>
      </c>
      <c r="W1592" s="1">
        <v>44215.485138888886</v>
      </c>
      <c r="X1592">
        <v>1851</v>
      </c>
      <c r="Y1592">
        <v>94</v>
      </c>
      <c r="Z1592">
        <v>0</v>
      </c>
      <c r="AA1592">
        <v>94</v>
      </c>
      <c r="AB1592">
        <v>0</v>
      </c>
      <c r="AC1592">
        <v>68</v>
      </c>
      <c r="AD1592">
        <v>24</v>
      </c>
      <c r="AE1592">
        <v>0</v>
      </c>
      <c r="AF1592">
        <v>0</v>
      </c>
      <c r="AG1592">
        <v>0</v>
      </c>
      <c r="AH1592" t="s">
        <v>108</v>
      </c>
      <c r="AI1592" s="1">
        <v>44215.504641203705</v>
      </c>
      <c r="AJ1592">
        <v>568</v>
      </c>
      <c r="AK1592">
        <v>6</v>
      </c>
      <c r="AL1592">
        <v>0</v>
      </c>
      <c r="AM1592">
        <v>6</v>
      </c>
      <c r="AN1592">
        <v>0</v>
      </c>
      <c r="AO1592">
        <v>6</v>
      </c>
      <c r="AP1592">
        <v>18</v>
      </c>
      <c r="AQ1592">
        <v>0</v>
      </c>
      <c r="AR1592">
        <v>0</v>
      </c>
      <c r="AS1592">
        <v>0</v>
      </c>
      <c r="AT1592" t="s">
        <v>90</v>
      </c>
      <c r="AU1592" s="1">
        <v>44215.519583333335</v>
      </c>
      <c r="AV1592">
        <v>35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18</v>
      </c>
      <c r="BC1592">
        <v>0</v>
      </c>
      <c r="BD1592">
        <v>0</v>
      </c>
      <c r="BE1592">
        <v>0</v>
      </c>
    </row>
    <row r="1593" spans="1:57" x14ac:dyDescent="0.45">
      <c r="A1593" t="s">
        <v>3939</v>
      </c>
      <c r="B1593" t="s">
        <v>79</v>
      </c>
      <c r="C1593" t="s">
        <v>3930</v>
      </c>
      <c r="D1593" t="s">
        <v>81</v>
      </c>
      <c r="E1593" s="2" t="str">
        <f>HYPERLINK("capsilon://?command=openfolder&amp;siteaddress=FAM.docvelocity-na8.net&amp;folderid=FXB5C81DB2-E87D-B648-D86C-8280423B8BBE","FX20123671")</f>
        <v>FX20123671</v>
      </c>
      <c r="F1593" t="s">
        <v>19</v>
      </c>
      <c r="G1593" t="s">
        <v>19</v>
      </c>
      <c r="H1593" t="s">
        <v>82</v>
      </c>
      <c r="I1593" t="s">
        <v>3940</v>
      </c>
      <c r="J1593">
        <v>73</v>
      </c>
      <c r="K1593" t="s">
        <v>84</v>
      </c>
      <c r="L1593" t="s">
        <v>85</v>
      </c>
      <c r="M1593" t="s">
        <v>86</v>
      </c>
      <c r="N1593">
        <v>3</v>
      </c>
      <c r="O1593" s="1">
        <v>44215.453576388885</v>
      </c>
      <c r="P1593" s="1">
        <v>44215.520289351851</v>
      </c>
      <c r="Q1593">
        <v>3856</v>
      </c>
      <c r="R1593">
        <v>1908</v>
      </c>
      <c r="S1593" t="b">
        <v>0</v>
      </c>
      <c r="T1593" t="s">
        <v>87</v>
      </c>
      <c r="U1593" t="b">
        <v>0</v>
      </c>
      <c r="V1593" t="s">
        <v>419</v>
      </c>
      <c r="W1593" s="1">
        <v>44215.481168981481</v>
      </c>
      <c r="X1593">
        <v>1497</v>
      </c>
      <c r="Y1593">
        <v>58</v>
      </c>
      <c r="Z1593">
        <v>0</v>
      </c>
      <c r="AA1593">
        <v>58</v>
      </c>
      <c r="AB1593">
        <v>0</v>
      </c>
      <c r="AC1593">
        <v>25</v>
      </c>
      <c r="AD1593">
        <v>15</v>
      </c>
      <c r="AE1593">
        <v>0</v>
      </c>
      <c r="AF1593">
        <v>0</v>
      </c>
      <c r="AG1593">
        <v>0</v>
      </c>
      <c r="AH1593" t="s">
        <v>108</v>
      </c>
      <c r="AI1593" s="1">
        <v>44215.508576388886</v>
      </c>
      <c r="AJ1593">
        <v>339</v>
      </c>
      <c r="AK1593">
        <v>4</v>
      </c>
      <c r="AL1593">
        <v>0</v>
      </c>
      <c r="AM1593">
        <v>4</v>
      </c>
      <c r="AN1593">
        <v>0</v>
      </c>
      <c r="AO1593">
        <v>2</v>
      </c>
      <c r="AP1593">
        <v>11</v>
      </c>
      <c r="AQ1593">
        <v>0</v>
      </c>
      <c r="AR1593">
        <v>0</v>
      </c>
      <c r="AS1593">
        <v>0</v>
      </c>
      <c r="AT1593" t="s">
        <v>90</v>
      </c>
      <c r="AU1593" s="1">
        <v>44215.520289351851</v>
      </c>
      <c r="AV1593">
        <v>60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11</v>
      </c>
      <c r="BC1593">
        <v>0</v>
      </c>
      <c r="BD1593">
        <v>0</v>
      </c>
      <c r="BE1593">
        <v>0</v>
      </c>
    </row>
    <row r="1594" spans="1:57" x14ac:dyDescent="0.45">
      <c r="A1594" t="s">
        <v>3941</v>
      </c>
      <c r="B1594" t="s">
        <v>79</v>
      </c>
      <c r="C1594" t="s">
        <v>3942</v>
      </c>
      <c r="D1594" t="s">
        <v>81</v>
      </c>
      <c r="E1594" s="2" t="str">
        <f>HYPERLINK("capsilon://?command=openfolder&amp;siteaddress=FAM.docvelocity-na8.net&amp;folderid=FX7107429D-D599-4883-00C7-5746B6DE4A5A","FX21015833")</f>
        <v>FX21015833</v>
      </c>
      <c r="F1594" t="s">
        <v>19</v>
      </c>
      <c r="G1594" t="s">
        <v>19</v>
      </c>
      <c r="H1594" t="s">
        <v>82</v>
      </c>
      <c r="I1594" t="s">
        <v>3943</v>
      </c>
      <c r="J1594">
        <v>122</v>
      </c>
      <c r="K1594" t="s">
        <v>84</v>
      </c>
      <c r="L1594" t="s">
        <v>85</v>
      </c>
      <c r="M1594" t="s">
        <v>86</v>
      </c>
      <c r="N1594">
        <v>3</v>
      </c>
      <c r="O1594" s="1">
        <v>44215.454629629632</v>
      </c>
      <c r="P1594" s="1">
        <v>44215.544409722221</v>
      </c>
      <c r="Q1594">
        <v>1862</v>
      </c>
      <c r="R1594">
        <v>5895</v>
      </c>
      <c r="S1594" t="b">
        <v>0</v>
      </c>
      <c r="T1594" t="s">
        <v>87</v>
      </c>
      <c r="U1594" t="b">
        <v>0</v>
      </c>
      <c r="V1594" t="s">
        <v>105</v>
      </c>
      <c r="W1594" s="1">
        <v>44215.525011574071</v>
      </c>
      <c r="X1594">
        <v>5108</v>
      </c>
      <c r="Y1594">
        <v>288</v>
      </c>
      <c r="Z1594">
        <v>0</v>
      </c>
      <c r="AA1594">
        <v>288</v>
      </c>
      <c r="AB1594">
        <v>0</v>
      </c>
      <c r="AC1594">
        <v>257</v>
      </c>
      <c r="AD1594">
        <v>-166</v>
      </c>
      <c r="AE1594">
        <v>0</v>
      </c>
      <c r="AF1594">
        <v>0</v>
      </c>
      <c r="AG1594">
        <v>0</v>
      </c>
      <c r="AH1594" t="s">
        <v>128</v>
      </c>
      <c r="AI1594" s="1">
        <v>44215.543865740743</v>
      </c>
      <c r="AJ1594">
        <v>725</v>
      </c>
      <c r="AK1594">
        <v>2</v>
      </c>
      <c r="AL1594">
        <v>0</v>
      </c>
      <c r="AM1594">
        <v>2</v>
      </c>
      <c r="AN1594">
        <v>0</v>
      </c>
      <c r="AO1594">
        <v>3</v>
      </c>
      <c r="AP1594">
        <v>-168</v>
      </c>
      <c r="AQ1594">
        <v>0</v>
      </c>
      <c r="AR1594">
        <v>0</v>
      </c>
      <c r="AS1594">
        <v>0</v>
      </c>
      <c r="AT1594" t="s">
        <v>90</v>
      </c>
      <c r="AU1594" s="1">
        <v>44215.544409722221</v>
      </c>
      <c r="AV1594">
        <v>42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-168</v>
      </c>
      <c r="BC1594">
        <v>0</v>
      </c>
      <c r="BD1594">
        <v>0</v>
      </c>
      <c r="BE1594">
        <v>0</v>
      </c>
    </row>
    <row r="1595" spans="1:57" x14ac:dyDescent="0.45">
      <c r="A1595" t="s">
        <v>3944</v>
      </c>
      <c r="B1595" t="s">
        <v>79</v>
      </c>
      <c r="C1595" t="s">
        <v>1755</v>
      </c>
      <c r="D1595" t="s">
        <v>81</v>
      </c>
      <c r="E1595" s="2" t="str">
        <f>HYPERLINK("capsilon://?command=openfolder&amp;siteaddress=FAM.docvelocity-na8.net&amp;folderid=FX775F73F1-08F7-249D-2963-F9CEFAE6FC5B","FX20125235")</f>
        <v>FX20125235</v>
      </c>
      <c r="F1595" t="s">
        <v>19</v>
      </c>
      <c r="G1595" t="s">
        <v>19</v>
      </c>
      <c r="H1595" t="s">
        <v>82</v>
      </c>
      <c r="I1595" t="s">
        <v>3923</v>
      </c>
      <c r="J1595">
        <v>155</v>
      </c>
      <c r="K1595" t="s">
        <v>84</v>
      </c>
      <c r="L1595" t="s">
        <v>85</v>
      </c>
      <c r="M1595" t="s">
        <v>86</v>
      </c>
      <c r="N1595">
        <v>3</v>
      </c>
      <c r="O1595" s="1">
        <v>44215.458981481483</v>
      </c>
      <c r="P1595" s="1">
        <v>44215.518599537034</v>
      </c>
      <c r="Q1595">
        <v>680</v>
      </c>
      <c r="R1595">
        <v>4471</v>
      </c>
      <c r="S1595" t="b">
        <v>0</v>
      </c>
      <c r="T1595" t="s">
        <v>87</v>
      </c>
      <c r="U1595" t="b">
        <v>1</v>
      </c>
      <c r="V1595" t="s">
        <v>88</v>
      </c>
      <c r="W1595" s="1">
        <v>44215.50576388889</v>
      </c>
      <c r="X1595">
        <v>3908</v>
      </c>
      <c r="Y1595">
        <v>214</v>
      </c>
      <c r="Z1595">
        <v>0</v>
      </c>
      <c r="AA1595">
        <v>214</v>
      </c>
      <c r="AB1595">
        <v>0</v>
      </c>
      <c r="AC1595">
        <v>193</v>
      </c>
      <c r="AD1595">
        <v>-59</v>
      </c>
      <c r="AE1595">
        <v>0</v>
      </c>
      <c r="AF1595">
        <v>0</v>
      </c>
      <c r="AG1595">
        <v>0</v>
      </c>
      <c r="AH1595" t="s">
        <v>128</v>
      </c>
      <c r="AI1595" s="1">
        <v>44215.512175925927</v>
      </c>
      <c r="AJ1595">
        <v>538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-59</v>
      </c>
      <c r="AQ1595">
        <v>0</v>
      </c>
      <c r="AR1595">
        <v>0</v>
      </c>
      <c r="AS1595">
        <v>0</v>
      </c>
      <c r="AT1595" t="s">
        <v>90</v>
      </c>
      <c r="AU1595" s="1">
        <v>44215.518599537034</v>
      </c>
      <c r="AV1595">
        <v>25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-59</v>
      </c>
      <c r="BC1595">
        <v>0</v>
      </c>
      <c r="BD1595">
        <v>0</v>
      </c>
      <c r="BE1595">
        <v>0</v>
      </c>
    </row>
    <row r="1596" spans="1:57" x14ac:dyDescent="0.45">
      <c r="A1596" t="s">
        <v>3945</v>
      </c>
      <c r="B1596" t="s">
        <v>79</v>
      </c>
      <c r="C1596" t="s">
        <v>3946</v>
      </c>
      <c r="D1596" t="s">
        <v>81</v>
      </c>
      <c r="E1596" s="2" t="str">
        <f>HYPERLINK("capsilon://?command=openfolder&amp;siteaddress=FAM.docvelocity-na8.net&amp;folderid=FX7C7C4641-9638-0AF4-2CE4-C09E4BC9F241","FX21017969")</f>
        <v>FX21017969</v>
      </c>
      <c r="F1596" t="s">
        <v>19</v>
      </c>
      <c r="G1596" t="s">
        <v>19</v>
      </c>
      <c r="H1596" t="s">
        <v>82</v>
      </c>
      <c r="I1596" t="s">
        <v>3947</v>
      </c>
      <c r="J1596">
        <v>230</v>
      </c>
      <c r="K1596" t="s">
        <v>84</v>
      </c>
      <c r="L1596" t="s">
        <v>85</v>
      </c>
      <c r="M1596" t="s">
        <v>86</v>
      </c>
      <c r="N1596">
        <v>3</v>
      </c>
      <c r="O1596" s="1">
        <v>44215.459548611114</v>
      </c>
      <c r="P1596" s="1">
        <v>44215.527141203704</v>
      </c>
      <c r="Q1596">
        <v>1658</v>
      </c>
      <c r="R1596">
        <v>4182</v>
      </c>
      <c r="S1596" t="b">
        <v>0</v>
      </c>
      <c r="T1596" t="s">
        <v>87</v>
      </c>
      <c r="U1596" t="b">
        <v>0</v>
      </c>
      <c r="V1596" t="s">
        <v>98</v>
      </c>
      <c r="W1596" s="1">
        <v>44215.512569444443</v>
      </c>
      <c r="X1596">
        <v>3715</v>
      </c>
      <c r="Y1596">
        <v>169</v>
      </c>
      <c r="Z1596">
        <v>0</v>
      </c>
      <c r="AA1596">
        <v>169</v>
      </c>
      <c r="AB1596">
        <v>0</v>
      </c>
      <c r="AC1596">
        <v>11</v>
      </c>
      <c r="AD1596">
        <v>61</v>
      </c>
      <c r="AE1596">
        <v>0</v>
      </c>
      <c r="AF1596">
        <v>0</v>
      </c>
      <c r="AG1596">
        <v>0</v>
      </c>
      <c r="AH1596" t="s">
        <v>128</v>
      </c>
      <c r="AI1596" s="1">
        <v>44215.523101851853</v>
      </c>
      <c r="AJ1596">
        <v>388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61</v>
      </c>
      <c r="AQ1596">
        <v>0</v>
      </c>
      <c r="AR1596">
        <v>0</v>
      </c>
      <c r="AS1596">
        <v>0</v>
      </c>
      <c r="AT1596" t="s">
        <v>90</v>
      </c>
      <c r="AU1596" s="1">
        <v>44215.527141203704</v>
      </c>
      <c r="AV1596">
        <v>21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61</v>
      </c>
      <c r="BC1596">
        <v>0</v>
      </c>
      <c r="BD1596">
        <v>0</v>
      </c>
      <c r="BE1596">
        <v>0</v>
      </c>
    </row>
    <row r="1597" spans="1:57" x14ac:dyDescent="0.45">
      <c r="A1597" t="s">
        <v>3948</v>
      </c>
      <c r="B1597" t="s">
        <v>79</v>
      </c>
      <c r="C1597" t="s">
        <v>3949</v>
      </c>
      <c r="D1597" t="s">
        <v>81</v>
      </c>
      <c r="E1597" s="2" t="str">
        <f>HYPERLINK("capsilon://?command=openfolder&amp;siteaddress=FAM.docvelocity-na8.net&amp;folderid=FX54C7184A-C0E4-56E8-7EAC-001AE9BA1B01","FX210110118")</f>
        <v>FX210110118</v>
      </c>
      <c r="F1597" t="s">
        <v>19</v>
      </c>
      <c r="G1597" t="s">
        <v>19</v>
      </c>
      <c r="H1597" t="s">
        <v>82</v>
      </c>
      <c r="I1597" t="s">
        <v>3950</v>
      </c>
      <c r="J1597">
        <v>220</v>
      </c>
      <c r="K1597" t="s">
        <v>84</v>
      </c>
      <c r="L1597" t="s">
        <v>85</v>
      </c>
      <c r="M1597" t="s">
        <v>86</v>
      </c>
      <c r="N1597">
        <v>3</v>
      </c>
      <c r="O1597" s="1">
        <v>44215.462013888886</v>
      </c>
      <c r="P1597" s="1">
        <v>44215.605486111112</v>
      </c>
      <c r="Q1597">
        <v>7761</v>
      </c>
      <c r="R1597">
        <v>4635</v>
      </c>
      <c r="S1597" t="b">
        <v>0</v>
      </c>
      <c r="T1597" t="s">
        <v>87</v>
      </c>
      <c r="U1597" t="b">
        <v>0</v>
      </c>
      <c r="V1597" t="s">
        <v>146</v>
      </c>
      <c r="W1597" s="1">
        <v>44215.517141203702</v>
      </c>
      <c r="X1597">
        <v>4070</v>
      </c>
      <c r="Y1597">
        <v>202</v>
      </c>
      <c r="Z1597">
        <v>0</v>
      </c>
      <c r="AA1597">
        <v>202</v>
      </c>
      <c r="AB1597">
        <v>0</v>
      </c>
      <c r="AC1597">
        <v>87</v>
      </c>
      <c r="AD1597">
        <v>18</v>
      </c>
      <c r="AE1597">
        <v>0</v>
      </c>
      <c r="AF1597">
        <v>0</v>
      </c>
      <c r="AG1597">
        <v>0</v>
      </c>
      <c r="AH1597" t="s">
        <v>128</v>
      </c>
      <c r="AI1597" s="1">
        <v>44215.550127314818</v>
      </c>
      <c r="AJ1597">
        <v>540</v>
      </c>
      <c r="AK1597">
        <v>3</v>
      </c>
      <c r="AL1597">
        <v>0</v>
      </c>
      <c r="AM1597">
        <v>3</v>
      </c>
      <c r="AN1597">
        <v>0</v>
      </c>
      <c r="AO1597">
        <v>3</v>
      </c>
      <c r="AP1597">
        <v>15</v>
      </c>
      <c r="AQ1597">
        <v>0</v>
      </c>
      <c r="AR1597">
        <v>0</v>
      </c>
      <c r="AS1597">
        <v>0</v>
      </c>
      <c r="AT1597" t="s">
        <v>90</v>
      </c>
      <c r="AU1597" s="1">
        <v>44215.605486111112</v>
      </c>
      <c r="AV1597">
        <v>25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15</v>
      </c>
      <c r="BC1597">
        <v>0</v>
      </c>
      <c r="BD1597">
        <v>0</v>
      </c>
      <c r="BE1597">
        <v>0</v>
      </c>
    </row>
    <row r="1598" spans="1:57" x14ac:dyDescent="0.45">
      <c r="A1598" t="s">
        <v>3951</v>
      </c>
      <c r="B1598" t="s">
        <v>79</v>
      </c>
      <c r="C1598" t="s">
        <v>3952</v>
      </c>
      <c r="D1598" t="s">
        <v>81</v>
      </c>
      <c r="E1598" s="2" t="str">
        <f>HYPERLINK("capsilon://?command=openfolder&amp;siteaddress=FAM.docvelocity-na8.net&amp;folderid=FX81604015-07C9-2FA8-1F0A-EAFDBF24C80F","FX21015236")</f>
        <v>FX21015236</v>
      </c>
      <c r="F1598" t="s">
        <v>19</v>
      </c>
      <c r="G1598" t="s">
        <v>19</v>
      </c>
      <c r="H1598" t="s">
        <v>82</v>
      </c>
      <c r="I1598" t="s">
        <v>3953</v>
      </c>
      <c r="J1598">
        <v>176</v>
      </c>
      <c r="K1598" t="s">
        <v>84</v>
      </c>
      <c r="L1598" t="s">
        <v>85</v>
      </c>
      <c r="M1598" t="s">
        <v>86</v>
      </c>
      <c r="N1598">
        <v>3</v>
      </c>
      <c r="O1598" s="1">
        <v>44215.462245370371</v>
      </c>
      <c r="P1598" s="1">
        <v>44215.521527777775</v>
      </c>
      <c r="Q1598">
        <v>2119</v>
      </c>
      <c r="R1598">
        <v>3003</v>
      </c>
      <c r="S1598" t="b">
        <v>0</v>
      </c>
      <c r="T1598" t="s">
        <v>87</v>
      </c>
      <c r="U1598" t="b">
        <v>0</v>
      </c>
      <c r="V1598" t="s">
        <v>419</v>
      </c>
      <c r="W1598" s="1">
        <v>44215.508912037039</v>
      </c>
      <c r="X1598">
        <v>2396</v>
      </c>
      <c r="Y1598">
        <v>151</v>
      </c>
      <c r="Z1598">
        <v>0</v>
      </c>
      <c r="AA1598">
        <v>151</v>
      </c>
      <c r="AB1598">
        <v>0</v>
      </c>
      <c r="AC1598">
        <v>84</v>
      </c>
      <c r="AD1598">
        <v>25</v>
      </c>
      <c r="AE1598">
        <v>0</v>
      </c>
      <c r="AF1598">
        <v>0</v>
      </c>
      <c r="AG1598">
        <v>0</v>
      </c>
      <c r="AH1598" t="s">
        <v>128</v>
      </c>
      <c r="AI1598" s="1">
        <v>44215.517905092594</v>
      </c>
      <c r="AJ1598">
        <v>494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25</v>
      </c>
      <c r="AQ1598">
        <v>0</v>
      </c>
      <c r="AR1598">
        <v>0</v>
      </c>
      <c r="AS1598">
        <v>0</v>
      </c>
      <c r="AT1598" t="s">
        <v>90</v>
      </c>
      <c r="AU1598" s="1">
        <v>44215.521527777775</v>
      </c>
      <c r="AV1598">
        <v>106</v>
      </c>
      <c r="AW1598">
        <v>2</v>
      </c>
      <c r="AX1598">
        <v>0</v>
      </c>
      <c r="AY1598">
        <v>2</v>
      </c>
      <c r="AZ1598">
        <v>36</v>
      </c>
      <c r="BA1598">
        <v>2</v>
      </c>
      <c r="BB1598">
        <v>23</v>
      </c>
      <c r="BC1598">
        <v>0</v>
      </c>
      <c r="BD1598">
        <v>0</v>
      </c>
      <c r="BE1598">
        <v>0</v>
      </c>
    </row>
    <row r="1599" spans="1:57" hidden="1" x14ac:dyDescent="0.45">
      <c r="A1599" t="s">
        <v>3954</v>
      </c>
      <c r="B1599" t="s">
        <v>79</v>
      </c>
      <c r="C1599" t="s">
        <v>392</v>
      </c>
      <c r="D1599" t="s">
        <v>81</v>
      </c>
      <c r="E1599" s="2" t="str">
        <f>HYPERLINK("capsilon://?command=openfolder&amp;siteaddress=FAM.docvelocity-na8.net&amp;folderid=FXF4969719-A629-8E75-DC1C-7EE0D9F2CDF5","FX20127324")</f>
        <v>FX20127324</v>
      </c>
      <c r="F1599" t="s">
        <v>19</v>
      </c>
      <c r="G1599" t="s">
        <v>19</v>
      </c>
      <c r="H1599" t="s">
        <v>82</v>
      </c>
      <c r="I1599" t="s">
        <v>3955</v>
      </c>
      <c r="J1599">
        <v>66</v>
      </c>
      <c r="K1599" t="s">
        <v>84</v>
      </c>
      <c r="L1599" t="s">
        <v>85</v>
      </c>
      <c r="M1599" t="s">
        <v>86</v>
      </c>
      <c r="N1599">
        <v>3</v>
      </c>
      <c r="O1599" s="1">
        <v>44215.462268518517</v>
      </c>
      <c r="P1599" s="1">
        <v>44215.521574074075</v>
      </c>
      <c r="Q1599">
        <v>4790</v>
      </c>
      <c r="R1599">
        <v>334</v>
      </c>
      <c r="S1599" t="b">
        <v>0</v>
      </c>
      <c r="T1599" t="s">
        <v>87</v>
      </c>
      <c r="U1599" t="b">
        <v>0</v>
      </c>
      <c r="V1599" t="s">
        <v>142</v>
      </c>
      <c r="W1599" s="1">
        <v>44215.482303240744</v>
      </c>
      <c r="X1599">
        <v>232</v>
      </c>
      <c r="Y1599">
        <v>0</v>
      </c>
      <c r="Z1599">
        <v>0</v>
      </c>
      <c r="AA1599">
        <v>0</v>
      </c>
      <c r="AB1599">
        <v>52</v>
      </c>
      <c r="AC1599">
        <v>0</v>
      </c>
      <c r="AD1599">
        <v>66</v>
      </c>
      <c r="AE1599">
        <v>0</v>
      </c>
      <c r="AF1599">
        <v>0</v>
      </c>
      <c r="AG1599">
        <v>0</v>
      </c>
      <c r="AH1599" t="s">
        <v>128</v>
      </c>
      <c r="AI1599" s="1">
        <v>44215.505937499998</v>
      </c>
      <c r="AJ1599">
        <v>83</v>
      </c>
      <c r="AK1599">
        <v>0</v>
      </c>
      <c r="AL1599">
        <v>0</v>
      </c>
      <c r="AM1599">
        <v>0</v>
      </c>
      <c r="AN1599">
        <v>52</v>
      </c>
      <c r="AO1599">
        <v>0</v>
      </c>
      <c r="AP1599">
        <v>66</v>
      </c>
      <c r="AQ1599">
        <v>0</v>
      </c>
      <c r="AR1599">
        <v>0</v>
      </c>
      <c r="AS1599">
        <v>0</v>
      </c>
      <c r="AT1599" t="s">
        <v>90</v>
      </c>
      <c r="AU1599" s="1">
        <v>44215.521574074075</v>
      </c>
      <c r="AV1599">
        <v>3</v>
      </c>
      <c r="AW1599">
        <v>0</v>
      </c>
      <c r="AX1599">
        <v>0</v>
      </c>
      <c r="AY1599">
        <v>0</v>
      </c>
      <c r="AZ1599">
        <v>52</v>
      </c>
      <c r="BA1599">
        <v>0</v>
      </c>
      <c r="BB1599">
        <v>66</v>
      </c>
      <c r="BC1599">
        <v>0</v>
      </c>
      <c r="BD1599">
        <v>0</v>
      </c>
      <c r="BE1599">
        <v>0</v>
      </c>
    </row>
    <row r="1600" spans="1:57" hidden="1" x14ac:dyDescent="0.45">
      <c r="A1600" t="s">
        <v>3956</v>
      </c>
      <c r="B1600" t="s">
        <v>79</v>
      </c>
      <c r="C1600" t="s">
        <v>1317</v>
      </c>
      <c r="D1600" t="s">
        <v>81</v>
      </c>
      <c r="E1600" s="2" t="str">
        <f>HYPERLINK("capsilon://?command=openfolder&amp;siteaddress=FAM.docvelocity-na8.net&amp;folderid=FXB116B044-2931-863F-54C9-8462069A5A4A","FX20128681")</f>
        <v>FX20128681</v>
      </c>
      <c r="F1600" t="s">
        <v>19</v>
      </c>
      <c r="G1600" t="s">
        <v>19</v>
      </c>
      <c r="H1600" t="s">
        <v>82</v>
      </c>
      <c r="I1600" t="s">
        <v>3957</v>
      </c>
      <c r="J1600">
        <v>38</v>
      </c>
      <c r="K1600" t="s">
        <v>84</v>
      </c>
      <c r="L1600" t="s">
        <v>85</v>
      </c>
      <c r="M1600" t="s">
        <v>86</v>
      </c>
      <c r="N1600">
        <v>3</v>
      </c>
      <c r="O1600" s="1">
        <v>44215.466689814813</v>
      </c>
      <c r="P1600" s="1">
        <v>44215.521608796298</v>
      </c>
      <c r="Q1600">
        <v>4289</v>
      </c>
      <c r="R1600">
        <v>456</v>
      </c>
      <c r="S1600" t="b">
        <v>0</v>
      </c>
      <c r="T1600" t="s">
        <v>87</v>
      </c>
      <c r="U1600" t="b">
        <v>0</v>
      </c>
      <c r="V1600" t="s">
        <v>262</v>
      </c>
      <c r="W1600" s="1">
        <v>44215.479884259257</v>
      </c>
      <c r="X1600">
        <v>239</v>
      </c>
      <c r="Y1600">
        <v>0</v>
      </c>
      <c r="Z1600">
        <v>0</v>
      </c>
      <c r="AA1600">
        <v>0</v>
      </c>
      <c r="AB1600">
        <v>37</v>
      </c>
      <c r="AC1600">
        <v>0</v>
      </c>
      <c r="AD1600">
        <v>38</v>
      </c>
      <c r="AE1600">
        <v>0</v>
      </c>
      <c r="AF1600">
        <v>0</v>
      </c>
      <c r="AG1600">
        <v>0</v>
      </c>
      <c r="AH1600" t="s">
        <v>267</v>
      </c>
      <c r="AI1600" s="1">
        <v>44215.5077662037</v>
      </c>
      <c r="AJ1600">
        <v>215</v>
      </c>
      <c r="AK1600">
        <v>0</v>
      </c>
      <c r="AL1600">
        <v>0</v>
      </c>
      <c r="AM1600">
        <v>0</v>
      </c>
      <c r="AN1600">
        <v>37</v>
      </c>
      <c r="AO1600">
        <v>0</v>
      </c>
      <c r="AP1600">
        <v>38</v>
      </c>
      <c r="AQ1600">
        <v>0</v>
      </c>
      <c r="AR1600">
        <v>0</v>
      </c>
      <c r="AS1600">
        <v>0</v>
      </c>
      <c r="AT1600" t="s">
        <v>90</v>
      </c>
      <c r="AU1600" s="1">
        <v>44215.521608796298</v>
      </c>
      <c r="AV1600">
        <v>2</v>
      </c>
      <c r="AW1600">
        <v>0</v>
      </c>
      <c r="AX1600">
        <v>0</v>
      </c>
      <c r="AY1600">
        <v>0</v>
      </c>
      <c r="AZ1600">
        <v>37</v>
      </c>
      <c r="BA1600">
        <v>0</v>
      </c>
      <c r="BB1600">
        <v>38</v>
      </c>
      <c r="BC1600">
        <v>0</v>
      </c>
      <c r="BD1600">
        <v>0</v>
      </c>
      <c r="BE1600">
        <v>0</v>
      </c>
    </row>
    <row r="1601" spans="1:57" x14ac:dyDescent="0.45">
      <c r="A1601" t="s">
        <v>3958</v>
      </c>
      <c r="B1601" t="s">
        <v>79</v>
      </c>
      <c r="C1601" t="s">
        <v>3959</v>
      </c>
      <c r="D1601" t="s">
        <v>81</v>
      </c>
      <c r="E1601" s="2" t="str">
        <f>HYPERLINK("capsilon://?command=openfolder&amp;siteaddress=FAM.docvelocity-na8.net&amp;folderid=FXD63DB9F3-6779-7EC7-0088-989EB54E43ED","FX21017737")</f>
        <v>FX21017737</v>
      </c>
      <c r="F1601" t="s">
        <v>19</v>
      </c>
      <c r="G1601" t="s">
        <v>19</v>
      </c>
      <c r="H1601" t="s">
        <v>82</v>
      </c>
      <c r="I1601" t="s">
        <v>3960</v>
      </c>
      <c r="J1601">
        <v>388</v>
      </c>
      <c r="K1601" t="s">
        <v>84</v>
      </c>
      <c r="L1601" t="s">
        <v>85</v>
      </c>
      <c r="M1601" t="s">
        <v>86</v>
      </c>
      <c r="N1601">
        <v>3</v>
      </c>
      <c r="O1601" s="1">
        <v>44215.46875</v>
      </c>
      <c r="P1601" s="1">
        <v>44215.631018518521</v>
      </c>
      <c r="Q1601">
        <v>5295</v>
      </c>
      <c r="R1601">
        <v>8725</v>
      </c>
      <c r="S1601" t="b">
        <v>0</v>
      </c>
      <c r="T1601" t="s">
        <v>87</v>
      </c>
      <c r="U1601" t="b">
        <v>0</v>
      </c>
      <c r="V1601" t="s">
        <v>142</v>
      </c>
      <c r="W1601" s="1">
        <v>44215.56527777778</v>
      </c>
      <c r="X1601">
        <v>4985</v>
      </c>
      <c r="Y1601">
        <v>390</v>
      </c>
      <c r="Z1601">
        <v>0</v>
      </c>
      <c r="AA1601">
        <v>390</v>
      </c>
      <c r="AB1601">
        <v>37</v>
      </c>
      <c r="AC1601">
        <v>242</v>
      </c>
      <c r="AD1601">
        <v>-2</v>
      </c>
      <c r="AE1601">
        <v>0</v>
      </c>
      <c r="AF1601">
        <v>0</v>
      </c>
      <c r="AG1601">
        <v>0</v>
      </c>
      <c r="AH1601" t="s">
        <v>128</v>
      </c>
      <c r="AI1601" s="1">
        <v>44215.582997685182</v>
      </c>
      <c r="AJ1601">
        <v>1168</v>
      </c>
      <c r="AK1601">
        <v>3</v>
      </c>
      <c r="AL1601">
        <v>0</v>
      </c>
      <c r="AM1601">
        <v>3</v>
      </c>
      <c r="AN1601">
        <v>37</v>
      </c>
      <c r="AO1601">
        <v>3</v>
      </c>
      <c r="AP1601">
        <v>-5</v>
      </c>
      <c r="AQ1601">
        <v>0</v>
      </c>
      <c r="AR1601">
        <v>0</v>
      </c>
      <c r="AS1601">
        <v>0</v>
      </c>
      <c r="AT1601" t="s">
        <v>90</v>
      </c>
      <c r="AU1601" s="1">
        <v>44215.631018518521</v>
      </c>
      <c r="AV1601">
        <v>125</v>
      </c>
      <c r="AW1601">
        <v>3</v>
      </c>
      <c r="AX1601">
        <v>0</v>
      </c>
      <c r="AY1601">
        <v>3</v>
      </c>
      <c r="AZ1601">
        <v>37</v>
      </c>
      <c r="BA1601">
        <v>3</v>
      </c>
      <c r="BB1601">
        <v>-8</v>
      </c>
      <c r="BC1601">
        <v>0</v>
      </c>
      <c r="BD1601">
        <v>0</v>
      </c>
      <c r="BE1601">
        <v>0</v>
      </c>
    </row>
    <row r="1602" spans="1:57" hidden="1" x14ac:dyDescent="0.45">
      <c r="A1602" t="s">
        <v>3961</v>
      </c>
      <c r="B1602" t="s">
        <v>79</v>
      </c>
      <c r="C1602" t="s">
        <v>3962</v>
      </c>
      <c r="D1602" t="s">
        <v>81</v>
      </c>
      <c r="E1602" s="2" t="str">
        <f>HYPERLINK("capsilon://?command=openfolder&amp;siteaddress=FAM.docvelocity-na8.net&amp;folderid=FXCA40F804-62E7-B55B-F1C0-B8879B453202","FX20127602")</f>
        <v>FX20127602</v>
      </c>
      <c r="F1602" t="s">
        <v>19</v>
      </c>
      <c r="G1602" t="s">
        <v>19</v>
      </c>
      <c r="H1602" t="s">
        <v>82</v>
      </c>
      <c r="I1602" t="s">
        <v>3963</v>
      </c>
      <c r="J1602">
        <v>66</v>
      </c>
      <c r="K1602" t="s">
        <v>84</v>
      </c>
      <c r="L1602" t="s">
        <v>85</v>
      </c>
      <c r="M1602" t="s">
        <v>86</v>
      </c>
      <c r="N1602">
        <v>1</v>
      </c>
      <c r="O1602" s="1">
        <v>44215.471331018518</v>
      </c>
      <c r="P1602" s="1">
        <v>44215.487303240741</v>
      </c>
      <c r="Q1602">
        <v>954</v>
      </c>
      <c r="R1602">
        <v>426</v>
      </c>
      <c r="S1602" t="b">
        <v>0</v>
      </c>
      <c r="T1602" t="s">
        <v>87</v>
      </c>
      <c r="U1602" t="b">
        <v>0</v>
      </c>
      <c r="V1602" t="s">
        <v>255</v>
      </c>
      <c r="W1602" s="1">
        <v>44215.487303240741</v>
      </c>
      <c r="X1602">
        <v>426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66</v>
      </c>
      <c r="AE1602">
        <v>52</v>
      </c>
      <c r="AF1602">
        <v>0</v>
      </c>
      <c r="AG1602">
        <v>1</v>
      </c>
      <c r="AH1602" t="s">
        <v>87</v>
      </c>
      <c r="AI1602" t="s">
        <v>87</v>
      </c>
      <c r="AJ1602" t="s">
        <v>87</v>
      </c>
      <c r="AK1602" t="s">
        <v>87</v>
      </c>
      <c r="AL1602" t="s">
        <v>87</v>
      </c>
      <c r="AM1602" t="s">
        <v>87</v>
      </c>
      <c r="AN1602" t="s">
        <v>87</v>
      </c>
      <c r="AO1602" t="s">
        <v>87</v>
      </c>
      <c r="AP1602" t="s">
        <v>87</v>
      </c>
      <c r="AQ1602" t="s">
        <v>87</v>
      </c>
      <c r="AR1602" t="s">
        <v>87</v>
      </c>
      <c r="AS1602" t="s">
        <v>87</v>
      </c>
      <c r="AT1602" t="s">
        <v>87</v>
      </c>
      <c r="AU1602" t="s">
        <v>87</v>
      </c>
      <c r="AV1602" t="s">
        <v>87</v>
      </c>
      <c r="AW1602" t="s">
        <v>87</v>
      </c>
      <c r="AX1602" t="s">
        <v>87</v>
      </c>
      <c r="AY1602" t="s">
        <v>87</v>
      </c>
      <c r="AZ1602" t="s">
        <v>87</v>
      </c>
      <c r="BA1602" t="s">
        <v>87</v>
      </c>
      <c r="BB1602" t="s">
        <v>87</v>
      </c>
      <c r="BC1602" t="s">
        <v>87</v>
      </c>
      <c r="BD1602" t="s">
        <v>87</v>
      </c>
      <c r="BE1602" t="s">
        <v>87</v>
      </c>
    </row>
    <row r="1603" spans="1:57" x14ac:dyDescent="0.45">
      <c r="A1603" t="s">
        <v>3964</v>
      </c>
      <c r="B1603" t="s">
        <v>79</v>
      </c>
      <c r="C1603" t="s">
        <v>3965</v>
      </c>
      <c r="D1603" t="s">
        <v>81</v>
      </c>
      <c r="E1603" s="2" t="str">
        <f>HYPERLINK("capsilon://?command=openfolder&amp;siteaddress=FAM.docvelocity-na8.net&amp;folderid=FX92656B5A-AAFA-B051-B4B3-65F010AF0D18","FX20125641")</f>
        <v>FX20125641</v>
      </c>
      <c r="F1603" t="s">
        <v>19</v>
      </c>
      <c r="G1603" t="s">
        <v>19</v>
      </c>
      <c r="H1603" t="s">
        <v>82</v>
      </c>
      <c r="I1603" t="s">
        <v>3966</v>
      </c>
      <c r="J1603">
        <v>185</v>
      </c>
      <c r="K1603" t="s">
        <v>84</v>
      </c>
      <c r="L1603" t="s">
        <v>85</v>
      </c>
      <c r="M1603" t="s">
        <v>86</v>
      </c>
      <c r="N1603">
        <v>3</v>
      </c>
      <c r="O1603" s="1">
        <v>44215.471701388888</v>
      </c>
      <c r="P1603" s="1">
        <v>44215.521886574075</v>
      </c>
      <c r="Q1603">
        <v>1658</v>
      </c>
      <c r="R1603">
        <v>2678</v>
      </c>
      <c r="S1603" t="b">
        <v>0</v>
      </c>
      <c r="T1603" t="s">
        <v>87</v>
      </c>
      <c r="U1603" t="b">
        <v>0</v>
      </c>
      <c r="V1603" t="s">
        <v>112</v>
      </c>
      <c r="W1603" s="1">
        <v>44215.507002314815</v>
      </c>
      <c r="X1603">
        <v>1888</v>
      </c>
      <c r="Y1603">
        <v>163</v>
      </c>
      <c r="Z1603">
        <v>0</v>
      </c>
      <c r="AA1603">
        <v>163</v>
      </c>
      <c r="AB1603">
        <v>0</v>
      </c>
      <c r="AC1603">
        <v>23</v>
      </c>
      <c r="AD1603">
        <v>22</v>
      </c>
      <c r="AE1603">
        <v>0</v>
      </c>
      <c r="AF1603">
        <v>0</v>
      </c>
      <c r="AG1603">
        <v>0</v>
      </c>
      <c r="AH1603" t="s">
        <v>267</v>
      </c>
      <c r="AI1603" s="1">
        <v>44215.516412037039</v>
      </c>
      <c r="AJ1603">
        <v>746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22</v>
      </c>
      <c r="AQ1603">
        <v>0</v>
      </c>
      <c r="AR1603">
        <v>0</v>
      </c>
      <c r="AS1603">
        <v>0</v>
      </c>
      <c r="AT1603" t="s">
        <v>90</v>
      </c>
      <c r="AU1603" s="1">
        <v>44215.521886574075</v>
      </c>
      <c r="AV1603">
        <v>23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22</v>
      </c>
      <c r="BC1603">
        <v>0</v>
      </c>
      <c r="BD1603">
        <v>0</v>
      </c>
      <c r="BE1603">
        <v>0</v>
      </c>
    </row>
    <row r="1604" spans="1:57" x14ac:dyDescent="0.45">
      <c r="A1604" t="s">
        <v>3967</v>
      </c>
      <c r="B1604" t="s">
        <v>79</v>
      </c>
      <c r="C1604" t="s">
        <v>1126</v>
      </c>
      <c r="D1604" t="s">
        <v>81</v>
      </c>
      <c r="E1604" s="2" t="str">
        <f>HYPERLINK("capsilon://?command=openfolder&amp;siteaddress=FAM.docvelocity-na8.net&amp;folderid=FX33936E1D-B581-05EC-799E-4282AA58C974","FX210162")</f>
        <v>FX210162</v>
      </c>
      <c r="F1604" t="s">
        <v>19</v>
      </c>
      <c r="G1604" t="s">
        <v>19</v>
      </c>
      <c r="H1604" t="s">
        <v>82</v>
      </c>
      <c r="I1604" t="s">
        <v>3968</v>
      </c>
      <c r="J1604">
        <v>38</v>
      </c>
      <c r="K1604" t="s">
        <v>84</v>
      </c>
      <c r="L1604" t="s">
        <v>85</v>
      </c>
      <c r="M1604" t="s">
        <v>86</v>
      </c>
      <c r="N1604">
        <v>3</v>
      </c>
      <c r="O1604" s="1">
        <v>44215.472916666666</v>
      </c>
      <c r="P1604" s="1">
        <v>44215.521956018521</v>
      </c>
      <c r="Q1604">
        <v>3349</v>
      </c>
      <c r="R1604">
        <v>888</v>
      </c>
      <c r="S1604" t="b">
        <v>0</v>
      </c>
      <c r="T1604" t="s">
        <v>87</v>
      </c>
      <c r="U1604" t="b">
        <v>0</v>
      </c>
      <c r="V1604" t="s">
        <v>262</v>
      </c>
      <c r="W1604" s="1">
        <v>44215.495289351849</v>
      </c>
      <c r="X1604">
        <v>717</v>
      </c>
      <c r="Y1604">
        <v>37</v>
      </c>
      <c r="Z1604">
        <v>0</v>
      </c>
      <c r="AA1604">
        <v>37</v>
      </c>
      <c r="AB1604">
        <v>0</v>
      </c>
      <c r="AC1604">
        <v>33</v>
      </c>
      <c r="AD1604">
        <v>1</v>
      </c>
      <c r="AE1604">
        <v>0</v>
      </c>
      <c r="AF1604">
        <v>0</v>
      </c>
      <c r="AG1604">
        <v>0</v>
      </c>
      <c r="AH1604" t="s">
        <v>108</v>
      </c>
      <c r="AI1604" s="1">
        <v>44215.510509259257</v>
      </c>
      <c r="AJ1604">
        <v>166</v>
      </c>
      <c r="AK1604">
        <v>2</v>
      </c>
      <c r="AL1604">
        <v>0</v>
      </c>
      <c r="AM1604">
        <v>2</v>
      </c>
      <c r="AN1604">
        <v>0</v>
      </c>
      <c r="AO1604">
        <v>0</v>
      </c>
      <c r="AP1604">
        <v>-1</v>
      </c>
      <c r="AQ1604">
        <v>0</v>
      </c>
      <c r="AR1604">
        <v>0</v>
      </c>
      <c r="AS1604">
        <v>0</v>
      </c>
      <c r="AT1604" t="s">
        <v>90</v>
      </c>
      <c r="AU1604" s="1">
        <v>44215.521956018521</v>
      </c>
      <c r="AV1604">
        <v>5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-1</v>
      </c>
      <c r="BC1604">
        <v>0</v>
      </c>
      <c r="BD1604">
        <v>0</v>
      </c>
      <c r="BE1604">
        <v>0</v>
      </c>
    </row>
    <row r="1605" spans="1:57" x14ac:dyDescent="0.45">
      <c r="A1605" t="s">
        <v>3969</v>
      </c>
      <c r="B1605" t="s">
        <v>79</v>
      </c>
      <c r="C1605" t="s">
        <v>3970</v>
      </c>
      <c r="D1605" t="s">
        <v>81</v>
      </c>
      <c r="E1605" s="2" t="str">
        <f>HYPERLINK("capsilon://?command=openfolder&amp;siteaddress=FAM.docvelocity-na8.net&amp;folderid=FX03C39D5F-1B83-4063-19F0-4A5052DC6333","FX21018617")</f>
        <v>FX21018617</v>
      </c>
      <c r="F1605" t="s">
        <v>19</v>
      </c>
      <c r="G1605" t="s">
        <v>19</v>
      </c>
      <c r="H1605" t="s">
        <v>82</v>
      </c>
      <c r="I1605" t="s">
        <v>3971</v>
      </c>
      <c r="J1605">
        <v>920</v>
      </c>
      <c r="K1605" t="s">
        <v>84</v>
      </c>
      <c r="L1605" t="s">
        <v>85</v>
      </c>
      <c r="M1605" t="s">
        <v>86</v>
      </c>
      <c r="N1605">
        <v>3</v>
      </c>
      <c r="O1605" s="1">
        <v>44215.483634259261</v>
      </c>
      <c r="P1605" s="1">
        <v>44215.6325</v>
      </c>
      <c r="Q1605">
        <v>1703</v>
      </c>
      <c r="R1605">
        <v>11159</v>
      </c>
      <c r="S1605" t="b">
        <v>0</v>
      </c>
      <c r="T1605" t="s">
        <v>87</v>
      </c>
      <c r="U1605" t="b">
        <v>0</v>
      </c>
      <c r="V1605" t="s">
        <v>242</v>
      </c>
      <c r="W1605" s="1">
        <v>44215.588171296295</v>
      </c>
      <c r="X1605">
        <v>8741</v>
      </c>
      <c r="Y1605">
        <v>829</v>
      </c>
      <c r="Z1605">
        <v>0</v>
      </c>
      <c r="AA1605">
        <v>829</v>
      </c>
      <c r="AB1605">
        <v>85</v>
      </c>
      <c r="AC1605">
        <v>458</v>
      </c>
      <c r="AD1605">
        <v>91</v>
      </c>
      <c r="AE1605">
        <v>0</v>
      </c>
      <c r="AF1605">
        <v>0</v>
      </c>
      <c r="AG1605">
        <v>0</v>
      </c>
      <c r="AH1605" t="s">
        <v>128</v>
      </c>
      <c r="AI1605" s="1">
        <v>44215.615011574075</v>
      </c>
      <c r="AJ1605">
        <v>2291</v>
      </c>
      <c r="AK1605">
        <v>2</v>
      </c>
      <c r="AL1605">
        <v>0</v>
      </c>
      <c r="AM1605">
        <v>2</v>
      </c>
      <c r="AN1605">
        <v>85</v>
      </c>
      <c r="AO1605">
        <v>2</v>
      </c>
      <c r="AP1605">
        <v>89</v>
      </c>
      <c r="AQ1605">
        <v>0</v>
      </c>
      <c r="AR1605">
        <v>0</v>
      </c>
      <c r="AS1605">
        <v>0</v>
      </c>
      <c r="AT1605" t="s">
        <v>90</v>
      </c>
      <c r="AU1605" s="1">
        <v>44215.6325</v>
      </c>
      <c r="AV1605">
        <v>127</v>
      </c>
      <c r="AW1605">
        <v>0</v>
      </c>
      <c r="AX1605">
        <v>0</v>
      </c>
      <c r="AY1605">
        <v>0</v>
      </c>
      <c r="AZ1605">
        <v>85</v>
      </c>
      <c r="BA1605">
        <v>0</v>
      </c>
      <c r="BB1605">
        <v>89</v>
      </c>
      <c r="BC1605">
        <v>0</v>
      </c>
      <c r="BD1605">
        <v>0</v>
      </c>
      <c r="BE1605">
        <v>0</v>
      </c>
    </row>
    <row r="1606" spans="1:57" x14ac:dyDescent="0.45">
      <c r="A1606" t="s">
        <v>3972</v>
      </c>
      <c r="B1606" t="s">
        <v>79</v>
      </c>
      <c r="C1606" t="s">
        <v>3973</v>
      </c>
      <c r="D1606" t="s">
        <v>81</v>
      </c>
      <c r="E1606" s="2" t="str">
        <f>HYPERLINK("capsilon://?command=openfolder&amp;siteaddress=FAM.docvelocity-na8.net&amp;folderid=FXDA0A6735-30E6-B22E-D677-E7FE0BC95AEF","FX21019360")</f>
        <v>FX21019360</v>
      </c>
      <c r="F1606" t="s">
        <v>19</v>
      </c>
      <c r="G1606" t="s">
        <v>19</v>
      </c>
      <c r="H1606" t="s">
        <v>82</v>
      </c>
      <c r="I1606" t="s">
        <v>3974</v>
      </c>
      <c r="J1606">
        <v>465</v>
      </c>
      <c r="K1606" t="s">
        <v>84</v>
      </c>
      <c r="L1606" t="s">
        <v>85</v>
      </c>
      <c r="M1606" t="s">
        <v>86</v>
      </c>
      <c r="N1606">
        <v>3</v>
      </c>
      <c r="O1606" s="1">
        <v>44215.485659722224</v>
      </c>
      <c r="P1606" s="1">
        <v>44215.632893518516</v>
      </c>
      <c r="Q1606">
        <v>8325</v>
      </c>
      <c r="R1606">
        <v>4396</v>
      </c>
      <c r="S1606" t="b">
        <v>0</v>
      </c>
      <c r="T1606" t="s">
        <v>87</v>
      </c>
      <c r="U1606" t="b">
        <v>0</v>
      </c>
      <c r="V1606" t="s">
        <v>255</v>
      </c>
      <c r="W1606" s="1">
        <v>44215.525277777779</v>
      </c>
      <c r="X1606">
        <v>3281</v>
      </c>
      <c r="Y1606">
        <v>343</v>
      </c>
      <c r="Z1606">
        <v>0</v>
      </c>
      <c r="AA1606">
        <v>343</v>
      </c>
      <c r="AB1606">
        <v>37</v>
      </c>
      <c r="AC1606">
        <v>258</v>
      </c>
      <c r="AD1606">
        <v>122</v>
      </c>
      <c r="AE1606">
        <v>0</v>
      </c>
      <c r="AF1606">
        <v>0</v>
      </c>
      <c r="AG1606">
        <v>0</v>
      </c>
      <c r="AH1606" t="s">
        <v>128</v>
      </c>
      <c r="AI1606" s="1">
        <v>44215.562662037039</v>
      </c>
      <c r="AJ1606">
        <v>1082</v>
      </c>
      <c r="AK1606">
        <v>4</v>
      </c>
      <c r="AL1606">
        <v>0</v>
      </c>
      <c r="AM1606">
        <v>4</v>
      </c>
      <c r="AN1606">
        <v>37</v>
      </c>
      <c r="AO1606">
        <v>4</v>
      </c>
      <c r="AP1606">
        <v>118</v>
      </c>
      <c r="AQ1606">
        <v>0</v>
      </c>
      <c r="AR1606">
        <v>0</v>
      </c>
      <c r="AS1606">
        <v>0</v>
      </c>
      <c r="AT1606" t="s">
        <v>90</v>
      </c>
      <c r="AU1606" s="1">
        <v>44215.632893518516</v>
      </c>
      <c r="AV1606">
        <v>33</v>
      </c>
      <c r="AW1606">
        <v>0</v>
      </c>
      <c r="AX1606">
        <v>0</v>
      </c>
      <c r="AY1606">
        <v>0</v>
      </c>
      <c r="AZ1606">
        <v>37</v>
      </c>
      <c r="BA1606">
        <v>0</v>
      </c>
      <c r="BB1606">
        <v>118</v>
      </c>
      <c r="BC1606">
        <v>0</v>
      </c>
      <c r="BD1606">
        <v>0</v>
      </c>
      <c r="BE1606">
        <v>0</v>
      </c>
    </row>
    <row r="1607" spans="1:57" x14ac:dyDescent="0.45">
      <c r="A1607" t="s">
        <v>3975</v>
      </c>
      <c r="B1607" t="s">
        <v>79</v>
      </c>
      <c r="C1607" t="s">
        <v>3976</v>
      </c>
      <c r="D1607" t="s">
        <v>81</v>
      </c>
      <c r="E1607" s="2" t="str">
        <f>HYPERLINK("capsilon://?command=openfolder&amp;siteaddress=FAM.docvelocity-na8.net&amp;folderid=FX502CDE98-A809-1CD4-07A2-526771A5EF93","FX21019613")</f>
        <v>FX21019613</v>
      </c>
      <c r="F1607" t="s">
        <v>19</v>
      </c>
      <c r="G1607" t="s">
        <v>19</v>
      </c>
      <c r="H1607" t="s">
        <v>82</v>
      </c>
      <c r="I1607" t="s">
        <v>3977</v>
      </c>
      <c r="J1607">
        <v>226</v>
      </c>
      <c r="K1607" t="s">
        <v>84</v>
      </c>
      <c r="L1607" t="s">
        <v>85</v>
      </c>
      <c r="M1607" t="s">
        <v>86</v>
      </c>
      <c r="N1607">
        <v>3</v>
      </c>
      <c r="O1607" s="1">
        <v>44215.48709490741</v>
      </c>
      <c r="P1607" s="1">
        <v>44215.633530092593</v>
      </c>
      <c r="Q1607">
        <v>9649</v>
      </c>
      <c r="R1607">
        <v>3003</v>
      </c>
      <c r="S1607" t="b">
        <v>0</v>
      </c>
      <c r="T1607" t="s">
        <v>87</v>
      </c>
      <c r="U1607" t="b">
        <v>0</v>
      </c>
      <c r="V1607" t="s">
        <v>142</v>
      </c>
      <c r="W1607" s="1">
        <v>44215.506956018522</v>
      </c>
      <c r="X1607">
        <v>1661</v>
      </c>
      <c r="Y1607">
        <v>161</v>
      </c>
      <c r="Z1607">
        <v>0</v>
      </c>
      <c r="AA1607">
        <v>161</v>
      </c>
      <c r="AB1607">
        <v>0</v>
      </c>
      <c r="AC1607">
        <v>109</v>
      </c>
      <c r="AD1607">
        <v>65</v>
      </c>
      <c r="AE1607">
        <v>0</v>
      </c>
      <c r="AF1607">
        <v>0</v>
      </c>
      <c r="AG1607">
        <v>0</v>
      </c>
      <c r="AH1607" t="s">
        <v>267</v>
      </c>
      <c r="AI1607" s="1">
        <v>44215.579189814816</v>
      </c>
      <c r="AJ1607">
        <v>1287</v>
      </c>
      <c r="AK1607">
        <v>2</v>
      </c>
      <c r="AL1607">
        <v>0</v>
      </c>
      <c r="AM1607">
        <v>2</v>
      </c>
      <c r="AN1607">
        <v>0</v>
      </c>
      <c r="AO1607">
        <v>2</v>
      </c>
      <c r="AP1607">
        <v>63</v>
      </c>
      <c r="AQ1607">
        <v>0</v>
      </c>
      <c r="AR1607">
        <v>0</v>
      </c>
      <c r="AS1607">
        <v>0</v>
      </c>
      <c r="AT1607" t="s">
        <v>90</v>
      </c>
      <c r="AU1607" s="1">
        <v>44215.633530092593</v>
      </c>
      <c r="AV1607">
        <v>55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63</v>
      </c>
      <c r="BC1607">
        <v>0</v>
      </c>
      <c r="BD1607">
        <v>0</v>
      </c>
      <c r="BE1607">
        <v>0</v>
      </c>
    </row>
    <row r="1608" spans="1:57" hidden="1" x14ac:dyDescent="0.45">
      <c r="A1608" t="s">
        <v>3978</v>
      </c>
      <c r="B1608" t="s">
        <v>79</v>
      </c>
      <c r="C1608" t="s">
        <v>3979</v>
      </c>
      <c r="D1608" t="s">
        <v>81</v>
      </c>
      <c r="E1608" s="2" t="str">
        <f>HYPERLINK("capsilon://?command=openfolder&amp;siteaddress=FAM.docvelocity-na8.net&amp;folderid=FXBF6FE872-DDC4-7B31-E3C2-20596E6D0DE6","FX20128175")</f>
        <v>FX20128175</v>
      </c>
      <c r="F1608" t="s">
        <v>19</v>
      </c>
      <c r="G1608" t="s">
        <v>19</v>
      </c>
      <c r="H1608" t="s">
        <v>82</v>
      </c>
      <c r="I1608" t="s">
        <v>3980</v>
      </c>
      <c r="J1608">
        <v>76</v>
      </c>
      <c r="K1608" t="s">
        <v>84</v>
      </c>
      <c r="L1608" t="s">
        <v>85</v>
      </c>
      <c r="M1608" t="s">
        <v>86</v>
      </c>
      <c r="N1608">
        <v>1</v>
      </c>
      <c r="O1608" s="1">
        <v>44215.487511574072</v>
      </c>
      <c r="P1608" s="1">
        <v>44215.515370370369</v>
      </c>
      <c r="Q1608">
        <v>1568</v>
      </c>
      <c r="R1608">
        <v>839</v>
      </c>
      <c r="S1608" t="b">
        <v>0</v>
      </c>
      <c r="T1608" t="s">
        <v>87</v>
      </c>
      <c r="U1608" t="b">
        <v>0</v>
      </c>
      <c r="V1608" t="s">
        <v>419</v>
      </c>
      <c r="W1608" s="1">
        <v>44215.515370370369</v>
      </c>
      <c r="X1608">
        <v>557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76</v>
      </c>
      <c r="AE1608">
        <v>74</v>
      </c>
      <c r="AF1608">
        <v>0</v>
      </c>
      <c r="AG1608">
        <v>2</v>
      </c>
      <c r="AH1608" t="s">
        <v>87</v>
      </c>
      <c r="AI1608" t="s">
        <v>87</v>
      </c>
      <c r="AJ1608" t="s">
        <v>87</v>
      </c>
      <c r="AK1608" t="s">
        <v>87</v>
      </c>
      <c r="AL1608" t="s">
        <v>87</v>
      </c>
      <c r="AM1608" t="s">
        <v>87</v>
      </c>
      <c r="AN1608" t="s">
        <v>87</v>
      </c>
      <c r="AO1608" t="s">
        <v>87</v>
      </c>
      <c r="AP1608" t="s">
        <v>87</v>
      </c>
      <c r="AQ1608" t="s">
        <v>87</v>
      </c>
      <c r="AR1608" t="s">
        <v>87</v>
      </c>
      <c r="AS1608" t="s">
        <v>87</v>
      </c>
      <c r="AT1608" t="s">
        <v>87</v>
      </c>
      <c r="AU1608" t="s">
        <v>87</v>
      </c>
      <c r="AV1608" t="s">
        <v>87</v>
      </c>
      <c r="AW1608" t="s">
        <v>87</v>
      </c>
      <c r="AX1608" t="s">
        <v>87</v>
      </c>
      <c r="AY1608" t="s">
        <v>87</v>
      </c>
      <c r="AZ1608" t="s">
        <v>87</v>
      </c>
      <c r="BA1608" t="s">
        <v>87</v>
      </c>
      <c r="BB1608" t="s">
        <v>87</v>
      </c>
      <c r="BC1608" t="s">
        <v>87</v>
      </c>
      <c r="BD1608" t="s">
        <v>87</v>
      </c>
      <c r="BE1608" t="s">
        <v>87</v>
      </c>
    </row>
    <row r="1609" spans="1:57" x14ac:dyDescent="0.45">
      <c r="A1609" t="s">
        <v>3981</v>
      </c>
      <c r="B1609" t="s">
        <v>79</v>
      </c>
      <c r="C1609" t="s">
        <v>3962</v>
      </c>
      <c r="D1609" t="s">
        <v>81</v>
      </c>
      <c r="E1609" s="2" t="str">
        <f>HYPERLINK("capsilon://?command=openfolder&amp;siteaddress=FAM.docvelocity-na8.net&amp;folderid=FXCA40F804-62E7-B55B-F1C0-B8879B453202","FX20127602")</f>
        <v>FX20127602</v>
      </c>
      <c r="F1609" t="s">
        <v>19</v>
      </c>
      <c r="G1609" t="s">
        <v>19</v>
      </c>
      <c r="H1609" t="s">
        <v>82</v>
      </c>
      <c r="I1609" t="s">
        <v>3963</v>
      </c>
      <c r="J1609">
        <v>38</v>
      </c>
      <c r="K1609" t="s">
        <v>84</v>
      </c>
      <c r="L1609" t="s">
        <v>85</v>
      </c>
      <c r="M1609" t="s">
        <v>86</v>
      </c>
      <c r="N1609">
        <v>3</v>
      </c>
      <c r="O1609" s="1">
        <v>44215.487604166665</v>
      </c>
      <c r="P1609" s="1">
        <v>44215.543495370373</v>
      </c>
      <c r="Q1609">
        <v>1260</v>
      </c>
      <c r="R1609">
        <v>3569</v>
      </c>
      <c r="S1609" t="b">
        <v>0</v>
      </c>
      <c r="T1609" t="s">
        <v>87</v>
      </c>
      <c r="U1609" t="b">
        <v>1</v>
      </c>
      <c r="V1609" t="s">
        <v>171</v>
      </c>
      <c r="W1609" s="1">
        <v>44215.521574074075</v>
      </c>
      <c r="X1609">
        <v>2929</v>
      </c>
      <c r="Y1609">
        <v>37</v>
      </c>
      <c r="Z1609">
        <v>0</v>
      </c>
      <c r="AA1609">
        <v>37</v>
      </c>
      <c r="AB1609">
        <v>0</v>
      </c>
      <c r="AC1609">
        <v>15</v>
      </c>
      <c r="AD1609">
        <v>1</v>
      </c>
      <c r="AE1609">
        <v>0</v>
      </c>
      <c r="AF1609">
        <v>0</v>
      </c>
      <c r="AG1609">
        <v>0</v>
      </c>
      <c r="AH1609" t="s">
        <v>128</v>
      </c>
      <c r="AI1609" s="1">
        <v>44215.530162037037</v>
      </c>
      <c r="AJ1609">
        <v>609</v>
      </c>
      <c r="AK1609">
        <v>1</v>
      </c>
      <c r="AL1609">
        <v>0</v>
      </c>
      <c r="AM1609">
        <v>1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 t="s">
        <v>90</v>
      </c>
      <c r="AU1609" s="1">
        <v>44215.543495370373</v>
      </c>
      <c r="AV1609">
        <v>31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</row>
    <row r="1610" spans="1:57" x14ac:dyDescent="0.45">
      <c r="A1610" t="s">
        <v>3982</v>
      </c>
      <c r="B1610" t="s">
        <v>79</v>
      </c>
      <c r="C1610" t="s">
        <v>766</v>
      </c>
      <c r="D1610" t="s">
        <v>81</v>
      </c>
      <c r="E1610" s="2" t="str">
        <f>HYPERLINK("capsilon://?command=openfolder&amp;siteaddress=FAM.docvelocity-na8.net&amp;folderid=FX703DB583-9CA0-C36C-3CBB-17E2E14DBBEB","FX21012376")</f>
        <v>FX21012376</v>
      </c>
      <c r="F1610" t="s">
        <v>19</v>
      </c>
      <c r="G1610" t="s">
        <v>19</v>
      </c>
      <c r="H1610" t="s">
        <v>82</v>
      </c>
      <c r="I1610" t="s">
        <v>3983</v>
      </c>
      <c r="J1610">
        <v>66</v>
      </c>
      <c r="K1610" t="s">
        <v>84</v>
      </c>
      <c r="L1610" t="s">
        <v>85</v>
      </c>
      <c r="M1610" t="s">
        <v>86</v>
      </c>
      <c r="N1610">
        <v>3</v>
      </c>
      <c r="O1610" s="1">
        <v>44215.487835648149</v>
      </c>
      <c r="P1610" s="1">
        <v>44215.636041666665</v>
      </c>
      <c r="Q1610">
        <v>12059</v>
      </c>
      <c r="R1610">
        <v>746</v>
      </c>
      <c r="S1610" t="b">
        <v>0</v>
      </c>
      <c r="T1610" t="s">
        <v>87</v>
      </c>
      <c r="U1610" t="b">
        <v>0</v>
      </c>
      <c r="V1610" t="s">
        <v>112</v>
      </c>
      <c r="W1610" s="1">
        <v>44215.511574074073</v>
      </c>
      <c r="X1610">
        <v>394</v>
      </c>
      <c r="Y1610">
        <v>52</v>
      </c>
      <c r="Z1610">
        <v>0</v>
      </c>
      <c r="AA1610">
        <v>52</v>
      </c>
      <c r="AB1610">
        <v>0</v>
      </c>
      <c r="AC1610">
        <v>41</v>
      </c>
      <c r="AD1610">
        <v>14</v>
      </c>
      <c r="AE1610">
        <v>0</v>
      </c>
      <c r="AF1610">
        <v>0</v>
      </c>
      <c r="AG1610">
        <v>0</v>
      </c>
      <c r="AH1610" t="s">
        <v>128</v>
      </c>
      <c r="AI1610" s="1">
        <v>44215.588483796295</v>
      </c>
      <c r="AJ1610">
        <v>128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14</v>
      </c>
      <c r="AQ1610">
        <v>0</v>
      </c>
      <c r="AR1610">
        <v>0</v>
      </c>
      <c r="AS1610">
        <v>0</v>
      </c>
      <c r="AT1610" t="s">
        <v>90</v>
      </c>
      <c r="AU1610" s="1">
        <v>44215.636041666665</v>
      </c>
      <c r="AV1610">
        <v>216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14</v>
      </c>
      <c r="BC1610">
        <v>0</v>
      </c>
      <c r="BD1610">
        <v>0</v>
      </c>
      <c r="BE1610">
        <v>0</v>
      </c>
    </row>
    <row r="1611" spans="1:57" x14ac:dyDescent="0.45">
      <c r="A1611" t="s">
        <v>3984</v>
      </c>
      <c r="B1611" t="s">
        <v>79</v>
      </c>
      <c r="C1611" t="s">
        <v>3985</v>
      </c>
      <c r="D1611" t="s">
        <v>81</v>
      </c>
      <c r="E1611" s="2" t="str">
        <f>HYPERLINK("capsilon://?command=openfolder&amp;siteaddress=FAM.docvelocity-na8.net&amp;folderid=FX1987F8D2-BFEE-E09E-18CD-7E3C64E3FAF2","FX20127945")</f>
        <v>FX20127945</v>
      </c>
      <c r="F1611" t="s">
        <v>19</v>
      </c>
      <c r="G1611" t="s">
        <v>19</v>
      </c>
      <c r="H1611" t="s">
        <v>82</v>
      </c>
      <c r="I1611" t="s">
        <v>3986</v>
      </c>
      <c r="J1611">
        <v>40</v>
      </c>
      <c r="K1611" t="s">
        <v>84</v>
      </c>
      <c r="L1611" t="s">
        <v>85</v>
      </c>
      <c r="M1611" t="s">
        <v>86</v>
      </c>
      <c r="N1611">
        <v>3</v>
      </c>
      <c r="O1611" s="1">
        <v>44215.490266203706</v>
      </c>
      <c r="P1611" s="1">
        <v>44215.636944444443</v>
      </c>
      <c r="Q1611">
        <v>11735</v>
      </c>
      <c r="R1611">
        <v>938</v>
      </c>
      <c r="S1611" t="b">
        <v>0</v>
      </c>
      <c r="T1611" t="s">
        <v>87</v>
      </c>
      <c r="U1611" t="b">
        <v>0</v>
      </c>
      <c r="V1611" t="s">
        <v>343</v>
      </c>
      <c r="W1611" s="1">
        <v>44215.509722222225</v>
      </c>
      <c r="X1611">
        <v>552</v>
      </c>
      <c r="Y1611">
        <v>41</v>
      </c>
      <c r="Z1611">
        <v>0</v>
      </c>
      <c r="AA1611">
        <v>41</v>
      </c>
      <c r="AB1611">
        <v>0</v>
      </c>
      <c r="AC1611">
        <v>18</v>
      </c>
      <c r="AD1611">
        <v>-1</v>
      </c>
      <c r="AE1611">
        <v>0</v>
      </c>
      <c r="AF1611">
        <v>0</v>
      </c>
      <c r="AG1611">
        <v>0</v>
      </c>
      <c r="AH1611" t="s">
        <v>267</v>
      </c>
      <c r="AI1611" s="1">
        <v>44215.592129629629</v>
      </c>
      <c r="AJ1611">
        <v>372</v>
      </c>
      <c r="AK1611">
        <v>5</v>
      </c>
      <c r="AL1611">
        <v>0</v>
      </c>
      <c r="AM1611">
        <v>5</v>
      </c>
      <c r="AN1611">
        <v>0</v>
      </c>
      <c r="AO1611">
        <v>3</v>
      </c>
      <c r="AP1611">
        <v>-6</v>
      </c>
      <c r="AQ1611">
        <v>0</v>
      </c>
      <c r="AR1611">
        <v>0</v>
      </c>
      <c r="AS1611">
        <v>0</v>
      </c>
      <c r="AT1611" t="s">
        <v>90</v>
      </c>
      <c r="AU1611" s="1">
        <v>44215.636944444443</v>
      </c>
      <c r="AV1611">
        <v>14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-6</v>
      </c>
      <c r="BC1611">
        <v>0</v>
      </c>
      <c r="BD1611">
        <v>0</v>
      </c>
      <c r="BE1611">
        <v>0</v>
      </c>
    </row>
    <row r="1612" spans="1:57" hidden="1" x14ac:dyDescent="0.45">
      <c r="A1612" t="s">
        <v>3987</v>
      </c>
      <c r="B1612" t="s">
        <v>79</v>
      </c>
      <c r="C1612" t="s">
        <v>3988</v>
      </c>
      <c r="D1612" t="s">
        <v>81</v>
      </c>
      <c r="E1612" s="2" t="str">
        <f>HYPERLINK("capsilon://?command=openfolder&amp;siteaddress=FAM.docvelocity-na8.net&amp;folderid=FXA8869C83-15D8-F70E-3328-F3243AE4A4B3","FX201116917")</f>
        <v>FX201116917</v>
      </c>
      <c r="F1612" t="s">
        <v>19</v>
      </c>
      <c r="G1612" t="s">
        <v>19</v>
      </c>
      <c r="H1612" t="s">
        <v>82</v>
      </c>
      <c r="I1612" t="s">
        <v>3989</v>
      </c>
      <c r="J1612">
        <v>66</v>
      </c>
      <c r="K1612" t="s">
        <v>84</v>
      </c>
      <c r="L1612" t="s">
        <v>85</v>
      </c>
      <c r="M1612" t="s">
        <v>86</v>
      </c>
      <c r="N1612">
        <v>1</v>
      </c>
      <c r="O1612" s="1">
        <v>44215.490787037037</v>
      </c>
      <c r="P1612" s="1">
        <v>44215.513668981483</v>
      </c>
      <c r="Q1612">
        <v>1790</v>
      </c>
      <c r="R1612">
        <v>187</v>
      </c>
      <c r="S1612" t="b">
        <v>0</v>
      </c>
      <c r="T1612" t="s">
        <v>87</v>
      </c>
      <c r="U1612" t="b">
        <v>0</v>
      </c>
      <c r="V1612" t="s">
        <v>112</v>
      </c>
      <c r="W1612" s="1">
        <v>44215.513668981483</v>
      </c>
      <c r="X1612">
        <v>180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66</v>
      </c>
      <c r="AE1612">
        <v>52</v>
      </c>
      <c r="AF1612">
        <v>0</v>
      </c>
      <c r="AG1612">
        <v>1</v>
      </c>
      <c r="AH1612" t="s">
        <v>87</v>
      </c>
      <c r="AI1612" t="s">
        <v>87</v>
      </c>
      <c r="AJ1612" t="s">
        <v>87</v>
      </c>
      <c r="AK1612" t="s">
        <v>87</v>
      </c>
      <c r="AL1612" t="s">
        <v>87</v>
      </c>
      <c r="AM1612" t="s">
        <v>87</v>
      </c>
      <c r="AN1612" t="s">
        <v>87</v>
      </c>
      <c r="AO1612" t="s">
        <v>87</v>
      </c>
      <c r="AP1612" t="s">
        <v>87</v>
      </c>
      <c r="AQ1612" t="s">
        <v>87</v>
      </c>
      <c r="AR1612" t="s">
        <v>87</v>
      </c>
      <c r="AS1612" t="s">
        <v>87</v>
      </c>
      <c r="AT1612" t="s">
        <v>87</v>
      </c>
      <c r="AU1612" t="s">
        <v>87</v>
      </c>
      <c r="AV1612" t="s">
        <v>87</v>
      </c>
      <c r="AW1612" t="s">
        <v>87</v>
      </c>
      <c r="AX1612" t="s">
        <v>87</v>
      </c>
      <c r="AY1612" t="s">
        <v>87</v>
      </c>
      <c r="AZ1612" t="s">
        <v>87</v>
      </c>
      <c r="BA1612" t="s">
        <v>87</v>
      </c>
      <c r="BB1612" t="s">
        <v>87</v>
      </c>
      <c r="BC1612" t="s">
        <v>87</v>
      </c>
      <c r="BD1612" t="s">
        <v>87</v>
      </c>
      <c r="BE1612" t="s">
        <v>87</v>
      </c>
    </row>
    <row r="1613" spans="1:57" x14ac:dyDescent="0.45">
      <c r="A1613" t="s">
        <v>3990</v>
      </c>
      <c r="B1613" t="s">
        <v>79</v>
      </c>
      <c r="C1613" t="s">
        <v>3985</v>
      </c>
      <c r="D1613" t="s">
        <v>81</v>
      </c>
      <c r="E1613" s="2" t="str">
        <f>HYPERLINK("capsilon://?command=openfolder&amp;siteaddress=FAM.docvelocity-na8.net&amp;folderid=FX1987F8D2-BFEE-E09E-18CD-7E3C64E3FAF2","FX20127945")</f>
        <v>FX20127945</v>
      </c>
      <c r="F1613" t="s">
        <v>19</v>
      </c>
      <c r="G1613" t="s">
        <v>19</v>
      </c>
      <c r="H1613" t="s">
        <v>82</v>
      </c>
      <c r="I1613" t="s">
        <v>3991</v>
      </c>
      <c r="J1613">
        <v>57</v>
      </c>
      <c r="K1613" t="s">
        <v>84</v>
      </c>
      <c r="L1613" t="s">
        <v>85</v>
      </c>
      <c r="M1613" t="s">
        <v>86</v>
      </c>
      <c r="N1613">
        <v>3</v>
      </c>
      <c r="O1613" s="1">
        <v>44215.493518518517</v>
      </c>
      <c r="P1613" s="1">
        <v>44215.637025462966</v>
      </c>
      <c r="Q1613">
        <v>11191</v>
      </c>
      <c r="R1613">
        <v>1208</v>
      </c>
      <c r="S1613" t="b">
        <v>0</v>
      </c>
      <c r="T1613" t="s">
        <v>87</v>
      </c>
      <c r="U1613" t="b">
        <v>0</v>
      </c>
      <c r="V1613" t="s">
        <v>419</v>
      </c>
      <c r="W1613" s="1">
        <v>44215.525671296295</v>
      </c>
      <c r="X1613">
        <v>889</v>
      </c>
      <c r="Y1613">
        <v>61</v>
      </c>
      <c r="Z1613">
        <v>0</v>
      </c>
      <c r="AA1613">
        <v>61</v>
      </c>
      <c r="AB1613">
        <v>0</v>
      </c>
      <c r="AC1613">
        <v>38</v>
      </c>
      <c r="AD1613">
        <v>-4</v>
      </c>
      <c r="AE1613">
        <v>0</v>
      </c>
      <c r="AF1613">
        <v>0</v>
      </c>
      <c r="AG1613">
        <v>0</v>
      </c>
      <c r="AH1613" t="s">
        <v>267</v>
      </c>
      <c r="AI1613" s="1">
        <v>44215.595416666663</v>
      </c>
      <c r="AJ1613">
        <v>283</v>
      </c>
      <c r="AK1613">
        <v>2</v>
      </c>
      <c r="AL1613">
        <v>0</v>
      </c>
      <c r="AM1613">
        <v>2</v>
      </c>
      <c r="AN1613">
        <v>0</v>
      </c>
      <c r="AO1613">
        <v>2</v>
      </c>
      <c r="AP1613">
        <v>-6</v>
      </c>
      <c r="AQ1613">
        <v>0</v>
      </c>
      <c r="AR1613">
        <v>0</v>
      </c>
      <c r="AS1613">
        <v>0</v>
      </c>
      <c r="AT1613" t="s">
        <v>90</v>
      </c>
      <c r="AU1613" s="1">
        <v>44215.637025462966</v>
      </c>
      <c r="AV1613">
        <v>6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-6</v>
      </c>
      <c r="BC1613">
        <v>0</v>
      </c>
      <c r="BD1613">
        <v>0</v>
      </c>
      <c r="BE1613">
        <v>0</v>
      </c>
    </row>
    <row r="1614" spans="1:57" x14ac:dyDescent="0.45">
      <c r="A1614" t="s">
        <v>3992</v>
      </c>
      <c r="B1614" t="s">
        <v>79</v>
      </c>
      <c r="C1614" t="s">
        <v>766</v>
      </c>
      <c r="D1614" t="s">
        <v>81</v>
      </c>
      <c r="E1614" s="2" t="str">
        <f>HYPERLINK("capsilon://?command=openfolder&amp;siteaddress=FAM.docvelocity-na8.net&amp;folderid=FX703DB583-9CA0-C36C-3CBB-17E2E14DBBEB","FX21012376")</f>
        <v>FX21012376</v>
      </c>
      <c r="F1614" t="s">
        <v>19</v>
      </c>
      <c r="G1614" t="s">
        <v>19</v>
      </c>
      <c r="H1614" t="s">
        <v>82</v>
      </c>
      <c r="I1614" t="s">
        <v>3993</v>
      </c>
      <c r="J1614">
        <v>26</v>
      </c>
      <c r="K1614" t="s">
        <v>84</v>
      </c>
      <c r="L1614" t="s">
        <v>85</v>
      </c>
      <c r="M1614" t="s">
        <v>86</v>
      </c>
      <c r="N1614">
        <v>3</v>
      </c>
      <c r="O1614" s="1">
        <v>44215.493900462963</v>
      </c>
      <c r="P1614" s="1">
        <v>44215.637083333335</v>
      </c>
      <c r="Q1614">
        <v>11573</v>
      </c>
      <c r="R1614">
        <v>798</v>
      </c>
      <c r="S1614" t="b">
        <v>0</v>
      </c>
      <c r="T1614" t="s">
        <v>87</v>
      </c>
      <c r="U1614" t="b">
        <v>0</v>
      </c>
      <c r="V1614" t="s">
        <v>343</v>
      </c>
      <c r="W1614" s="1">
        <v>44215.526979166665</v>
      </c>
      <c r="X1614">
        <v>626</v>
      </c>
      <c r="Y1614">
        <v>21</v>
      </c>
      <c r="Z1614">
        <v>0</v>
      </c>
      <c r="AA1614">
        <v>21</v>
      </c>
      <c r="AB1614">
        <v>0</v>
      </c>
      <c r="AC1614">
        <v>15</v>
      </c>
      <c r="AD1614">
        <v>5</v>
      </c>
      <c r="AE1614">
        <v>0</v>
      </c>
      <c r="AF1614">
        <v>0</v>
      </c>
      <c r="AG1614">
        <v>0</v>
      </c>
      <c r="AH1614" t="s">
        <v>267</v>
      </c>
      <c r="AI1614" s="1">
        <v>44215.597372685188</v>
      </c>
      <c r="AJ1614">
        <v>168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5</v>
      </c>
      <c r="AQ1614">
        <v>0</v>
      </c>
      <c r="AR1614">
        <v>0</v>
      </c>
      <c r="AS1614">
        <v>0</v>
      </c>
      <c r="AT1614" t="s">
        <v>90</v>
      </c>
      <c r="AU1614" s="1">
        <v>44215.637083333335</v>
      </c>
      <c r="AV1614">
        <v>4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5</v>
      </c>
      <c r="BC1614">
        <v>0</v>
      </c>
      <c r="BD1614">
        <v>0</v>
      </c>
      <c r="BE1614">
        <v>0</v>
      </c>
    </row>
    <row r="1615" spans="1:57" x14ac:dyDescent="0.45">
      <c r="A1615" t="s">
        <v>3994</v>
      </c>
      <c r="B1615" t="s">
        <v>79</v>
      </c>
      <c r="C1615" t="s">
        <v>3995</v>
      </c>
      <c r="D1615" t="s">
        <v>81</v>
      </c>
      <c r="E1615" s="2" t="str">
        <f>HYPERLINK("capsilon://?command=openfolder&amp;siteaddress=FAM.docvelocity-na8.net&amp;folderid=FX17423893-BFFB-52C0-D6BF-A836553402F3","FX21011277")</f>
        <v>FX21011277</v>
      </c>
      <c r="F1615" t="s">
        <v>19</v>
      </c>
      <c r="G1615" t="s">
        <v>19</v>
      </c>
      <c r="H1615" t="s">
        <v>82</v>
      </c>
      <c r="I1615" t="s">
        <v>3996</v>
      </c>
      <c r="J1615">
        <v>26</v>
      </c>
      <c r="K1615" t="s">
        <v>84</v>
      </c>
      <c r="L1615" t="s">
        <v>85</v>
      </c>
      <c r="M1615" t="s">
        <v>86</v>
      </c>
      <c r="N1615">
        <v>3</v>
      </c>
      <c r="O1615" s="1">
        <v>44215.49428240741</v>
      </c>
      <c r="P1615" s="1">
        <v>44215.637141203704</v>
      </c>
      <c r="Q1615">
        <v>10473</v>
      </c>
      <c r="R1615">
        <v>1870</v>
      </c>
      <c r="S1615" t="b">
        <v>0</v>
      </c>
      <c r="T1615" t="s">
        <v>87</v>
      </c>
      <c r="U1615" t="b">
        <v>0</v>
      </c>
      <c r="V1615" t="s">
        <v>171</v>
      </c>
      <c r="W1615" s="1">
        <v>44215.540937500002</v>
      </c>
      <c r="X1615">
        <v>1672</v>
      </c>
      <c r="Y1615">
        <v>21</v>
      </c>
      <c r="Z1615">
        <v>0</v>
      </c>
      <c r="AA1615">
        <v>21</v>
      </c>
      <c r="AB1615">
        <v>0</v>
      </c>
      <c r="AC1615">
        <v>6</v>
      </c>
      <c r="AD1615">
        <v>5</v>
      </c>
      <c r="AE1615">
        <v>0</v>
      </c>
      <c r="AF1615">
        <v>0</v>
      </c>
      <c r="AG1615">
        <v>0</v>
      </c>
      <c r="AH1615" t="s">
        <v>267</v>
      </c>
      <c r="AI1615" s="1">
        <v>44215.599629629629</v>
      </c>
      <c r="AJ1615">
        <v>194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5</v>
      </c>
      <c r="AQ1615">
        <v>0</v>
      </c>
      <c r="AR1615">
        <v>0</v>
      </c>
      <c r="AS1615">
        <v>0</v>
      </c>
      <c r="AT1615" t="s">
        <v>90</v>
      </c>
      <c r="AU1615" s="1">
        <v>44215.637141203704</v>
      </c>
      <c r="AV1615">
        <v>4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5</v>
      </c>
      <c r="BC1615">
        <v>0</v>
      </c>
      <c r="BD1615">
        <v>0</v>
      </c>
      <c r="BE1615">
        <v>0</v>
      </c>
    </row>
    <row r="1616" spans="1:57" x14ac:dyDescent="0.45">
      <c r="A1616" t="s">
        <v>3997</v>
      </c>
      <c r="B1616" t="s">
        <v>79</v>
      </c>
      <c r="C1616" t="s">
        <v>766</v>
      </c>
      <c r="D1616" t="s">
        <v>81</v>
      </c>
      <c r="E1616" s="2" t="str">
        <f>HYPERLINK("capsilon://?command=openfolder&amp;siteaddress=FAM.docvelocity-na8.net&amp;folderid=FX703DB583-9CA0-C36C-3CBB-17E2E14DBBEB","FX21012376")</f>
        <v>FX21012376</v>
      </c>
      <c r="F1616" t="s">
        <v>19</v>
      </c>
      <c r="G1616" t="s">
        <v>19</v>
      </c>
      <c r="H1616" t="s">
        <v>82</v>
      </c>
      <c r="I1616" t="s">
        <v>3998</v>
      </c>
      <c r="J1616">
        <v>26</v>
      </c>
      <c r="K1616" t="s">
        <v>84</v>
      </c>
      <c r="L1616" t="s">
        <v>85</v>
      </c>
      <c r="M1616" t="s">
        <v>86</v>
      </c>
      <c r="N1616">
        <v>3</v>
      </c>
      <c r="O1616" s="1">
        <v>44215.494525462964</v>
      </c>
      <c r="P1616" s="1">
        <v>44215.637187499997</v>
      </c>
      <c r="Q1616">
        <v>11233</v>
      </c>
      <c r="R1616">
        <v>1093</v>
      </c>
      <c r="S1616" t="b">
        <v>0</v>
      </c>
      <c r="T1616" t="s">
        <v>87</v>
      </c>
      <c r="U1616" t="b">
        <v>0</v>
      </c>
      <c r="V1616" t="s">
        <v>255</v>
      </c>
      <c r="W1616" s="1">
        <v>44215.535462962966</v>
      </c>
      <c r="X1616">
        <v>879</v>
      </c>
      <c r="Y1616">
        <v>21</v>
      </c>
      <c r="Z1616">
        <v>0</v>
      </c>
      <c r="AA1616">
        <v>21</v>
      </c>
      <c r="AB1616">
        <v>0</v>
      </c>
      <c r="AC1616">
        <v>11</v>
      </c>
      <c r="AD1616">
        <v>5</v>
      </c>
      <c r="AE1616">
        <v>0</v>
      </c>
      <c r="AF1616">
        <v>0</v>
      </c>
      <c r="AG1616">
        <v>0</v>
      </c>
      <c r="AH1616" t="s">
        <v>267</v>
      </c>
      <c r="AI1616" s="1">
        <v>44215.601886574077</v>
      </c>
      <c r="AJ1616">
        <v>194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5</v>
      </c>
      <c r="AQ1616">
        <v>0</v>
      </c>
      <c r="AR1616">
        <v>0</v>
      </c>
      <c r="AS1616">
        <v>0</v>
      </c>
      <c r="AT1616" t="s">
        <v>90</v>
      </c>
      <c r="AU1616" s="1">
        <v>44215.637187499997</v>
      </c>
      <c r="AV1616">
        <v>4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5</v>
      </c>
      <c r="BC1616">
        <v>0</v>
      </c>
      <c r="BD1616">
        <v>0</v>
      </c>
      <c r="BE1616">
        <v>0</v>
      </c>
    </row>
    <row r="1617" spans="1:57" x14ac:dyDescent="0.45">
      <c r="A1617" t="s">
        <v>3999</v>
      </c>
      <c r="B1617" t="s">
        <v>79</v>
      </c>
      <c r="C1617" t="s">
        <v>4000</v>
      </c>
      <c r="D1617" t="s">
        <v>81</v>
      </c>
      <c r="E1617" s="2" t="str">
        <f>HYPERLINK("capsilon://?command=openfolder&amp;siteaddress=FAM.docvelocity-na8.net&amp;folderid=FXF470642F-B269-E206-4E83-DCD5DE0B8844","FX21017828")</f>
        <v>FX21017828</v>
      </c>
      <c r="F1617" t="s">
        <v>19</v>
      </c>
      <c r="G1617" t="s">
        <v>19</v>
      </c>
      <c r="H1617" t="s">
        <v>82</v>
      </c>
      <c r="I1617" t="s">
        <v>4001</v>
      </c>
      <c r="J1617">
        <v>38</v>
      </c>
      <c r="K1617" t="s">
        <v>84</v>
      </c>
      <c r="L1617" t="s">
        <v>85</v>
      </c>
      <c r="M1617" t="s">
        <v>86</v>
      </c>
      <c r="N1617">
        <v>3</v>
      </c>
      <c r="O1617" s="1">
        <v>44215.494826388887</v>
      </c>
      <c r="P1617" s="1">
        <v>44215.63726851852</v>
      </c>
      <c r="Q1617">
        <v>10869</v>
      </c>
      <c r="R1617">
        <v>1438</v>
      </c>
      <c r="S1617" t="b">
        <v>0</v>
      </c>
      <c r="T1617" t="s">
        <v>87</v>
      </c>
      <c r="U1617" t="b">
        <v>0</v>
      </c>
      <c r="V1617" t="s">
        <v>343</v>
      </c>
      <c r="W1617" s="1">
        <v>44215.540127314816</v>
      </c>
      <c r="X1617">
        <v>1135</v>
      </c>
      <c r="Y1617">
        <v>37</v>
      </c>
      <c r="Z1617">
        <v>0</v>
      </c>
      <c r="AA1617">
        <v>37</v>
      </c>
      <c r="AB1617">
        <v>0</v>
      </c>
      <c r="AC1617">
        <v>25</v>
      </c>
      <c r="AD1617">
        <v>1</v>
      </c>
      <c r="AE1617">
        <v>0</v>
      </c>
      <c r="AF1617">
        <v>0</v>
      </c>
      <c r="AG1617">
        <v>0</v>
      </c>
      <c r="AH1617" t="s">
        <v>267</v>
      </c>
      <c r="AI1617" s="1">
        <v>44215.605231481481</v>
      </c>
      <c r="AJ1617">
        <v>288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 t="s">
        <v>90</v>
      </c>
      <c r="AU1617" s="1">
        <v>44215.63726851852</v>
      </c>
      <c r="AV1617">
        <v>6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0</v>
      </c>
      <c r="BE1617">
        <v>0</v>
      </c>
    </row>
    <row r="1618" spans="1:57" x14ac:dyDescent="0.45">
      <c r="A1618" t="s">
        <v>4002</v>
      </c>
      <c r="B1618" t="s">
        <v>79</v>
      </c>
      <c r="C1618" t="s">
        <v>3985</v>
      </c>
      <c r="D1618" t="s">
        <v>81</v>
      </c>
      <c r="E1618" s="2" t="str">
        <f>HYPERLINK("capsilon://?command=openfolder&amp;siteaddress=FAM.docvelocity-na8.net&amp;folderid=FX1987F8D2-BFEE-E09E-18CD-7E3C64E3FAF2","FX20127945")</f>
        <v>FX20127945</v>
      </c>
      <c r="F1618" t="s">
        <v>19</v>
      </c>
      <c r="G1618" t="s">
        <v>19</v>
      </c>
      <c r="H1618" t="s">
        <v>82</v>
      </c>
      <c r="I1618" t="s">
        <v>4003</v>
      </c>
      <c r="J1618">
        <v>38</v>
      </c>
      <c r="K1618" t="s">
        <v>84</v>
      </c>
      <c r="L1618" t="s">
        <v>85</v>
      </c>
      <c r="M1618" t="s">
        <v>86</v>
      </c>
      <c r="N1618">
        <v>3</v>
      </c>
      <c r="O1618" s="1">
        <v>44215.495162037034</v>
      </c>
      <c r="P1618" s="1">
        <v>44215.637337962966</v>
      </c>
      <c r="Q1618">
        <v>11744</v>
      </c>
      <c r="R1618">
        <v>540</v>
      </c>
      <c r="S1618" t="b">
        <v>0</v>
      </c>
      <c r="T1618" t="s">
        <v>87</v>
      </c>
      <c r="U1618" t="b">
        <v>0</v>
      </c>
      <c r="V1618" t="s">
        <v>255</v>
      </c>
      <c r="W1618" s="1">
        <v>44215.538171296299</v>
      </c>
      <c r="X1618">
        <v>233</v>
      </c>
      <c r="Y1618">
        <v>37</v>
      </c>
      <c r="Z1618">
        <v>0</v>
      </c>
      <c r="AA1618">
        <v>37</v>
      </c>
      <c r="AB1618">
        <v>0</v>
      </c>
      <c r="AC1618">
        <v>13</v>
      </c>
      <c r="AD1618">
        <v>1</v>
      </c>
      <c r="AE1618">
        <v>0</v>
      </c>
      <c r="AF1618">
        <v>0</v>
      </c>
      <c r="AG1618">
        <v>0</v>
      </c>
      <c r="AH1618" t="s">
        <v>267</v>
      </c>
      <c r="AI1618" s="1">
        <v>44215.608726851853</v>
      </c>
      <c r="AJ1618">
        <v>301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 t="s">
        <v>90</v>
      </c>
      <c r="AU1618" s="1">
        <v>44215.637337962966</v>
      </c>
      <c r="AV1618">
        <v>6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</row>
    <row r="1619" spans="1:57" hidden="1" x14ac:dyDescent="0.45">
      <c r="A1619" t="s">
        <v>4004</v>
      </c>
      <c r="B1619" t="s">
        <v>79</v>
      </c>
      <c r="C1619" t="s">
        <v>3995</v>
      </c>
      <c r="D1619" t="s">
        <v>81</v>
      </c>
      <c r="E1619" s="2" t="str">
        <f>HYPERLINK("capsilon://?command=openfolder&amp;siteaddress=FAM.docvelocity-na8.net&amp;folderid=FX17423893-BFFB-52C0-D6BF-A836553402F3","FX21011277")</f>
        <v>FX21011277</v>
      </c>
      <c r="F1619" t="s">
        <v>19</v>
      </c>
      <c r="G1619" t="s">
        <v>19</v>
      </c>
      <c r="H1619" t="s">
        <v>82</v>
      </c>
      <c r="I1619" t="s">
        <v>4005</v>
      </c>
      <c r="J1619">
        <v>65</v>
      </c>
      <c r="K1619" t="s">
        <v>84</v>
      </c>
      <c r="L1619" t="s">
        <v>85</v>
      </c>
      <c r="M1619" t="s">
        <v>86</v>
      </c>
      <c r="N1619">
        <v>1</v>
      </c>
      <c r="O1619" s="1">
        <v>44215.495405092595</v>
      </c>
      <c r="P1619" s="1">
        <v>44215.542916666665</v>
      </c>
      <c r="Q1619">
        <v>3647</v>
      </c>
      <c r="R1619">
        <v>458</v>
      </c>
      <c r="S1619" t="b">
        <v>0</v>
      </c>
      <c r="T1619" t="s">
        <v>87</v>
      </c>
      <c r="U1619" t="b">
        <v>0</v>
      </c>
      <c r="V1619" t="s">
        <v>160</v>
      </c>
      <c r="W1619" s="1">
        <v>44215.542916666665</v>
      </c>
      <c r="X1619">
        <v>458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65</v>
      </c>
      <c r="AE1619">
        <v>61</v>
      </c>
      <c r="AF1619">
        <v>0</v>
      </c>
      <c r="AG1619">
        <v>4</v>
      </c>
      <c r="AH1619" t="s">
        <v>87</v>
      </c>
      <c r="AI1619" t="s">
        <v>87</v>
      </c>
      <c r="AJ1619" t="s">
        <v>87</v>
      </c>
      <c r="AK1619" t="s">
        <v>87</v>
      </c>
      <c r="AL1619" t="s">
        <v>87</v>
      </c>
      <c r="AM1619" t="s">
        <v>87</v>
      </c>
      <c r="AN1619" t="s">
        <v>87</v>
      </c>
      <c r="AO1619" t="s">
        <v>87</v>
      </c>
      <c r="AP1619" t="s">
        <v>87</v>
      </c>
      <c r="AQ1619" t="s">
        <v>87</v>
      </c>
      <c r="AR1619" t="s">
        <v>87</v>
      </c>
      <c r="AS1619" t="s">
        <v>87</v>
      </c>
      <c r="AT1619" t="s">
        <v>87</v>
      </c>
      <c r="AU1619" t="s">
        <v>87</v>
      </c>
      <c r="AV1619" t="s">
        <v>87</v>
      </c>
      <c r="AW1619" t="s">
        <v>87</v>
      </c>
      <c r="AX1619" t="s">
        <v>87</v>
      </c>
      <c r="AY1619" t="s">
        <v>87</v>
      </c>
      <c r="AZ1619" t="s">
        <v>87</v>
      </c>
      <c r="BA1619" t="s">
        <v>87</v>
      </c>
      <c r="BB1619" t="s">
        <v>87</v>
      </c>
      <c r="BC1619" t="s">
        <v>87</v>
      </c>
      <c r="BD1619" t="s">
        <v>87</v>
      </c>
      <c r="BE1619" t="s">
        <v>87</v>
      </c>
    </row>
    <row r="1620" spans="1:57" x14ac:dyDescent="0.45">
      <c r="A1620" t="s">
        <v>4006</v>
      </c>
      <c r="B1620" t="s">
        <v>79</v>
      </c>
      <c r="C1620" t="s">
        <v>4007</v>
      </c>
      <c r="D1620" t="s">
        <v>81</v>
      </c>
      <c r="E1620" s="2" t="str">
        <f>HYPERLINK("capsilon://?command=openfolder&amp;siteaddress=FAM.docvelocity-na8.net&amp;folderid=FX10980D8B-93B5-DCA1-24A1-CF6185CBA565","FX21016880")</f>
        <v>FX21016880</v>
      </c>
      <c r="F1620" t="s">
        <v>19</v>
      </c>
      <c r="G1620" t="s">
        <v>19</v>
      </c>
      <c r="H1620" t="s">
        <v>82</v>
      </c>
      <c r="I1620" t="s">
        <v>4008</v>
      </c>
      <c r="J1620">
        <v>90</v>
      </c>
      <c r="K1620" t="s">
        <v>84</v>
      </c>
      <c r="L1620" t="s">
        <v>85</v>
      </c>
      <c r="M1620" t="s">
        <v>86</v>
      </c>
      <c r="N1620">
        <v>3</v>
      </c>
      <c r="O1620" s="1">
        <v>44215.495474537034</v>
      </c>
      <c r="P1620" s="1">
        <v>44215.637766203705</v>
      </c>
      <c r="Q1620">
        <v>11023</v>
      </c>
      <c r="R1620">
        <v>1271</v>
      </c>
      <c r="S1620" t="b">
        <v>0</v>
      </c>
      <c r="T1620" t="s">
        <v>87</v>
      </c>
      <c r="U1620" t="b">
        <v>0</v>
      </c>
      <c r="V1620" t="s">
        <v>255</v>
      </c>
      <c r="W1620" s="1">
        <v>44215.544675925928</v>
      </c>
      <c r="X1620">
        <v>561</v>
      </c>
      <c r="Y1620">
        <v>79</v>
      </c>
      <c r="Z1620">
        <v>0</v>
      </c>
      <c r="AA1620">
        <v>79</v>
      </c>
      <c r="AB1620">
        <v>0</v>
      </c>
      <c r="AC1620">
        <v>35</v>
      </c>
      <c r="AD1620">
        <v>11</v>
      </c>
      <c r="AE1620">
        <v>0</v>
      </c>
      <c r="AF1620">
        <v>0</v>
      </c>
      <c r="AG1620">
        <v>0</v>
      </c>
      <c r="AH1620" t="s">
        <v>267</v>
      </c>
      <c r="AI1620" s="1">
        <v>44215.616539351853</v>
      </c>
      <c r="AJ1620">
        <v>674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11</v>
      </c>
      <c r="AQ1620">
        <v>0</v>
      </c>
      <c r="AR1620">
        <v>0</v>
      </c>
      <c r="AS1620">
        <v>0</v>
      </c>
      <c r="AT1620" t="s">
        <v>90</v>
      </c>
      <c r="AU1620" s="1">
        <v>44215.637766203705</v>
      </c>
      <c r="AV1620">
        <v>36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11</v>
      </c>
      <c r="BC1620">
        <v>0</v>
      </c>
      <c r="BD1620">
        <v>0</v>
      </c>
      <c r="BE1620">
        <v>0</v>
      </c>
    </row>
    <row r="1621" spans="1:57" x14ac:dyDescent="0.45">
      <c r="A1621" t="s">
        <v>4009</v>
      </c>
      <c r="B1621" t="s">
        <v>79</v>
      </c>
      <c r="C1621" t="s">
        <v>3985</v>
      </c>
      <c r="D1621" t="s">
        <v>81</v>
      </c>
      <c r="E1621" s="2" t="str">
        <f>HYPERLINK("capsilon://?command=openfolder&amp;siteaddress=FAM.docvelocity-na8.net&amp;folderid=FX1987F8D2-BFEE-E09E-18CD-7E3C64E3FAF2","FX20127945")</f>
        <v>FX20127945</v>
      </c>
      <c r="F1621" t="s">
        <v>19</v>
      </c>
      <c r="G1621" t="s">
        <v>19</v>
      </c>
      <c r="H1621" t="s">
        <v>82</v>
      </c>
      <c r="I1621" t="s">
        <v>4010</v>
      </c>
      <c r="J1621">
        <v>38</v>
      </c>
      <c r="K1621" t="s">
        <v>84</v>
      </c>
      <c r="L1621" t="s">
        <v>85</v>
      </c>
      <c r="M1621" t="s">
        <v>86</v>
      </c>
      <c r="N1621">
        <v>3</v>
      </c>
      <c r="O1621" s="1">
        <v>44215.495798611111</v>
      </c>
      <c r="P1621" s="1">
        <v>44215.63784722222</v>
      </c>
      <c r="Q1621">
        <v>11313</v>
      </c>
      <c r="R1621">
        <v>960</v>
      </c>
      <c r="S1621" t="b">
        <v>0</v>
      </c>
      <c r="T1621" t="s">
        <v>87</v>
      </c>
      <c r="U1621" t="b">
        <v>0</v>
      </c>
      <c r="V1621" t="s">
        <v>343</v>
      </c>
      <c r="W1621" s="1">
        <v>44215.547268518516</v>
      </c>
      <c r="X1621">
        <v>615</v>
      </c>
      <c r="Y1621">
        <v>37</v>
      </c>
      <c r="Z1621">
        <v>0</v>
      </c>
      <c r="AA1621">
        <v>37</v>
      </c>
      <c r="AB1621">
        <v>0</v>
      </c>
      <c r="AC1621">
        <v>13</v>
      </c>
      <c r="AD1621">
        <v>1</v>
      </c>
      <c r="AE1621">
        <v>0</v>
      </c>
      <c r="AF1621">
        <v>0</v>
      </c>
      <c r="AG1621">
        <v>0</v>
      </c>
      <c r="AH1621" t="s">
        <v>128</v>
      </c>
      <c r="AI1621" s="1">
        <v>44215.620462962965</v>
      </c>
      <c r="AJ1621">
        <v>339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 t="s">
        <v>90</v>
      </c>
      <c r="AU1621" s="1">
        <v>44215.63784722222</v>
      </c>
      <c r="AV1621">
        <v>6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</row>
    <row r="1622" spans="1:57" x14ac:dyDescent="0.45">
      <c r="A1622" t="s">
        <v>4011</v>
      </c>
      <c r="B1622" t="s">
        <v>79</v>
      </c>
      <c r="C1622" t="s">
        <v>4012</v>
      </c>
      <c r="D1622" t="s">
        <v>81</v>
      </c>
      <c r="E1622" s="2" t="str">
        <f>HYPERLINK("capsilon://?command=openfolder&amp;siteaddress=FAM.docvelocity-na8.net&amp;folderid=FX3FFBC51D-83D3-81A5-C900-D5B73A62E25F","FX21014854")</f>
        <v>FX21014854</v>
      </c>
      <c r="F1622" t="s">
        <v>19</v>
      </c>
      <c r="G1622" t="s">
        <v>19</v>
      </c>
      <c r="H1622" t="s">
        <v>82</v>
      </c>
      <c r="I1622" t="s">
        <v>4013</v>
      </c>
      <c r="J1622">
        <v>184</v>
      </c>
      <c r="K1622" t="s">
        <v>84</v>
      </c>
      <c r="L1622" t="s">
        <v>85</v>
      </c>
      <c r="M1622" t="s">
        <v>86</v>
      </c>
      <c r="N1622">
        <v>3</v>
      </c>
      <c r="O1622" s="1">
        <v>44215.499016203707</v>
      </c>
      <c r="P1622" s="1">
        <v>44215.653726851851</v>
      </c>
      <c r="Q1622">
        <v>10693</v>
      </c>
      <c r="R1622">
        <v>2674</v>
      </c>
      <c r="S1622" t="b">
        <v>0</v>
      </c>
      <c r="T1622" t="s">
        <v>87</v>
      </c>
      <c r="U1622" t="b">
        <v>0</v>
      </c>
      <c r="V1622" t="s">
        <v>171</v>
      </c>
      <c r="W1622" s="1">
        <v>44215.563668981478</v>
      </c>
      <c r="X1622">
        <v>1963</v>
      </c>
      <c r="Y1622">
        <v>165</v>
      </c>
      <c r="Z1622">
        <v>0</v>
      </c>
      <c r="AA1622">
        <v>165</v>
      </c>
      <c r="AB1622">
        <v>0</v>
      </c>
      <c r="AC1622">
        <v>44</v>
      </c>
      <c r="AD1622">
        <v>19</v>
      </c>
      <c r="AE1622">
        <v>0</v>
      </c>
      <c r="AF1622">
        <v>0</v>
      </c>
      <c r="AG1622">
        <v>0</v>
      </c>
      <c r="AH1622" t="s">
        <v>267</v>
      </c>
      <c r="AI1622" s="1">
        <v>44215.623599537037</v>
      </c>
      <c r="AJ1622">
        <v>609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19</v>
      </c>
      <c r="AQ1622">
        <v>0</v>
      </c>
      <c r="AR1622">
        <v>0</v>
      </c>
      <c r="AS1622">
        <v>0</v>
      </c>
      <c r="AT1622" t="s">
        <v>90</v>
      </c>
      <c r="AU1622" s="1">
        <v>44215.653726851851</v>
      </c>
      <c r="AV1622">
        <v>98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19</v>
      </c>
      <c r="BC1622">
        <v>0</v>
      </c>
      <c r="BD1622">
        <v>0</v>
      </c>
      <c r="BE1622">
        <v>0</v>
      </c>
    </row>
    <row r="1623" spans="1:57" x14ac:dyDescent="0.45">
      <c r="A1623" t="s">
        <v>4014</v>
      </c>
      <c r="B1623" t="s">
        <v>79</v>
      </c>
      <c r="C1623" t="s">
        <v>4015</v>
      </c>
      <c r="D1623" t="s">
        <v>81</v>
      </c>
      <c r="E1623" s="2" t="str">
        <f>HYPERLINK("capsilon://?command=openfolder&amp;siteaddress=FAM.docvelocity-na8.net&amp;folderid=FXC599969E-B46C-7D4D-6430-002D96AD96B5","FX20124242")</f>
        <v>FX20124242</v>
      </c>
      <c r="F1623" t="s">
        <v>19</v>
      </c>
      <c r="G1623" t="s">
        <v>19</v>
      </c>
      <c r="H1623" t="s">
        <v>82</v>
      </c>
      <c r="I1623" t="s">
        <v>4016</v>
      </c>
      <c r="J1623">
        <v>38</v>
      </c>
      <c r="K1623" t="s">
        <v>84</v>
      </c>
      <c r="L1623" t="s">
        <v>85</v>
      </c>
      <c r="M1623" t="s">
        <v>86</v>
      </c>
      <c r="N1623">
        <v>3</v>
      </c>
      <c r="O1623" s="1">
        <v>44215.500509259262</v>
      </c>
      <c r="P1623" s="1">
        <v>44215.653796296298</v>
      </c>
      <c r="Q1623">
        <v>12138</v>
      </c>
      <c r="R1623">
        <v>1106</v>
      </c>
      <c r="S1623" t="b">
        <v>0</v>
      </c>
      <c r="T1623" t="s">
        <v>87</v>
      </c>
      <c r="U1623" t="b">
        <v>0</v>
      </c>
      <c r="V1623" t="s">
        <v>160</v>
      </c>
      <c r="W1623" s="1">
        <v>44215.554699074077</v>
      </c>
      <c r="X1623">
        <v>945</v>
      </c>
      <c r="Y1623">
        <v>37</v>
      </c>
      <c r="Z1623">
        <v>0</v>
      </c>
      <c r="AA1623">
        <v>37</v>
      </c>
      <c r="AB1623">
        <v>0</v>
      </c>
      <c r="AC1623">
        <v>30</v>
      </c>
      <c r="AD1623">
        <v>1</v>
      </c>
      <c r="AE1623">
        <v>0</v>
      </c>
      <c r="AF1623">
        <v>0</v>
      </c>
      <c r="AG1623">
        <v>0</v>
      </c>
      <c r="AH1623" t="s">
        <v>128</v>
      </c>
      <c r="AI1623" s="1">
        <v>44215.621527777781</v>
      </c>
      <c r="AJ1623">
        <v>91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 t="s">
        <v>90</v>
      </c>
      <c r="AU1623" s="1">
        <v>44215.653796296298</v>
      </c>
      <c r="AV1623">
        <v>5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</row>
    <row r="1624" spans="1:57" hidden="1" x14ac:dyDescent="0.45">
      <c r="A1624" t="s">
        <v>4017</v>
      </c>
      <c r="B1624" t="s">
        <v>79</v>
      </c>
      <c r="C1624" t="s">
        <v>4015</v>
      </c>
      <c r="D1624" t="s">
        <v>81</v>
      </c>
      <c r="E1624" s="2" t="str">
        <f>HYPERLINK("capsilon://?command=openfolder&amp;siteaddress=FAM.docvelocity-na8.net&amp;folderid=FXC599969E-B46C-7D4D-6430-002D96AD96B5","FX20124242")</f>
        <v>FX20124242</v>
      </c>
      <c r="F1624" t="s">
        <v>19</v>
      </c>
      <c r="G1624" t="s">
        <v>19</v>
      </c>
      <c r="H1624" t="s">
        <v>82</v>
      </c>
      <c r="I1624" t="s">
        <v>4018</v>
      </c>
      <c r="J1624">
        <v>52</v>
      </c>
      <c r="K1624" t="s">
        <v>84</v>
      </c>
      <c r="L1624" t="s">
        <v>85</v>
      </c>
      <c r="M1624" t="s">
        <v>86</v>
      </c>
      <c r="N1624">
        <v>1</v>
      </c>
      <c r="O1624" s="1">
        <v>44215.501145833332</v>
      </c>
      <c r="P1624" s="1">
        <v>44215.549386574072</v>
      </c>
      <c r="Q1624">
        <v>3986</v>
      </c>
      <c r="R1624">
        <v>182</v>
      </c>
      <c r="S1624" t="b">
        <v>0</v>
      </c>
      <c r="T1624" t="s">
        <v>87</v>
      </c>
      <c r="U1624" t="b">
        <v>0</v>
      </c>
      <c r="V1624" t="s">
        <v>343</v>
      </c>
      <c r="W1624" s="1">
        <v>44215.549386574072</v>
      </c>
      <c r="X1624">
        <v>182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52</v>
      </c>
      <c r="AE1624">
        <v>48</v>
      </c>
      <c r="AF1624">
        <v>0</v>
      </c>
      <c r="AG1624">
        <v>2</v>
      </c>
      <c r="AH1624" t="s">
        <v>87</v>
      </c>
      <c r="AI1624" t="s">
        <v>87</v>
      </c>
      <c r="AJ1624" t="s">
        <v>87</v>
      </c>
      <c r="AK1624" t="s">
        <v>87</v>
      </c>
      <c r="AL1624" t="s">
        <v>87</v>
      </c>
      <c r="AM1624" t="s">
        <v>87</v>
      </c>
      <c r="AN1624" t="s">
        <v>87</v>
      </c>
      <c r="AO1624" t="s">
        <v>87</v>
      </c>
      <c r="AP1624" t="s">
        <v>87</v>
      </c>
      <c r="AQ1624" t="s">
        <v>87</v>
      </c>
      <c r="AR1624" t="s">
        <v>87</v>
      </c>
      <c r="AS1624" t="s">
        <v>87</v>
      </c>
      <c r="AT1624" t="s">
        <v>87</v>
      </c>
      <c r="AU1624" t="s">
        <v>87</v>
      </c>
      <c r="AV1624" t="s">
        <v>87</v>
      </c>
      <c r="AW1624" t="s">
        <v>87</v>
      </c>
      <c r="AX1624" t="s">
        <v>87</v>
      </c>
      <c r="AY1624" t="s">
        <v>87</v>
      </c>
      <c r="AZ1624" t="s">
        <v>87</v>
      </c>
      <c r="BA1624" t="s">
        <v>87</v>
      </c>
      <c r="BB1624" t="s">
        <v>87</v>
      </c>
      <c r="BC1624" t="s">
        <v>87</v>
      </c>
      <c r="BD1624" t="s">
        <v>87</v>
      </c>
      <c r="BE1624" t="s">
        <v>87</v>
      </c>
    </row>
    <row r="1625" spans="1:57" hidden="1" x14ac:dyDescent="0.45">
      <c r="A1625" t="s">
        <v>4019</v>
      </c>
      <c r="B1625" t="s">
        <v>79</v>
      </c>
      <c r="C1625" t="s">
        <v>3933</v>
      </c>
      <c r="D1625" t="s">
        <v>81</v>
      </c>
      <c r="E1625" s="2" t="str">
        <f>HYPERLINK("capsilon://?command=openfolder&amp;siteaddress=FAM.docvelocity-na8.net&amp;folderid=FX37B53CDD-F3C2-59E6-1B38-4945B0D7C06A","FX21014610")</f>
        <v>FX21014610</v>
      </c>
      <c r="F1625" t="s">
        <v>19</v>
      </c>
      <c r="G1625" t="s">
        <v>19</v>
      </c>
      <c r="H1625" t="s">
        <v>82</v>
      </c>
      <c r="I1625" t="s">
        <v>3934</v>
      </c>
      <c r="J1625">
        <v>52</v>
      </c>
      <c r="K1625" t="s">
        <v>84</v>
      </c>
      <c r="L1625" t="s">
        <v>85</v>
      </c>
      <c r="M1625" t="s">
        <v>81</v>
      </c>
      <c r="N1625">
        <v>1</v>
      </c>
      <c r="O1625" s="1">
        <v>44215.503437500003</v>
      </c>
      <c r="P1625" s="1">
        <v>44215.518333333333</v>
      </c>
      <c r="Q1625">
        <v>197</v>
      </c>
      <c r="R1625">
        <v>1090</v>
      </c>
      <c r="S1625" t="b">
        <v>0</v>
      </c>
      <c r="T1625" t="s">
        <v>343</v>
      </c>
      <c r="U1625" t="b">
        <v>1</v>
      </c>
      <c r="V1625" t="s">
        <v>343</v>
      </c>
      <c r="W1625" s="1">
        <v>44215.518333333333</v>
      </c>
      <c r="X1625">
        <v>1090</v>
      </c>
      <c r="Y1625">
        <v>43</v>
      </c>
      <c r="Z1625">
        <v>0</v>
      </c>
      <c r="AA1625">
        <v>43</v>
      </c>
      <c r="AB1625">
        <v>0</v>
      </c>
      <c r="AC1625">
        <v>19</v>
      </c>
      <c r="AD1625">
        <v>9</v>
      </c>
      <c r="AE1625">
        <v>0</v>
      </c>
      <c r="AF1625">
        <v>0</v>
      </c>
      <c r="AG1625">
        <v>0</v>
      </c>
      <c r="AH1625" t="s">
        <v>87</v>
      </c>
      <c r="AI1625" t="s">
        <v>87</v>
      </c>
      <c r="AJ1625" t="s">
        <v>87</v>
      </c>
      <c r="AK1625" t="s">
        <v>87</v>
      </c>
      <c r="AL1625" t="s">
        <v>87</v>
      </c>
      <c r="AM1625" t="s">
        <v>87</v>
      </c>
      <c r="AN1625" t="s">
        <v>87</v>
      </c>
      <c r="AO1625" t="s">
        <v>87</v>
      </c>
      <c r="AP1625" t="s">
        <v>87</v>
      </c>
      <c r="AQ1625" t="s">
        <v>87</v>
      </c>
      <c r="AR1625" t="s">
        <v>87</v>
      </c>
      <c r="AS1625" t="s">
        <v>87</v>
      </c>
      <c r="AT1625" t="s">
        <v>87</v>
      </c>
      <c r="AU1625" t="s">
        <v>87</v>
      </c>
      <c r="AV1625" t="s">
        <v>87</v>
      </c>
      <c r="AW1625" t="s">
        <v>87</v>
      </c>
      <c r="AX1625" t="s">
        <v>87</v>
      </c>
      <c r="AY1625" t="s">
        <v>87</v>
      </c>
      <c r="AZ1625" t="s">
        <v>87</v>
      </c>
      <c r="BA1625" t="s">
        <v>87</v>
      </c>
      <c r="BB1625" t="s">
        <v>87</v>
      </c>
      <c r="BC1625" t="s">
        <v>87</v>
      </c>
      <c r="BD1625" t="s">
        <v>87</v>
      </c>
      <c r="BE1625" t="s">
        <v>87</v>
      </c>
    </row>
    <row r="1626" spans="1:57" x14ac:dyDescent="0.45">
      <c r="A1626" t="s">
        <v>4020</v>
      </c>
      <c r="B1626" t="s">
        <v>79</v>
      </c>
      <c r="C1626" t="s">
        <v>4021</v>
      </c>
      <c r="D1626" t="s">
        <v>81</v>
      </c>
      <c r="E1626" s="2" t="str">
        <f>HYPERLINK("capsilon://?command=openfolder&amp;siteaddress=FAM.docvelocity-na8.net&amp;folderid=FXB9308F3A-6002-426B-B489-D0CDFDE9D024","FX21018774")</f>
        <v>FX21018774</v>
      </c>
      <c r="F1626" t="s">
        <v>19</v>
      </c>
      <c r="G1626" t="s">
        <v>19</v>
      </c>
      <c r="H1626" t="s">
        <v>82</v>
      </c>
      <c r="I1626" t="s">
        <v>4022</v>
      </c>
      <c r="J1626">
        <v>76</v>
      </c>
      <c r="K1626" t="s">
        <v>84</v>
      </c>
      <c r="L1626" t="s">
        <v>85</v>
      </c>
      <c r="M1626" t="s">
        <v>86</v>
      </c>
      <c r="N1626">
        <v>3</v>
      </c>
      <c r="O1626" s="1">
        <v>44215.506412037037</v>
      </c>
      <c r="P1626" s="1">
        <v>44215.65388888889</v>
      </c>
      <c r="Q1626">
        <v>11952</v>
      </c>
      <c r="R1626">
        <v>790</v>
      </c>
      <c r="S1626" t="b">
        <v>0</v>
      </c>
      <c r="T1626" t="s">
        <v>87</v>
      </c>
      <c r="U1626" t="b">
        <v>0</v>
      </c>
      <c r="V1626" t="s">
        <v>343</v>
      </c>
      <c r="W1626" s="1">
        <v>44215.556307870371</v>
      </c>
      <c r="X1626">
        <v>597</v>
      </c>
      <c r="Y1626">
        <v>74</v>
      </c>
      <c r="Z1626">
        <v>0</v>
      </c>
      <c r="AA1626">
        <v>74</v>
      </c>
      <c r="AB1626">
        <v>0</v>
      </c>
      <c r="AC1626">
        <v>29</v>
      </c>
      <c r="AD1626">
        <v>2</v>
      </c>
      <c r="AE1626">
        <v>0</v>
      </c>
      <c r="AF1626">
        <v>0</v>
      </c>
      <c r="AG1626">
        <v>0</v>
      </c>
      <c r="AH1626" t="s">
        <v>128</v>
      </c>
      <c r="AI1626" s="1">
        <v>44215.623692129629</v>
      </c>
      <c r="AJ1626">
        <v>186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2</v>
      </c>
      <c r="AQ1626">
        <v>0</v>
      </c>
      <c r="AR1626">
        <v>0</v>
      </c>
      <c r="AS1626">
        <v>0</v>
      </c>
      <c r="AT1626" t="s">
        <v>90</v>
      </c>
      <c r="AU1626" s="1">
        <v>44215.65388888889</v>
      </c>
      <c r="AV1626">
        <v>7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2</v>
      </c>
      <c r="BC1626">
        <v>0</v>
      </c>
      <c r="BD1626">
        <v>0</v>
      </c>
      <c r="BE1626">
        <v>0</v>
      </c>
    </row>
    <row r="1627" spans="1:57" x14ac:dyDescent="0.45">
      <c r="A1627" t="s">
        <v>4023</v>
      </c>
      <c r="B1627" t="s">
        <v>79</v>
      </c>
      <c r="C1627" t="s">
        <v>4024</v>
      </c>
      <c r="D1627" t="s">
        <v>81</v>
      </c>
      <c r="E1627" s="2" t="str">
        <f>HYPERLINK("capsilon://?command=openfolder&amp;siteaddress=FAM.docvelocity-na8.net&amp;folderid=FXBF9CB1E8-8033-3F51-56D1-0FA71FD3DCA8","FX20128547")</f>
        <v>FX20128547</v>
      </c>
      <c r="F1627" t="s">
        <v>19</v>
      </c>
      <c r="G1627" t="s">
        <v>19</v>
      </c>
      <c r="H1627" t="s">
        <v>82</v>
      </c>
      <c r="I1627" t="s">
        <v>4025</v>
      </c>
      <c r="J1627">
        <v>72</v>
      </c>
      <c r="K1627" t="s">
        <v>84</v>
      </c>
      <c r="L1627" t="s">
        <v>85</v>
      </c>
      <c r="M1627" t="s">
        <v>86</v>
      </c>
      <c r="N1627">
        <v>3</v>
      </c>
      <c r="O1627" s="1">
        <v>44215.507141203707</v>
      </c>
      <c r="P1627" s="1">
        <v>44215.654305555552</v>
      </c>
      <c r="Q1627">
        <v>10863</v>
      </c>
      <c r="R1627">
        <v>1852</v>
      </c>
      <c r="S1627" t="b">
        <v>0</v>
      </c>
      <c r="T1627" t="s">
        <v>87</v>
      </c>
      <c r="U1627" t="b">
        <v>0</v>
      </c>
      <c r="V1627" t="s">
        <v>160</v>
      </c>
      <c r="W1627" s="1">
        <v>44215.572905092595</v>
      </c>
      <c r="X1627">
        <v>1572</v>
      </c>
      <c r="Y1627">
        <v>74</v>
      </c>
      <c r="Z1627">
        <v>0</v>
      </c>
      <c r="AA1627">
        <v>74</v>
      </c>
      <c r="AB1627">
        <v>0</v>
      </c>
      <c r="AC1627">
        <v>40</v>
      </c>
      <c r="AD1627">
        <v>-2</v>
      </c>
      <c r="AE1627">
        <v>0</v>
      </c>
      <c r="AF1627">
        <v>0</v>
      </c>
      <c r="AG1627">
        <v>0</v>
      </c>
      <c r="AH1627" t="s">
        <v>267</v>
      </c>
      <c r="AI1627" s="1">
        <v>44215.626446759263</v>
      </c>
      <c r="AJ1627">
        <v>245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-2</v>
      </c>
      <c r="AQ1627">
        <v>0</v>
      </c>
      <c r="AR1627">
        <v>0</v>
      </c>
      <c r="AS1627">
        <v>0</v>
      </c>
      <c r="AT1627" t="s">
        <v>90</v>
      </c>
      <c r="AU1627" s="1">
        <v>44215.654305555552</v>
      </c>
      <c r="AV1627">
        <v>35</v>
      </c>
      <c r="AW1627">
        <v>1</v>
      </c>
      <c r="AX1627">
        <v>0</v>
      </c>
      <c r="AY1627">
        <v>1</v>
      </c>
      <c r="AZ1627">
        <v>0</v>
      </c>
      <c r="BA1627">
        <v>1</v>
      </c>
      <c r="BB1627">
        <v>-3</v>
      </c>
      <c r="BC1627">
        <v>0</v>
      </c>
      <c r="BD1627">
        <v>0</v>
      </c>
      <c r="BE1627">
        <v>0</v>
      </c>
    </row>
    <row r="1628" spans="1:57" x14ac:dyDescent="0.45">
      <c r="A1628" t="s">
        <v>4026</v>
      </c>
      <c r="B1628" t="s">
        <v>79</v>
      </c>
      <c r="C1628" t="s">
        <v>4024</v>
      </c>
      <c r="D1628" t="s">
        <v>81</v>
      </c>
      <c r="E1628" s="2" t="str">
        <f>HYPERLINK("capsilon://?command=openfolder&amp;siteaddress=FAM.docvelocity-na8.net&amp;folderid=FXBF9CB1E8-8033-3F51-56D1-0FA71FD3DCA8","FX20128547")</f>
        <v>FX20128547</v>
      </c>
      <c r="F1628" t="s">
        <v>19</v>
      </c>
      <c r="G1628" t="s">
        <v>19</v>
      </c>
      <c r="H1628" t="s">
        <v>82</v>
      </c>
      <c r="I1628" t="s">
        <v>4027</v>
      </c>
      <c r="J1628">
        <v>47</v>
      </c>
      <c r="K1628" t="s">
        <v>84</v>
      </c>
      <c r="L1628" t="s">
        <v>85</v>
      </c>
      <c r="M1628" t="s">
        <v>86</v>
      </c>
      <c r="N1628">
        <v>3</v>
      </c>
      <c r="O1628" s="1">
        <v>44215.507604166669</v>
      </c>
      <c r="P1628" s="1">
        <v>44215.654432870368</v>
      </c>
      <c r="Q1628">
        <v>12304</v>
      </c>
      <c r="R1628">
        <v>382</v>
      </c>
      <c r="S1628" t="b">
        <v>0</v>
      </c>
      <c r="T1628" t="s">
        <v>87</v>
      </c>
      <c r="U1628" t="b">
        <v>0</v>
      </c>
      <c r="V1628" t="s">
        <v>255</v>
      </c>
      <c r="W1628" s="1">
        <v>44215.558530092596</v>
      </c>
      <c r="X1628">
        <v>256</v>
      </c>
      <c r="Y1628">
        <v>49</v>
      </c>
      <c r="Z1628">
        <v>0</v>
      </c>
      <c r="AA1628">
        <v>49</v>
      </c>
      <c r="AB1628">
        <v>0</v>
      </c>
      <c r="AC1628">
        <v>27</v>
      </c>
      <c r="AD1628">
        <v>-2</v>
      </c>
      <c r="AE1628">
        <v>0</v>
      </c>
      <c r="AF1628">
        <v>0</v>
      </c>
      <c r="AG1628">
        <v>0</v>
      </c>
      <c r="AH1628" t="s">
        <v>128</v>
      </c>
      <c r="AI1628" s="1">
        <v>44215.6250462963</v>
      </c>
      <c r="AJ1628">
        <v>116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-2</v>
      </c>
      <c r="AQ1628">
        <v>0</v>
      </c>
      <c r="AR1628">
        <v>0</v>
      </c>
      <c r="AS1628">
        <v>0</v>
      </c>
      <c r="AT1628" t="s">
        <v>90</v>
      </c>
      <c r="AU1628" s="1">
        <v>44215.654432870368</v>
      </c>
      <c r="AV1628">
        <v>10</v>
      </c>
      <c r="AW1628">
        <v>1</v>
      </c>
      <c r="AX1628">
        <v>0</v>
      </c>
      <c r="AY1628">
        <v>1</v>
      </c>
      <c r="AZ1628">
        <v>0</v>
      </c>
      <c r="BA1628">
        <v>1</v>
      </c>
      <c r="BB1628">
        <v>-3</v>
      </c>
      <c r="BC1628">
        <v>0</v>
      </c>
      <c r="BD1628">
        <v>0</v>
      </c>
      <c r="BE1628">
        <v>0</v>
      </c>
    </row>
    <row r="1629" spans="1:57" x14ac:dyDescent="0.45">
      <c r="A1629" t="s">
        <v>4028</v>
      </c>
      <c r="B1629" t="s">
        <v>79</v>
      </c>
      <c r="C1629" t="s">
        <v>4029</v>
      </c>
      <c r="D1629" t="s">
        <v>81</v>
      </c>
      <c r="E1629" s="2" t="str">
        <f>HYPERLINK("capsilon://?command=openfolder&amp;siteaddress=FAM.docvelocity-na8.net&amp;folderid=FXAF2F06E8-6150-8B5C-AA5E-107945839F64","FX21019030")</f>
        <v>FX21019030</v>
      </c>
      <c r="F1629" t="s">
        <v>19</v>
      </c>
      <c r="G1629" t="s">
        <v>19</v>
      </c>
      <c r="H1629" t="s">
        <v>82</v>
      </c>
      <c r="I1629" t="s">
        <v>4030</v>
      </c>
      <c r="J1629">
        <v>261</v>
      </c>
      <c r="K1629" t="s">
        <v>84</v>
      </c>
      <c r="L1629" t="s">
        <v>85</v>
      </c>
      <c r="M1629" t="s">
        <v>86</v>
      </c>
      <c r="N1629">
        <v>3</v>
      </c>
      <c r="O1629" s="1">
        <v>44215.512708333335</v>
      </c>
      <c r="P1629" s="1">
        <v>44215.658680555556</v>
      </c>
      <c r="Q1629">
        <v>9534</v>
      </c>
      <c r="R1629">
        <v>3078</v>
      </c>
      <c r="S1629" t="b">
        <v>0</v>
      </c>
      <c r="T1629" t="s">
        <v>87</v>
      </c>
      <c r="U1629" t="b">
        <v>0</v>
      </c>
      <c r="V1629" t="s">
        <v>343</v>
      </c>
      <c r="W1629" s="1">
        <v>44215.584629629629</v>
      </c>
      <c r="X1629">
        <v>2446</v>
      </c>
      <c r="Y1629">
        <v>239</v>
      </c>
      <c r="Z1629">
        <v>0</v>
      </c>
      <c r="AA1629">
        <v>239</v>
      </c>
      <c r="AB1629">
        <v>0</v>
      </c>
      <c r="AC1629">
        <v>91</v>
      </c>
      <c r="AD1629">
        <v>22</v>
      </c>
      <c r="AE1629">
        <v>0</v>
      </c>
      <c r="AF1629">
        <v>0</v>
      </c>
      <c r="AG1629">
        <v>0</v>
      </c>
      <c r="AH1629" t="s">
        <v>128</v>
      </c>
      <c r="AI1629" s="1">
        <v>44215.632013888891</v>
      </c>
      <c r="AJ1629">
        <v>601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22</v>
      </c>
      <c r="AQ1629">
        <v>0</v>
      </c>
      <c r="AR1629">
        <v>0</v>
      </c>
      <c r="AS1629">
        <v>0</v>
      </c>
      <c r="AT1629" t="s">
        <v>90</v>
      </c>
      <c r="AU1629" s="1">
        <v>44215.658680555556</v>
      </c>
      <c r="AV1629">
        <v>26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22</v>
      </c>
      <c r="BC1629">
        <v>0</v>
      </c>
      <c r="BD1629">
        <v>0</v>
      </c>
      <c r="BE1629">
        <v>0</v>
      </c>
    </row>
    <row r="1630" spans="1:57" x14ac:dyDescent="0.45">
      <c r="A1630" t="s">
        <v>4031</v>
      </c>
      <c r="B1630" t="s">
        <v>79</v>
      </c>
      <c r="C1630" t="s">
        <v>3988</v>
      </c>
      <c r="D1630" t="s">
        <v>81</v>
      </c>
      <c r="E1630" s="2" t="str">
        <f>HYPERLINK("capsilon://?command=openfolder&amp;siteaddress=FAM.docvelocity-na8.net&amp;folderid=FXA8869C83-15D8-F70E-3328-F3243AE4A4B3","FX201116917")</f>
        <v>FX201116917</v>
      </c>
      <c r="F1630" t="s">
        <v>19</v>
      </c>
      <c r="G1630" t="s">
        <v>19</v>
      </c>
      <c r="H1630" t="s">
        <v>82</v>
      </c>
      <c r="I1630" t="s">
        <v>3989</v>
      </c>
      <c r="J1630">
        <v>38</v>
      </c>
      <c r="K1630" t="s">
        <v>84</v>
      </c>
      <c r="L1630" t="s">
        <v>85</v>
      </c>
      <c r="M1630" t="s">
        <v>86</v>
      </c>
      <c r="N1630">
        <v>3</v>
      </c>
      <c r="O1630" s="1">
        <v>44215.514016203706</v>
      </c>
      <c r="P1630" s="1">
        <v>44215.543564814812</v>
      </c>
      <c r="Q1630">
        <v>1570</v>
      </c>
      <c r="R1630">
        <v>983</v>
      </c>
      <c r="S1630" t="b">
        <v>0</v>
      </c>
      <c r="T1630" t="s">
        <v>87</v>
      </c>
      <c r="U1630" t="b">
        <v>1</v>
      </c>
      <c r="V1630" t="s">
        <v>919</v>
      </c>
      <c r="W1630" s="1">
        <v>44215.523854166669</v>
      </c>
      <c r="X1630">
        <v>803</v>
      </c>
      <c r="Y1630">
        <v>37</v>
      </c>
      <c r="Z1630">
        <v>0</v>
      </c>
      <c r="AA1630">
        <v>37</v>
      </c>
      <c r="AB1630">
        <v>0</v>
      </c>
      <c r="AC1630">
        <v>28</v>
      </c>
      <c r="AD1630">
        <v>1</v>
      </c>
      <c r="AE1630">
        <v>0</v>
      </c>
      <c r="AF1630">
        <v>0</v>
      </c>
      <c r="AG1630">
        <v>0</v>
      </c>
      <c r="AH1630" t="s">
        <v>128</v>
      </c>
      <c r="AI1630" s="1">
        <v>44215.532187500001</v>
      </c>
      <c r="AJ1630">
        <v>175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 t="s">
        <v>90</v>
      </c>
      <c r="AU1630" s="1">
        <v>44215.543564814812</v>
      </c>
      <c r="AV1630">
        <v>5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</row>
    <row r="1631" spans="1:57" x14ac:dyDescent="0.45">
      <c r="A1631" t="s">
        <v>4032</v>
      </c>
      <c r="B1631" t="s">
        <v>79</v>
      </c>
      <c r="C1631" t="s">
        <v>3979</v>
      </c>
      <c r="D1631" t="s">
        <v>81</v>
      </c>
      <c r="E1631" s="2" t="str">
        <f>HYPERLINK("capsilon://?command=openfolder&amp;siteaddress=FAM.docvelocity-na8.net&amp;folderid=FXBF6FE872-DDC4-7B31-E3C2-20596E6D0DE6","FX20128175")</f>
        <v>FX20128175</v>
      </c>
      <c r="F1631" t="s">
        <v>19</v>
      </c>
      <c r="G1631" t="s">
        <v>19</v>
      </c>
      <c r="H1631" t="s">
        <v>82</v>
      </c>
      <c r="I1631" t="s">
        <v>3980</v>
      </c>
      <c r="J1631">
        <v>132</v>
      </c>
      <c r="K1631" t="s">
        <v>84</v>
      </c>
      <c r="L1631" t="s">
        <v>85</v>
      </c>
      <c r="M1631" t="s">
        <v>86</v>
      </c>
      <c r="N1631">
        <v>3</v>
      </c>
      <c r="O1631" s="1">
        <v>44215.516180555554</v>
      </c>
      <c r="P1631" s="1">
        <v>44215.602916666663</v>
      </c>
      <c r="Q1631">
        <v>2149</v>
      </c>
      <c r="R1631">
        <v>5345</v>
      </c>
      <c r="S1631" t="b">
        <v>0</v>
      </c>
      <c r="T1631" t="s">
        <v>87</v>
      </c>
      <c r="U1631" t="b">
        <v>1</v>
      </c>
      <c r="V1631" t="s">
        <v>146</v>
      </c>
      <c r="W1631" s="1">
        <v>44215.570173611108</v>
      </c>
      <c r="X1631">
        <v>4581</v>
      </c>
      <c r="Y1631">
        <v>104</v>
      </c>
      <c r="Z1631">
        <v>0</v>
      </c>
      <c r="AA1631">
        <v>104</v>
      </c>
      <c r="AB1631">
        <v>0</v>
      </c>
      <c r="AC1631">
        <v>63</v>
      </c>
      <c r="AD1631">
        <v>28</v>
      </c>
      <c r="AE1631">
        <v>0</v>
      </c>
      <c r="AF1631">
        <v>0</v>
      </c>
      <c r="AG1631">
        <v>0</v>
      </c>
      <c r="AH1631" t="s">
        <v>267</v>
      </c>
      <c r="AI1631" s="1">
        <v>44215.587812500002</v>
      </c>
      <c r="AJ1631">
        <v>744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27</v>
      </c>
      <c r="AQ1631">
        <v>0</v>
      </c>
      <c r="AR1631">
        <v>0</v>
      </c>
      <c r="AS1631">
        <v>0</v>
      </c>
      <c r="AT1631" t="s">
        <v>90</v>
      </c>
      <c r="AU1631" s="1">
        <v>44215.602916666663</v>
      </c>
      <c r="AV1631">
        <v>20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27</v>
      </c>
      <c r="BC1631">
        <v>0</v>
      </c>
      <c r="BD1631">
        <v>0</v>
      </c>
      <c r="BE1631">
        <v>0</v>
      </c>
    </row>
    <row r="1632" spans="1:57" hidden="1" x14ac:dyDescent="0.45">
      <c r="A1632" t="s">
        <v>4033</v>
      </c>
      <c r="B1632" t="s">
        <v>79</v>
      </c>
      <c r="C1632" t="s">
        <v>4034</v>
      </c>
      <c r="D1632" t="s">
        <v>81</v>
      </c>
      <c r="E1632" s="2" t="str">
        <f>HYPERLINK("capsilon://?command=openfolder&amp;siteaddress=FAM.docvelocity-na8.net&amp;folderid=FX72A7234C-C8E5-F4CF-AA9E-459F72AFE545","FX201224544")</f>
        <v>FX201224544</v>
      </c>
      <c r="F1632" t="s">
        <v>19</v>
      </c>
      <c r="G1632" t="s">
        <v>19</v>
      </c>
      <c r="H1632" t="s">
        <v>82</v>
      </c>
      <c r="I1632" t="s">
        <v>4035</v>
      </c>
      <c r="J1632">
        <v>66</v>
      </c>
      <c r="K1632" t="s">
        <v>84</v>
      </c>
      <c r="L1632" t="s">
        <v>85</v>
      </c>
      <c r="M1632" t="s">
        <v>86</v>
      </c>
      <c r="N1632">
        <v>1</v>
      </c>
      <c r="O1632" s="1">
        <v>44215.520671296297</v>
      </c>
      <c r="P1632" s="1">
        <v>44215.559293981481</v>
      </c>
      <c r="Q1632">
        <v>3272</v>
      </c>
      <c r="R1632">
        <v>65</v>
      </c>
      <c r="S1632" t="b">
        <v>0</v>
      </c>
      <c r="T1632" t="s">
        <v>87</v>
      </c>
      <c r="U1632" t="b">
        <v>0</v>
      </c>
      <c r="V1632" t="s">
        <v>255</v>
      </c>
      <c r="W1632" s="1">
        <v>44215.559293981481</v>
      </c>
      <c r="X1632">
        <v>65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66</v>
      </c>
      <c r="AE1632">
        <v>52</v>
      </c>
      <c r="AF1632">
        <v>0</v>
      </c>
      <c r="AG1632">
        <v>1</v>
      </c>
      <c r="AH1632" t="s">
        <v>87</v>
      </c>
      <c r="AI1632" t="s">
        <v>87</v>
      </c>
      <c r="AJ1632" t="s">
        <v>87</v>
      </c>
      <c r="AK1632" t="s">
        <v>87</v>
      </c>
      <c r="AL1632" t="s">
        <v>87</v>
      </c>
      <c r="AM1632" t="s">
        <v>87</v>
      </c>
      <c r="AN1632" t="s">
        <v>87</v>
      </c>
      <c r="AO1632" t="s">
        <v>87</v>
      </c>
      <c r="AP1632" t="s">
        <v>87</v>
      </c>
      <c r="AQ1632" t="s">
        <v>87</v>
      </c>
      <c r="AR1632" t="s">
        <v>87</v>
      </c>
      <c r="AS1632" t="s">
        <v>87</v>
      </c>
      <c r="AT1632" t="s">
        <v>87</v>
      </c>
      <c r="AU1632" t="s">
        <v>87</v>
      </c>
      <c r="AV1632" t="s">
        <v>87</v>
      </c>
      <c r="AW1632" t="s">
        <v>87</v>
      </c>
      <c r="AX1632" t="s">
        <v>87</v>
      </c>
      <c r="AY1632" t="s">
        <v>87</v>
      </c>
      <c r="AZ1632" t="s">
        <v>87</v>
      </c>
      <c r="BA1632" t="s">
        <v>87</v>
      </c>
      <c r="BB1632" t="s">
        <v>87</v>
      </c>
      <c r="BC1632" t="s">
        <v>87</v>
      </c>
      <c r="BD1632" t="s">
        <v>87</v>
      </c>
      <c r="BE1632" t="s">
        <v>87</v>
      </c>
    </row>
    <row r="1633" spans="1:57" x14ac:dyDescent="0.45">
      <c r="A1633" t="s">
        <v>4036</v>
      </c>
      <c r="B1633" t="s">
        <v>79</v>
      </c>
      <c r="C1633" t="s">
        <v>4037</v>
      </c>
      <c r="D1633" t="s">
        <v>81</v>
      </c>
      <c r="E1633" s="2" t="str">
        <f>HYPERLINK("capsilon://?command=openfolder&amp;siteaddress=FAM.docvelocity-na8.net&amp;folderid=FX3B1BE12A-3CED-0E67-14B1-76A8129689AE","FX210110340")</f>
        <v>FX210110340</v>
      </c>
      <c r="F1633" t="s">
        <v>19</v>
      </c>
      <c r="G1633" t="s">
        <v>19</v>
      </c>
      <c r="H1633" t="s">
        <v>82</v>
      </c>
      <c r="I1633" t="s">
        <v>4038</v>
      </c>
      <c r="J1633">
        <v>486</v>
      </c>
      <c r="K1633" t="s">
        <v>84</v>
      </c>
      <c r="L1633" t="s">
        <v>85</v>
      </c>
      <c r="M1633" t="s">
        <v>86</v>
      </c>
      <c r="N1633">
        <v>3</v>
      </c>
      <c r="O1633" s="1">
        <v>44215.521932870368</v>
      </c>
      <c r="P1633" s="1">
        <v>44215.659097222226</v>
      </c>
      <c r="Q1633">
        <v>8916</v>
      </c>
      <c r="R1633">
        <v>2935</v>
      </c>
      <c r="S1633" t="b">
        <v>0</v>
      </c>
      <c r="T1633" t="s">
        <v>87</v>
      </c>
      <c r="U1633" t="b">
        <v>0</v>
      </c>
      <c r="V1633" t="s">
        <v>255</v>
      </c>
      <c r="W1633" s="1">
        <v>44215.573738425926</v>
      </c>
      <c r="X1633">
        <v>1247</v>
      </c>
      <c r="Y1633">
        <v>440</v>
      </c>
      <c r="Z1633">
        <v>0</v>
      </c>
      <c r="AA1633">
        <v>440</v>
      </c>
      <c r="AB1633">
        <v>0</v>
      </c>
      <c r="AC1633">
        <v>164</v>
      </c>
      <c r="AD1633">
        <v>46</v>
      </c>
      <c r="AE1633">
        <v>0</v>
      </c>
      <c r="AF1633">
        <v>0</v>
      </c>
      <c r="AG1633">
        <v>0</v>
      </c>
      <c r="AH1633" t="s">
        <v>267</v>
      </c>
      <c r="AI1633" s="1">
        <v>44215.645682870374</v>
      </c>
      <c r="AJ1633">
        <v>1661</v>
      </c>
      <c r="AK1633">
        <v>2</v>
      </c>
      <c r="AL1633">
        <v>0</v>
      </c>
      <c r="AM1633">
        <v>2</v>
      </c>
      <c r="AN1633">
        <v>0</v>
      </c>
      <c r="AO1633">
        <v>2</v>
      </c>
      <c r="AP1633">
        <v>44</v>
      </c>
      <c r="AQ1633">
        <v>0</v>
      </c>
      <c r="AR1633">
        <v>0</v>
      </c>
      <c r="AS1633">
        <v>0</v>
      </c>
      <c r="AT1633" t="s">
        <v>90</v>
      </c>
      <c r="AU1633" s="1">
        <v>44215.659097222226</v>
      </c>
      <c r="AV1633">
        <v>27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44</v>
      </c>
      <c r="BC1633">
        <v>0</v>
      </c>
      <c r="BD1633">
        <v>0</v>
      </c>
      <c r="BE1633">
        <v>0</v>
      </c>
    </row>
    <row r="1634" spans="1:57" x14ac:dyDescent="0.45">
      <c r="A1634" t="s">
        <v>4039</v>
      </c>
      <c r="B1634" t="s">
        <v>79</v>
      </c>
      <c r="C1634" t="s">
        <v>4040</v>
      </c>
      <c r="D1634" t="s">
        <v>81</v>
      </c>
      <c r="E1634" s="2" t="str">
        <f>HYPERLINK("capsilon://?command=openfolder&amp;siteaddress=FAM.docvelocity-na8.net&amp;folderid=FX7336D0CE-20EA-5729-7A23-1F2B28068DF2","FX21018439")</f>
        <v>FX21018439</v>
      </c>
      <c r="F1634" t="s">
        <v>19</v>
      </c>
      <c r="G1634" t="s">
        <v>19</v>
      </c>
      <c r="H1634" t="s">
        <v>82</v>
      </c>
      <c r="I1634" t="s">
        <v>4041</v>
      </c>
      <c r="J1634">
        <v>155</v>
      </c>
      <c r="K1634" t="s">
        <v>84</v>
      </c>
      <c r="L1634" t="s">
        <v>85</v>
      </c>
      <c r="M1634" t="s">
        <v>86</v>
      </c>
      <c r="N1634">
        <v>3</v>
      </c>
      <c r="O1634" s="1">
        <v>44215.527175925927</v>
      </c>
      <c r="P1634" s="1">
        <v>44215.68341435185</v>
      </c>
      <c r="Q1634">
        <v>10243</v>
      </c>
      <c r="R1634">
        <v>3256</v>
      </c>
      <c r="S1634" t="b">
        <v>0</v>
      </c>
      <c r="T1634" t="s">
        <v>87</v>
      </c>
      <c r="U1634" t="b">
        <v>0</v>
      </c>
      <c r="V1634" t="s">
        <v>142</v>
      </c>
      <c r="W1634" s="1">
        <v>44215.595578703702</v>
      </c>
      <c r="X1634">
        <v>2617</v>
      </c>
      <c r="Y1634">
        <v>193</v>
      </c>
      <c r="Z1634">
        <v>0</v>
      </c>
      <c r="AA1634">
        <v>193</v>
      </c>
      <c r="AB1634">
        <v>21</v>
      </c>
      <c r="AC1634">
        <v>150</v>
      </c>
      <c r="AD1634">
        <v>-38</v>
      </c>
      <c r="AE1634">
        <v>0</v>
      </c>
      <c r="AF1634">
        <v>0</v>
      </c>
      <c r="AG1634">
        <v>0</v>
      </c>
      <c r="AH1634" t="s">
        <v>128</v>
      </c>
      <c r="AI1634" s="1">
        <v>44215.645983796298</v>
      </c>
      <c r="AJ1634">
        <v>582</v>
      </c>
      <c r="AK1634">
        <v>3</v>
      </c>
      <c r="AL1634">
        <v>0</v>
      </c>
      <c r="AM1634">
        <v>3</v>
      </c>
      <c r="AN1634">
        <v>21</v>
      </c>
      <c r="AO1634">
        <v>3</v>
      </c>
      <c r="AP1634">
        <v>-41</v>
      </c>
      <c r="AQ1634">
        <v>0</v>
      </c>
      <c r="AR1634">
        <v>0</v>
      </c>
      <c r="AS1634">
        <v>0</v>
      </c>
      <c r="AT1634" t="s">
        <v>90</v>
      </c>
      <c r="AU1634" s="1">
        <v>44215.68341435185</v>
      </c>
      <c r="AV1634">
        <v>35</v>
      </c>
      <c r="AW1634">
        <v>1</v>
      </c>
      <c r="AX1634">
        <v>0</v>
      </c>
      <c r="AY1634">
        <v>1</v>
      </c>
      <c r="AZ1634">
        <v>21</v>
      </c>
      <c r="BA1634">
        <v>1</v>
      </c>
      <c r="BB1634">
        <v>-42</v>
      </c>
      <c r="BC1634">
        <v>0</v>
      </c>
      <c r="BD1634">
        <v>0</v>
      </c>
      <c r="BE1634">
        <v>0</v>
      </c>
    </row>
    <row r="1635" spans="1:57" x14ac:dyDescent="0.45">
      <c r="A1635" t="s">
        <v>4042</v>
      </c>
      <c r="B1635" t="s">
        <v>79</v>
      </c>
      <c r="C1635" t="s">
        <v>1140</v>
      </c>
      <c r="D1635" t="s">
        <v>81</v>
      </c>
      <c r="E1635" s="2" t="str">
        <f>HYPERLINK("capsilon://?command=openfolder&amp;siteaddress=FAM.docvelocity-na8.net&amp;folderid=FX36E5F7FA-7B78-D282-0822-5C67BE5D7822","FX2101527")</f>
        <v>FX2101527</v>
      </c>
      <c r="F1635" t="s">
        <v>19</v>
      </c>
      <c r="G1635" t="s">
        <v>19</v>
      </c>
      <c r="H1635" t="s">
        <v>82</v>
      </c>
      <c r="I1635" t="s">
        <v>4043</v>
      </c>
      <c r="J1635">
        <v>26</v>
      </c>
      <c r="K1635" t="s">
        <v>84</v>
      </c>
      <c r="L1635" t="s">
        <v>85</v>
      </c>
      <c r="M1635" t="s">
        <v>86</v>
      </c>
      <c r="N1635">
        <v>3</v>
      </c>
      <c r="O1635" s="1">
        <v>44215.528391203705</v>
      </c>
      <c r="P1635" s="1">
        <v>44215.68346064815</v>
      </c>
      <c r="Q1635">
        <v>11775</v>
      </c>
      <c r="R1635">
        <v>1623</v>
      </c>
      <c r="S1635" t="b">
        <v>0</v>
      </c>
      <c r="T1635" t="s">
        <v>87</v>
      </c>
      <c r="U1635" t="b">
        <v>0</v>
      </c>
      <c r="V1635" t="s">
        <v>146</v>
      </c>
      <c r="W1635" s="1">
        <v>44215.585324074076</v>
      </c>
      <c r="X1635">
        <v>1308</v>
      </c>
      <c r="Y1635">
        <v>21</v>
      </c>
      <c r="Z1635">
        <v>0</v>
      </c>
      <c r="AA1635">
        <v>21</v>
      </c>
      <c r="AB1635">
        <v>0</v>
      </c>
      <c r="AC1635">
        <v>21</v>
      </c>
      <c r="AD1635">
        <v>5</v>
      </c>
      <c r="AE1635">
        <v>0</v>
      </c>
      <c r="AF1635">
        <v>0</v>
      </c>
      <c r="AG1635">
        <v>0</v>
      </c>
      <c r="AH1635" t="s">
        <v>128</v>
      </c>
      <c r="AI1635" s="1">
        <v>44215.649606481478</v>
      </c>
      <c r="AJ1635">
        <v>312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5</v>
      </c>
      <c r="AQ1635">
        <v>0</v>
      </c>
      <c r="AR1635">
        <v>0</v>
      </c>
      <c r="AS1635">
        <v>0</v>
      </c>
      <c r="AT1635" t="s">
        <v>90</v>
      </c>
      <c r="AU1635" s="1">
        <v>44215.68346064815</v>
      </c>
      <c r="AV1635">
        <v>3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5</v>
      </c>
      <c r="BC1635">
        <v>0</v>
      </c>
      <c r="BD1635">
        <v>0</v>
      </c>
      <c r="BE1635">
        <v>0</v>
      </c>
    </row>
    <row r="1636" spans="1:57" x14ac:dyDescent="0.45">
      <c r="A1636" t="s">
        <v>4044</v>
      </c>
      <c r="B1636" t="s">
        <v>79</v>
      </c>
      <c r="C1636" t="s">
        <v>1140</v>
      </c>
      <c r="D1636" t="s">
        <v>81</v>
      </c>
      <c r="E1636" s="2" t="str">
        <f>HYPERLINK("capsilon://?command=openfolder&amp;siteaddress=FAM.docvelocity-na8.net&amp;folderid=FX36E5F7FA-7B78-D282-0822-5C67BE5D7822","FX2101527")</f>
        <v>FX2101527</v>
      </c>
      <c r="F1636" t="s">
        <v>19</v>
      </c>
      <c r="G1636" t="s">
        <v>19</v>
      </c>
      <c r="H1636" t="s">
        <v>82</v>
      </c>
      <c r="I1636" t="s">
        <v>4045</v>
      </c>
      <c r="J1636">
        <v>26</v>
      </c>
      <c r="K1636" t="s">
        <v>84</v>
      </c>
      <c r="L1636" t="s">
        <v>85</v>
      </c>
      <c r="M1636" t="s">
        <v>86</v>
      </c>
      <c r="N1636">
        <v>3</v>
      </c>
      <c r="O1636" s="1">
        <v>44215.52884259259</v>
      </c>
      <c r="P1636" s="1">
        <v>44215.683518518519</v>
      </c>
      <c r="Q1636">
        <v>12434</v>
      </c>
      <c r="R1636">
        <v>930</v>
      </c>
      <c r="S1636" t="b">
        <v>0</v>
      </c>
      <c r="T1636" t="s">
        <v>87</v>
      </c>
      <c r="U1636" t="b">
        <v>0</v>
      </c>
      <c r="V1636" t="s">
        <v>160</v>
      </c>
      <c r="W1636" s="1">
        <v>44215.582430555558</v>
      </c>
      <c r="X1636">
        <v>823</v>
      </c>
      <c r="Y1636">
        <v>21</v>
      </c>
      <c r="Z1636">
        <v>0</v>
      </c>
      <c r="AA1636">
        <v>21</v>
      </c>
      <c r="AB1636">
        <v>0</v>
      </c>
      <c r="AC1636">
        <v>20</v>
      </c>
      <c r="AD1636">
        <v>5</v>
      </c>
      <c r="AE1636">
        <v>0</v>
      </c>
      <c r="AF1636">
        <v>0</v>
      </c>
      <c r="AG1636">
        <v>0</v>
      </c>
      <c r="AH1636" t="s">
        <v>128</v>
      </c>
      <c r="AI1636" s="1">
        <v>44215.650810185187</v>
      </c>
      <c r="AJ1636">
        <v>103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5</v>
      </c>
      <c r="AQ1636">
        <v>0</v>
      </c>
      <c r="AR1636">
        <v>0</v>
      </c>
      <c r="AS1636">
        <v>0</v>
      </c>
      <c r="AT1636" t="s">
        <v>90</v>
      </c>
      <c r="AU1636" s="1">
        <v>44215.683518518519</v>
      </c>
      <c r="AV1636">
        <v>4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5</v>
      </c>
      <c r="BC1636">
        <v>0</v>
      </c>
      <c r="BD1636">
        <v>0</v>
      </c>
      <c r="BE1636">
        <v>0</v>
      </c>
    </row>
    <row r="1637" spans="1:57" x14ac:dyDescent="0.45">
      <c r="A1637" t="s">
        <v>4046</v>
      </c>
      <c r="B1637" t="s">
        <v>79</v>
      </c>
      <c r="C1637" t="s">
        <v>1589</v>
      </c>
      <c r="D1637" t="s">
        <v>81</v>
      </c>
      <c r="E1637" s="2" t="str">
        <f>HYPERLINK("capsilon://?command=openfolder&amp;siteaddress=FAM.docvelocity-na8.net&amp;folderid=FXEF4BDE40-2363-1DA0-3827-67F4901A2E21","FX20123724")</f>
        <v>FX20123724</v>
      </c>
      <c r="F1637" t="s">
        <v>19</v>
      </c>
      <c r="G1637" t="s">
        <v>19</v>
      </c>
      <c r="H1637" t="s">
        <v>82</v>
      </c>
      <c r="I1637" t="s">
        <v>3367</v>
      </c>
      <c r="J1637">
        <v>38</v>
      </c>
      <c r="K1637" t="s">
        <v>84</v>
      </c>
      <c r="L1637" t="s">
        <v>85</v>
      </c>
      <c r="M1637" t="s">
        <v>86</v>
      </c>
      <c r="N1637">
        <v>3</v>
      </c>
      <c r="O1637" s="1">
        <v>44200.852673611109</v>
      </c>
      <c r="P1637" s="1">
        <v>44201.344664351855</v>
      </c>
      <c r="Q1637">
        <v>42032</v>
      </c>
      <c r="R1637">
        <v>476</v>
      </c>
      <c r="S1637" t="b">
        <v>0</v>
      </c>
      <c r="T1637" t="s">
        <v>87</v>
      </c>
      <c r="U1637" t="b">
        <v>1</v>
      </c>
      <c r="V1637" t="s">
        <v>266</v>
      </c>
      <c r="W1637" s="1">
        <v>44200.857164351852</v>
      </c>
      <c r="X1637">
        <v>373</v>
      </c>
      <c r="Y1637">
        <v>37</v>
      </c>
      <c r="Z1637">
        <v>0</v>
      </c>
      <c r="AA1637">
        <v>37</v>
      </c>
      <c r="AB1637">
        <v>0</v>
      </c>
      <c r="AC1637">
        <v>21</v>
      </c>
      <c r="AD1637">
        <v>1</v>
      </c>
      <c r="AE1637">
        <v>0</v>
      </c>
      <c r="AF1637">
        <v>0</v>
      </c>
      <c r="AG1637">
        <v>0</v>
      </c>
      <c r="AH1637" t="s">
        <v>267</v>
      </c>
      <c r="AI1637" s="1">
        <v>44200.858425925922</v>
      </c>
      <c r="AJ1637">
        <v>98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 t="s">
        <v>90</v>
      </c>
      <c r="AU1637" s="1">
        <v>44201.344664351855</v>
      </c>
      <c r="AV1637">
        <v>5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</row>
    <row r="1638" spans="1:57" x14ac:dyDescent="0.45">
      <c r="A1638" t="s">
        <v>4047</v>
      </c>
      <c r="B1638" t="s">
        <v>79</v>
      </c>
      <c r="C1638" t="s">
        <v>4048</v>
      </c>
      <c r="D1638" t="s">
        <v>81</v>
      </c>
      <c r="E1638" s="2" t="str">
        <f>HYPERLINK("capsilon://?command=openfolder&amp;siteaddress=FAM.docvelocity-na8.net&amp;folderid=FXB50E4B2D-72FE-FFBA-F361-E796086FBF96","FX21013801")</f>
        <v>FX21013801</v>
      </c>
      <c r="F1638" t="s">
        <v>19</v>
      </c>
      <c r="G1638" t="s">
        <v>19</v>
      </c>
      <c r="H1638" t="s">
        <v>82</v>
      </c>
      <c r="I1638" t="s">
        <v>4049</v>
      </c>
      <c r="J1638">
        <v>161</v>
      </c>
      <c r="K1638" t="s">
        <v>84</v>
      </c>
      <c r="L1638" t="s">
        <v>85</v>
      </c>
      <c r="M1638" t="s">
        <v>86</v>
      </c>
      <c r="N1638">
        <v>3</v>
      </c>
      <c r="O1638" s="1">
        <v>44215.532557870371</v>
      </c>
      <c r="P1638" s="1">
        <v>44215.683993055558</v>
      </c>
      <c r="Q1638">
        <v>11633</v>
      </c>
      <c r="R1638">
        <v>1451</v>
      </c>
      <c r="S1638" t="b">
        <v>0</v>
      </c>
      <c r="T1638" t="s">
        <v>87</v>
      </c>
      <c r="U1638" t="b">
        <v>0</v>
      </c>
      <c r="V1638" t="s">
        <v>255</v>
      </c>
      <c r="W1638" s="1">
        <v>44215.582499999997</v>
      </c>
      <c r="X1638">
        <v>757</v>
      </c>
      <c r="Y1638">
        <v>91</v>
      </c>
      <c r="Z1638">
        <v>0</v>
      </c>
      <c r="AA1638">
        <v>91</v>
      </c>
      <c r="AB1638">
        <v>54</v>
      </c>
      <c r="AC1638">
        <v>43</v>
      </c>
      <c r="AD1638">
        <v>70</v>
      </c>
      <c r="AE1638">
        <v>0</v>
      </c>
      <c r="AF1638">
        <v>0</v>
      </c>
      <c r="AG1638">
        <v>0</v>
      </c>
      <c r="AH1638" t="s">
        <v>267</v>
      </c>
      <c r="AI1638" s="1">
        <v>44215.657418981478</v>
      </c>
      <c r="AJ1638">
        <v>653</v>
      </c>
      <c r="AK1638">
        <v>2</v>
      </c>
      <c r="AL1638">
        <v>0</v>
      </c>
      <c r="AM1638">
        <v>2</v>
      </c>
      <c r="AN1638">
        <v>54</v>
      </c>
      <c r="AO1638">
        <v>2</v>
      </c>
      <c r="AP1638">
        <v>68</v>
      </c>
      <c r="AQ1638">
        <v>0</v>
      </c>
      <c r="AR1638">
        <v>0</v>
      </c>
      <c r="AS1638">
        <v>0</v>
      </c>
      <c r="AT1638" t="s">
        <v>90</v>
      </c>
      <c r="AU1638" s="1">
        <v>44215.683993055558</v>
      </c>
      <c r="AV1638">
        <v>41</v>
      </c>
      <c r="AW1638">
        <v>0</v>
      </c>
      <c r="AX1638">
        <v>0</v>
      </c>
      <c r="AY1638">
        <v>0</v>
      </c>
      <c r="AZ1638">
        <v>54</v>
      </c>
      <c r="BA1638">
        <v>0</v>
      </c>
      <c r="BB1638">
        <v>68</v>
      </c>
      <c r="BC1638">
        <v>0</v>
      </c>
      <c r="BD1638">
        <v>0</v>
      </c>
      <c r="BE1638">
        <v>0</v>
      </c>
    </row>
    <row r="1639" spans="1:57" x14ac:dyDescent="0.45">
      <c r="A1639" t="s">
        <v>4050</v>
      </c>
      <c r="B1639" t="s">
        <v>79</v>
      </c>
      <c r="C1639" t="s">
        <v>4051</v>
      </c>
      <c r="D1639" t="s">
        <v>81</v>
      </c>
      <c r="E1639" s="2" t="str">
        <f>HYPERLINK("capsilon://?command=openfolder&amp;siteaddress=FAM.docvelocity-na8.net&amp;folderid=FXCA56DFFB-4D53-A479-7FCE-9D465B310D4D","FX201224882")</f>
        <v>FX201224882</v>
      </c>
      <c r="F1639" t="s">
        <v>19</v>
      </c>
      <c r="G1639" t="s">
        <v>19</v>
      </c>
      <c r="H1639" t="s">
        <v>82</v>
      </c>
      <c r="I1639" t="s">
        <v>4052</v>
      </c>
      <c r="J1639">
        <v>128</v>
      </c>
      <c r="K1639" t="s">
        <v>84</v>
      </c>
      <c r="L1639" t="s">
        <v>85</v>
      </c>
      <c r="M1639" t="s">
        <v>86</v>
      </c>
      <c r="N1639">
        <v>3</v>
      </c>
      <c r="O1639" s="1">
        <v>44215.535717592589</v>
      </c>
      <c r="P1639" s="1">
        <v>44215.68787037037</v>
      </c>
      <c r="Q1639">
        <v>11536</v>
      </c>
      <c r="R1639">
        <v>1610</v>
      </c>
      <c r="S1639" t="b">
        <v>0</v>
      </c>
      <c r="T1639" t="s">
        <v>87</v>
      </c>
      <c r="U1639" t="b">
        <v>0</v>
      </c>
      <c r="V1639" t="s">
        <v>179</v>
      </c>
      <c r="W1639" s="1">
        <v>44215.590509259258</v>
      </c>
      <c r="X1639">
        <v>1054</v>
      </c>
      <c r="Y1639">
        <v>102</v>
      </c>
      <c r="Z1639">
        <v>0</v>
      </c>
      <c r="AA1639">
        <v>102</v>
      </c>
      <c r="AB1639">
        <v>0</v>
      </c>
      <c r="AC1639">
        <v>39</v>
      </c>
      <c r="AD1639">
        <v>26</v>
      </c>
      <c r="AE1639">
        <v>0</v>
      </c>
      <c r="AF1639">
        <v>0</v>
      </c>
      <c r="AG1639">
        <v>0</v>
      </c>
      <c r="AH1639" t="s">
        <v>128</v>
      </c>
      <c r="AI1639" s="1">
        <v>44215.653391203705</v>
      </c>
      <c r="AJ1639">
        <v>222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26</v>
      </c>
      <c r="AQ1639">
        <v>0</v>
      </c>
      <c r="AR1639">
        <v>0</v>
      </c>
      <c r="AS1639">
        <v>0</v>
      </c>
      <c r="AT1639" t="s">
        <v>90</v>
      </c>
      <c r="AU1639" s="1">
        <v>44215.68787037037</v>
      </c>
      <c r="AV1639">
        <v>334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26</v>
      </c>
      <c r="BC1639">
        <v>0</v>
      </c>
      <c r="BD1639">
        <v>0</v>
      </c>
      <c r="BE1639">
        <v>0</v>
      </c>
    </row>
    <row r="1640" spans="1:57" x14ac:dyDescent="0.45">
      <c r="A1640" t="s">
        <v>4053</v>
      </c>
      <c r="B1640" t="s">
        <v>79</v>
      </c>
      <c r="C1640" t="s">
        <v>4054</v>
      </c>
      <c r="D1640" t="s">
        <v>81</v>
      </c>
      <c r="E1640" s="2" t="str">
        <f>HYPERLINK("capsilon://?command=openfolder&amp;siteaddress=FAM.docvelocity-na8.net&amp;folderid=FX75A5E4E3-8874-23D2-8804-37AE12E592B6","FX210110156")</f>
        <v>FX210110156</v>
      </c>
      <c r="F1640" t="s">
        <v>19</v>
      </c>
      <c r="G1640" t="s">
        <v>19</v>
      </c>
      <c r="H1640" t="s">
        <v>82</v>
      </c>
      <c r="I1640" t="s">
        <v>4055</v>
      </c>
      <c r="J1640">
        <v>140</v>
      </c>
      <c r="K1640" t="s">
        <v>84</v>
      </c>
      <c r="L1640" t="s">
        <v>85</v>
      </c>
      <c r="M1640" t="s">
        <v>86</v>
      </c>
      <c r="N1640">
        <v>3</v>
      </c>
      <c r="O1640" s="1">
        <v>44215.543506944443</v>
      </c>
      <c r="P1640" s="1">
        <v>44215.688113425924</v>
      </c>
      <c r="Q1640">
        <v>10496</v>
      </c>
      <c r="R1640">
        <v>1998</v>
      </c>
      <c r="S1640" t="b">
        <v>0</v>
      </c>
      <c r="T1640" t="s">
        <v>87</v>
      </c>
      <c r="U1640" t="b">
        <v>0</v>
      </c>
      <c r="V1640" t="s">
        <v>160</v>
      </c>
      <c r="W1640" s="1">
        <v>44215.596238425926</v>
      </c>
      <c r="X1640">
        <v>1192</v>
      </c>
      <c r="Y1640">
        <v>88</v>
      </c>
      <c r="Z1640">
        <v>0</v>
      </c>
      <c r="AA1640">
        <v>88</v>
      </c>
      <c r="AB1640">
        <v>37</v>
      </c>
      <c r="AC1640">
        <v>56</v>
      </c>
      <c r="AD1640">
        <v>52</v>
      </c>
      <c r="AE1640">
        <v>0</v>
      </c>
      <c r="AF1640">
        <v>0</v>
      </c>
      <c r="AG1640">
        <v>0</v>
      </c>
      <c r="AH1640" t="s">
        <v>267</v>
      </c>
      <c r="AI1640" s="1">
        <v>44215.663923611108</v>
      </c>
      <c r="AJ1640">
        <v>561</v>
      </c>
      <c r="AK1640">
        <v>0</v>
      </c>
      <c r="AL1640">
        <v>0</v>
      </c>
      <c r="AM1640">
        <v>0</v>
      </c>
      <c r="AN1640">
        <v>37</v>
      </c>
      <c r="AO1640">
        <v>0</v>
      </c>
      <c r="AP1640">
        <v>52</v>
      </c>
      <c r="AQ1640">
        <v>0</v>
      </c>
      <c r="AR1640">
        <v>0</v>
      </c>
      <c r="AS1640">
        <v>0</v>
      </c>
      <c r="AT1640" t="s">
        <v>90</v>
      </c>
      <c r="AU1640" s="1">
        <v>44215.688113425924</v>
      </c>
      <c r="AV1640">
        <v>20</v>
      </c>
      <c r="AW1640">
        <v>0</v>
      </c>
      <c r="AX1640">
        <v>0</v>
      </c>
      <c r="AY1640">
        <v>0</v>
      </c>
      <c r="AZ1640">
        <v>37</v>
      </c>
      <c r="BA1640">
        <v>0</v>
      </c>
      <c r="BB1640">
        <v>52</v>
      </c>
      <c r="BC1640">
        <v>0</v>
      </c>
      <c r="BD1640">
        <v>0</v>
      </c>
      <c r="BE1640">
        <v>0</v>
      </c>
    </row>
    <row r="1641" spans="1:57" x14ac:dyDescent="0.45">
      <c r="A1641" t="s">
        <v>4056</v>
      </c>
      <c r="B1641" t="s">
        <v>79</v>
      </c>
      <c r="C1641" t="s">
        <v>967</v>
      </c>
      <c r="D1641" t="s">
        <v>81</v>
      </c>
      <c r="E1641" s="2" t="str">
        <f>HYPERLINK("capsilon://?command=openfolder&amp;siteaddress=FAM.docvelocity-na8.net&amp;folderid=FX77916BE9-19BC-80D2-4FA2-1AA7EF6AC0E5","FX201228437")</f>
        <v>FX201228437</v>
      </c>
      <c r="F1641" t="s">
        <v>19</v>
      </c>
      <c r="G1641" t="s">
        <v>19</v>
      </c>
      <c r="H1641" t="s">
        <v>82</v>
      </c>
      <c r="I1641" t="s">
        <v>4057</v>
      </c>
      <c r="J1641">
        <v>38</v>
      </c>
      <c r="K1641" t="s">
        <v>84</v>
      </c>
      <c r="L1641" t="s">
        <v>85</v>
      </c>
      <c r="M1641" t="s">
        <v>86</v>
      </c>
      <c r="N1641">
        <v>3</v>
      </c>
      <c r="O1641" s="1">
        <v>44200.858761574076</v>
      </c>
      <c r="P1641" s="1">
        <v>44201.441296296296</v>
      </c>
      <c r="Q1641">
        <v>49012</v>
      </c>
      <c r="R1641">
        <v>1319</v>
      </c>
      <c r="S1641" t="b">
        <v>0</v>
      </c>
      <c r="T1641" t="s">
        <v>87</v>
      </c>
      <c r="U1641" t="b">
        <v>0</v>
      </c>
      <c r="V1641" t="s">
        <v>132</v>
      </c>
      <c r="W1641" s="1">
        <v>44201.010706018518</v>
      </c>
      <c r="X1641">
        <v>933</v>
      </c>
      <c r="Y1641">
        <v>37</v>
      </c>
      <c r="Z1641">
        <v>0</v>
      </c>
      <c r="AA1641">
        <v>37</v>
      </c>
      <c r="AB1641">
        <v>0</v>
      </c>
      <c r="AC1641">
        <v>23</v>
      </c>
      <c r="AD1641">
        <v>1</v>
      </c>
      <c r="AE1641">
        <v>0</v>
      </c>
      <c r="AF1641">
        <v>0</v>
      </c>
      <c r="AG1641">
        <v>0</v>
      </c>
      <c r="AH1641" t="s">
        <v>94</v>
      </c>
      <c r="AI1641" s="1">
        <v>44201.315972222219</v>
      </c>
      <c r="AJ1641">
        <v>368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 t="s">
        <v>549</v>
      </c>
      <c r="AU1641" s="1">
        <v>44201.441296296296</v>
      </c>
      <c r="AV1641">
        <v>18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</row>
    <row r="1642" spans="1:57" x14ac:dyDescent="0.45">
      <c r="A1642" t="s">
        <v>4058</v>
      </c>
      <c r="B1642" t="s">
        <v>79</v>
      </c>
      <c r="C1642" t="s">
        <v>580</v>
      </c>
      <c r="D1642" t="s">
        <v>81</v>
      </c>
      <c r="E1642" s="2" t="str">
        <f>HYPERLINK("capsilon://?command=openfolder&amp;siteaddress=FAM.docvelocity-na8.net&amp;folderid=FX69C67FA3-5CA8-9D3B-2997-6FEAC1D5E5BB","FX201228936")</f>
        <v>FX201228936</v>
      </c>
      <c r="F1642" t="s">
        <v>19</v>
      </c>
      <c r="G1642" t="s">
        <v>19</v>
      </c>
      <c r="H1642" t="s">
        <v>82</v>
      </c>
      <c r="I1642" t="s">
        <v>4059</v>
      </c>
      <c r="J1642">
        <v>66</v>
      </c>
      <c r="K1642" t="s">
        <v>84</v>
      </c>
      <c r="L1642" t="s">
        <v>85</v>
      </c>
      <c r="M1642" t="s">
        <v>86</v>
      </c>
      <c r="N1642">
        <v>3</v>
      </c>
      <c r="O1642" s="1">
        <v>44215.544270833336</v>
      </c>
      <c r="P1642" s="1">
        <v>44215.688217592593</v>
      </c>
      <c r="Q1642">
        <v>11933</v>
      </c>
      <c r="R1642">
        <v>504</v>
      </c>
      <c r="S1642" t="b">
        <v>0</v>
      </c>
      <c r="T1642" t="s">
        <v>87</v>
      </c>
      <c r="U1642" t="b">
        <v>0</v>
      </c>
      <c r="V1642" t="s">
        <v>255</v>
      </c>
      <c r="W1642" s="1">
        <v>44215.586284722223</v>
      </c>
      <c r="X1642">
        <v>326</v>
      </c>
      <c r="Y1642">
        <v>52</v>
      </c>
      <c r="Z1642">
        <v>0</v>
      </c>
      <c r="AA1642">
        <v>52</v>
      </c>
      <c r="AB1642">
        <v>0</v>
      </c>
      <c r="AC1642">
        <v>32</v>
      </c>
      <c r="AD1642">
        <v>14</v>
      </c>
      <c r="AE1642">
        <v>0</v>
      </c>
      <c r="AF1642">
        <v>0</v>
      </c>
      <c r="AG1642">
        <v>0</v>
      </c>
      <c r="AH1642" t="s">
        <v>128</v>
      </c>
      <c r="AI1642" s="1">
        <v>44215.660590277781</v>
      </c>
      <c r="AJ1642">
        <v>170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14</v>
      </c>
      <c r="AQ1642">
        <v>0</v>
      </c>
      <c r="AR1642">
        <v>0</v>
      </c>
      <c r="AS1642">
        <v>0</v>
      </c>
      <c r="AT1642" t="s">
        <v>90</v>
      </c>
      <c r="AU1642" s="1">
        <v>44215.688217592593</v>
      </c>
      <c r="AV1642">
        <v>8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14</v>
      </c>
      <c r="BC1642">
        <v>0</v>
      </c>
      <c r="BD1642">
        <v>0</v>
      </c>
      <c r="BE1642">
        <v>0</v>
      </c>
    </row>
    <row r="1643" spans="1:57" x14ac:dyDescent="0.45">
      <c r="A1643" t="s">
        <v>4060</v>
      </c>
      <c r="B1643" t="s">
        <v>79</v>
      </c>
      <c r="C1643" t="s">
        <v>3995</v>
      </c>
      <c r="D1643" t="s">
        <v>81</v>
      </c>
      <c r="E1643" s="2" t="str">
        <f>HYPERLINK("capsilon://?command=openfolder&amp;siteaddress=FAM.docvelocity-na8.net&amp;folderid=FX17423893-BFFB-52C0-D6BF-A836553402F3","FX21011277")</f>
        <v>FX21011277</v>
      </c>
      <c r="F1643" t="s">
        <v>19</v>
      </c>
      <c r="G1643" t="s">
        <v>19</v>
      </c>
      <c r="H1643" t="s">
        <v>82</v>
      </c>
      <c r="I1643" t="s">
        <v>4005</v>
      </c>
      <c r="J1643">
        <v>240</v>
      </c>
      <c r="K1643" t="s">
        <v>84</v>
      </c>
      <c r="L1643" t="s">
        <v>85</v>
      </c>
      <c r="M1643" t="s">
        <v>86</v>
      </c>
      <c r="N1643">
        <v>3</v>
      </c>
      <c r="O1643" s="1">
        <v>44215.544675925928</v>
      </c>
      <c r="P1643" s="1">
        <v>44215.603229166663</v>
      </c>
      <c r="Q1643">
        <v>3505</v>
      </c>
      <c r="R1643">
        <v>1554</v>
      </c>
      <c r="S1643" t="b">
        <v>0</v>
      </c>
      <c r="T1643" t="s">
        <v>87</v>
      </c>
      <c r="U1643" t="b">
        <v>1</v>
      </c>
      <c r="V1643" t="s">
        <v>255</v>
      </c>
      <c r="W1643" s="1">
        <v>44215.555555555555</v>
      </c>
      <c r="X1643">
        <v>939</v>
      </c>
      <c r="Y1643">
        <v>207</v>
      </c>
      <c r="Z1643">
        <v>0</v>
      </c>
      <c r="AA1643">
        <v>207</v>
      </c>
      <c r="AB1643">
        <v>0</v>
      </c>
      <c r="AC1643">
        <v>146</v>
      </c>
      <c r="AD1643">
        <v>33</v>
      </c>
      <c r="AE1643">
        <v>0</v>
      </c>
      <c r="AF1643">
        <v>0</v>
      </c>
      <c r="AG1643">
        <v>0</v>
      </c>
      <c r="AH1643" t="s">
        <v>128</v>
      </c>
      <c r="AI1643" s="1">
        <v>44215.569479166668</v>
      </c>
      <c r="AJ1643">
        <v>589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33</v>
      </c>
      <c r="AQ1643">
        <v>0</v>
      </c>
      <c r="AR1643">
        <v>0</v>
      </c>
      <c r="AS1643">
        <v>0</v>
      </c>
      <c r="AT1643" t="s">
        <v>90</v>
      </c>
      <c r="AU1643" s="1">
        <v>44215.603229166663</v>
      </c>
      <c r="AV1643">
        <v>26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33</v>
      </c>
      <c r="BC1643">
        <v>0</v>
      </c>
      <c r="BD1643">
        <v>0</v>
      </c>
      <c r="BE1643">
        <v>0</v>
      </c>
    </row>
    <row r="1644" spans="1:57" x14ac:dyDescent="0.45">
      <c r="A1644" t="s">
        <v>4061</v>
      </c>
      <c r="B1644" t="s">
        <v>79</v>
      </c>
      <c r="C1644" t="s">
        <v>1559</v>
      </c>
      <c r="D1644" t="s">
        <v>81</v>
      </c>
      <c r="E1644" s="2" t="str">
        <f>HYPERLINK("capsilon://?command=openfolder&amp;siteaddress=FAM.docvelocity-na8.net&amp;folderid=FX03FB7D39-09B4-AA3C-6854-5628B6E46FA2","FX21012918")</f>
        <v>FX21012918</v>
      </c>
      <c r="F1644" t="s">
        <v>19</v>
      </c>
      <c r="G1644" t="s">
        <v>19</v>
      </c>
      <c r="H1644" t="s">
        <v>82</v>
      </c>
      <c r="I1644" t="s">
        <v>4062</v>
      </c>
      <c r="J1644">
        <v>38</v>
      </c>
      <c r="K1644" t="s">
        <v>84</v>
      </c>
      <c r="L1644" t="s">
        <v>85</v>
      </c>
      <c r="M1644" t="s">
        <v>86</v>
      </c>
      <c r="N1644">
        <v>3</v>
      </c>
      <c r="O1644" s="1">
        <v>44215.545173611114</v>
      </c>
      <c r="P1644" s="1">
        <v>44215.688287037039</v>
      </c>
      <c r="Q1644">
        <v>11356</v>
      </c>
      <c r="R1644">
        <v>1009</v>
      </c>
      <c r="S1644" t="b">
        <v>0</v>
      </c>
      <c r="T1644" t="s">
        <v>87</v>
      </c>
      <c r="U1644" t="b">
        <v>0</v>
      </c>
      <c r="V1644" t="s">
        <v>343</v>
      </c>
      <c r="W1644" s="1">
        <v>44215.594837962963</v>
      </c>
      <c r="X1644">
        <v>881</v>
      </c>
      <c r="Y1644">
        <v>37</v>
      </c>
      <c r="Z1644">
        <v>0</v>
      </c>
      <c r="AA1644">
        <v>37</v>
      </c>
      <c r="AB1644">
        <v>0</v>
      </c>
      <c r="AC1644">
        <v>33</v>
      </c>
      <c r="AD1644">
        <v>1</v>
      </c>
      <c r="AE1644">
        <v>0</v>
      </c>
      <c r="AF1644">
        <v>0</v>
      </c>
      <c r="AG1644">
        <v>0</v>
      </c>
      <c r="AH1644" t="s">
        <v>128</v>
      </c>
      <c r="AI1644" s="1">
        <v>44215.66201388889</v>
      </c>
      <c r="AJ1644">
        <v>122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 t="s">
        <v>90</v>
      </c>
      <c r="AU1644" s="1">
        <v>44215.688287037039</v>
      </c>
      <c r="AV1644">
        <v>6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</row>
    <row r="1645" spans="1:57" x14ac:dyDescent="0.45">
      <c r="A1645" t="s">
        <v>4063</v>
      </c>
      <c r="B1645" t="s">
        <v>79</v>
      </c>
      <c r="C1645" t="s">
        <v>1016</v>
      </c>
      <c r="D1645" t="s">
        <v>81</v>
      </c>
      <c r="E1645" s="2" t="str">
        <f>HYPERLINK("capsilon://?command=openfolder&amp;siteaddress=FAM.docvelocity-na8.net&amp;folderid=FX65733EAA-58CC-7068-8335-DFB35735FBF7","FX21011886")</f>
        <v>FX21011886</v>
      </c>
      <c r="F1645" t="s">
        <v>19</v>
      </c>
      <c r="G1645" t="s">
        <v>19</v>
      </c>
      <c r="H1645" t="s">
        <v>82</v>
      </c>
      <c r="I1645" t="s">
        <v>4064</v>
      </c>
      <c r="J1645">
        <v>66</v>
      </c>
      <c r="K1645" t="s">
        <v>84</v>
      </c>
      <c r="L1645" t="s">
        <v>85</v>
      </c>
      <c r="M1645" t="s">
        <v>86</v>
      </c>
      <c r="N1645">
        <v>3</v>
      </c>
      <c r="O1645" s="1">
        <v>44215.545428240737</v>
      </c>
      <c r="P1645" s="1">
        <v>44215.688344907408</v>
      </c>
      <c r="Q1645">
        <v>11236</v>
      </c>
      <c r="R1645">
        <v>1112</v>
      </c>
      <c r="S1645" t="b">
        <v>0</v>
      </c>
      <c r="T1645" t="s">
        <v>87</v>
      </c>
      <c r="U1645" t="b">
        <v>0</v>
      </c>
      <c r="V1645" t="s">
        <v>146</v>
      </c>
      <c r="W1645" s="1">
        <v>44215.596493055556</v>
      </c>
      <c r="X1645">
        <v>964</v>
      </c>
      <c r="Y1645">
        <v>52</v>
      </c>
      <c r="Z1645">
        <v>0</v>
      </c>
      <c r="AA1645">
        <v>52</v>
      </c>
      <c r="AB1645">
        <v>0</v>
      </c>
      <c r="AC1645">
        <v>36</v>
      </c>
      <c r="AD1645">
        <v>14</v>
      </c>
      <c r="AE1645">
        <v>0</v>
      </c>
      <c r="AF1645">
        <v>0</v>
      </c>
      <c r="AG1645">
        <v>0</v>
      </c>
      <c r="AH1645" t="s">
        <v>128</v>
      </c>
      <c r="AI1645" s="1">
        <v>44215.663668981484</v>
      </c>
      <c r="AJ1645">
        <v>143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14</v>
      </c>
      <c r="AQ1645">
        <v>0</v>
      </c>
      <c r="AR1645">
        <v>0</v>
      </c>
      <c r="AS1645">
        <v>0</v>
      </c>
      <c r="AT1645" t="s">
        <v>90</v>
      </c>
      <c r="AU1645" s="1">
        <v>44215.688344907408</v>
      </c>
      <c r="AV1645">
        <v>5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14</v>
      </c>
      <c r="BC1645">
        <v>0</v>
      </c>
      <c r="BD1645">
        <v>0</v>
      </c>
      <c r="BE1645">
        <v>0</v>
      </c>
    </row>
    <row r="1646" spans="1:57" x14ac:dyDescent="0.45">
      <c r="A1646" t="s">
        <v>4065</v>
      </c>
      <c r="B1646" t="s">
        <v>79</v>
      </c>
      <c r="C1646" t="s">
        <v>631</v>
      </c>
      <c r="D1646" t="s">
        <v>81</v>
      </c>
      <c r="E1646" s="2" t="str">
        <f>HYPERLINK("capsilon://?command=openfolder&amp;siteaddress=FAM.docvelocity-na8.net&amp;folderid=FX0F8DE94B-1BE5-9FED-53CE-602FF1E51127","FX2101479")</f>
        <v>FX2101479</v>
      </c>
      <c r="F1646" t="s">
        <v>19</v>
      </c>
      <c r="G1646" t="s">
        <v>19</v>
      </c>
      <c r="H1646" t="s">
        <v>82</v>
      </c>
      <c r="I1646" t="s">
        <v>4066</v>
      </c>
      <c r="J1646">
        <v>66</v>
      </c>
      <c r="K1646" t="s">
        <v>84</v>
      </c>
      <c r="L1646" t="s">
        <v>85</v>
      </c>
      <c r="M1646" t="s">
        <v>86</v>
      </c>
      <c r="N1646">
        <v>3</v>
      </c>
      <c r="O1646" s="1">
        <v>44215.547303240739</v>
      </c>
      <c r="P1646" s="1">
        <v>44215.688414351855</v>
      </c>
      <c r="Q1646">
        <v>11810</v>
      </c>
      <c r="R1646">
        <v>382</v>
      </c>
      <c r="S1646" t="b">
        <v>0</v>
      </c>
      <c r="T1646" t="s">
        <v>87</v>
      </c>
      <c r="U1646" t="b">
        <v>0</v>
      </c>
      <c r="V1646" t="s">
        <v>255</v>
      </c>
      <c r="W1646" s="1">
        <v>44215.589386574073</v>
      </c>
      <c r="X1646">
        <v>267</v>
      </c>
      <c r="Y1646">
        <v>52</v>
      </c>
      <c r="Z1646">
        <v>0</v>
      </c>
      <c r="AA1646">
        <v>52</v>
      </c>
      <c r="AB1646">
        <v>0</v>
      </c>
      <c r="AC1646">
        <v>31</v>
      </c>
      <c r="AD1646">
        <v>14</v>
      </c>
      <c r="AE1646">
        <v>0</v>
      </c>
      <c r="AF1646">
        <v>0</v>
      </c>
      <c r="AG1646">
        <v>0</v>
      </c>
      <c r="AH1646" t="s">
        <v>128</v>
      </c>
      <c r="AI1646" s="1">
        <v>44215.664953703701</v>
      </c>
      <c r="AJ1646">
        <v>110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14</v>
      </c>
      <c r="AQ1646">
        <v>0</v>
      </c>
      <c r="AR1646">
        <v>0</v>
      </c>
      <c r="AS1646">
        <v>0</v>
      </c>
      <c r="AT1646" t="s">
        <v>90</v>
      </c>
      <c r="AU1646" s="1">
        <v>44215.688414351855</v>
      </c>
      <c r="AV1646">
        <v>5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14</v>
      </c>
      <c r="BC1646">
        <v>0</v>
      </c>
      <c r="BD1646">
        <v>0</v>
      </c>
      <c r="BE1646">
        <v>0</v>
      </c>
    </row>
    <row r="1647" spans="1:57" x14ac:dyDescent="0.45">
      <c r="A1647" t="s">
        <v>4067</v>
      </c>
      <c r="B1647" t="s">
        <v>79</v>
      </c>
      <c r="C1647" t="s">
        <v>4068</v>
      </c>
      <c r="D1647" t="s">
        <v>81</v>
      </c>
      <c r="E1647" s="2" t="str">
        <f>HYPERLINK("capsilon://?command=openfolder&amp;siteaddress=FAM.docvelocity-na8.net&amp;folderid=FXB039B15A-3C07-7598-A05A-B959ED75889E","FX21018670")</f>
        <v>FX21018670</v>
      </c>
      <c r="F1647" t="s">
        <v>19</v>
      </c>
      <c r="G1647" t="s">
        <v>19</v>
      </c>
      <c r="H1647" t="s">
        <v>82</v>
      </c>
      <c r="I1647" t="s">
        <v>4069</v>
      </c>
      <c r="J1647">
        <v>354</v>
      </c>
      <c r="K1647" t="s">
        <v>84</v>
      </c>
      <c r="L1647" t="s">
        <v>85</v>
      </c>
      <c r="M1647" t="s">
        <v>86</v>
      </c>
      <c r="N1647">
        <v>3</v>
      </c>
      <c r="O1647" s="1">
        <v>44215.550057870372</v>
      </c>
      <c r="P1647" s="1">
        <v>44215.689074074071</v>
      </c>
      <c r="Q1647">
        <v>8896</v>
      </c>
      <c r="R1647">
        <v>3115</v>
      </c>
      <c r="S1647" t="b">
        <v>0</v>
      </c>
      <c r="T1647" t="s">
        <v>87</v>
      </c>
      <c r="U1647" t="b">
        <v>0</v>
      </c>
      <c r="V1647" t="s">
        <v>242</v>
      </c>
      <c r="W1647" s="1">
        <v>44215.607847222222</v>
      </c>
      <c r="X1647">
        <v>1699</v>
      </c>
      <c r="Y1647">
        <v>286</v>
      </c>
      <c r="Z1647">
        <v>0</v>
      </c>
      <c r="AA1647">
        <v>286</v>
      </c>
      <c r="AB1647">
        <v>0</v>
      </c>
      <c r="AC1647">
        <v>128</v>
      </c>
      <c r="AD1647">
        <v>68</v>
      </c>
      <c r="AE1647">
        <v>0</v>
      </c>
      <c r="AF1647">
        <v>0</v>
      </c>
      <c r="AG1647">
        <v>0</v>
      </c>
      <c r="AH1647" t="s">
        <v>267</v>
      </c>
      <c r="AI1647" s="1">
        <v>44215.679675925923</v>
      </c>
      <c r="AJ1647">
        <v>1360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68</v>
      </c>
      <c r="AQ1647">
        <v>0</v>
      </c>
      <c r="AR1647">
        <v>0</v>
      </c>
      <c r="AS1647">
        <v>0</v>
      </c>
      <c r="AT1647" t="s">
        <v>90</v>
      </c>
      <c r="AU1647" s="1">
        <v>44215.689074074071</v>
      </c>
      <c r="AV1647">
        <v>56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68</v>
      </c>
      <c r="BC1647">
        <v>0</v>
      </c>
      <c r="BD1647">
        <v>0</v>
      </c>
      <c r="BE1647">
        <v>0</v>
      </c>
    </row>
    <row r="1648" spans="1:57" x14ac:dyDescent="0.45">
      <c r="A1648" t="s">
        <v>4070</v>
      </c>
      <c r="B1648" t="s">
        <v>79</v>
      </c>
      <c r="C1648" t="s">
        <v>4015</v>
      </c>
      <c r="D1648" t="s">
        <v>81</v>
      </c>
      <c r="E1648" s="2" t="str">
        <f>HYPERLINK("capsilon://?command=openfolder&amp;siteaddress=FAM.docvelocity-na8.net&amp;folderid=FXC599969E-B46C-7D4D-6430-002D96AD96B5","FX20124242")</f>
        <v>FX20124242</v>
      </c>
      <c r="F1648" t="s">
        <v>19</v>
      </c>
      <c r="G1648" t="s">
        <v>19</v>
      </c>
      <c r="H1648" t="s">
        <v>82</v>
      </c>
      <c r="I1648" t="s">
        <v>4018</v>
      </c>
      <c r="J1648">
        <v>107</v>
      </c>
      <c r="K1648" t="s">
        <v>84</v>
      </c>
      <c r="L1648" t="s">
        <v>85</v>
      </c>
      <c r="M1648" t="s">
        <v>86</v>
      </c>
      <c r="N1648">
        <v>3</v>
      </c>
      <c r="O1648" s="1">
        <v>44215.550925925927</v>
      </c>
      <c r="P1648" s="1">
        <v>44215.603668981479</v>
      </c>
      <c r="Q1648">
        <v>1934</v>
      </c>
      <c r="R1648">
        <v>2623</v>
      </c>
      <c r="S1648" t="b">
        <v>0</v>
      </c>
      <c r="T1648" t="s">
        <v>87</v>
      </c>
      <c r="U1648" t="b">
        <v>1</v>
      </c>
      <c r="V1648" t="s">
        <v>179</v>
      </c>
      <c r="W1648" s="1">
        <v>44215.578298611108</v>
      </c>
      <c r="X1648">
        <v>2353</v>
      </c>
      <c r="Y1648">
        <v>93</v>
      </c>
      <c r="Z1648">
        <v>0</v>
      </c>
      <c r="AA1648">
        <v>93</v>
      </c>
      <c r="AB1648">
        <v>0</v>
      </c>
      <c r="AC1648">
        <v>72</v>
      </c>
      <c r="AD1648">
        <v>14</v>
      </c>
      <c r="AE1648">
        <v>0</v>
      </c>
      <c r="AF1648">
        <v>0</v>
      </c>
      <c r="AG1648">
        <v>0</v>
      </c>
      <c r="AH1648" t="s">
        <v>128</v>
      </c>
      <c r="AI1648" s="1">
        <v>44215.585682870369</v>
      </c>
      <c r="AJ1648">
        <v>232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14</v>
      </c>
      <c r="AQ1648">
        <v>0</v>
      </c>
      <c r="AR1648">
        <v>0</v>
      </c>
      <c r="AS1648">
        <v>0</v>
      </c>
      <c r="AT1648" t="s">
        <v>90</v>
      </c>
      <c r="AU1648" s="1">
        <v>44215.603668981479</v>
      </c>
      <c r="AV1648">
        <v>38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14</v>
      </c>
      <c r="BC1648">
        <v>0</v>
      </c>
      <c r="BD1648">
        <v>0</v>
      </c>
      <c r="BE1648">
        <v>0</v>
      </c>
    </row>
    <row r="1649" spans="1:57" x14ac:dyDescent="0.45">
      <c r="A1649" t="s">
        <v>4071</v>
      </c>
      <c r="B1649" t="s">
        <v>79</v>
      </c>
      <c r="C1649" t="s">
        <v>4072</v>
      </c>
      <c r="D1649" t="s">
        <v>81</v>
      </c>
      <c r="E1649" s="2" t="str">
        <f>HYPERLINK("capsilon://?command=openfolder&amp;siteaddress=FAM.docvelocity-na8.net&amp;folderid=FX7B518A3D-E0A3-29D3-6763-C0DD991A40E3","FX21019443")</f>
        <v>FX21019443</v>
      </c>
      <c r="F1649" t="s">
        <v>19</v>
      </c>
      <c r="G1649" t="s">
        <v>19</v>
      </c>
      <c r="H1649" t="s">
        <v>82</v>
      </c>
      <c r="I1649" t="s">
        <v>4073</v>
      </c>
      <c r="J1649">
        <v>222</v>
      </c>
      <c r="K1649" t="s">
        <v>84</v>
      </c>
      <c r="L1649" t="s">
        <v>85</v>
      </c>
      <c r="M1649" t="s">
        <v>86</v>
      </c>
      <c r="N1649">
        <v>3</v>
      </c>
      <c r="O1649" s="1">
        <v>44215.558217592596</v>
      </c>
      <c r="P1649" s="1">
        <v>44215.689641203702</v>
      </c>
      <c r="Q1649">
        <v>9168</v>
      </c>
      <c r="R1649">
        <v>2187</v>
      </c>
      <c r="S1649" t="b">
        <v>0</v>
      </c>
      <c r="T1649" t="s">
        <v>87</v>
      </c>
      <c r="U1649" t="b">
        <v>0</v>
      </c>
      <c r="V1649" t="s">
        <v>255</v>
      </c>
      <c r="W1649" s="1">
        <v>44215.60560185185</v>
      </c>
      <c r="X1649">
        <v>1401</v>
      </c>
      <c r="Y1649">
        <v>256</v>
      </c>
      <c r="Z1649">
        <v>0</v>
      </c>
      <c r="AA1649">
        <v>256</v>
      </c>
      <c r="AB1649">
        <v>0</v>
      </c>
      <c r="AC1649">
        <v>155</v>
      </c>
      <c r="AD1649">
        <v>-34</v>
      </c>
      <c r="AE1649">
        <v>0</v>
      </c>
      <c r="AF1649">
        <v>0</v>
      </c>
      <c r="AG1649">
        <v>0</v>
      </c>
      <c r="AH1649" t="s">
        <v>128</v>
      </c>
      <c r="AI1649" s="1">
        <v>44215.673506944448</v>
      </c>
      <c r="AJ1649">
        <v>738</v>
      </c>
      <c r="AK1649">
        <v>1</v>
      </c>
      <c r="AL1649">
        <v>0</v>
      </c>
      <c r="AM1649">
        <v>1</v>
      </c>
      <c r="AN1649">
        <v>0</v>
      </c>
      <c r="AO1649">
        <v>1</v>
      </c>
      <c r="AP1649">
        <v>-35</v>
      </c>
      <c r="AQ1649">
        <v>0</v>
      </c>
      <c r="AR1649">
        <v>0</v>
      </c>
      <c r="AS1649">
        <v>0</v>
      </c>
      <c r="AT1649" t="s">
        <v>90</v>
      </c>
      <c r="AU1649" s="1">
        <v>44215.689641203702</v>
      </c>
      <c r="AV1649">
        <v>48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-35</v>
      </c>
      <c r="BC1649">
        <v>0</v>
      </c>
      <c r="BD1649">
        <v>0</v>
      </c>
      <c r="BE1649">
        <v>0</v>
      </c>
    </row>
    <row r="1650" spans="1:57" hidden="1" x14ac:dyDescent="0.45">
      <c r="A1650" t="s">
        <v>4074</v>
      </c>
      <c r="B1650" t="s">
        <v>79</v>
      </c>
      <c r="C1650" t="s">
        <v>1109</v>
      </c>
      <c r="D1650" t="s">
        <v>81</v>
      </c>
      <c r="E1650" s="2" t="str">
        <f>HYPERLINK("capsilon://?command=openfolder&amp;siteaddress=FAM.docvelocity-na8.net&amp;folderid=FX752C2642-5ECF-773B-8E65-695284F4786D","FX201017101")</f>
        <v>FX201017101</v>
      </c>
      <c r="F1650" t="s">
        <v>19</v>
      </c>
      <c r="G1650" t="s">
        <v>19</v>
      </c>
      <c r="H1650" t="s">
        <v>82</v>
      </c>
      <c r="I1650" t="s">
        <v>4075</v>
      </c>
      <c r="J1650">
        <v>66</v>
      </c>
      <c r="K1650" t="s">
        <v>84</v>
      </c>
      <c r="L1650" t="s">
        <v>85</v>
      </c>
      <c r="M1650" t="s">
        <v>86</v>
      </c>
      <c r="N1650">
        <v>3</v>
      </c>
      <c r="O1650" s="1">
        <v>44215.558993055558</v>
      </c>
      <c r="P1650" s="1">
        <v>44215.689687500002</v>
      </c>
      <c r="Q1650">
        <v>11135</v>
      </c>
      <c r="R1650">
        <v>157</v>
      </c>
      <c r="S1650" t="b">
        <v>0</v>
      </c>
      <c r="T1650" t="s">
        <v>87</v>
      </c>
      <c r="U1650" t="b">
        <v>0</v>
      </c>
      <c r="V1650" t="s">
        <v>179</v>
      </c>
      <c r="W1650" s="1">
        <v>44215.591828703706</v>
      </c>
      <c r="X1650">
        <v>113</v>
      </c>
      <c r="Y1650">
        <v>0</v>
      </c>
      <c r="Z1650">
        <v>0</v>
      </c>
      <c r="AA1650">
        <v>0</v>
      </c>
      <c r="AB1650">
        <v>52</v>
      </c>
      <c r="AC1650">
        <v>0</v>
      </c>
      <c r="AD1650">
        <v>66</v>
      </c>
      <c r="AE1650">
        <v>0</v>
      </c>
      <c r="AF1650">
        <v>0</v>
      </c>
      <c r="AG1650">
        <v>0</v>
      </c>
      <c r="AH1650" t="s">
        <v>128</v>
      </c>
      <c r="AI1650" s="1">
        <v>44215.673993055556</v>
      </c>
      <c r="AJ1650">
        <v>41</v>
      </c>
      <c r="AK1650">
        <v>0</v>
      </c>
      <c r="AL1650">
        <v>0</v>
      </c>
      <c r="AM1650">
        <v>0</v>
      </c>
      <c r="AN1650">
        <v>52</v>
      </c>
      <c r="AO1650">
        <v>0</v>
      </c>
      <c r="AP1650">
        <v>66</v>
      </c>
      <c r="AQ1650">
        <v>0</v>
      </c>
      <c r="AR1650">
        <v>0</v>
      </c>
      <c r="AS1650">
        <v>0</v>
      </c>
      <c r="AT1650" t="s">
        <v>90</v>
      </c>
      <c r="AU1650" s="1">
        <v>44215.689687500002</v>
      </c>
      <c r="AV1650">
        <v>3</v>
      </c>
      <c r="AW1650">
        <v>0</v>
      </c>
      <c r="AX1650">
        <v>0</v>
      </c>
      <c r="AY1650">
        <v>0</v>
      </c>
      <c r="AZ1650">
        <v>52</v>
      </c>
      <c r="BA1650">
        <v>0</v>
      </c>
      <c r="BB1650">
        <v>66</v>
      </c>
      <c r="BC1650">
        <v>0</v>
      </c>
      <c r="BD1650">
        <v>0</v>
      </c>
      <c r="BE1650">
        <v>0</v>
      </c>
    </row>
    <row r="1651" spans="1:57" x14ac:dyDescent="0.45">
      <c r="A1651" t="s">
        <v>4076</v>
      </c>
      <c r="B1651" t="s">
        <v>79</v>
      </c>
      <c r="C1651" t="s">
        <v>4077</v>
      </c>
      <c r="D1651" t="s">
        <v>81</v>
      </c>
      <c r="E1651" s="2" t="str">
        <f>HYPERLINK("capsilon://?command=openfolder&amp;siteaddress=FAM.docvelocity-na8.net&amp;folderid=FX455AF7F1-6D61-8552-1985-1BFEF3B6C9B2","FX201111288")</f>
        <v>FX201111288</v>
      </c>
      <c r="F1651" t="s">
        <v>19</v>
      </c>
      <c r="G1651" t="s">
        <v>19</v>
      </c>
      <c r="H1651" t="s">
        <v>82</v>
      </c>
      <c r="I1651" t="s">
        <v>4078</v>
      </c>
      <c r="J1651">
        <v>62</v>
      </c>
      <c r="K1651" t="s">
        <v>84</v>
      </c>
      <c r="L1651" t="s">
        <v>85</v>
      </c>
      <c r="M1651" t="s">
        <v>86</v>
      </c>
      <c r="N1651">
        <v>3</v>
      </c>
      <c r="O1651" s="1">
        <v>44215.560115740744</v>
      </c>
      <c r="P1651" s="1">
        <v>44215.690347222226</v>
      </c>
      <c r="Q1651">
        <v>9602</v>
      </c>
      <c r="R1651">
        <v>1650</v>
      </c>
      <c r="S1651" t="b">
        <v>0</v>
      </c>
      <c r="T1651" t="s">
        <v>87</v>
      </c>
      <c r="U1651" t="b">
        <v>0</v>
      </c>
      <c r="V1651" t="s">
        <v>343</v>
      </c>
      <c r="W1651" s="1">
        <v>44215.608437499999</v>
      </c>
      <c r="X1651">
        <v>1174</v>
      </c>
      <c r="Y1651">
        <v>125</v>
      </c>
      <c r="Z1651">
        <v>0</v>
      </c>
      <c r="AA1651">
        <v>125</v>
      </c>
      <c r="AB1651">
        <v>0</v>
      </c>
      <c r="AC1651">
        <v>100</v>
      </c>
      <c r="AD1651">
        <v>-63</v>
      </c>
      <c r="AE1651">
        <v>0</v>
      </c>
      <c r="AF1651">
        <v>0</v>
      </c>
      <c r="AG1651">
        <v>0</v>
      </c>
      <c r="AH1651" t="s">
        <v>128</v>
      </c>
      <c r="AI1651" s="1">
        <v>44215.678622685184</v>
      </c>
      <c r="AJ1651">
        <v>400</v>
      </c>
      <c r="AK1651">
        <v>2</v>
      </c>
      <c r="AL1651">
        <v>0</v>
      </c>
      <c r="AM1651">
        <v>2</v>
      </c>
      <c r="AN1651">
        <v>0</v>
      </c>
      <c r="AO1651">
        <v>2</v>
      </c>
      <c r="AP1651">
        <v>-65</v>
      </c>
      <c r="AQ1651">
        <v>0</v>
      </c>
      <c r="AR1651">
        <v>0</v>
      </c>
      <c r="AS1651">
        <v>0</v>
      </c>
      <c r="AT1651" t="s">
        <v>90</v>
      </c>
      <c r="AU1651" s="1">
        <v>44215.690347222226</v>
      </c>
      <c r="AV1651">
        <v>35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-65</v>
      </c>
      <c r="BC1651">
        <v>0</v>
      </c>
      <c r="BD1651">
        <v>0</v>
      </c>
      <c r="BE1651">
        <v>0</v>
      </c>
    </row>
    <row r="1652" spans="1:57" x14ac:dyDescent="0.45">
      <c r="A1652" t="s">
        <v>4079</v>
      </c>
      <c r="B1652" t="s">
        <v>79</v>
      </c>
      <c r="C1652" t="s">
        <v>1559</v>
      </c>
      <c r="D1652" t="s">
        <v>81</v>
      </c>
      <c r="E1652" s="2" t="str">
        <f>HYPERLINK("capsilon://?command=openfolder&amp;siteaddress=FAM.docvelocity-na8.net&amp;folderid=FX03FB7D39-09B4-AA3C-6854-5628B6E46FA2","FX21012918")</f>
        <v>FX21012918</v>
      </c>
      <c r="F1652" t="s">
        <v>19</v>
      </c>
      <c r="G1652" t="s">
        <v>19</v>
      </c>
      <c r="H1652" t="s">
        <v>82</v>
      </c>
      <c r="I1652" t="s">
        <v>4080</v>
      </c>
      <c r="J1652">
        <v>31</v>
      </c>
      <c r="K1652" t="s">
        <v>84</v>
      </c>
      <c r="L1652" t="s">
        <v>85</v>
      </c>
      <c r="M1652" t="s">
        <v>86</v>
      </c>
      <c r="N1652">
        <v>3</v>
      </c>
      <c r="O1652" s="1">
        <v>44215.560347222221</v>
      </c>
      <c r="P1652" s="1">
        <v>44215.692083333335</v>
      </c>
      <c r="Q1652">
        <v>10335</v>
      </c>
      <c r="R1652">
        <v>1047</v>
      </c>
      <c r="S1652" t="b">
        <v>0</v>
      </c>
      <c r="T1652" t="s">
        <v>87</v>
      </c>
      <c r="U1652" t="b">
        <v>0</v>
      </c>
      <c r="V1652" t="s">
        <v>142</v>
      </c>
      <c r="W1652" s="1">
        <v>44215.60365740741</v>
      </c>
      <c r="X1652">
        <v>697</v>
      </c>
      <c r="Y1652">
        <v>82</v>
      </c>
      <c r="Z1652">
        <v>0</v>
      </c>
      <c r="AA1652">
        <v>82</v>
      </c>
      <c r="AB1652">
        <v>0</v>
      </c>
      <c r="AC1652">
        <v>57</v>
      </c>
      <c r="AD1652">
        <v>-51</v>
      </c>
      <c r="AE1652">
        <v>0</v>
      </c>
      <c r="AF1652">
        <v>0</v>
      </c>
      <c r="AG1652">
        <v>0</v>
      </c>
      <c r="AH1652" t="s">
        <v>128</v>
      </c>
      <c r="AI1652" s="1">
        <v>44215.680949074071</v>
      </c>
      <c r="AJ1652">
        <v>200</v>
      </c>
      <c r="AK1652">
        <v>1</v>
      </c>
      <c r="AL1652">
        <v>0</v>
      </c>
      <c r="AM1652">
        <v>1</v>
      </c>
      <c r="AN1652">
        <v>0</v>
      </c>
      <c r="AO1652">
        <v>1</v>
      </c>
      <c r="AP1652">
        <v>-52</v>
      </c>
      <c r="AQ1652">
        <v>0</v>
      </c>
      <c r="AR1652">
        <v>0</v>
      </c>
      <c r="AS1652">
        <v>0</v>
      </c>
      <c r="AT1652" t="s">
        <v>90</v>
      </c>
      <c r="AU1652" s="1">
        <v>44215.692083333335</v>
      </c>
      <c r="AV1652">
        <v>150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-52</v>
      </c>
      <c r="BC1652">
        <v>0</v>
      </c>
      <c r="BD1652">
        <v>0</v>
      </c>
      <c r="BE1652">
        <v>0</v>
      </c>
    </row>
    <row r="1653" spans="1:57" x14ac:dyDescent="0.45">
      <c r="A1653" t="s">
        <v>4081</v>
      </c>
      <c r="B1653" t="s">
        <v>79</v>
      </c>
      <c r="C1653" t="s">
        <v>4034</v>
      </c>
      <c r="D1653" t="s">
        <v>81</v>
      </c>
      <c r="E1653" s="2" t="str">
        <f>HYPERLINK("capsilon://?command=openfolder&amp;siteaddress=FAM.docvelocity-na8.net&amp;folderid=FX72A7234C-C8E5-F4CF-AA9E-459F72AFE545","FX201224544")</f>
        <v>FX201224544</v>
      </c>
      <c r="F1653" t="s">
        <v>19</v>
      </c>
      <c r="G1653" t="s">
        <v>19</v>
      </c>
      <c r="H1653" t="s">
        <v>82</v>
      </c>
      <c r="I1653" t="s">
        <v>4035</v>
      </c>
      <c r="J1653">
        <v>38</v>
      </c>
      <c r="K1653" t="s">
        <v>84</v>
      </c>
      <c r="L1653" t="s">
        <v>85</v>
      </c>
      <c r="M1653" t="s">
        <v>86</v>
      </c>
      <c r="N1653">
        <v>3</v>
      </c>
      <c r="O1653" s="1">
        <v>44215.560439814813</v>
      </c>
      <c r="P1653" s="1">
        <v>44215.603726851848</v>
      </c>
      <c r="Q1653">
        <v>2218</v>
      </c>
      <c r="R1653">
        <v>1522</v>
      </c>
      <c r="S1653" t="b">
        <v>0</v>
      </c>
      <c r="T1653" t="s">
        <v>87</v>
      </c>
      <c r="U1653" t="b">
        <v>1</v>
      </c>
      <c r="V1653" t="s">
        <v>171</v>
      </c>
      <c r="W1653" s="1">
        <v>44215.579942129632</v>
      </c>
      <c r="X1653">
        <v>1405</v>
      </c>
      <c r="Y1653">
        <v>37</v>
      </c>
      <c r="Z1653">
        <v>0</v>
      </c>
      <c r="AA1653">
        <v>37</v>
      </c>
      <c r="AB1653">
        <v>0</v>
      </c>
      <c r="AC1653">
        <v>35</v>
      </c>
      <c r="AD1653">
        <v>1</v>
      </c>
      <c r="AE1653">
        <v>0</v>
      </c>
      <c r="AF1653">
        <v>0</v>
      </c>
      <c r="AG1653">
        <v>0</v>
      </c>
      <c r="AH1653" t="s">
        <v>128</v>
      </c>
      <c r="AI1653" s="1">
        <v>44215.58699074074</v>
      </c>
      <c r="AJ1653">
        <v>113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 t="s">
        <v>90</v>
      </c>
      <c r="AU1653" s="1">
        <v>44215.603726851848</v>
      </c>
      <c r="AV1653">
        <v>4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</row>
    <row r="1654" spans="1:57" x14ac:dyDescent="0.45">
      <c r="A1654" t="s">
        <v>4082</v>
      </c>
      <c r="B1654" t="s">
        <v>79</v>
      </c>
      <c r="C1654" t="s">
        <v>1559</v>
      </c>
      <c r="D1654" t="s">
        <v>81</v>
      </c>
      <c r="E1654" s="2" t="str">
        <f>HYPERLINK("capsilon://?command=openfolder&amp;siteaddress=FAM.docvelocity-na8.net&amp;folderid=FX03FB7D39-09B4-AA3C-6854-5628B6E46FA2","FX21012918")</f>
        <v>FX21012918</v>
      </c>
      <c r="F1654" t="s">
        <v>19</v>
      </c>
      <c r="G1654" t="s">
        <v>19</v>
      </c>
      <c r="H1654" t="s">
        <v>82</v>
      </c>
      <c r="I1654" t="s">
        <v>4083</v>
      </c>
      <c r="J1654">
        <v>49</v>
      </c>
      <c r="K1654" t="s">
        <v>84</v>
      </c>
      <c r="L1654" t="s">
        <v>85</v>
      </c>
      <c r="M1654" t="s">
        <v>86</v>
      </c>
      <c r="N1654">
        <v>3</v>
      </c>
      <c r="O1654" s="1">
        <v>44215.561400462961</v>
      </c>
      <c r="P1654" s="1">
        <v>44215.692164351851</v>
      </c>
      <c r="Q1654">
        <v>9326</v>
      </c>
      <c r="R1654">
        <v>1972</v>
      </c>
      <c r="S1654" t="b">
        <v>0</v>
      </c>
      <c r="T1654" t="s">
        <v>87</v>
      </c>
      <c r="U1654" t="b">
        <v>0</v>
      </c>
      <c r="V1654" t="s">
        <v>160</v>
      </c>
      <c r="W1654" s="1">
        <v>44215.612893518519</v>
      </c>
      <c r="X1654">
        <v>1439</v>
      </c>
      <c r="Y1654">
        <v>54</v>
      </c>
      <c r="Z1654">
        <v>0</v>
      </c>
      <c r="AA1654">
        <v>54</v>
      </c>
      <c r="AB1654">
        <v>0</v>
      </c>
      <c r="AC1654">
        <v>51</v>
      </c>
      <c r="AD1654">
        <v>-5</v>
      </c>
      <c r="AE1654">
        <v>0</v>
      </c>
      <c r="AF1654">
        <v>0</v>
      </c>
      <c r="AG1654">
        <v>0</v>
      </c>
      <c r="AH1654" t="s">
        <v>267</v>
      </c>
      <c r="AI1654" s="1">
        <v>44215.685787037037</v>
      </c>
      <c r="AJ1654">
        <v>527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-5</v>
      </c>
      <c r="AQ1654">
        <v>0</v>
      </c>
      <c r="AR1654">
        <v>0</v>
      </c>
      <c r="AS1654">
        <v>0</v>
      </c>
      <c r="AT1654" t="s">
        <v>90</v>
      </c>
      <c r="AU1654" s="1">
        <v>44215.692164351851</v>
      </c>
      <c r="AV1654">
        <v>6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-5</v>
      </c>
      <c r="BC1654">
        <v>0</v>
      </c>
      <c r="BD1654">
        <v>0</v>
      </c>
      <c r="BE1654">
        <v>0</v>
      </c>
    </row>
    <row r="1655" spans="1:57" x14ac:dyDescent="0.45">
      <c r="A1655" t="s">
        <v>4084</v>
      </c>
      <c r="B1655" t="s">
        <v>79</v>
      </c>
      <c r="C1655" t="s">
        <v>3676</v>
      </c>
      <c r="D1655" t="s">
        <v>81</v>
      </c>
      <c r="E1655" s="2" t="str">
        <f>HYPERLINK("capsilon://?command=openfolder&amp;siteaddress=FAM.docvelocity-na8.net&amp;folderid=FX87918B30-9F4C-0DE5-2746-CA9FBF79A323","FX20125267")</f>
        <v>FX20125267</v>
      </c>
      <c r="F1655" t="s">
        <v>19</v>
      </c>
      <c r="G1655" t="s">
        <v>19</v>
      </c>
      <c r="H1655" t="s">
        <v>82</v>
      </c>
      <c r="I1655" t="s">
        <v>4085</v>
      </c>
      <c r="J1655">
        <v>65</v>
      </c>
      <c r="K1655" t="s">
        <v>84</v>
      </c>
      <c r="L1655" t="s">
        <v>85</v>
      </c>
      <c r="M1655" t="s">
        <v>86</v>
      </c>
      <c r="N1655">
        <v>3</v>
      </c>
      <c r="O1655" s="1">
        <v>44215.561805555553</v>
      </c>
      <c r="P1655" s="1">
        <v>44215.692488425928</v>
      </c>
      <c r="Q1655">
        <v>7346</v>
      </c>
      <c r="R1655">
        <v>3945</v>
      </c>
      <c r="S1655" t="b">
        <v>0</v>
      </c>
      <c r="T1655" t="s">
        <v>87</v>
      </c>
      <c r="U1655" t="b">
        <v>0</v>
      </c>
      <c r="V1655" t="s">
        <v>146</v>
      </c>
      <c r="W1655" s="1">
        <v>44215.636006944442</v>
      </c>
      <c r="X1655">
        <v>3413</v>
      </c>
      <c r="Y1655">
        <v>128</v>
      </c>
      <c r="Z1655">
        <v>0</v>
      </c>
      <c r="AA1655">
        <v>128</v>
      </c>
      <c r="AB1655">
        <v>0</v>
      </c>
      <c r="AC1655">
        <v>108</v>
      </c>
      <c r="AD1655">
        <v>-63</v>
      </c>
      <c r="AE1655">
        <v>0</v>
      </c>
      <c r="AF1655">
        <v>0</v>
      </c>
      <c r="AG1655">
        <v>0</v>
      </c>
      <c r="AH1655" t="s">
        <v>128</v>
      </c>
      <c r="AI1655" s="1">
        <v>44215.686793981484</v>
      </c>
      <c r="AJ1655">
        <v>504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-63</v>
      </c>
      <c r="AQ1655">
        <v>0</v>
      </c>
      <c r="AR1655">
        <v>0</v>
      </c>
      <c r="AS1655">
        <v>0</v>
      </c>
      <c r="AT1655" t="s">
        <v>90</v>
      </c>
      <c r="AU1655" s="1">
        <v>44215.692488425928</v>
      </c>
      <c r="AV1655">
        <v>28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-63</v>
      </c>
      <c r="BC1655">
        <v>0</v>
      </c>
      <c r="BD1655">
        <v>0</v>
      </c>
      <c r="BE1655">
        <v>0</v>
      </c>
    </row>
    <row r="1656" spans="1:57" x14ac:dyDescent="0.45">
      <c r="A1656" t="s">
        <v>4086</v>
      </c>
      <c r="B1656" t="s">
        <v>79</v>
      </c>
      <c r="C1656" t="s">
        <v>4087</v>
      </c>
      <c r="D1656" t="s">
        <v>81</v>
      </c>
      <c r="E1656" s="2" t="str">
        <f>HYPERLINK("capsilon://?command=openfolder&amp;siteaddress=FAM.docvelocity-na8.net&amp;folderid=FX9BE51353-8E35-387B-8A69-4FA701531BF9","FX21017917")</f>
        <v>FX21017917</v>
      </c>
      <c r="F1656" t="s">
        <v>19</v>
      </c>
      <c r="G1656" t="s">
        <v>19</v>
      </c>
      <c r="H1656" t="s">
        <v>82</v>
      </c>
      <c r="I1656" t="s">
        <v>4088</v>
      </c>
      <c r="J1656">
        <v>328</v>
      </c>
      <c r="K1656" t="s">
        <v>84</v>
      </c>
      <c r="L1656" t="s">
        <v>85</v>
      </c>
      <c r="M1656" t="s">
        <v>86</v>
      </c>
      <c r="N1656">
        <v>3</v>
      </c>
      <c r="O1656" s="1">
        <v>44215.564097222225</v>
      </c>
      <c r="P1656" s="1">
        <v>44216.351342592592</v>
      </c>
      <c r="Q1656">
        <v>60489</v>
      </c>
      <c r="R1656">
        <v>7529</v>
      </c>
      <c r="S1656" t="b">
        <v>0</v>
      </c>
      <c r="T1656" t="s">
        <v>87</v>
      </c>
      <c r="U1656" t="b">
        <v>0</v>
      </c>
      <c r="V1656" t="s">
        <v>142</v>
      </c>
      <c r="W1656" s="1">
        <v>44215.67087962963</v>
      </c>
      <c r="X1656">
        <v>3702</v>
      </c>
      <c r="Y1656">
        <v>356</v>
      </c>
      <c r="Z1656">
        <v>0</v>
      </c>
      <c r="AA1656">
        <v>356</v>
      </c>
      <c r="AB1656">
        <v>0</v>
      </c>
      <c r="AC1656">
        <v>263</v>
      </c>
      <c r="AD1656">
        <v>-28</v>
      </c>
      <c r="AE1656">
        <v>0</v>
      </c>
      <c r="AF1656">
        <v>0</v>
      </c>
      <c r="AG1656">
        <v>0</v>
      </c>
      <c r="AH1656" t="s">
        <v>128</v>
      </c>
      <c r="AI1656" s="1">
        <v>44215.70385416667</v>
      </c>
      <c r="AJ1656">
        <v>1473</v>
      </c>
      <c r="AK1656">
        <v>26</v>
      </c>
      <c r="AL1656">
        <v>0</v>
      </c>
      <c r="AM1656">
        <v>26</v>
      </c>
      <c r="AN1656">
        <v>0</v>
      </c>
      <c r="AO1656">
        <v>26</v>
      </c>
      <c r="AP1656">
        <v>-54</v>
      </c>
      <c r="AQ1656">
        <v>0</v>
      </c>
      <c r="AR1656">
        <v>0</v>
      </c>
      <c r="AS1656">
        <v>0</v>
      </c>
      <c r="AT1656" t="s">
        <v>90</v>
      </c>
      <c r="AU1656" s="1">
        <v>44216.351342592592</v>
      </c>
      <c r="AV1656">
        <v>249</v>
      </c>
      <c r="AW1656">
        <v>4</v>
      </c>
      <c r="AX1656">
        <v>0</v>
      </c>
      <c r="AY1656">
        <v>4</v>
      </c>
      <c r="AZ1656">
        <v>0</v>
      </c>
      <c r="BA1656">
        <v>4</v>
      </c>
      <c r="BB1656">
        <v>-58</v>
      </c>
      <c r="BC1656">
        <v>0</v>
      </c>
      <c r="BD1656">
        <v>0</v>
      </c>
      <c r="BE1656">
        <v>0</v>
      </c>
    </row>
    <row r="1657" spans="1:57" x14ac:dyDescent="0.45">
      <c r="A1657" t="s">
        <v>4089</v>
      </c>
      <c r="B1657" t="s">
        <v>79</v>
      </c>
      <c r="C1657" t="s">
        <v>4090</v>
      </c>
      <c r="D1657" t="s">
        <v>81</v>
      </c>
      <c r="E1657" s="2" t="str">
        <f>HYPERLINK("capsilon://?command=openfolder&amp;siteaddress=FAM.docvelocity-na8.net&amp;folderid=FX07F1F274-556F-CA2F-73C4-CF1473FF7E0F","FX20124208")</f>
        <v>FX20124208</v>
      </c>
      <c r="F1657" t="s">
        <v>19</v>
      </c>
      <c r="G1657" t="s">
        <v>19</v>
      </c>
      <c r="H1657" t="s">
        <v>82</v>
      </c>
      <c r="I1657" t="s">
        <v>4091</v>
      </c>
      <c r="J1657">
        <v>31</v>
      </c>
      <c r="K1657" t="s">
        <v>84</v>
      </c>
      <c r="L1657" t="s">
        <v>85</v>
      </c>
      <c r="M1657" t="s">
        <v>86</v>
      </c>
      <c r="N1657">
        <v>3</v>
      </c>
      <c r="O1657" s="1">
        <v>44215.565833333334</v>
      </c>
      <c r="P1657" s="1">
        <v>44216.351574074077</v>
      </c>
      <c r="Q1657">
        <v>67365</v>
      </c>
      <c r="R1657">
        <v>523</v>
      </c>
      <c r="S1657" t="b">
        <v>0</v>
      </c>
      <c r="T1657" t="s">
        <v>87</v>
      </c>
      <c r="U1657" t="b">
        <v>0</v>
      </c>
      <c r="V1657" t="s">
        <v>142</v>
      </c>
      <c r="W1657" s="1">
        <v>44215.608831018515</v>
      </c>
      <c r="X1657">
        <v>380</v>
      </c>
      <c r="Y1657">
        <v>51</v>
      </c>
      <c r="Z1657">
        <v>0</v>
      </c>
      <c r="AA1657">
        <v>51</v>
      </c>
      <c r="AB1657">
        <v>0</v>
      </c>
      <c r="AC1657">
        <v>34</v>
      </c>
      <c r="AD1657">
        <v>-20</v>
      </c>
      <c r="AE1657">
        <v>0</v>
      </c>
      <c r="AF1657">
        <v>0</v>
      </c>
      <c r="AG1657">
        <v>0</v>
      </c>
      <c r="AH1657" t="s">
        <v>128</v>
      </c>
      <c r="AI1657" s="1">
        <v>44215.706446759257</v>
      </c>
      <c r="AJ1657">
        <v>124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-20</v>
      </c>
      <c r="AQ1657">
        <v>0</v>
      </c>
      <c r="AR1657">
        <v>0</v>
      </c>
      <c r="AS1657">
        <v>0</v>
      </c>
      <c r="AT1657" t="s">
        <v>90</v>
      </c>
      <c r="AU1657" s="1">
        <v>44216.351574074077</v>
      </c>
      <c r="AV1657">
        <v>19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-20</v>
      </c>
      <c r="BC1657">
        <v>0</v>
      </c>
      <c r="BD1657">
        <v>0</v>
      </c>
      <c r="BE1657">
        <v>0</v>
      </c>
    </row>
    <row r="1658" spans="1:57" hidden="1" x14ac:dyDescent="0.45">
      <c r="A1658" t="s">
        <v>4092</v>
      </c>
      <c r="B1658" t="s">
        <v>79</v>
      </c>
      <c r="C1658" t="s">
        <v>4093</v>
      </c>
      <c r="D1658" t="s">
        <v>81</v>
      </c>
      <c r="E1658" s="2" t="str">
        <f>HYPERLINK("capsilon://?command=openfolder&amp;siteaddress=FAM.docvelocity-na8.net&amp;folderid=FX9CCC5CE6-87C7-30F5-746E-D9F65022BBBF","FX20128537")</f>
        <v>FX20128537</v>
      </c>
      <c r="F1658" t="s">
        <v>19</v>
      </c>
      <c r="G1658" t="s">
        <v>19</v>
      </c>
      <c r="H1658" t="s">
        <v>82</v>
      </c>
      <c r="I1658" t="s">
        <v>4094</v>
      </c>
      <c r="J1658">
        <v>31</v>
      </c>
      <c r="K1658" t="s">
        <v>84</v>
      </c>
      <c r="L1658" t="s">
        <v>85</v>
      </c>
      <c r="M1658" t="s">
        <v>86</v>
      </c>
      <c r="N1658">
        <v>1</v>
      </c>
      <c r="O1658" s="1">
        <v>44215.567939814813</v>
      </c>
      <c r="P1658" s="1">
        <v>44215.606898148151</v>
      </c>
      <c r="Q1658">
        <v>3255</v>
      </c>
      <c r="R1658">
        <v>111</v>
      </c>
      <c r="S1658" t="b">
        <v>0</v>
      </c>
      <c r="T1658" t="s">
        <v>87</v>
      </c>
      <c r="U1658" t="b">
        <v>0</v>
      </c>
      <c r="V1658" t="s">
        <v>255</v>
      </c>
      <c r="W1658" s="1">
        <v>44215.606898148151</v>
      </c>
      <c r="X1658">
        <v>111</v>
      </c>
      <c r="Y1658">
        <v>4</v>
      </c>
      <c r="Z1658">
        <v>0</v>
      </c>
      <c r="AA1658">
        <v>4</v>
      </c>
      <c r="AB1658">
        <v>0</v>
      </c>
      <c r="AC1658">
        <v>8</v>
      </c>
      <c r="AD1658">
        <v>27</v>
      </c>
      <c r="AE1658">
        <v>27</v>
      </c>
      <c r="AF1658">
        <v>0</v>
      </c>
      <c r="AG1658">
        <v>2</v>
      </c>
      <c r="AH1658" t="s">
        <v>87</v>
      </c>
      <c r="AI1658" t="s">
        <v>87</v>
      </c>
      <c r="AJ1658" t="s">
        <v>87</v>
      </c>
      <c r="AK1658" t="s">
        <v>87</v>
      </c>
      <c r="AL1658" t="s">
        <v>87</v>
      </c>
      <c r="AM1658" t="s">
        <v>87</v>
      </c>
      <c r="AN1658" t="s">
        <v>87</v>
      </c>
      <c r="AO1658" t="s">
        <v>87</v>
      </c>
      <c r="AP1658" t="s">
        <v>87</v>
      </c>
      <c r="AQ1658" t="s">
        <v>87</v>
      </c>
      <c r="AR1658" t="s">
        <v>87</v>
      </c>
      <c r="AS1658" t="s">
        <v>87</v>
      </c>
      <c r="AT1658" t="s">
        <v>87</v>
      </c>
      <c r="AU1658" t="s">
        <v>87</v>
      </c>
      <c r="AV1658" t="s">
        <v>87</v>
      </c>
      <c r="AW1658" t="s">
        <v>87</v>
      </c>
      <c r="AX1658" t="s">
        <v>87</v>
      </c>
      <c r="AY1658" t="s">
        <v>87</v>
      </c>
      <c r="AZ1658" t="s">
        <v>87</v>
      </c>
      <c r="BA1658" t="s">
        <v>87</v>
      </c>
      <c r="BB1658" t="s">
        <v>87</v>
      </c>
      <c r="BC1658" t="s">
        <v>87</v>
      </c>
      <c r="BD1658" t="s">
        <v>87</v>
      </c>
      <c r="BE1658" t="s">
        <v>87</v>
      </c>
    </row>
    <row r="1659" spans="1:57" x14ac:dyDescent="0.45">
      <c r="A1659" t="s">
        <v>4095</v>
      </c>
      <c r="B1659" t="s">
        <v>79</v>
      </c>
      <c r="C1659" t="s">
        <v>4096</v>
      </c>
      <c r="D1659" t="s">
        <v>81</v>
      </c>
      <c r="E1659" s="2" t="str">
        <f>HYPERLINK("capsilon://?command=openfolder&amp;siteaddress=FAM.docvelocity-na8.net&amp;folderid=FX593F56C6-2230-0193-5432-598D88199118","FX21018679")</f>
        <v>FX21018679</v>
      </c>
      <c r="F1659" t="s">
        <v>19</v>
      </c>
      <c r="G1659" t="s">
        <v>19</v>
      </c>
      <c r="H1659" t="s">
        <v>82</v>
      </c>
      <c r="I1659" t="s">
        <v>4097</v>
      </c>
      <c r="J1659">
        <v>443</v>
      </c>
      <c r="K1659" t="s">
        <v>84</v>
      </c>
      <c r="L1659" t="s">
        <v>85</v>
      </c>
      <c r="M1659" t="s">
        <v>86</v>
      </c>
      <c r="N1659">
        <v>3</v>
      </c>
      <c r="O1659" s="1">
        <v>44215.568124999998</v>
      </c>
      <c r="P1659" s="1">
        <v>44216.353506944448</v>
      </c>
      <c r="Q1659">
        <v>65305</v>
      </c>
      <c r="R1659">
        <v>2552</v>
      </c>
      <c r="S1659" t="b">
        <v>0</v>
      </c>
      <c r="T1659" t="s">
        <v>87</v>
      </c>
      <c r="U1659" t="b">
        <v>0</v>
      </c>
      <c r="V1659" t="s">
        <v>242</v>
      </c>
      <c r="W1659" s="1">
        <v>44215.623738425929</v>
      </c>
      <c r="X1659">
        <v>1372</v>
      </c>
      <c r="Y1659">
        <v>331</v>
      </c>
      <c r="Z1659">
        <v>0</v>
      </c>
      <c r="AA1659">
        <v>331</v>
      </c>
      <c r="AB1659">
        <v>58</v>
      </c>
      <c r="AC1659">
        <v>89</v>
      </c>
      <c r="AD1659">
        <v>112</v>
      </c>
      <c r="AE1659">
        <v>0</v>
      </c>
      <c r="AF1659">
        <v>0</v>
      </c>
      <c r="AG1659">
        <v>0</v>
      </c>
      <c r="AH1659" t="s">
        <v>267</v>
      </c>
      <c r="AI1659" s="1">
        <v>44215.716354166667</v>
      </c>
      <c r="AJ1659">
        <v>936</v>
      </c>
      <c r="AK1659">
        <v>0</v>
      </c>
      <c r="AL1659">
        <v>0</v>
      </c>
      <c r="AM1659">
        <v>0</v>
      </c>
      <c r="AN1659">
        <v>58</v>
      </c>
      <c r="AO1659">
        <v>0</v>
      </c>
      <c r="AP1659">
        <v>112</v>
      </c>
      <c r="AQ1659">
        <v>0</v>
      </c>
      <c r="AR1659">
        <v>0</v>
      </c>
      <c r="AS1659">
        <v>0</v>
      </c>
      <c r="AT1659" t="s">
        <v>90</v>
      </c>
      <c r="AU1659" s="1">
        <v>44216.353506944448</v>
      </c>
      <c r="AV1659">
        <v>166</v>
      </c>
      <c r="AW1659">
        <v>1</v>
      </c>
      <c r="AX1659">
        <v>0</v>
      </c>
      <c r="AY1659">
        <v>1</v>
      </c>
      <c r="AZ1659">
        <v>94</v>
      </c>
      <c r="BA1659">
        <v>1</v>
      </c>
      <c r="BB1659">
        <v>111</v>
      </c>
      <c r="BC1659">
        <v>0</v>
      </c>
      <c r="BD1659">
        <v>0</v>
      </c>
      <c r="BE1659">
        <v>0</v>
      </c>
    </row>
    <row r="1660" spans="1:57" hidden="1" x14ac:dyDescent="0.45">
      <c r="A1660" t="s">
        <v>4098</v>
      </c>
      <c r="B1660" t="s">
        <v>79</v>
      </c>
      <c r="C1660" t="s">
        <v>4090</v>
      </c>
      <c r="D1660" t="s">
        <v>81</v>
      </c>
      <c r="E1660" s="2" t="str">
        <f>HYPERLINK("capsilon://?command=openfolder&amp;siteaddress=FAM.docvelocity-na8.net&amp;folderid=FX07F1F274-556F-CA2F-73C4-CF1473FF7E0F","FX20124208")</f>
        <v>FX20124208</v>
      </c>
      <c r="F1660" t="s">
        <v>19</v>
      </c>
      <c r="G1660" t="s">
        <v>19</v>
      </c>
      <c r="H1660" t="s">
        <v>82</v>
      </c>
      <c r="I1660" t="s">
        <v>4099</v>
      </c>
      <c r="J1660">
        <v>66</v>
      </c>
      <c r="K1660" t="s">
        <v>84</v>
      </c>
      <c r="L1660" t="s">
        <v>85</v>
      </c>
      <c r="M1660" t="s">
        <v>86</v>
      </c>
      <c r="N1660">
        <v>1</v>
      </c>
      <c r="O1660" s="1">
        <v>44215.568368055552</v>
      </c>
      <c r="P1660" s="1">
        <v>44215.608599537038</v>
      </c>
      <c r="Q1660">
        <v>3361</v>
      </c>
      <c r="R1660">
        <v>115</v>
      </c>
      <c r="S1660" t="b">
        <v>0</v>
      </c>
      <c r="T1660" t="s">
        <v>87</v>
      </c>
      <c r="U1660" t="b">
        <v>0</v>
      </c>
      <c r="V1660" t="s">
        <v>179</v>
      </c>
      <c r="W1660" s="1">
        <v>44215.608599537038</v>
      </c>
      <c r="X1660">
        <v>115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66</v>
      </c>
      <c r="AE1660">
        <v>52</v>
      </c>
      <c r="AF1660">
        <v>0</v>
      </c>
      <c r="AG1660">
        <v>1</v>
      </c>
      <c r="AH1660" t="s">
        <v>87</v>
      </c>
      <c r="AI1660" t="s">
        <v>87</v>
      </c>
      <c r="AJ1660" t="s">
        <v>87</v>
      </c>
      <c r="AK1660" t="s">
        <v>87</v>
      </c>
      <c r="AL1660" t="s">
        <v>87</v>
      </c>
      <c r="AM1660" t="s">
        <v>87</v>
      </c>
      <c r="AN1660" t="s">
        <v>87</v>
      </c>
      <c r="AO1660" t="s">
        <v>87</v>
      </c>
      <c r="AP1660" t="s">
        <v>87</v>
      </c>
      <c r="AQ1660" t="s">
        <v>87</v>
      </c>
      <c r="AR1660" t="s">
        <v>87</v>
      </c>
      <c r="AS1660" t="s">
        <v>87</v>
      </c>
      <c r="AT1660" t="s">
        <v>87</v>
      </c>
      <c r="AU1660" t="s">
        <v>87</v>
      </c>
      <c r="AV1660" t="s">
        <v>87</v>
      </c>
      <c r="AW1660" t="s">
        <v>87</v>
      </c>
      <c r="AX1660" t="s">
        <v>87</v>
      </c>
      <c r="AY1660" t="s">
        <v>87</v>
      </c>
      <c r="AZ1660" t="s">
        <v>87</v>
      </c>
      <c r="BA1660" t="s">
        <v>87</v>
      </c>
      <c r="BB1660" t="s">
        <v>87</v>
      </c>
      <c r="BC1660" t="s">
        <v>87</v>
      </c>
      <c r="BD1660" t="s">
        <v>87</v>
      </c>
      <c r="BE1660" t="s">
        <v>87</v>
      </c>
    </row>
    <row r="1661" spans="1:57" x14ac:dyDescent="0.45">
      <c r="A1661" t="s">
        <v>4100</v>
      </c>
      <c r="B1661" t="s">
        <v>79</v>
      </c>
      <c r="C1661" t="s">
        <v>4101</v>
      </c>
      <c r="D1661" t="s">
        <v>81</v>
      </c>
      <c r="E1661" s="2" t="str">
        <f>HYPERLINK("capsilon://?command=openfolder&amp;siteaddress=FAM.docvelocity-na8.net&amp;folderid=FX0ED10B40-220E-BE96-19E8-72CF177782F7","FX210110513")</f>
        <v>FX210110513</v>
      </c>
      <c r="F1661" t="s">
        <v>19</v>
      </c>
      <c r="G1661" t="s">
        <v>19</v>
      </c>
      <c r="H1661" t="s">
        <v>82</v>
      </c>
      <c r="I1661" t="s">
        <v>4102</v>
      </c>
      <c r="J1661">
        <v>126</v>
      </c>
      <c r="K1661" t="s">
        <v>84</v>
      </c>
      <c r="L1661" t="s">
        <v>85</v>
      </c>
      <c r="M1661" t="s">
        <v>86</v>
      </c>
      <c r="N1661">
        <v>3</v>
      </c>
      <c r="O1661" s="1">
        <v>44215.569444444445</v>
      </c>
      <c r="P1661" s="1">
        <v>44216.353796296295</v>
      </c>
      <c r="Q1661">
        <v>66765</v>
      </c>
      <c r="R1661">
        <v>1003</v>
      </c>
      <c r="S1661" t="b">
        <v>0</v>
      </c>
      <c r="T1661" t="s">
        <v>87</v>
      </c>
      <c r="U1661" t="b">
        <v>0</v>
      </c>
      <c r="V1661" t="s">
        <v>255</v>
      </c>
      <c r="W1661" s="1">
        <v>44215.618946759256</v>
      </c>
      <c r="X1661">
        <v>573</v>
      </c>
      <c r="Y1661">
        <v>114</v>
      </c>
      <c r="Z1661">
        <v>0</v>
      </c>
      <c r="AA1661">
        <v>114</v>
      </c>
      <c r="AB1661">
        <v>0</v>
      </c>
      <c r="AC1661">
        <v>33</v>
      </c>
      <c r="AD1661">
        <v>12</v>
      </c>
      <c r="AE1661">
        <v>0</v>
      </c>
      <c r="AF1661">
        <v>0</v>
      </c>
      <c r="AG1661">
        <v>0</v>
      </c>
      <c r="AH1661" t="s">
        <v>128</v>
      </c>
      <c r="AI1661" s="1">
        <v>44215.710046296299</v>
      </c>
      <c r="AJ1661">
        <v>310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12</v>
      </c>
      <c r="AQ1661">
        <v>0</v>
      </c>
      <c r="AR1661">
        <v>0</v>
      </c>
      <c r="AS1661">
        <v>0</v>
      </c>
      <c r="AT1661" t="s">
        <v>90</v>
      </c>
      <c r="AU1661" s="1">
        <v>44216.353796296295</v>
      </c>
      <c r="AV1661">
        <v>24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12</v>
      </c>
      <c r="BC1661">
        <v>0</v>
      </c>
      <c r="BD1661">
        <v>0</v>
      </c>
      <c r="BE1661">
        <v>0</v>
      </c>
    </row>
    <row r="1662" spans="1:57" x14ac:dyDescent="0.45">
      <c r="A1662" t="s">
        <v>4103</v>
      </c>
      <c r="B1662" t="s">
        <v>79</v>
      </c>
      <c r="C1662" t="s">
        <v>4104</v>
      </c>
      <c r="D1662" t="s">
        <v>81</v>
      </c>
      <c r="E1662" s="2" t="str">
        <f>HYPERLINK("capsilon://?command=openfolder&amp;siteaddress=FAM.docvelocity-na8.net&amp;folderid=FX4216A729-C826-8C6F-0FB4-31B24193526E","FX21018877")</f>
        <v>FX21018877</v>
      </c>
      <c r="F1662" t="s">
        <v>19</v>
      </c>
      <c r="G1662" t="s">
        <v>19</v>
      </c>
      <c r="H1662" t="s">
        <v>82</v>
      </c>
      <c r="I1662" t="s">
        <v>4105</v>
      </c>
      <c r="J1662">
        <v>38</v>
      </c>
      <c r="K1662" t="s">
        <v>84</v>
      </c>
      <c r="L1662" t="s">
        <v>85</v>
      </c>
      <c r="M1662" t="s">
        <v>86</v>
      </c>
      <c r="N1662">
        <v>3</v>
      </c>
      <c r="O1662" s="1">
        <v>44215.577592592592</v>
      </c>
      <c r="P1662" s="1">
        <v>44216.353854166664</v>
      </c>
      <c r="Q1662">
        <v>65357</v>
      </c>
      <c r="R1662">
        <v>1712</v>
      </c>
      <c r="S1662" t="b">
        <v>0</v>
      </c>
      <c r="T1662" t="s">
        <v>87</v>
      </c>
      <c r="U1662" t="b">
        <v>0</v>
      </c>
      <c r="V1662" t="s">
        <v>171</v>
      </c>
      <c r="W1662" s="1">
        <v>44215.626817129632</v>
      </c>
      <c r="X1662">
        <v>1592</v>
      </c>
      <c r="Y1662">
        <v>37</v>
      </c>
      <c r="Z1662">
        <v>0</v>
      </c>
      <c r="AA1662">
        <v>37</v>
      </c>
      <c r="AB1662">
        <v>0</v>
      </c>
      <c r="AC1662">
        <v>22</v>
      </c>
      <c r="AD1662">
        <v>1</v>
      </c>
      <c r="AE1662">
        <v>0</v>
      </c>
      <c r="AF1662">
        <v>0</v>
      </c>
      <c r="AG1662">
        <v>0</v>
      </c>
      <c r="AH1662" t="s">
        <v>128</v>
      </c>
      <c r="AI1662" s="1">
        <v>44215.711342592593</v>
      </c>
      <c r="AJ1662">
        <v>111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 t="s">
        <v>90</v>
      </c>
      <c r="AU1662" s="1">
        <v>44216.353854166664</v>
      </c>
      <c r="AV1662">
        <v>4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</row>
    <row r="1663" spans="1:57" x14ac:dyDescent="0.45">
      <c r="A1663" t="s">
        <v>4106</v>
      </c>
      <c r="B1663" t="s">
        <v>79</v>
      </c>
      <c r="C1663" t="s">
        <v>4107</v>
      </c>
      <c r="D1663" t="s">
        <v>81</v>
      </c>
      <c r="E1663" s="2" t="str">
        <f>HYPERLINK("capsilon://?command=openfolder&amp;siteaddress=FAM.docvelocity-na8.net&amp;folderid=FX2D3E7076-8B2D-B893-64B4-9361E922981C","FX21018676")</f>
        <v>FX21018676</v>
      </c>
      <c r="F1663" t="s">
        <v>19</v>
      </c>
      <c r="G1663" t="s">
        <v>19</v>
      </c>
      <c r="H1663" t="s">
        <v>82</v>
      </c>
      <c r="I1663" t="s">
        <v>4108</v>
      </c>
      <c r="J1663">
        <v>341</v>
      </c>
      <c r="K1663" t="s">
        <v>84</v>
      </c>
      <c r="L1663" t="s">
        <v>85</v>
      </c>
      <c r="M1663" t="s">
        <v>86</v>
      </c>
      <c r="N1663">
        <v>3</v>
      </c>
      <c r="O1663" s="1">
        <v>44215.578703703701</v>
      </c>
      <c r="P1663" s="1">
        <v>44216.354537037034</v>
      </c>
      <c r="Q1663">
        <v>63227</v>
      </c>
      <c r="R1663">
        <v>3805</v>
      </c>
      <c r="S1663" t="b">
        <v>0</v>
      </c>
      <c r="T1663" t="s">
        <v>87</v>
      </c>
      <c r="U1663" t="b">
        <v>0</v>
      </c>
      <c r="V1663" t="s">
        <v>343</v>
      </c>
      <c r="W1663" s="1">
        <v>44215.641585648147</v>
      </c>
      <c r="X1663">
        <v>2863</v>
      </c>
      <c r="Y1663">
        <v>317</v>
      </c>
      <c r="Z1663">
        <v>0</v>
      </c>
      <c r="AA1663">
        <v>317</v>
      </c>
      <c r="AB1663">
        <v>0</v>
      </c>
      <c r="AC1663">
        <v>138</v>
      </c>
      <c r="AD1663">
        <v>24</v>
      </c>
      <c r="AE1663">
        <v>0</v>
      </c>
      <c r="AF1663">
        <v>0</v>
      </c>
      <c r="AG1663">
        <v>0</v>
      </c>
      <c r="AH1663" t="s">
        <v>128</v>
      </c>
      <c r="AI1663" s="1">
        <v>44215.722662037035</v>
      </c>
      <c r="AJ1663">
        <v>884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23</v>
      </c>
      <c r="AQ1663">
        <v>0</v>
      </c>
      <c r="AR1663">
        <v>0</v>
      </c>
      <c r="AS1663">
        <v>0</v>
      </c>
      <c r="AT1663" t="s">
        <v>90</v>
      </c>
      <c r="AU1663" s="1">
        <v>44216.354537037034</v>
      </c>
      <c r="AV1663">
        <v>58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23</v>
      </c>
      <c r="BC1663">
        <v>0</v>
      </c>
      <c r="BD1663">
        <v>0</v>
      </c>
      <c r="BE1663">
        <v>0</v>
      </c>
    </row>
    <row r="1664" spans="1:57" x14ac:dyDescent="0.45">
      <c r="A1664" t="s">
        <v>4109</v>
      </c>
      <c r="B1664" t="s">
        <v>79</v>
      </c>
      <c r="C1664" t="s">
        <v>4110</v>
      </c>
      <c r="D1664" t="s">
        <v>81</v>
      </c>
      <c r="E1664" s="2" t="str">
        <f>HYPERLINK("capsilon://?command=openfolder&amp;siteaddress=FAM.docvelocity-na8.net&amp;folderid=FX64325837-F001-76E5-9C6F-5E2783A8287F","FX21019991")</f>
        <v>FX21019991</v>
      </c>
      <c r="F1664" t="s">
        <v>19</v>
      </c>
      <c r="G1664" t="s">
        <v>19</v>
      </c>
      <c r="H1664" t="s">
        <v>82</v>
      </c>
      <c r="I1664" t="s">
        <v>4111</v>
      </c>
      <c r="J1664">
        <v>76</v>
      </c>
      <c r="K1664" t="s">
        <v>84</v>
      </c>
      <c r="L1664" t="s">
        <v>85</v>
      </c>
      <c r="M1664" t="s">
        <v>86</v>
      </c>
      <c r="N1664">
        <v>3</v>
      </c>
      <c r="O1664" s="1">
        <v>44215.580254629633</v>
      </c>
      <c r="P1664" s="1">
        <v>44216.35465277778</v>
      </c>
      <c r="Q1664">
        <v>65262</v>
      </c>
      <c r="R1664">
        <v>1646</v>
      </c>
      <c r="S1664" t="b">
        <v>0</v>
      </c>
      <c r="T1664" t="s">
        <v>87</v>
      </c>
      <c r="U1664" t="b">
        <v>0</v>
      </c>
      <c r="V1664" t="s">
        <v>179</v>
      </c>
      <c r="W1664" s="1">
        <v>44215.624212962961</v>
      </c>
      <c r="X1664">
        <v>1348</v>
      </c>
      <c r="Y1664">
        <v>74</v>
      </c>
      <c r="Z1664">
        <v>0</v>
      </c>
      <c r="AA1664">
        <v>74</v>
      </c>
      <c r="AB1664">
        <v>0</v>
      </c>
      <c r="AC1664">
        <v>31</v>
      </c>
      <c r="AD1664">
        <v>2</v>
      </c>
      <c r="AE1664">
        <v>0</v>
      </c>
      <c r="AF1664">
        <v>0</v>
      </c>
      <c r="AG1664">
        <v>0</v>
      </c>
      <c r="AH1664" t="s">
        <v>94</v>
      </c>
      <c r="AI1664" s="1">
        <v>44215.720694444448</v>
      </c>
      <c r="AJ1664">
        <v>289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2</v>
      </c>
      <c r="AQ1664">
        <v>0</v>
      </c>
      <c r="AR1664">
        <v>0</v>
      </c>
      <c r="AS1664">
        <v>0</v>
      </c>
      <c r="AT1664" t="s">
        <v>90</v>
      </c>
      <c r="AU1664" s="1">
        <v>44216.35465277778</v>
      </c>
      <c r="AV1664">
        <v>9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2</v>
      </c>
      <c r="BC1664">
        <v>0</v>
      </c>
      <c r="BD1664">
        <v>0</v>
      </c>
      <c r="BE1664">
        <v>0</v>
      </c>
    </row>
    <row r="1665" spans="1:57" x14ac:dyDescent="0.45">
      <c r="A1665" t="s">
        <v>4112</v>
      </c>
      <c r="B1665" t="s">
        <v>79</v>
      </c>
      <c r="C1665" t="s">
        <v>4113</v>
      </c>
      <c r="D1665" t="s">
        <v>81</v>
      </c>
      <c r="E1665" s="2" t="str">
        <f>HYPERLINK("capsilon://?command=openfolder&amp;siteaddress=FAM.docvelocity-na8.net&amp;folderid=FX650A02F3-8D8C-8A2F-0042-940017138CB0","FX21013765")</f>
        <v>FX21013765</v>
      </c>
      <c r="F1665" t="s">
        <v>19</v>
      </c>
      <c r="G1665" t="s">
        <v>19</v>
      </c>
      <c r="H1665" t="s">
        <v>82</v>
      </c>
      <c r="I1665" t="s">
        <v>4114</v>
      </c>
      <c r="J1665">
        <v>38</v>
      </c>
      <c r="K1665" t="s">
        <v>84</v>
      </c>
      <c r="L1665" t="s">
        <v>85</v>
      </c>
      <c r="M1665" t="s">
        <v>86</v>
      </c>
      <c r="N1665">
        <v>3</v>
      </c>
      <c r="O1665" s="1">
        <v>44215.58384259259</v>
      </c>
      <c r="P1665" s="1">
        <v>44216.354722222219</v>
      </c>
      <c r="Q1665">
        <v>66281</v>
      </c>
      <c r="R1665">
        <v>323</v>
      </c>
      <c r="S1665" t="b">
        <v>0</v>
      </c>
      <c r="T1665" t="s">
        <v>87</v>
      </c>
      <c r="U1665" t="b">
        <v>0</v>
      </c>
      <c r="V1665" t="s">
        <v>142</v>
      </c>
      <c r="W1665" s="1">
        <v>44215.610694444447</v>
      </c>
      <c r="X1665">
        <v>160</v>
      </c>
      <c r="Y1665">
        <v>37</v>
      </c>
      <c r="Z1665">
        <v>0</v>
      </c>
      <c r="AA1665">
        <v>37</v>
      </c>
      <c r="AB1665">
        <v>0</v>
      </c>
      <c r="AC1665">
        <v>19</v>
      </c>
      <c r="AD1665">
        <v>1</v>
      </c>
      <c r="AE1665">
        <v>0</v>
      </c>
      <c r="AF1665">
        <v>0</v>
      </c>
      <c r="AG1665">
        <v>0</v>
      </c>
      <c r="AH1665" t="s">
        <v>267</v>
      </c>
      <c r="AI1665" s="1">
        <v>44215.720231481479</v>
      </c>
      <c r="AJ1665">
        <v>158</v>
      </c>
      <c r="AK1665">
        <v>2</v>
      </c>
      <c r="AL1665">
        <v>0</v>
      </c>
      <c r="AM1665">
        <v>2</v>
      </c>
      <c r="AN1665">
        <v>0</v>
      </c>
      <c r="AO1665">
        <v>2</v>
      </c>
      <c r="AP1665">
        <v>-1</v>
      </c>
      <c r="AQ1665">
        <v>0</v>
      </c>
      <c r="AR1665">
        <v>0</v>
      </c>
      <c r="AS1665">
        <v>0</v>
      </c>
      <c r="AT1665" t="s">
        <v>90</v>
      </c>
      <c r="AU1665" s="1">
        <v>44216.354722222219</v>
      </c>
      <c r="AV1665">
        <v>5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-1</v>
      </c>
      <c r="BC1665">
        <v>0</v>
      </c>
      <c r="BD1665">
        <v>0</v>
      </c>
      <c r="BE1665">
        <v>0</v>
      </c>
    </row>
    <row r="1666" spans="1:57" hidden="1" x14ac:dyDescent="0.45">
      <c r="A1666" t="s">
        <v>4115</v>
      </c>
      <c r="B1666" t="s">
        <v>79</v>
      </c>
      <c r="C1666" t="s">
        <v>4116</v>
      </c>
      <c r="D1666" t="s">
        <v>81</v>
      </c>
      <c r="E1666" s="2" t="str">
        <f>HYPERLINK("capsilon://?command=openfolder&amp;siteaddress=FAM.docvelocity-na8.net&amp;folderid=FXA646CBD7-859A-1781-2C30-19E5B32D5BC0","FX20128001")</f>
        <v>FX20128001</v>
      </c>
      <c r="F1666" t="s">
        <v>19</v>
      </c>
      <c r="G1666" t="s">
        <v>19</v>
      </c>
      <c r="H1666" t="s">
        <v>82</v>
      </c>
      <c r="I1666" t="s">
        <v>4117</v>
      </c>
      <c r="J1666">
        <v>66</v>
      </c>
      <c r="K1666" t="s">
        <v>84</v>
      </c>
      <c r="L1666" t="s">
        <v>85</v>
      </c>
      <c r="M1666" t="s">
        <v>86</v>
      </c>
      <c r="N1666">
        <v>1</v>
      </c>
      <c r="O1666" s="1">
        <v>44215.586296296293</v>
      </c>
      <c r="P1666" s="1">
        <v>44215.619456018518</v>
      </c>
      <c r="Q1666">
        <v>2299</v>
      </c>
      <c r="R1666">
        <v>566</v>
      </c>
      <c r="S1666" t="b">
        <v>0</v>
      </c>
      <c r="T1666" t="s">
        <v>87</v>
      </c>
      <c r="U1666" t="b">
        <v>0</v>
      </c>
      <c r="V1666" t="s">
        <v>160</v>
      </c>
      <c r="W1666" s="1">
        <v>44215.619456018518</v>
      </c>
      <c r="X1666">
        <v>566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66</v>
      </c>
      <c r="AE1666">
        <v>52</v>
      </c>
      <c r="AF1666">
        <v>0</v>
      </c>
      <c r="AG1666">
        <v>1</v>
      </c>
      <c r="AH1666" t="s">
        <v>87</v>
      </c>
      <c r="AI1666" t="s">
        <v>87</v>
      </c>
      <c r="AJ1666" t="s">
        <v>87</v>
      </c>
      <c r="AK1666" t="s">
        <v>87</v>
      </c>
      <c r="AL1666" t="s">
        <v>87</v>
      </c>
      <c r="AM1666" t="s">
        <v>87</v>
      </c>
      <c r="AN1666" t="s">
        <v>87</v>
      </c>
      <c r="AO1666" t="s">
        <v>87</v>
      </c>
      <c r="AP1666" t="s">
        <v>87</v>
      </c>
      <c r="AQ1666" t="s">
        <v>87</v>
      </c>
      <c r="AR1666" t="s">
        <v>87</v>
      </c>
      <c r="AS1666" t="s">
        <v>87</v>
      </c>
      <c r="AT1666" t="s">
        <v>87</v>
      </c>
      <c r="AU1666" t="s">
        <v>87</v>
      </c>
      <c r="AV1666" t="s">
        <v>87</v>
      </c>
      <c r="AW1666" t="s">
        <v>87</v>
      </c>
      <c r="AX1666" t="s">
        <v>87</v>
      </c>
      <c r="AY1666" t="s">
        <v>87</v>
      </c>
      <c r="AZ1666" t="s">
        <v>87</v>
      </c>
      <c r="BA1666" t="s">
        <v>87</v>
      </c>
      <c r="BB1666" t="s">
        <v>87</v>
      </c>
      <c r="BC1666" t="s">
        <v>87</v>
      </c>
      <c r="BD1666" t="s">
        <v>87</v>
      </c>
      <c r="BE1666" t="s">
        <v>87</v>
      </c>
    </row>
    <row r="1667" spans="1:57" x14ac:dyDescent="0.45">
      <c r="A1667" t="s">
        <v>4118</v>
      </c>
      <c r="B1667" t="s">
        <v>79</v>
      </c>
      <c r="C1667" t="s">
        <v>1441</v>
      </c>
      <c r="D1667" t="s">
        <v>81</v>
      </c>
      <c r="E1667" s="2" t="str">
        <f>HYPERLINK("capsilon://?command=openfolder&amp;siteaddress=FAM.docvelocity-na8.net&amp;folderid=FX4172A837-FFEA-CFFA-9021-B6BF4173BE5D","FX2012417")</f>
        <v>FX2012417</v>
      </c>
      <c r="F1667" t="s">
        <v>19</v>
      </c>
      <c r="G1667" t="s">
        <v>19</v>
      </c>
      <c r="H1667" t="s">
        <v>82</v>
      </c>
      <c r="I1667" t="s">
        <v>4119</v>
      </c>
      <c r="J1667">
        <v>36</v>
      </c>
      <c r="K1667" t="s">
        <v>84</v>
      </c>
      <c r="L1667" t="s">
        <v>85</v>
      </c>
      <c r="M1667" t="s">
        <v>86</v>
      </c>
      <c r="N1667">
        <v>3</v>
      </c>
      <c r="O1667" s="1">
        <v>44215.588726851849</v>
      </c>
      <c r="P1667" s="1">
        <v>44216.35496527778</v>
      </c>
      <c r="Q1667">
        <v>65616</v>
      </c>
      <c r="R1667">
        <v>587</v>
      </c>
      <c r="S1667" t="b">
        <v>0</v>
      </c>
      <c r="T1667" t="s">
        <v>87</v>
      </c>
      <c r="U1667" t="b">
        <v>0</v>
      </c>
      <c r="V1667" t="s">
        <v>255</v>
      </c>
      <c r="W1667" s="1">
        <v>44215.623194444444</v>
      </c>
      <c r="X1667">
        <v>366</v>
      </c>
      <c r="Y1667">
        <v>36</v>
      </c>
      <c r="Z1667">
        <v>0</v>
      </c>
      <c r="AA1667">
        <v>36</v>
      </c>
      <c r="AB1667">
        <v>0</v>
      </c>
      <c r="AC1667">
        <v>24</v>
      </c>
      <c r="AD1667">
        <v>0</v>
      </c>
      <c r="AE1667">
        <v>0</v>
      </c>
      <c r="AF1667">
        <v>0</v>
      </c>
      <c r="AG1667">
        <v>0</v>
      </c>
      <c r="AH1667" t="s">
        <v>94</v>
      </c>
      <c r="AI1667" s="1">
        <v>44215.723020833335</v>
      </c>
      <c r="AJ1667">
        <v>200</v>
      </c>
      <c r="AK1667">
        <v>2</v>
      </c>
      <c r="AL1667">
        <v>0</v>
      </c>
      <c r="AM1667">
        <v>2</v>
      </c>
      <c r="AN1667">
        <v>0</v>
      </c>
      <c r="AO1667">
        <v>1</v>
      </c>
      <c r="AP1667">
        <v>-2</v>
      </c>
      <c r="AQ1667">
        <v>0</v>
      </c>
      <c r="AR1667">
        <v>0</v>
      </c>
      <c r="AS1667">
        <v>0</v>
      </c>
      <c r="AT1667" t="s">
        <v>90</v>
      </c>
      <c r="AU1667" s="1">
        <v>44216.35496527778</v>
      </c>
      <c r="AV1667">
        <v>21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-2</v>
      </c>
      <c r="BC1667">
        <v>0</v>
      </c>
      <c r="BD1667">
        <v>0</v>
      </c>
      <c r="BE1667">
        <v>0</v>
      </c>
    </row>
    <row r="1668" spans="1:57" x14ac:dyDescent="0.45">
      <c r="A1668" t="s">
        <v>4120</v>
      </c>
      <c r="B1668" t="s">
        <v>79</v>
      </c>
      <c r="C1668" t="s">
        <v>1226</v>
      </c>
      <c r="D1668" t="s">
        <v>81</v>
      </c>
      <c r="E1668" s="2" t="str">
        <f>HYPERLINK("capsilon://?command=openfolder&amp;siteaddress=FAM.docvelocity-na8.net&amp;folderid=FX20638E3F-DC65-E459-B4A6-8522D3961AA9","FX20126938")</f>
        <v>FX20126938</v>
      </c>
      <c r="F1668" t="s">
        <v>19</v>
      </c>
      <c r="G1668" t="s">
        <v>19</v>
      </c>
      <c r="H1668" t="s">
        <v>82</v>
      </c>
      <c r="I1668" t="s">
        <v>4121</v>
      </c>
      <c r="J1668">
        <v>265</v>
      </c>
      <c r="K1668" t="s">
        <v>84</v>
      </c>
      <c r="L1668" t="s">
        <v>85</v>
      </c>
      <c r="M1668" t="s">
        <v>86</v>
      </c>
      <c r="N1668">
        <v>3</v>
      </c>
      <c r="O1668" s="1">
        <v>44215.589270833334</v>
      </c>
      <c r="P1668" s="1">
        <v>44216.356527777774</v>
      </c>
      <c r="Q1668">
        <v>58444</v>
      </c>
      <c r="R1668">
        <v>7847</v>
      </c>
      <c r="S1668" t="b">
        <v>0</v>
      </c>
      <c r="T1668" t="s">
        <v>87</v>
      </c>
      <c r="U1668" t="b">
        <v>0</v>
      </c>
      <c r="V1668" t="s">
        <v>160</v>
      </c>
      <c r="W1668" s="1">
        <v>44215.692939814813</v>
      </c>
      <c r="X1668">
        <v>6348</v>
      </c>
      <c r="Y1668">
        <v>236</v>
      </c>
      <c r="Z1668">
        <v>0</v>
      </c>
      <c r="AA1668">
        <v>236</v>
      </c>
      <c r="AB1668">
        <v>0</v>
      </c>
      <c r="AC1668">
        <v>214</v>
      </c>
      <c r="AD1668">
        <v>29</v>
      </c>
      <c r="AE1668">
        <v>0</v>
      </c>
      <c r="AF1668">
        <v>0</v>
      </c>
      <c r="AG1668">
        <v>0</v>
      </c>
      <c r="AH1668" t="s">
        <v>267</v>
      </c>
      <c r="AI1668" s="1">
        <v>44215.737557870372</v>
      </c>
      <c r="AJ1668">
        <v>1365</v>
      </c>
      <c r="AK1668">
        <v>5</v>
      </c>
      <c r="AL1668">
        <v>0</v>
      </c>
      <c r="AM1668">
        <v>5</v>
      </c>
      <c r="AN1668">
        <v>0</v>
      </c>
      <c r="AO1668">
        <v>5</v>
      </c>
      <c r="AP1668">
        <v>24</v>
      </c>
      <c r="AQ1668">
        <v>0</v>
      </c>
      <c r="AR1668">
        <v>0</v>
      </c>
      <c r="AS1668">
        <v>0</v>
      </c>
      <c r="AT1668" t="s">
        <v>90</v>
      </c>
      <c r="AU1668" s="1">
        <v>44216.356527777774</v>
      </c>
      <c r="AV1668">
        <v>134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24</v>
      </c>
      <c r="BC1668">
        <v>0</v>
      </c>
      <c r="BD1668">
        <v>0</v>
      </c>
      <c r="BE1668">
        <v>0</v>
      </c>
    </row>
    <row r="1669" spans="1:57" hidden="1" x14ac:dyDescent="0.45">
      <c r="A1669" t="s">
        <v>4122</v>
      </c>
      <c r="B1669" t="s">
        <v>79</v>
      </c>
      <c r="C1669" t="s">
        <v>264</v>
      </c>
      <c r="D1669" t="s">
        <v>81</v>
      </c>
      <c r="E1669" s="2" t="str">
        <f>HYPERLINK("capsilon://?command=openfolder&amp;siteaddress=FAM.docvelocity-na8.net&amp;folderid=FX8648AFB7-A673-7E5E-1826-6822EAF61057","FX20127389")</f>
        <v>FX20127389</v>
      </c>
      <c r="F1669" t="s">
        <v>19</v>
      </c>
      <c r="G1669" t="s">
        <v>19</v>
      </c>
      <c r="H1669" t="s">
        <v>82</v>
      </c>
      <c r="I1669" t="s">
        <v>4123</v>
      </c>
      <c r="J1669">
        <v>66</v>
      </c>
      <c r="K1669" t="s">
        <v>84</v>
      </c>
      <c r="L1669" t="s">
        <v>85</v>
      </c>
      <c r="M1669" t="s">
        <v>86</v>
      </c>
      <c r="N1669">
        <v>3</v>
      </c>
      <c r="O1669" s="1">
        <v>44215.595613425925</v>
      </c>
      <c r="P1669" s="1">
        <v>44216.356562499997</v>
      </c>
      <c r="Q1669">
        <v>65494</v>
      </c>
      <c r="R1669">
        <v>252</v>
      </c>
      <c r="S1669" t="b">
        <v>0</v>
      </c>
      <c r="T1669" t="s">
        <v>87</v>
      </c>
      <c r="U1669" t="b">
        <v>0</v>
      </c>
      <c r="V1669" t="s">
        <v>242</v>
      </c>
      <c r="W1669" s="1">
        <v>44215.624328703707</v>
      </c>
      <c r="X1669">
        <v>50</v>
      </c>
      <c r="Y1669">
        <v>0</v>
      </c>
      <c r="Z1669">
        <v>0</v>
      </c>
      <c r="AA1669">
        <v>0</v>
      </c>
      <c r="AB1669">
        <v>52</v>
      </c>
      <c r="AC1669">
        <v>0</v>
      </c>
      <c r="AD1669">
        <v>66</v>
      </c>
      <c r="AE1669">
        <v>0</v>
      </c>
      <c r="AF1669">
        <v>0</v>
      </c>
      <c r="AG1669">
        <v>0</v>
      </c>
      <c r="AH1669" t="s">
        <v>128</v>
      </c>
      <c r="AI1669" s="1">
        <v>44215.724976851852</v>
      </c>
      <c r="AJ1669">
        <v>200</v>
      </c>
      <c r="AK1669">
        <v>0</v>
      </c>
      <c r="AL1669">
        <v>0</v>
      </c>
      <c r="AM1669">
        <v>0</v>
      </c>
      <c r="AN1669">
        <v>52</v>
      </c>
      <c r="AO1669">
        <v>0</v>
      </c>
      <c r="AP1669">
        <v>66</v>
      </c>
      <c r="AQ1669">
        <v>0</v>
      </c>
      <c r="AR1669">
        <v>0</v>
      </c>
      <c r="AS1669">
        <v>0</v>
      </c>
      <c r="AT1669" t="s">
        <v>90</v>
      </c>
      <c r="AU1669" s="1">
        <v>44216.356562499997</v>
      </c>
      <c r="AV1669">
        <v>2</v>
      </c>
      <c r="AW1669">
        <v>0</v>
      </c>
      <c r="AX1669">
        <v>0</v>
      </c>
      <c r="AY1669">
        <v>0</v>
      </c>
      <c r="AZ1669">
        <v>52</v>
      </c>
      <c r="BA1669">
        <v>0</v>
      </c>
      <c r="BB1669">
        <v>66</v>
      </c>
      <c r="BC1669">
        <v>0</v>
      </c>
      <c r="BD1669">
        <v>0</v>
      </c>
      <c r="BE1669">
        <v>0</v>
      </c>
    </row>
    <row r="1670" spans="1:57" x14ac:dyDescent="0.45">
      <c r="A1670" t="s">
        <v>4124</v>
      </c>
      <c r="B1670" t="s">
        <v>79</v>
      </c>
      <c r="C1670" t="s">
        <v>1464</v>
      </c>
      <c r="D1670" t="s">
        <v>81</v>
      </c>
      <c r="E1670" s="2" t="str">
        <f>HYPERLINK("capsilon://?command=openfolder&amp;siteaddress=FAM.docvelocity-na8.net&amp;folderid=FX0DA00CEC-05F6-F99A-27D9-E4AB7F5E16DF","FX21013244")</f>
        <v>FX21013244</v>
      </c>
      <c r="F1670" t="s">
        <v>19</v>
      </c>
      <c r="G1670" t="s">
        <v>19</v>
      </c>
      <c r="H1670" t="s">
        <v>82</v>
      </c>
      <c r="I1670" t="s">
        <v>4125</v>
      </c>
      <c r="J1670">
        <v>38</v>
      </c>
      <c r="K1670" t="s">
        <v>84</v>
      </c>
      <c r="L1670" t="s">
        <v>85</v>
      </c>
      <c r="M1670" t="s">
        <v>86</v>
      </c>
      <c r="N1670">
        <v>3</v>
      </c>
      <c r="O1670" s="1">
        <v>44215.596273148149</v>
      </c>
      <c r="P1670" s="1">
        <v>44216.35664351852</v>
      </c>
      <c r="Q1670">
        <v>64626</v>
      </c>
      <c r="R1670">
        <v>1070</v>
      </c>
      <c r="S1670" t="b">
        <v>0</v>
      </c>
      <c r="T1670" t="s">
        <v>87</v>
      </c>
      <c r="U1670" t="b">
        <v>0</v>
      </c>
      <c r="V1670" t="s">
        <v>179</v>
      </c>
      <c r="W1670" s="1">
        <v>44215.63484953704</v>
      </c>
      <c r="X1670">
        <v>918</v>
      </c>
      <c r="Y1670">
        <v>37</v>
      </c>
      <c r="Z1670">
        <v>0</v>
      </c>
      <c r="AA1670">
        <v>37</v>
      </c>
      <c r="AB1670">
        <v>0</v>
      </c>
      <c r="AC1670">
        <v>35</v>
      </c>
      <c r="AD1670">
        <v>1</v>
      </c>
      <c r="AE1670">
        <v>0</v>
      </c>
      <c r="AF1670">
        <v>0</v>
      </c>
      <c r="AG1670">
        <v>0</v>
      </c>
      <c r="AH1670" t="s">
        <v>94</v>
      </c>
      <c r="AI1670" s="1">
        <v>44215.724722222221</v>
      </c>
      <c r="AJ1670">
        <v>146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 t="s">
        <v>90</v>
      </c>
      <c r="AU1670" s="1">
        <v>44216.35664351852</v>
      </c>
      <c r="AV1670">
        <v>6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0</v>
      </c>
      <c r="BE1670">
        <v>0</v>
      </c>
    </row>
    <row r="1671" spans="1:57" x14ac:dyDescent="0.45">
      <c r="A1671" t="s">
        <v>4126</v>
      </c>
      <c r="B1671" t="s">
        <v>79</v>
      </c>
      <c r="C1671" t="s">
        <v>4127</v>
      </c>
      <c r="D1671" t="s">
        <v>81</v>
      </c>
      <c r="E1671" s="2" t="str">
        <f>HYPERLINK("capsilon://?command=openfolder&amp;siteaddress=FAM.docvelocity-na8.net&amp;folderid=FXADF6EABE-C30C-5D5D-9667-0FD2B5DDCE02","FX210110537")</f>
        <v>FX210110537</v>
      </c>
      <c r="F1671" t="s">
        <v>19</v>
      </c>
      <c r="G1671" t="s">
        <v>19</v>
      </c>
      <c r="H1671" t="s">
        <v>82</v>
      </c>
      <c r="I1671" t="s">
        <v>4128</v>
      </c>
      <c r="J1671">
        <v>38</v>
      </c>
      <c r="K1671" t="s">
        <v>84</v>
      </c>
      <c r="L1671" t="s">
        <v>85</v>
      </c>
      <c r="M1671" t="s">
        <v>86</v>
      </c>
      <c r="N1671">
        <v>3</v>
      </c>
      <c r="O1671" s="1">
        <v>44215.596875000003</v>
      </c>
      <c r="P1671" s="1">
        <v>44216.356712962966</v>
      </c>
      <c r="Q1671">
        <v>65334</v>
      </c>
      <c r="R1671">
        <v>316</v>
      </c>
      <c r="S1671" t="b">
        <v>0</v>
      </c>
      <c r="T1671" t="s">
        <v>87</v>
      </c>
      <c r="U1671" t="b">
        <v>0</v>
      </c>
      <c r="V1671" t="s">
        <v>242</v>
      </c>
      <c r="W1671" s="1">
        <v>44215.626388888886</v>
      </c>
      <c r="X1671">
        <v>177</v>
      </c>
      <c r="Y1671">
        <v>37</v>
      </c>
      <c r="Z1671">
        <v>0</v>
      </c>
      <c r="AA1671">
        <v>37</v>
      </c>
      <c r="AB1671">
        <v>0</v>
      </c>
      <c r="AC1671">
        <v>13</v>
      </c>
      <c r="AD1671">
        <v>1</v>
      </c>
      <c r="AE1671">
        <v>0</v>
      </c>
      <c r="AF1671">
        <v>0</v>
      </c>
      <c r="AG1671">
        <v>0</v>
      </c>
      <c r="AH1671" t="s">
        <v>94</v>
      </c>
      <c r="AI1671" s="1">
        <v>44215.726284722223</v>
      </c>
      <c r="AJ1671">
        <v>134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 t="s">
        <v>90</v>
      </c>
      <c r="AU1671" s="1">
        <v>44216.356712962966</v>
      </c>
      <c r="AV1671">
        <v>5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</row>
    <row r="1672" spans="1:57" x14ac:dyDescent="0.45">
      <c r="A1672" t="s">
        <v>4129</v>
      </c>
      <c r="B1672" t="s">
        <v>79</v>
      </c>
      <c r="C1672" t="s">
        <v>4130</v>
      </c>
      <c r="D1672" t="s">
        <v>81</v>
      </c>
      <c r="E1672" s="2" t="str">
        <f>HYPERLINK("capsilon://?command=openfolder&amp;siteaddress=FAM.docvelocity-na8.net&amp;folderid=FX976B85FF-6DD7-85B6-CD55-A144491992C6","FX21018076")</f>
        <v>FX21018076</v>
      </c>
      <c r="F1672" t="s">
        <v>19</v>
      </c>
      <c r="G1672" t="s">
        <v>19</v>
      </c>
      <c r="H1672" t="s">
        <v>82</v>
      </c>
      <c r="I1672" t="s">
        <v>4131</v>
      </c>
      <c r="J1672">
        <v>138</v>
      </c>
      <c r="K1672" t="s">
        <v>84</v>
      </c>
      <c r="L1672" t="s">
        <v>85</v>
      </c>
      <c r="M1672" t="s">
        <v>86</v>
      </c>
      <c r="N1672">
        <v>3</v>
      </c>
      <c r="O1672" s="1">
        <v>44215.597905092596</v>
      </c>
      <c r="P1672" s="1">
        <v>44216.358287037037</v>
      </c>
      <c r="Q1672">
        <v>64319</v>
      </c>
      <c r="R1672">
        <v>1378</v>
      </c>
      <c r="S1672" t="b">
        <v>0</v>
      </c>
      <c r="T1672" t="s">
        <v>87</v>
      </c>
      <c r="U1672" t="b">
        <v>0</v>
      </c>
      <c r="V1672" t="s">
        <v>242</v>
      </c>
      <c r="W1672" s="1">
        <v>44215.636423611111</v>
      </c>
      <c r="X1672">
        <v>866</v>
      </c>
      <c r="Y1672">
        <v>177</v>
      </c>
      <c r="Z1672">
        <v>0</v>
      </c>
      <c r="AA1672">
        <v>177</v>
      </c>
      <c r="AB1672">
        <v>37</v>
      </c>
      <c r="AC1672">
        <v>125</v>
      </c>
      <c r="AD1672">
        <v>-39</v>
      </c>
      <c r="AE1672">
        <v>0</v>
      </c>
      <c r="AF1672">
        <v>0</v>
      </c>
      <c r="AG1672">
        <v>0</v>
      </c>
      <c r="AH1672" t="s">
        <v>128</v>
      </c>
      <c r="AI1672" s="1">
        <v>44215.729351851849</v>
      </c>
      <c r="AJ1672">
        <v>377</v>
      </c>
      <c r="AK1672">
        <v>4</v>
      </c>
      <c r="AL1672">
        <v>0</v>
      </c>
      <c r="AM1672">
        <v>4</v>
      </c>
      <c r="AN1672">
        <v>37</v>
      </c>
      <c r="AO1672">
        <v>4</v>
      </c>
      <c r="AP1672">
        <v>-43</v>
      </c>
      <c r="AQ1672">
        <v>0</v>
      </c>
      <c r="AR1672">
        <v>0</v>
      </c>
      <c r="AS1672">
        <v>0</v>
      </c>
      <c r="AT1672" t="s">
        <v>90</v>
      </c>
      <c r="AU1672" s="1">
        <v>44216.358287037037</v>
      </c>
      <c r="AV1672">
        <v>135</v>
      </c>
      <c r="AW1672">
        <v>2</v>
      </c>
      <c r="AX1672">
        <v>0</v>
      </c>
      <c r="AY1672">
        <v>2</v>
      </c>
      <c r="AZ1672">
        <v>37</v>
      </c>
      <c r="BA1672">
        <v>2</v>
      </c>
      <c r="BB1672">
        <v>-45</v>
      </c>
      <c r="BC1672">
        <v>0</v>
      </c>
      <c r="BD1672">
        <v>0</v>
      </c>
      <c r="BE1672">
        <v>0</v>
      </c>
    </row>
    <row r="1673" spans="1:57" x14ac:dyDescent="0.45">
      <c r="A1673" t="s">
        <v>4132</v>
      </c>
      <c r="B1673" t="s">
        <v>79</v>
      </c>
      <c r="C1673" t="s">
        <v>4133</v>
      </c>
      <c r="D1673" t="s">
        <v>81</v>
      </c>
      <c r="E1673" s="2" t="str">
        <f>HYPERLINK("capsilon://?command=openfolder&amp;siteaddress=FAM.docvelocity-na8.net&amp;folderid=FXE11191F6-99F3-A1F5-58D8-8B3285AAF28E","FX20123668")</f>
        <v>FX20123668</v>
      </c>
      <c r="F1673" t="s">
        <v>19</v>
      </c>
      <c r="G1673" t="s">
        <v>19</v>
      </c>
      <c r="H1673" t="s">
        <v>82</v>
      </c>
      <c r="I1673" t="s">
        <v>4134</v>
      </c>
      <c r="J1673">
        <v>26</v>
      </c>
      <c r="K1673" t="s">
        <v>84</v>
      </c>
      <c r="L1673" t="s">
        <v>85</v>
      </c>
      <c r="M1673" t="s">
        <v>86</v>
      </c>
      <c r="N1673">
        <v>3</v>
      </c>
      <c r="O1673" s="1">
        <v>44215.600266203706</v>
      </c>
      <c r="P1673" s="1">
        <v>44216.358344907407</v>
      </c>
      <c r="Q1673">
        <v>64596</v>
      </c>
      <c r="R1673">
        <v>902</v>
      </c>
      <c r="S1673" t="b">
        <v>0</v>
      </c>
      <c r="T1673" t="s">
        <v>87</v>
      </c>
      <c r="U1673" t="b">
        <v>0</v>
      </c>
      <c r="V1673" t="s">
        <v>171</v>
      </c>
      <c r="W1673" s="1">
        <v>44215.636284722219</v>
      </c>
      <c r="X1673">
        <v>817</v>
      </c>
      <c r="Y1673">
        <v>21</v>
      </c>
      <c r="Z1673">
        <v>0</v>
      </c>
      <c r="AA1673">
        <v>21</v>
      </c>
      <c r="AB1673">
        <v>0</v>
      </c>
      <c r="AC1673">
        <v>2</v>
      </c>
      <c r="AD1673">
        <v>5</v>
      </c>
      <c r="AE1673">
        <v>0</v>
      </c>
      <c r="AF1673">
        <v>0</v>
      </c>
      <c r="AG1673">
        <v>0</v>
      </c>
      <c r="AH1673" t="s">
        <v>94</v>
      </c>
      <c r="AI1673" s="1">
        <v>44215.727222222224</v>
      </c>
      <c r="AJ1673">
        <v>80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5</v>
      </c>
      <c r="AQ1673">
        <v>0</v>
      </c>
      <c r="AR1673">
        <v>0</v>
      </c>
      <c r="AS1673">
        <v>0</v>
      </c>
      <c r="AT1673" t="s">
        <v>90</v>
      </c>
      <c r="AU1673" s="1">
        <v>44216.358344907407</v>
      </c>
      <c r="AV1673">
        <v>5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5</v>
      </c>
      <c r="BC1673">
        <v>0</v>
      </c>
      <c r="BD1673">
        <v>0</v>
      </c>
      <c r="BE1673">
        <v>0</v>
      </c>
    </row>
    <row r="1674" spans="1:57" hidden="1" x14ac:dyDescent="0.45">
      <c r="A1674" t="s">
        <v>4135</v>
      </c>
      <c r="B1674" t="s">
        <v>79</v>
      </c>
      <c r="C1674" t="s">
        <v>4136</v>
      </c>
      <c r="D1674" t="s">
        <v>81</v>
      </c>
      <c r="E1674" s="2" t="str">
        <f>HYPERLINK("capsilon://?command=openfolder&amp;siteaddress=FAM.docvelocity-na8.net&amp;folderid=FX1EBB9D67-9D21-3D6A-51C3-D7E16EA17366","FX21016779")</f>
        <v>FX21016779</v>
      </c>
      <c r="F1674" t="s">
        <v>19</v>
      </c>
      <c r="G1674" t="s">
        <v>19</v>
      </c>
      <c r="H1674" t="s">
        <v>82</v>
      </c>
      <c r="I1674" t="s">
        <v>4137</v>
      </c>
      <c r="J1674">
        <v>113</v>
      </c>
      <c r="K1674" t="s">
        <v>84</v>
      </c>
      <c r="L1674" t="s">
        <v>85</v>
      </c>
      <c r="M1674" t="s">
        <v>86</v>
      </c>
      <c r="N1674">
        <v>1</v>
      </c>
      <c r="O1674" s="1">
        <v>44215.602951388886</v>
      </c>
      <c r="P1674" s="1">
        <v>44215.633506944447</v>
      </c>
      <c r="Q1674">
        <v>2360</v>
      </c>
      <c r="R1674">
        <v>280</v>
      </c>
      <c r="S1674" t="b">
        <v>0</v>
      </c>
      <c r="T1674" t="s">
        <v>87</v>
      </c>
      <c r="U1674" t="b">
        <v>0</v>
      </c>
      <c r="V1674" t="s">
        <v>255</v>
      </c>
      <c r="W1674" s="1">
        <v>44215.633506944447</v>
      </c>
      <c r="X1674">
        <v>271</v>
      </c>
      <c r="Y1674">
        <v>21</v>
      </c>
      <c r="Z1674">
        <v>0</v>
      </c>
      <c r="AA1674">
        <v>21</v>
      </c>
      <c r="AB1674">
        <v>0</v>
      </c>
      <c r="AC1674">
        <v>0</v>
      </c>
      <c r="AD1674">
        <v>92</v>
      </c>
      <c r="AE1674">
        <v>83</v>
      </c>
      <c r="AF1674">
        <v>0</v>
      </c>
      <c r="AG1674">
        <v>2</v>
      </c>
      <c r="AH1674" t="s">
        <v>87</v>
      </c>
      <c r="AI1674" t="s">
        <v>87</v>
      </c>
      <c r="AJ1674" t="s">
        <v>87</v>
      </c>
      <c r="AK1674" t="s">
        <v>87</v>
      </c>
      <c r="AL1674" t="s">
        <v>87</v>
      </c>
      <c r="AM1674" t="s">
        <v>87</v>
      </c>
      <c r="AN1674" t="s">
        <v>87</v>
      </c>
      <c r="AO1674" t="s">
        <v>87</v>
      </c>
      <c r="AP1674" t="s">
        <v>87</v>
      </c>
      <c r="AQ1674" t="s">
        <v>87</v>
      </c>
      <c r="AR1674" t="s">
        <v>87</v>
      </c>
      <c r="AS1674" t="s">
        <v>87</v>
      </c>
      <c r="AT1674" t="s">
        <v>87</v>
      </c>
      <c r="AU1674" t="s">
        <v>87</v>
      </c>
      <c r="AV1674" t="s">
        <v>87</v>
      </c>
      <c r="AW1674" t="s">
        <v>87</v>
      </c>
      <c r="AX1674" t="s">
        <v>87</v>
      </c>
      <c r="AY1674" t="s">
        <v>87</v>
      </c>
      <c r="AZ1674" t="s">
        <v>87</v>
      </c>
      <c r="BA1674" t="s">
        <v>87</v>
      </c>
      <c r="BB1674" t="s">
        <v>87</v>
      </c>
      <c r="BC1674" t="s">
        <v>87</v>
      </c>
      <c r="BD1674" t="s">
        <v>87</v>
      </c>
      <c r="BE1674" t="s">
        <v>87</v>
      </c>
    </row>
    <row r="1675" spans="1:57" x14ac:dyDescent="0.45">
      <c r="A1675" t="s">
        <v>4138</v>
      </c>
      <c r="B1675" t="s">
        <v>79</v>
      </c>
      <c r="C1675" t="s">
        <v>4139</v>
      </c>
      <c r="D1675" t="s">
        <v>81</v>
      </c>
      <c r="E1675" s="2" t="str">
        <f>HYPERLINK("capsilon://?command=openfolder&amp;siteaddress=FAM.docvelocity-na8.net&amp;folderid=FX6C60EC34-ADCF-801C-566E-5798B7142233","FX21018974")</f>
        <v>FX21018974</v>
      </c>
      <c r="F1675" t="s">
        <v>19</v>
      </c>
      <c r="G1675" t="s">
        <v>19</v>
      </c>
      <c r="H1675" t="s">
        <v>82</v>
      </c>
      <c r="I1675" t="s">
        <v>4140</v>
      </c>
      <c r="J1675">
        <v>220</v>
      </c>
      <c r="K1675" t="s">
        <v>84</v>
      </c>
      <c r="L1675" t="s">
        <v>85</v>
      </c>
      <c r="M1675" t="s">
        <v>86</v>
      </c>
      <c r="N1675">
        <v>3</v>
      </c>
      <c r="O1675" s="1">
        <v>44215.604571759257</v>
      </c>
      <c r="P1675" s="1">
        <v>44216.358703703707</v>
      </c>
      <c r="Q1675">
        <v>60600</v>
      </c>
      <c r="R1675">
        <v>4557</v>
      </c>
      <c r="S1675" t="b">
        <v>0</v>
      </c>
      <c r="T1675" t="s">
        <v>87</v>
      </c>
      <c r="U1675" t="b">
        <v>0</v>
      </c>
      <c r="V1675" t="s">
        <v>255</v>
      </c>
      <c r="W1675" s="1">
        <v>44215.656724537039</v>
      </c>
      <c r="X1675">
        <v>2005</v>
      </c>
      <c r="Y1675">
        <v>216</v>
      </c>
      <c r="Z1675">
        <v>0</v>
      </c>
      <c r="AA1675">
        <v>216</v>
      </c>
      <c r="AB1675">
        <v>0</v>
      </c>
      <c r="AC1675">
        <v>117</v>
      </c>
      <c r="AD1675">
        <v>4</v>
      </c>
      <c r="AE1675">
        <v>0</v>
      </c>
      <c r="AF1675">
        <v>0</v>
      </c>
      <c r="AG1675">
        <v>0</v>
      </c>
      <c r="AH1675" t="s">
        <v>267</v>
      </c>
      <c r="AI1675" s="1">
        <v>44215.756608796299</v>
      </c>
      <c r="AJ1675">
        <v>1402</v>
      </c>
      <c r="AK1675">
        <v>2</v>
      </c>
      <c r="AL1675">
        <v>0</v>
      </c>
      <c r="AM1675">
        <v>2</v>
      </c>
      <c r="AN1675">
        <v>0</v>
      </c>
      <c r="AO1675">
        <v>2</v>
      </c>
      <c r="AP1675">
        <v>2</v>
      </c>
      <c r="AQ1675">
        <v>0</v>
      </c>
      <c r="AR1675">
        <v>0</v>
      </c>
      <c r="AS1675">
        <v>0</v>
      </c>
      <c r="AT1675" t="s">
        <v>90</v>
      </c>
      <c r="AU1675" s="1">
        <v>44216.358703703707</v>
      </c>
      <c r="AV1675">
        <v>31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2</v>
      </c>
      <c r="BC1675">
        <v>0</v>
      </c>
      <c r="BD1675">
        <v>0</v>
      </c>
      <c r="BE1675">
        <v>0</v>
      </c>
    </row>
    <row r="1676" spans="1:57" x14ac:dyDescent="0.45">
      <c r="A1676" t="s">
        <v>4141</v>
      </c>
      <c r="B1676" t="s">
        <v>79</v>
      </c>
      <c r="C1676" t="s">
        <v>2199</v>
      </c>
      <c r="D1676" t="s">
        <v>81</v>
      </c>
      <c r="E1676" s="2" t="str">
        <f>HYPERLINK("capsilon://?command=openfolder&amp;siteaddress=FAM.docvelocity-na8.net&amp;folderid=FX3E508EA4-D795-A5DE-8974-97DB8256FC06","FX201223829")</f>
        <v>FX201223829</v>
      </c>
      <c r="F1676" t="s">
        <v>19</v>
      </c>
      <c r="G1676" t="s">
        <v>19</v>
      </c>
      <c r="H1676" t="s">
        <v>82</v>
      </c>
      <c r="I1676" t="s">
        <v>4142</v>
      </c>
      <c r="J1676">
        <v>38</v>
      </c>
      <c r="K1676" t="s">
        <v>84</v>
      </c>
      <c r="L1676" t="s">
        <v>85</v>
      </c>
      <c r="M1676" t="s">
        <v>86</v>
      </c>
      <c r="N1676">
        <v>3</v>
      </c>
      <c r="O1676" s="1">
        <v>44215.605300925927</v>
      </c>
      <c r="P1676" s="1">
        <v>44216.358761574076</v>
      </c>
      <c r="Q1676">
        <v>63948</v>
      </c>
      <c r="R1676">
        <v>1151</v>
      </c>
      <c r="S1676" t="b">
        <v>0</v>
      </c>
      <c r="T1676" t="s">
        <v>87</v>
      </c>
      <c r="U1676" t="b">
        <v>0</v>
      </c>
      <c r="V1676" t="s">
        <v>146</v>
      </c>
      <c r="W1676" s="1">
        <v>44215.647939814815</v>
      </c>
      <c r="X1676">
        <v>1031</v>
      </c>
      <c r="Y1676">
        <v>37</v>
      </c>
      <c r="Z1676">
        <v>0</v>
      </c>
      <c r="AA1676">
        <v>37</v>
      </c>
      <c r="AB1676">
        <v>0</v>
      </c>
      <c r="AC1676">
        <v>35</v>
      </c>
      <c r="AD1676">
        <v>1</v>
      </c>
      <c r="AE1676">
        <v>0</v>
      </c>
      <c r="AF1676">
        <v>0</v>
      </c>
      <c r="AG1676">
        <v>0</v>
      </c>
      <c r="AH1676" t="s">
        <v>128</v>
      </c>
      <c r="AI1676" s="1">
        <v>44215.734432870369</v>
      </c>
      <c r="AJ1676">
        <v>116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 t="s">
        <v>90</v>
      </c>
      <c r="AU1676" s="1">
        <v>44216.358761574076</v>
      </c>
      <c r="AV1676">
        <v>4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</row>
    <row r="1677" spans="1:57" x14ac:dyDescent="0.45">
      <c r="A1677" t="s">
        <v>4143</v>
      </c>
      <c r="B1677" t="s">
        <v>79</v>
      </c>
      <c r="C1677" t="s">
        <v>1265</v>
      </c>
      <c r="D1677" t="s">
        <v>81</v>
      </c>
      <c r="E1677" s="2" t="str">
        <f>HYPERLINK("capsilon://?command=openfolder&amp;siteaddress=FAM.docvelocity-na8.net&amp;folderid=FX933AF181-914C-14FC-6994-D48768C4C8D6","FX21012562")</f>
        <v>FX21012562</v>
      </c>
      <c r="F1677" t="s">
        <v>19</v>
      </c>
      <c r="G1677" t="s">
        <v>19</v>
      </c>
      <c r="H1677" t="s">
        <v>82</v>
      </c>
      <c r="I1677" t="s">
        <v>4144</v>
      </c>
      <c r="J1677">
        <v>66</v>
      </c>
      <c r="K1677" t="s">
        <v>84</v>
      </c>
      <c r="L1677" t="s">
        <v>85</v>
      </c>
      <c r="M1677" t="s">
        <v>86</v>
      </c>
      <c r="N1677">
        <v>3</v>
      </c>
      <c r="O1677" s="1">
        <v>44215.606053240743</v>
      </c>
      <c r="P1677" s="1">
        <v>44216.358877314815</v>
      </c>
      <c r="Q1677">
        <v>62087</v>
      </c>
      <c r="R1677">
        <v>2957</v>
      </c>
      <c r="S1677" t="b">
        <v>0</v>
      </c>
      <c r="T1677" t="s">
        <v>87</v>
      </c>
      <c r="U1677" t="b">
        <v>0</v>
      </c>
      <c r="V1677" t="s">
        <v>171</v>
      </c>
      <c r="W1677" s="1">
        <v>44215.668668981481</v>
      </c>
      <c r="X1677">
        <v>2798</v>
      </c>
      <c r="Y1677">
        <v>52</v>
      </c>
      <c r="Z1677">
        <v>0</v>
      </c>
      <c r="AA1677">
        <v>52</v>
      </c>
      <c r="AB1677">
        <v>0</v>
      </c>
      <c r="AC1677">
        <v>40</v>
      </c>
      <c r="AD1677">
        <v>14</v>
      </c>
      <c r="AE1677">
        <v>0</v>
      </c>
      <c r="AF1677">
        <v>0</v>
      </c>
      <c r="AG1677">
        <v>0</v>
      </c>
      <c r="AH1677" t="s">
        <v>128</v>
      </c>
      <c r="AI1677" s="1">
        <v>44215.736168981479</v>
      </c>
      <c r="AJ1677">
        <v>150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14</v>
      </c>
      <c r="AQ1677">
        <v>0</v>
      </c>
      <c r="AR1677">
        <v>0</v>
      </c>
      <c r="AS1677">
        <v>0</v>
      </c>
      <c r="AT1677" t="s">
        <v>90</v>
      </c>
      <c r="AU1677" s="1">
        <v>44216.358877314815</v>
      </c>
      <c r="AV1677">
        <v>9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14</v>
      </c>
      <c r="BC1677">
        <v>0</v>
      </c>
      <c r="BD1677">
        <v>0</v>
      </c>
      <c r="BE1677">
        <v>0</v>
      </c>
    </row>
    <row r="1678" spans="1:57" hidden="1" x14ac:dyDescent="0.45">
      <c r="A1678" t="s">
        <v>4145</v>
      </c>
      <c r="B1678" t="s">
        <v>79</v>
      </c>
      <c r="C1678" t="s">
        <v>4146</v>
      </c>
      <c r="D1678" t="s">
        <v>81</v>
      </c>
      <c r="E1678" s="2" t="str">
        <f>HYPERLINK("capsilon://?command=openfolder&amp;siteaddress=FAM.docvelocity-na8.net&amp;folderid=FX192981EC-DA88-149B-8D49-4D8AC4B99488","FX20121015")</f>
        <v>FX20121015</v>
      </c>
      <c r="F1678" t="s">
        <v>19</v>
      </c>
      <c r="G1678" t="s">
        <v>19</v>
      </c>
      <c r="H1678" t="s">
        <v>82</v>
      </c>
      <c r="I1678" t="s">
        <v>4147</v>
      </c>
      <c r="J1678">
        <v>66</v>
      </c>
      <c r="K1678" t="s">
        <v>84</v>
      </c>
      <c r="L1678" t="s">
        <v>85</v>
      </c>
      <c r="M1678" t="s">
        <v>86</v>
      </c>
      <c r="N1678">
        <v>1</v>
      </c>
      <c r="O1678" s="1">
        <v>44215.608587962961</v>
      </c>
      <c r="P1678" s="1">
        <v>44215.637175925927</v>
      </c>
      <c r="Q1678">
        <v>2406</v>
      </c>
      <c r="R1678">
        <v>64</v>
      </c>
      <c r="S1678" t="b">
        <v>0</v>
      </c>
      <c r="T1678" t="s">
        <v>87</v>
      </c>
      <c r="U1678" t="b">
        <v>0</v>
      </c>
      <c r="V1678" t="s">
        <v>242</v>
      </c>
      <c r="W1678" s="1">
        <v>44215.637175925927</v>
      </c>
      <c r="X1678">
        <v>64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66</v>
      </c>
      <c r="AE1678">
        <v>52</v>
      </c>
      <c r="AF1678">
        <v>0</v>
      </c>
      <c r="AG1678">
        <v>1</v>
      </c>
      <c r="AH1678" t="s">
        <v>87</v>
      </c>
      <c r="AI1678" t="s">
        <v>87</v>
      </c>
      <c r="AJ1678" t="s">
        <v>87</v>
      </c>
      <c r="AK1678" t="s">
        <v>87</v>
      </c>
      <c r="AL1678" t="s">
        <v>87</v>
      </c>
      <c r="AM1678" t="s">
        <v>87</v>
      </c>
      <c r="AN1678" t="s">
        <v>87</v>
      </c>
      <c r="AO1678" t="s">
        <v>87</v>
      </c>
      <c r="AP1678" t="s">
        <v>87</v>
      </c>
      <c r="AQ1678" t="s">
        <v>87</v>
      </c>
      <c r="AR1678" t="s">
        <v>87</v>
      </c>
      <c r="AS1678" t="s">
        <v>87</v>
      </c>
      <c r="AT1678" t="s">
        <v>87</v>
      </c>
      <c r="AU1678" t="s">
        <v>87</v>
      </c>
      <c r="AV1678" t="s">
        <v>87</v>
      </c>
      <c r="AW1678" t="s">
        <v>87</v>
      </c>
      <c r="AX1678" t="s">
        <v>87</v>
      </c>
      <c r="AY1678" t="s">
        <v>87</v>
      </c>
      <c r="AZ1678" t="s">
        <v>87</v>
      </c>
      <c r="BA1678" t="s">
        <v>87</v>
      </c>
      <c r="BB1678" t="s">
        <v>87</v>
      </c>
      <c r="BC1678" t="s">
        <v>87</v>
      </c>
      <c r="BD1678" t="s">
        <v>87</v>
      </c>
      <c r="BE1678" t="s">
        <v>87</v>
      </c>
    </row>
    <row r="1679" spans="1:57" x14ac:dyDescent="0.45">
      <c r="A1679" t="s">
        <v>4148</v>
      </c>
      <c r="B1679" t="s">
        <v>79</v>
      </c>
      <c r="C1679" t="s">
        <v>4090</v>
      </c>
      <c r="D1679" t="s">
        <v>81</v>
      </c>
      <c r="E1679" s="2" t="str">
        <f>HYPERLINK("capsilon://?command=openfolder&amp;siteaddress=FAM.docvelocity-na8.net&amp;folderid=FX07F1F274-556F-CA2F-73C4-CF1473FF7E0F","FX20124208")</f>
        <v>FX20124208</v>
      </c>
      <c r="F1679" t="s">
        <v>19</v>
      </c>
      <c r="G1679" t="s">
        <v>19</v>
      </c>
      <c r="H1679" t="s">
        <v>82</v>
      </c>
      <c r="I1679" t="s">
        <v>4099</v>
      </c>
      <c r="J1679">
        <v>38</v>
      </c>
      <c r="K1679" t="s">
        <v>84</v>
      </c>
      <c r="L1679" t="s">
        <v>85</v>
      </c>
      <c r="M1679" t="s">
        <v>86</v>
      </c>
      <c r="N1679">
        <v>3</v>
      </c>
      <c r="O1679" s="1">
        <v>44215.608969907407</v>
      </c>
      <c r="P1679" s="1">
        <v>44215.629571759258</v>
      </c>
      <c r="Q1679">
        <v>1361</v>
      </c>
      <c r="R1679">
        <v>419</v>
      </c>
      <c r="S1679" t="b">
        <v>0</v>
      </c>
      <c r="T1679" t="s">
        <v>87</v>
      </c>
      <c r="U1679" t="b">
        <v>1</v>
      </c>
      <c r="V1679" t="s">
        <v>255</v>
      </c>
      <c r="W1679" s="1">
        <v>44215.612314814818</v>
      </c>
      <c r="X1679">
        <v>281</v>
      </c>
      <c r="Y1679">
        <v>37</v>
      </c>
      <c r="Z1679">
        <v>0</v>
      </c>
      <c r="AA1679">
        <v>37</v>
      </c>
      <c r="AB1679">
        <v>0</v>
      </c>
      <c r="AC1679">
        <v>22</v>
      </c>
      <c r="AD1679">
        <v>1</v>
      </c>
      <c r="AE1679">
        <v>0</v>
      </c>
      <c r="AF1679">
        <v>0</v>
      </c>
      <c r="AG1679">
        <v>0</v>
      </c>
      <c r="AH1679" t="s">
        <v>128</v>
      </c>
      <c r="AI1679" s="1">
        <v>44215.616527777776</v>
      </c>
      <c r="AJ1679">
        <v>131</v>
      </c>
      <c r="AK1679">
        <v>1</v>
      </c>
      <c r="AL1679">
        <v>0</v>
      </c>
      <c r="AM1679">
        <v>1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 t="s">
        <v>90</v>
      </c>
      <c r="AU1679" s="1">
        <v>44215.629571759258</v>
      </c>
      <c r="AV1679">
        <v>7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</row>
    <row r="1680" spans="1:57" x14ac:dyDescent="0.45">
      <c r="A1680" t="s">
        <v>4149</v>
      </c>
      <c r="B1680" t="s">
        <v>79</v>
      </c>
      <c r="C1680" t="s">
        <v>4093</v>
      </c>
      <c r="D1680" t="s">
        <v>81</v>
      </c>
      <c r="E1680" s="2" t="str">
        <f>HYPERLINK("capsilon://?command=openfolder&amp;siteaddress=FAM.docvelocity-na8.net&amp;folderid=FX9CCC5CE6-87C7-30F5-746E-D9F65022BBBF","FX20128537")</f>
        <v>FX20128537</v>
      </c>
      <c r="F1680" t="s">
        <v>19</v>
      </c>
      <c r="G1680" t="s">
        <v>19</v>
      </c>
      <c r="H1680" t="s">
        <v>82</v>
      </c>
      <c r="I1680" t="s">
        <v>4094</v>
      </c>
      <c r="J1680">
        <v>62</v>
      </c>
      <c r="K1680" t="s">
        <v>84</v>
      </c>
      <c r="L1680" t="s">
        <v>85</v>
      </c>
      <c r="M1680" t="s">
        <v>86</v>
      </c>
      <c r="N1680">
        <v>3</v>
      </c>
      <c r="O1680" s="1">
        <v>44215.609016203707</v>
      </c>
      <c r="P1680" s="1">
        <v>44215.636770833335</v>
      </c>
      <c r="Q1680">
        <v>525</v>
      </c>
      <c r="R1680">
        <v>1873</v>
      </c>
      <c r="S1680" t="b">
        <v>0</v>
      </c>
      <c r="T1680" t="s">
        <v>87</v>
      </c>
      <c r="U1680" t="b">
        <v>1</v>
      </c>
      <c r="V1680" t="s">
        <v>142</v>
      </c>
      <c r="W1680" s="1">
        <v>44215.62771990741</v>
      </c>
      <c r="X1680">
        <v>1471</v>
      </c>
      <c r="Y1680">
        <v>105</v>
      </c>
      <c r="Z1680">
        <v>0</v>
      </c>
      <c r="AA1680">
        <v>105</v>
      </c>
      <c r="AB1680">
        <v>0</v>
      </c>
      <c r="AC1680">
        <v>83</v>
      </c>
      <c r="AD1680">
        <v>-43</v>
      </c>
      <c r="AE1680">
        <v>0</v>
      </c>
      <c r="AF1680">
        <v>0</v>
      </c>
      <c r="AG1680">
        <v>0</v>
      </c>
      <c r="AH1680" t="s">
        <v>128</v>
      </c>
      <c r="AI1680" s="1">
        <v>44215.635949074072</v>
      </c>
      <c r="AJ1680">
        <v>339</v>
      </c>
      <c r="AK1680">
        <v>2</v>
      </c>
      <c r="AL1680">
        <v>0</v>
      </c>
      <c r="AM1680">
        <v>2</v>
      </c>
      <c r="AN1680">
        <v>0</v>
      </c>
      <c r="AO1680">
        <v>2</v>
      </c>
      <c r="AP1680">
        <v>-45</v>
      </c>
      <c r="AQ1680">
        <v>0</v>
      </c>
      <c r="AR1680">
        <v>0</v>
      </c>
      <c r="AS1680">
        <v>0</v>
      </c>
      <c r="AT1680" t="s">
        <v>90</v>
      </c>
      <c r="AU1680" s="1">
        <v>44215.636770833335</v>
      </c>
      <c r="AV1680">
        <v>63</v>
      </c>
      <c r="AW1680">
        <v>2</v>
      </c>
      <c r="AX1680">
        <v>0</v>
      </c>
      <c r="AY1680">
        <v>2</v>
      </c>
      <c r="AZ1680">
        <v>0</v>
      </c>
      <c r="BA1680">
        <v>2</v>
      </c>
      <c r="BB1680">
        <v>-47</v>
      </c>
      <c r="BC1680">
        <v>0</v>
      </c>
      <c r="BD1680">
        <v>0</v>
      </c>
      <c r="BE1680">
        <v>0</v>
      </c>
    </row>
    <row r="1681" spans="1:57" x14ac:dyDescent="0.45">
      <c r="A1681" t="s">
        <v>4150</v>
      </c>
      <c r="B1681" t="s">
        <v>79</v>
      </c>
      <c r="C1681" t="s">
        <v>4029</v>
      </c>
      <c r="D1681" t="s">
        <v>81</v>
      </c>
      <c r="E1681" s="2" t="str">
        <f>HYPERLINK("capsilon://?command=openfolder&amp;siteaddress=FAM.docvelocity-na8.net&amp;folderid=FXAF2F06E8-6150-8B5C-AA5E-107945839F64","FX21019030")</f>
        <v>FX21019030</v>
      </c>
      <c r="F1681" t="s">
        <v>19</v>
      </c>
      <c r="G1681" t="s">
        <v>19</v>
      </c>
      <c r="H1681" t="s">
        <v>82</v>
      </c>
      <c r="I1681" t="s">
        <v>4151</v>
      </c>
      <c r="J1681">
        <v>66</v>
      </c>
      <c r="K1681" t="s">
        <v>84</v>
      </c>
      <c r="L1681" t="s">
        <v>85</v>
      </c>
      <c r="M1681" t="s">
        <v>86</v>
      </c>
      <c r="N1681">
        <v>3</v>
      </c>
      <c r="O1681" s="1">
        <v>44215.616782407407</v>
      </c>
      <c r="P1681" s="1">
        <v>44216.358958333331</v>
      </c>
      <c r="Q1681">
        <v>63799</v>
      </c>
      <c r="R1681">
        <v>325</v>
      </c>
      <c r="S1681" t="b">
        <v>0</v>
      </c>
      <c r="T1681" t="s">
        <v>87</v>
      </c>
      <c r="U1681" t="b">
        <v>0</v>
      </c>
      <c r="V1681" t="s">
        <v>242</v>
      </c>
      <c r="W1681" s="1">
        <v>44215.639675925922</v>
      </c>
      <c r="X1681">
        <v>215</v>
      </c>
      <c r="Y1681">
        <v>52</v>
      </c>
      <c r="Z1681">
        <v>0</v>
      </c>
      <c r="AA1681">
        <v>52</v>
      </c>
      <c r="AB1681">
        <v>0</v>
      </c>
      <c r="AC1681">
        <v>28</v>
      </c>
      <c r="AD1681">
        <v>14</v>
      </c>
      <c r="AE1681">
        <v>0</v>
      </c>
      <c r="AF1681">
        <v>0</v>
      </c>
      <c r="AG1681">
        <v>0</v>
      </c>
      <c r="AH1681" t="s">
        <v>128</v>
      </c>
      <c r="AI1681" s="1">
        <v>44215.737372685187</v>
      </c>
      <c r="AJ1681">
        <v>103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14</v>
      </c>
      <c r="AQ1681">
        <v>0</v>
      </c>
      <c r="AR1681">
        <v>0</v>
      </c>
      <c r="AS1681">
        <v>0</v>
      </c>
      <c r="AT1681" t="s">
        <v>90</v>
      </c>
      <c r="AU1681" s="1">
        <v>44216.358958333331</v>
      </c>
      <c r="AV1681">
        <v>7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14</v>
      </c>
      <c r="BC1681">
        <v>0</v>
      </c>
      <c r="BD1681">
        <v>0</v>
      </c>
      <c r="BE1681">
        <v>0</v>
      </c>
    </row>
    <row r="1682" spans="1:57" hidden="1" x14ac:dyDescent="0.45">
      <c r="A1682" t="s">
        <v>4152</v>
      </c>
      <c r="B1682" t="s">
        <v>79</v>
      </c>
      <c r="C1682" t="s">
        <v>3350</v>
      </c>
      <c r="D1682" t="s">
        <v>81</v>
      </c>
      <c r="E1682" s="2" t="str">
        <f>HYPERLINK("capsilon://?command=openfolder&amp;siteaddress=FAM.docvelocity-na8.net&amp;folderid=FX1D888946-AC8D-5980-2EC2-0D029BE0E1BC","FX21017894")</f>
        <v>FX21017894</v>
      </c>
      <c r="F1682" t="s">
        <v>19</v>
      </c>
      <c r="G1682" t="s">
        <v>19</v>
      </c>
      <c r="H1682" t="s">
        <v>82</v>
      </c>
      <c r="I1682" t="s">
        <v>4153</v>
      </c>
      <c r="J1682">
        <v>26</v>
      </c>
      <c r="K1682" t="s">
        <v>84</v>
      </c>
      <c r="L1682" t="s">
        <v>85</v>
      </c>
      <c r="M1682" t="s">
        <v>86</v>
      </c>
      <c r="N1682">
        <v>1</v>
      </c>
      <c r="O1682" s="1">
        <v>44215.617314814815</v>
      </c>
      <c r="P1682" s="1">
        <v>44215.649351851855</v>
      </c>
      <c r="Q1682">
        <v>2428</v>
      </c>
      <c r="R1682">
        <v>340</v>
      </c>
      <c r="S1682" t="b">
        <v>0</v>
      </c>
      <c r="T1682" t="s">
        <v>87</v>
      </c>
      <c r="U1682" t="b">
        <v>0</v>
      </c>
      <c r="V1682" t="s">
        <v>343</v>
      </c>
      <c r="W1682" s="1">
        <v>44215.649351851855</v>
      </c>
      <c r="X1682">
        <v>4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26</v>
      </c>
      <c r="AE1682">
        <v>0</v>
      </c>
      <c r="AF1682">
        <v>0</v>
      </c>
      <c r="AG1682">
        <v>1</v>
      </c>
      <c r="AH1682" t="s">
        <v>87</v>
      </c>
      <c r="AI1682" t="s">
        <v>87</v>
      </c>
      <c r="AJ1682" t="s">
        <v>87</v>
      </c>
      <c r="AK1682" t="s">
        <v>87</v>
      </c>
      <c r="AL1682" t="s">
        <v>87</v>
      </c>
      <c r="AM1682" t="s">
        <v>87</v>
      </c>
      <c r="AN1682" t="s">
        <v>87</v>
      </c>
      <c r="AO1682" t="s">
        <v>87</v>
      </c>
      <c r="AP1682" t="s">
        <v>87</v>
      </c>
      <c r="AQ1682" t="s">
        <v>87</v>
      </c>
      <c r="AR1682" t="s">
        <v>87</v>
      </c>
      <c r="AS1682" t="s">
        <v>87</v>
      </c>
      <c r="AT1682" t="s">
        <v>87</v>
      </c>
      <c r="AU1682" t="s">
        <v>87</v>
      </c>
      <c r="AV1682" t="s">
        <v>87</v>
      </c>
      <c r="AW1682" t="s">
        <v>87</v>
      </c>
      <c r="AX1682" t="s">
        <v>87</v>
      </c>
      <c r="AY1682" t="s">
        <v>87</v>
      </c>
      <c r="AZ1682" t="s">
        <v>87</v>
      </c>
      <c r="BA1682" t="s">
        <v>87</v>
      </c>
      <c r="BB1682" t="s">
        <v>87</v>
      </c>
      <c r="BC1682" t="s">
        <v>87</v>
      </c>
      <c r="BD1682" t="s">
        <v>87</v>
      </c>
      <c r="BE1682" t="s">
        <v>87</v>
      </c>
    </row>
    <row r="1683" spans="1:57" x14ac:dyDescent="0.45">
      <c r="A1683" t="s">
        <v>4154</v>
      </c>
      <c r="B1683" t="s">
        <v>79</v>
      </c>
      <c r="C1683" t="s">
        <v>4087</v>
      </c>
      <c r="D1683" t="s">
        <v>81</v>
      </c>
      <c r="E1683" s="2" t="str">
        <f>HYPERLINK("capsilon://?command=openfolder&amp;siteaddress=FAM.docvelocity-na8.net&amp;folderid=FX9BE51353-8E35-387B-8A69-4FA701531BF9","FX21017917")</f>
        <v>FX21017917</v>
      </c>
      <c r="F1683" t="s">
        <v>19</v>
      </c>
      <c r="G1683" t="s">
        <v>19</v>
      </c>
      <c r="H1683" t="s">
        <v>82</v>
      </c>
      <c r="I1683" t="s">
        <v>4155</v>
      </c>
      <c r="J1683">
        <v>66</v>
      </c>
      <c r="K1683" t="s">
        <v>84</v>
      </c>
      <c r="L1683" t="s">
        <v>85</v>
      </c>
      <c r="M1683" t="s">
        <v>86</v>
      </c>
      <c r="N1683">
        <v>3</v>
      </c>
      <c r="O1683" s="1">
        <v>44215.618449074071</v>
      </c>
      <c r="P1683" s="1">
        <v>44216.360532407409</v>
      </c>
      <c r="Q1683">
        <v>63309</v>
      </c>
      <c r="R1683">
        <v>807</v>
      </c>
      <c r="S1683" t="b">
        <v>0</v>
      </c>
      <c r="T1683" t="s">
        <v>87</v>
      </c>
      <c r="U1683" t="b">
        <v>0</v>
      </c>
      <c r="V1683" t="s">
        <v>242</v>
      </c>
      <c r="W1683" s="1">
        <v>44215.650127314817</v>
      </c>
      <c r="X1683">
        <v>389</v>
      </c>
      <c r="Y1683">
        <v>52</v>
      </c>
      <c r="Z1683">
        <v>0</v>
      </c>
      <c r="AA1683">
        <v>52</v>
      </c>
      <c r="AB1683">
        <v>0</v>
      </c>
      <c r="AC1683">
        <v>32</v>
      </c>
      <c r="AD1683">
        <v>14</v>
      </c>
      <c r="AE1683">
        <v>0</v>
      </c>
      <c r="AF1683">
        <v>0</v>
      </c>
      <c r="AG1683">
        <v>0</v>
      </c>
      <c r="AH1683" t="s">
        <v>128</v>
      </c>
      <c r="AI1683" s="1">
        <v>44215.740081018521</v>
      </c>
      <c r="AJ1683">
        <v>234</v>
      </c>
      <c r="AK1683">
        <v>1</v>
      </c>
      <c r="AL1683">
        <v>0</v>
      </c>
      <c r="AM1683">
        <v>1</v>
      </c>
      <c r="AN1683">
        <v>0</v>
      </c>
      <c r="AO1683">
        <v>1</v>
      </c>
      <c r="AP1683">
        <v>13</v>
      </c>
      <c r="AQ1683">
        <v>0</v>
      </c>
      <c r="AR1683">
        <v>0</v>
      </c>
      <c r="AS1683">
        <v>0</v>
      </c>
      <c r="AT1683" t="s">
        <v>90</v>
      </c>
      <c r="AU1683" s="1">
        <v>44216.360532407409</v>
      </c>
      <c r="AV1683">
        <v>136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13</v>
      </c>
      <c r="BC1683">
        <v>0</v>
      </c>
      <c r="BD1683">
        <v>0</v>
      </c>
      <c r="BE1683">
        <v>0</v>
      </c>
    </row>
    <row r="1684" spans="1:57" x14ac:dyDescent="0.45">
      <c r="A1684" t="s">
        <v>4156</v>
      </c>
      <c r="B1684" t="s">
        <v>79</v>
      </c>
      <c r="C1684" t="s">
        <v>4116</v>
      </c>
      <c r="D1684" t="s">
        <v>81</v>
      </c>
      <c r="E1684" s="2" t="str">
        <f>HYPERLINK("capsilon://?command=openfolder&amp;siteaddress=FAM.docvelocity-na8.net&amp;folderid=FXA646CBD7-859A-1781-2C30-19E5B32D5BC0","FX20128001")</f>
        <v>FX20128001</v>
      </c>
      <c r="F1684" t="s">
        <v>19</v>
      </c>
      <c r="G1684" t="s">
        <v>19</v>
      </c>
      <c r="H1684" t="s">
        <v>82</v>
      </c>
      <c r="I1684" t="s">
        <v>4117</v>
      </c>
      <c r="J1684">
        <v>38</v>
      </c>
      <c r="K1684" t="s">
        <v>84</v>
      </c>
      <c r="L1684" t="s">
        <v>85</v>
      </c>
      <c r="M1684" t="s">
        <v>86</v>
      </c>
      <c r="N1684">
        <v>3</v>
      </c>
      <c r="O1684" s="1">
        <v>44215.619814814818</v>
      </c>
      <c r="P1684" s="1">
        <v>44215.652511574073</v>
      </c>
      <c r="Q1684">
        <v>1909</v>
      </c>
      <c r="R1684">
        <v>916</v>
      </c>
      <c r="S1684" t="b">
        <v>0</v>
      </c>
      <c r="T1684" t="s">
        <v>87</v>
      </c>
      <c r="U1684" t="b">
        <v>1</v>
      </c>
      <c r="V1684" t="s">
        <v>255</v>
      </c>
      <c r="W1684" s="1">
        <v>44215.630370370367</v>
      </c>
      <c r="X1684">
        <v>619</v>
      </c>
      <c r="Y1684">
        <v>37</v>
      </c>
      <c r="Z1684">
        <v>0</v>
      </c>
      <c r="AA1684">
        <v>37</v>
      </c>
      <c r="AB1684">
        <v>0</v>
      </c>
      <c r="AC1684">
        <v>32</v>
      </c>
      <c r="AD1684">
        <v>1</v>
      </c>
      <c r="AE1684">
        <v>0</v>
      </c>
      <c r="AF1684">
        <v>0</v>
      </c>
      <c r="AG1684">
        <v>0</v>
      </c>
      <c r="AH1684" t="s">
        <v>128</v>
      </c>
      <c r="AI1684" s="1">
        <v>44215.639236111114</v>
      </c>
      <c r="AJ1684">
        <v>283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 t="s">
        <v>90</v>
      </c>
      <c r="AU1684" s="1">
        <v>44215.652511574073</v>
      </c>
      <c r="AV1684">
        <v>14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</row>
    <row r="1685" spans="1:57" x14ac:dyDescent="0.45">
      <c r="A1685" t="s">
        <v>4157</v>
      </c>
      <c r="B1685" t="s">
        <v>79</v>
      </c>
      <c r="C1685" t="s">
        <v>3942</v>
      </c>
      <c r="D1685" t="s">
        <v>81</v>
      </c>
      <c r="E1685" s="2" t="str">
        <f>HYPERLINK("capsilon://?command=openfolder&amp;siteaddress=FAM.docvelocity-na8.net&amp;folderid=FX7107429D-D599-4883-00C7-5746B6DE4A5A","FX21015833")</f>
        <v>FX21015833</v>
      </c>
      <c r="F1685" t="s">
        <v>19</v>
      </c>
      <c r="G1685" t="s">
        <v>19</v>
      </c>
      <c r="H1685" t="s">
        <v>82</v>
      </c>
      <c r="I1685" t="s">
        <v>4158</v>
      </c>
      <c r="J1685">
        <v>66</v>
      </c>
      <c r="K1685" t="s">
        <v>84</v>
      </c>
      <c r="L1685" t="s">
        <v>85</v>
      </c>
      <c r="M1685" t="s">
        <v>86</v>
      </c>
      <c r="N1685">
        <v>3</v>
      </c>
      <c r="O1685" s="1">
        <v>44215.620057870372</v>
      </c>
      <c r="P1685" s="1">
        <v>44216.360763888886</v>
      </c>
      <c r="Q1685">
        <v>63284</v>
      </c>
      <c r="R1685">
        <v>713</v>
      </c>
      <c r="S1685" t="b">
        <v>0</v>
      </c>
      <c r="T1685" t="s">
        <v>87</v>
      </c>
      <c r="U1685" t="b">
        <v>0</v>
      </c>
      <c r="V1685" t="s">
        <v>242</v>
      </c>
      <c r="W1685" s="1">
        <v>44215.659259259257</v>
      </c>
      <c r="X1685">
        <v>389</v>
      </c>
      <c r="Y1685">
        <v>52</v>
      </c>
      <c r="Z1685">
        <v>0</v>
      </c>
      <c r="AA1685">
        <v>52</v>
      </c>
      <c r="AB1685">
        <v>0</v>
      </c>
      <c r="AC1685">
        <v>34</v>
      </c>
      <c r="AD1685">
        <v>14</v>
      </c>
      <c r="AE1685">
        <v>0</v>
      </c>
      <c r="AF1685">
        <v>0</v>
      </c>
      <c r="AG1685">
        <v>0</v>
      </c>
      <c r="AH1685" t="s">
        <v>267</v>
      </c>
      <c r="AI1685" s="1">
        <v>44215.740370370368</v>
      </c>
      <c r="AJ1685">
        <v>242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14</v>
      </c>
      <c r="AQ1685">
        <v>0</v>
      </c>
      <c r="AR1685">
        <v>0</v>
      </c>
      <c r="AS1685">
        <v>0</v>
      </c>
      <c r="AT1685" t="s">
        <v>90</v>
      </c>
      <c r="AU1685" s="1">
        <v>44216.360763888886</v>
      </c>
      <c r="AV1685">
        <v>19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14</v>
      </c>
      <c r="BC1685">
        <v>0</v>
      </c>
      <c r="BD1685">
        <v>0</v>
      </c>
      <c r="BE1685">
        <v>0</v>
      </c>
    </row>
    <row r="1686" spans="1:57" x14ac:dyDescent="0.45">
      <c r="A1686" t="s">
        <v>4159</v>
      </c>
      <c r="B1686" t="s">
        <v>79</v>
      </c>
      <c r="C1686" t="s">
        <v>3341</v>
      </c>
      <c r="D1686" t="s">
        <v>81</v>
      </c>
      <c r="E1686" s="2" t="str">
        <f>HYPERLINK("capsilon://?command=openfolder&amp;siteaddress=FAM.docvelocity-na8.net&amp;folderid=FXE3496635-A227-C0F3-17E9-70A673E7B2AA","FX20124858")</f>
        <v>FX20124858</v>
      </c>
      <c r="F1686" t="s">
        <v>19</v>
      </c>
      <c r="G1686" t="s">
        <v>19</v>
      </c>
      <c r="H1686" t="s">
        <v>82</v>
      </c>
      <c r="I1686" t="s">
        <v>4160</v>
      </c>
      <c r="J1686">
        <v>40</v>
      </c>
      <c r="K1686" t="s">
        <v>84</v>
      </c>
      <c r="L1686" t="s">
        <v>85</v>
      </c>
      <c r="M1686" t="s">
        <v>86</v>
      </c>
      <c r="N1686">
        <v>3</v>
      </c>
      <c r="O1686" s="1">
        <v>44215.622349537036</v>
      </c>
      <c r="P1686" s="1">
        <v>44216.36109953704</v>
      </c>
      <c r="Q1686">
        <v>63262</v>
      </c>
      <c r="R1686">
        <v>566</v>
      </c>
      <c r="S1686" t="b">
        <v>0</v>
      </c>
      <c r="T1686" t="s">
        <v>87</v>
      </c>
      <c r="U1686" t="b">
        <v>0</v>
      </c>
      <c r="V1686" t="s">
        <v>343</v>
      </c>
      <c r="W1686" s="1">
        <v>44215.658553240741</v>
      </c>
      <c r="X1686">
        <v>428</v>
      </c>
      <c r="Y1686">
        <v>36</v>
      </c>
      <c r="Z1686">
        <v>0</v>
      </c>
      <c r="AA1686">
        <v>36</v>
      </c>
      <c r="AB1686">
        <v>0</v>
      </c>
      <c r="AC1686">
        <v>11</v>
      </c>
      <c r="AD1686">
        <v>4</v>
      </c>
      <c r="AE1686">
        <v>0</v>
      </c>
      <c r="AF1686">
        <v>0</v>
      </c>
      <c r="AG1686">
        <v>0</v>
      </c>
      <c r="AH1686" t="s">
        <v>128</v>
      </c>
      <c r="AI1686" s="1">
        <v>44215.741354166668</v>
      </c>
      <c r="AJ1686">
        <v>110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4</v>
      </c>
      <c r="AQ1686">
        <v>0</v>
      </c>
      <c r="AR1686">
        <v>0</v>
      </c>
      <c r="AS1686">
        <v>0</v>
      </c>
      <c r="AT1686" t="s">
        <v>90</v>
      </c>
      <c r="AU1686" s="1">
        <v>44216.36109953704</v>
      </c>
      <c r="AV1686">
        <v>28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4</v>
      </c>
      <c r="BC1686">
        <v>0</v>
      </c>
      <c r="BD1686">
        <v>0</v>
      </c>
      <c r="BE1686">
        <v>0</v>
      </c>
    </row>
    <row r="1687" spans="1:57" x14ac:dyDescent="0.45">
      <c r="A1687" t="s">
        <v>4161</v>
      </c>
      <c r="B1687" t="s">
        <v>79</v>
      </c>
      <c r="C1687" t="s">
        <v>3341</v>
      </c>
      <c r="D1687" t="s">
        <v>81</v>
      </c>
      <c r="E1687" s="2" t="str">
        <f>HYPERLINK("capsilon://?command=openfolder&amp;siteaddress=FAM.docvelocity-na8.net&amp;folderid=FXE3496635-A227-C0F3-17E9-70A673E7B2AA","FX20124858")</f>
        <v>FX20124858</v>
      </c>
      <c r="F1687" t="s">
        <v>19</v>
      </c>
      <c r="G1687" t="s">
        <v>19</v>
      </c>
      <c r="H1687" t="s">
        <v>82</v>
      </c>
      <c r="I1687" t="s">
        <v>4162</v>
      </c>
      <c r="J1687">
        <v>31</v>
      </c>
      <c r="K1687" t="s">
        <v>84</v>
      </c>
      <c r="L1687" t="s">
        <v>85</v>
      </c>
      <c r="M1687" t="s">
        <v>86</v>
      </c>
      <c r="N1687">
        <v>3</v>
      </c>
      <c r="O1687" s="1">
        <v>44215.623611111114</v>
      </c>
      <c r="P1687" s="1">
        <v>44216.361678240741</v>
      </c>
      <c r="Q1687">
        <v>63063</v>
      </c>
      <c r="R1687">
        <v>706</v>
      </c>
      <c r="S1687" t="b">
        <v>0</v>
      </c>
      <c r="T1687" t="s">
        <v>87</v>
      </c>
      <c r="U1687" t="b">
        <v>0</v>
      </c>
      <c r="V1687" t="s">
        <v>255</v>
      </c>
      <c r="W1687" s="1">
        <v>44215.66201388889</v>
      </c>
      <c r="X1687">
        <v>456</v>
      </c>
      <c r="Y1687">
        <v>74</v>
      </c>
      <c r="Z1687">
        <v>0</v>
      </c>
      <c r="AA1687">
        <v>74</v>
      </c>
      <c r="AB1687">
        <v>0</v>
      </c>
      <c r="AC1687">
        <v>63</v>
      </c>
      <c r="AD1687">
        <v>-43</v>
      </c>
      <c r="AE1687">
        <v>0</v>
      </c>
      <c r="AF1687">
        <v>0</v>
      </c>
      <c r="AG1687">
        <v>0</v>
      </c>
      <c r="AH1687" t="s">
        <v>128</v>
      </c>
      <c r="AI1687" s="1">
        <v>44215.743680555555</v>
      </c>
      <c r="AJ1687">
        <v>200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-43</v>
      </c>
      <c r="AQ1687">
        <v>0</v>
      </c>
      <c r="AR1687">
        <v>0</v>
      </c>
      <c r="AS1687">
        <v>0</v>
      </c>
      <c r="AT1687" t="s">
        <v>90</v>
      </c>
      <c r="AU1687" s="1">
        <v>44216.361678240741</v>
      </c>
      <c r="AV1687">
        <v>50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-43</v>
      </c>
      <c r="BC1687">
        <v>0</v>
      </c>
      <c r="BD1687">
        <v>0</v>
      </c>
      <c r="BE1687">
        <v>0</v>
      </c>
    </row>
    <row r="1688" spans="1:57" x14ac:dyDescent="0.45">
      <c r="A1688" t="s">
        <v>4163</v>
      </c>
      <c r="B1688" t="s">
        <v>79</v>
      </c>
      <c r="C1688" t="s">
        <v>1983</v>
      </c>
      <c r="D1688" t="s">
        <v>81</v>
      </c>
      <c r="E1688" s="2" t="str">
        <f>HYPERLINK("capsilon://?command=openfolder&amp;siteaddress=FAM.docvelocity-na8.net&amp;folderid=FX9AF4609C-7D2D-0C98-A6EB-272021357B31","FX21011197")</f>
        <v>FX21011197</v>
      </c>
      <c r="F1688" t="s">
        <v>19</v>
      </c>
      <c r="G1688" t="s">
        <v>19</v>
      </c>
      <c r="H1688" t="s">
        <v>82</v>
      </c>
      <c r="I1688" t="s">
        <v>4164</v>
      </c>
      <c r="J1688">
        <v>66</v>
      </c>
      <c r="K1688" t="s">
        <v>84</v>
      </c>
      <c r="L1688" t="s">
        <v>85</v>
      </c>
      <c r="M1688" t="s">
        <v>86</v>
      </c>
      <c r="N1688">
        <v>3</v>
      </c>
      <c r="O1688" s="1">
        <v>44215.623645833337</v>
      </c>
      <c r="P1688" s="1">
        <v>44216.362002314818</v>
      </c>
      <c r="Q1688">
        <v>61934</v>
      </c>
      <c r="R1688">
        <v>1860</v>
      </c>
      <c r="S1688" t="b">
        <v>0</v>
      </c>
      <c r="T1688" t="s">
        <v>87</v>
      </c>
      <c r="U1688" t="b">
        <v>0</v>
      </c>
      <c r="V1688" t="s">
        <v>343</v>
      </c>
      <c r="W1688" s="1">
        <v>44215.67769675926</v>
      </c>
      <c r="X1688">
        <v>1653</v>
      </c>
      <c r="Y1688">
        <v>52</v>
      </c>
      <c r="Z1688">
        <v>0</v>
      </c>
      <c r="AA1688">
        <v>52</v>
      </c>
      <c r="AB1688">
        <v>0</v>
      </c>
      <c r="AC1688">
        <v>36</v>
      </c>
      <c r="AD1688">
        <v>14</v>
      </c>
      <c r="AE1688">
        <v>0</v>
      </c>
      <c r="AF1688">
        <v>0</v>
      </c>
      <c r="AG1688">
        <v>0</v>
      </c>
      <c r="AH1688" t="s">
        <v>128</v>
      </c>
      <c r="AI1688" s="1">
        <v>44215.745775462965</v>
      </c>
      <c r="AJ1688">
        <v>180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14</v>
      </c>
      <c r="AQ1688">
        <v>0</v>
      </c>
      <c r="AR1688">
        <v>0</v>
      </c>
      <c r="AS1688">
        <v>0</v>
      </c>
      <c r="AT1688" t="s">
        <v>90</v>
      </c>
      <c r="AU1688" s="1">
        <v>44216.362002314818</v>
      </c>
      <c r="AV1688">
        <v>27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14</v>
      </c>
      <c r="BC1688">
        <v>0</v>
      </c>
      <c r="BD1688">
        <v>0</v>
      </c>
      <c r="BE1688">
        <v>0</v>
      </c>
    </row>
    <row r="1689" spans="1:57" x14ac:dyDescent="0.45">
      <c r="A1689" t="s">
        <v>4165</v>
      </c>
      <c r="B1689" t="s">
        <v>79</v>
      </c>
      <c r="C1689" t="s">
        <v>4166</v>
      </c>
      <c r="D1689" t="s">
        <v>81</v>
      </c>
      <c r="E1689" s="2" t="str">
        <f>HYPERLINK("capsilon://?command=openfolder&amp;siteaddress=FAM.docvelocity-na8.net&amp;folderid=FXC9D4BC98-DCA4-CD42-04B7-4A6E2B350B48","FX21016767")</f>
        <v>FX21016767</v>
      </c>
      <c r="F1689" t="s">
        <v>19</v>
      </c>
      <c r="G1689" t="s">
        <v>19</v>
      </c>
      <c r="H1689" t="s">
        <v>82</v>
      </c>
      <c r="I1689" t="s">
        <v>4167</v>
      </c>
      <c r="J1689">
        <v>272</v>
      </c>
      <c r="K1689" t="s">
        <v>84</v>
      </c>
      <c r="L1689" t="s">
        <v>85</v>
      </c>
      <c r="M1689" t="s">
        <v>86</v>
      </c>
      <c r="N1689">
        <v>3</v>
      </c>
      <c r="O1689" s="1">
        <v>44215.626122685186</v>
      </c>
      <c r="P1689" s="1">
        <v>44216.364085648151</v>
      </c>
      <c r="Q1689">
        <v>60779</v>
      </c>
      <c r="R1689">
        <v>2981</v>
      </c>
      <c r="S1689" t="b">
        <v>0</v>
      </c>
      <c r="T1689" t="s">
        <v>87</v>
      </c>
      <c r="U1689" t="b">
        <v>0</v>
      </c>
      <c r="V1689" t="s">
        <v>255</v>
      </c>
      <c r="W1689" s="1">
        <v>44215.685266203705</v>
      </c>
      <c r="X1689">
        <v>2008</v>
      </c>
      <c r="Y1689">
        <v>182</v>
      </c>
      <c r="Z1689">
        <v>0</v>
      </c>
      <c r="AA1689">
        <v>182</v>
      </c>
      <c r="AB1689">
        <v>37</v>
      </c>
      <c r="AC1689">
        <v>127</v>
      </c>
      <c r="AD1689">
        <v>90</v>
      </c>
      <c r="AE1689">
        <v>0</v>
      </c>
      <c r="AF1689">
        <v>0</v>
      </c>
      <c r="AG1689">
        <v>0</v>
      </c>
      <c r="AH1689" t="s">
        <v>128</v>
      </c>
      <c r="AI1689" s="1">
        <v>44215.754490740743</v>
      </c>
      <c r="AJ1689">
        <v>752</v>
      </c>
      <c r="AK1689">
        <v>6</v>
      </c>
      <c r="AL1689">
        <v>0</v>
      </c>
      <c r="AM1689">
        <v>6</v>
      </c>
      <c r="AN1689">
        <v>37</v>
      </c>
      <c r="AO1689">
        <v>6</v>
      </c>
      <c r="AP1689">
        <v>84</v>
      </c>
      <c r="AQ1689">
        <v>0</v>
      </c>
      <c r="AR1689">
        <v>0</v>
      </c>
      <c r="AS1689">
        <v>0</v>
      </c>
      <c r="AT1689" t="s">
        <v>90</v>
      </c>
      <c r="AU1689" s="1">
        <v>44216.364085648151</v>
      </c>
      <c r="AV1689">
        <v>180</v>
      </c>
      <c r="AW1689">
        <v>0</v>
      </c>
      <c r="AX1689">
        <v>0</v>
      </c>
      <c r="AY1689">
        <v>0</v>
      </c>
      <c r="AZ1689">
        <v>70</v>
      </c>
      <c r="BA1689">
        <v>0</v>
      </c>
      <c r="BB1689">
        <v>84</v>
      </c>
      <c r="BC1689">
        <v>0</v>
      </c>
      <c r="BD1689">
        <v>0</v>
      </c>
      <c r="BE1689">
        <v>0</v>
      </c>
    </row>
    <row r="1690" spans="1:57" x14ac:dyDescent="0.45">
      <c r="A1690" t="s">
        <v>4168</v>
      </c>
      <c r="B1690" t="s">
        <v>79</v>
      </c>
      <c r="C1690" t="s">
        <v>2674</v>
      </c>
      <c r="D1690" t="s">
        <v>81</v>
      </c>
      <c r="E1690" s="2" t="str">
        <f>HYPERLINK("capsilon://?command=openfolder&amp;siteaddress=FAM.docvelocity-na8.net&amp;folderid=FX8CB4270B-F44F-C2CE-7C82-12834537AF65","FX21016371")</f>
        <v>FX21016371</v>
      </c>
      <c r="F1690" t="s">
        <v>19</v>
      </c>
      <c r="G1690" t="s">
        <v>19</v>
      </c>
      <c r="H1690" t="s">
        <v>82</v>
      </c>
      <c r="I1690" t="s">
        <v>4169</v>
      </c>
      <c r="J1690">
        <v>66</v>
      </c>
      <c r="K1690" t="s">
        <v>84</v>
      </c>
      <c r="L1690" t="s">
        <v>85</v>
      </c>
      <c r="M1690" t="s">
        <v>86</v>
      </c>
      <c r="N1690">
        <v>3</v>
      </c>
      <c r="O1690" s="1">
        <v>44215.626284722224</v>
      </c>
      <c r="P1690" s="1">
        <v>44216.364317129628</v>
      </c>
      <c r="Q1690">
        <v>63214</v>
      </c>
      <c r="R1690">
        <v>552</v>
      </c>
      <c r="S1690" t="b">
        <v>0</v>
      </c>
      <c r="T1690" t="s">
        <v>87</v>
      </c>
      <c r="U1690" t="b">
        <v>0</v>
      </c>
      <c r="V1690" t="s">
        <v>242</v>
      </c>
      <c r="W1690" s="1">
        <v>44215.671064814815</v>
      </c>
      <c r="X1690">
        <v>323</v>
      </c>
      <c r="Y1690">
        <v>52</v>
      </c>
      <c r="Z1690">
        <v>0</v>
      </c>
      <c r="AA1690">
        <v>52</v>
      </c>
      <c r="AB1690">
        <v>0</v>
      </c>
      <c r="AC1690">
        <v>30</v>
      </c>
      <c r="AD1690">
        <v>14</v>
      </c>
      <c r="AE1690">
        <v>0</v>
      </c>
      <c r="AF1690">
        <v>0</v>
      </c>
      <c r="AG1690">
        <v>0</v>
      </c>
      <c r="AH1690" t="s">
        <v>128</v>
      </c>
      <c r="AI1690" s="1">
        <v>44215.756932870368</v>
      </c>
      <c r="AJ1690">
        <v>210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14</v>
      </c>
      <c r="AQ1690">
        <v>0</v>
      </c>
      <c r="AR1690">
        <v>0</v>
      </c>
      <c r="AS1690">
        <v>0</v>
      </c>
      <c r="AT1690" t="s">
        <v>90</v>
      </c>
      <c r="AU1690" s="1">
        <v>44216.364317129628</v>
      </c>
      <c r="AV1690">
        <v>19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14</v>
      </c>
      <c r="BC1690">
        <v>0</v>
      </c>
      <c r="BD1690">
        <v>0</v>
      </c>
      <c r="BE1690">
        <v>0</v>
      </c>
    </row>
    <row r="1691" spans="1:57" x14ac:dyDescent="0.45">
      <c r="A1691" t="s">
        <v>4170</v>
      </c>
      <c r="B1691" t="s">
        <v>79</v>
      </c>
      <c r="C1691" t="s">
        <v>4171</v>
      </c>
      <c r="D1691" t="s">
        <v>81</v>
      </c>
      <c r="E1691" s="2" t="str">
        <f>HYPERLINK("capsilon://?command=openfolder&amp;siteaddress=FAM.docvelocity-na8.net&amp;folderid=FX67CA3B7B-F496-D8F1-0610-E3C159334C24","FX21018771")</f>
        <v>FX21018771</v>
      </c>
      <c r="F1691" t="s">
        <v>19</v>
      </c>
      <c r="G1691" t="s">
        <v>19</v>
      </c>
      <c r="H1691" t="s">
        <v>82</v>
      </c>
      <c r="I1691" t="s">
        <v>4172</v>
      </c>
      <c r="J1691">
        <v>124</v>
      </c>
      <c r="K1691" t="s">
        <v>84</v>
      </c>
      <c r="L1691" t="s">
        <v>85</v>
      </c>
      <c r="M1691" t="s">
        <v>86</v>
      </c>
      <c r="N1691">
        <v>3</v>
      </c>
      <c r="O1691" s="1">
        <v>44215.627476851849</v>
      </c>
      <c r="P1691" s="1">
        <v>44216.365601851852</v>
      </c>
      <c r="Q1691">
        <v>56827</v>
      </c>
      <c r="R1691">
        <v>6947</v>
      </c>
      <c r="S1691" t="b">
        <v>0</v>
      </c>
      <c r="T1691" t="s">
        <v>87</v>
      </c>
      <c r="U1691" t="b">
        <v>0</v>
      </c>
      <c r="V1691" t="s">
        <v>171</v>
      </c>
      <c r="W1691" s="1">
        <v>44215.73537037037</v>
      </c>
      <c r="X1691">
        <v>5762</v>
      </c>
      <c r="Y1691">
        <v>145</v>
      </c>
      <c r="Z1691">
        <v>0</v>
      </c>
      <c r="AA1691">
        <v>145</v>
      </c>
      <c r="AB1691">
        <v>0</v>
      </c>
      <c r="AC1691">
        <v>81</v>
      </c>
      <c r="AD1691">
        <v>-21</v>
      </c>
      <c r="AE1691">
        <v>0</v>
      </c>
      <c r="AF1691">
        <v>0</v>
      </c>
      <c r="AG1691">
        <v>0</v>
      </c>
      <c r="AH1691" t="s">
        <v>267</v>
      </c>
      <c r="AI1691" s="1">
        <v>44215.769062500003</v>
      </c>
      <c r="AJ1691">
        <v>1075</v>
      </c>
      <c r="AK1691">
        <v>7</v>
      </c>
      <c r="AL1691">
        <v>0</v>
      </c>
      <c r="AM1691">
        <v>7</v>
      </c>
      <c r="AN1691">
        <v>0</v>
      </c>
      <c r="AO1691">
        <v>7</v>
      </c>
      <c r="AP1691">
        <v>-28</v>
      </c>
      <c r="AQ1691">
        <v>0</v>
      </c>
      <c r="AR1691">
        <v>0</v>
      </c>
      <c r="AS1691">
        <v>0</v>
      </c>
      <c r="AT1691" t="s">
        <v>90</v>
      </c>
      <c r="AU1691" s="1">
        <v>44216.365601851852</v>
      </c>
      <c r="AV1691">
        <v>110</v>
      </c>
      <c r="AW1691">
        <v>2</v>
      </c>
      <c r="AX1691">
        <v>0</v>
      </c>
      <c r="AY1691">
        <v>2</v>
      </c>
      <c r="AZ1691">
        <v>0</v>
      </c>
      <c r="BA1691">
        <v>2</v>
      </c>
      <c r="BB1691">
        <v>-30</v>
      </c>
      <c r="BC1691">
        <v>0</v>
      </c>
      <c r="BD1691">
        <v>0</v>
      </c>
      <c r="BE1691">
        <v>0</v>
      </c>
    </row>
    <row r="1692" spans="1:57" x14ac:dyDescent="0.45">
      <c r="A1692" t="s">
        <v>4173</v>
      </c>
      <c r="B1692" t="s">
        <v>79</v>
      </c>
      <c r="C1692" t="s">
        <v>2212</v>
      </c>
      <c r="D1692" t="s">
        <v>81</v>
      </c>
      <c r="E1692" s="2" t="str">
        <f>HYPERLINK("capsilon://?command=openfolder&amp;siteaddress=FAM.docvelocity-na8.net&amp;folderid=FX5772D456-1633-19DC-5E74-D9CB236B0758","FX201229434")</f>
        <v>FX201229434</v>
      </c>
      <c r="F1692" t="s">
        <v>19</v>
      </c>
      <c r="G1692" t="s">
        <v>19</v>
      </c>
      <c r="H1692" t="s">
        <v>82</v>
      </c>
      <c r="I1692" t="s">
        <v>4174</v>
      </c>
      <c r="J1692">
        <v>1021</v>
      </c>
      <c r="K1692" t="s">
        <v>84</v>
      </c>
      <c r="L1692" t="s">
        <v>85</v>
      </c>
      <c r="M1692" t="s">
        <v>86</v>
      </c>
      <c r="N1692">
        <v>3</v>
      </c>
      <c r="O1692" s="1">
        <v>44200.880856481483</v>
      </c>
      <c r="P1692" s="1">
        <v>44201.444386574076</v>
      </c>
      <c r="Q1692">
        <v>29816</v>
      </c>
      <c r="R1692">
        <v>18873</v>
      </c>
      <c r="S1692" t="b">
        <v>0</v>
      </c>
      <c r="T1692" t="s">
        <v>87</v>
      </c>
      <c r="U1692" t="b">
        <v>0</v>
      </c>
      <c r="V1692" t="s">
        <v>98</v>
      </c>
      <c r="W1692" s="1">
        <v>44201.365254629629</v>
      </c>
      <c r="X1692">
        <v>13664</v>
      </c>
      <c r="Y1692">
        <v>423</v>
      </c>
      <c r="Z1692">
        <v>0</v>
      </c>
      <c r="AA1692">
        <v>423</v>
      </c>
      <c r="AB1692">
        <v>651</v>
      </c>
      <c r="AC1692">
        <v>329</v>
      </c>
      <c r="AD1692">
        <v>598</v>
      </c>
      <c r="AE1692">
        <v>0</v>
      </c>
      <c r="AF1692">
        <v>0</v>
      </c>
      <c r="AG1692">
        <v>0</v>
      </c>
      <c r="AH1692" t="s">
        <v>89</v>
      </c>
      <c r="AI1692" s="1">
        <v>44201.432696759257</v>
      </c>
      <c r="AJ1692">
        <v>559</v>
      </c>
      <c r="AK1692">
        <v>1</v>
      </c>
      <c r="AL1692">
        <v>0</v>
      </c>
      <c r="AM1692">
        <v>1</v>
      </c>
      <c r="AN1692">
        <v>651</v>
      </c>
      <c r="AO1692">
        <v>0</v>
      </c>
      <c r="AP1692">
        <v>597</v>
      </c>
      <c r="AQ1692">
        <v>0</v>
      </c>
      <c r="AR1692">
        <v>0</v>
      </c>
      <c r="AS1692">
        <v>0</v>
      </c>
      <c r="AT1692" t="s">
        <v>549</v>
      </c>
      <c r="AU1692" s="1">
        <v>44201.444386574076</v>
      </c>
      <c r="AV1692">
        <v>266</v>
      </c>
      <c r="AW1692">
        <v>0</v>
      </c>
      <c r="AX1692">
        <v>0</v>
      </c>
      <c r="AY1692">
        <v>0</v>
      </c>
      <c r="AZ1692">
        <v>651</v>
      </c>
      <c r="BA1692">
        <v>0</v>
      </c>
      <c r="BB1692">
        <v>597</v>
      </c>
      <c r="BC1692">
        <v>0</v>
      </c>
      <c r="BD1692">
        <v>0</v>
      </c>
      <c r="BE1692">
        <v>0</v>
      </c>
    </row>
    <row r="1693" spans="1:57" x14ac:dyDescent="0.45">
      <c r="A1693" t="s">
        <v>4175</v>
      </c>
      <c r="B1693" t="s">
        <v>79</v>
      </c>
      <c r="C1693" t="s">
        <v>4176</v>
      </c>
      <c r="D1693" t="s">
        <v>81</v>
      </c>
      <c r="E1693" s="2" t="str">
        <f>HYPERLINK("capsilon://?command=openfolder&amp;siteaddress=FAM.docvelocity-na8.net&amp;folderid=FXF7E4944E-7F68-4F41-250A-944E4A6463C2","FX21017045")</f>
        <v>FX21017045</v>
      </c>
      <c r="F1693" t="s">
        <v>19</v>
      </c>
      <c r="G1693" t="s">
        <v>19</v>
      </c>
      <c r="H1693" t="s">
        <v>82</v>
      </c>
      <c r="I1693" t="s">
        <v>4177</v>
      </c>
      <c r="J1693">
        <v>354</v>
      </c>
      <c r="K1693" t="s">
        <v>84</v>
      </c>
      <c r="L1693" t="s">
        <v>85</v>
      </c>
      <c r="M1693" t="s">
        <v>86</v>
      </c>
      <c r="N1693">
        <v>3</v>
      </c>
      <c r="O1693" s="1">
        <v>44215.634687500002</v>
      </c>
      <c r="P1693" s="1">
        <v>44216.365972222222</v>
      </c>
      <c r="Q1693">
        <v>60212</v>
      </c>
      <c r="R1693">
        <v>2971</v>
      </c>
      <c r="S1693" t="b">
        <v>0</v>
      </c>
      <c r="T1693" t="s">
        <v>87</v>
      </c>
      <c r="U1693" t="b">
        <v>0</v>
      </c>
      <c r="V1693" t="s">
        <v>142</v>
      </c>
      <c r="W1693" s="1">
        <v>44215.690891203703</v>
      </c>
      <c r="X1693">
        <v>1728</v>
      </c>
      <c r="Y1693">
        <v>290</v>
      </c>
      <c r="Z1693">
        <v>0</v>
      </c>
      <c r="AA1693">
        <v>290</v>
      </c>
      <c r="AB1693">
        <v>37</v>
      </c>
      <c r="AC1693">
        <v>131</v>
      </c>
      <c r="AD1693">
        <v>64</v>
      </c>
      <c r="AE1693">
        <v>0</v>
      </c>
      <c r="AF1693">
        <v>0</v>
      </c>
      <c r="AG1693">
        <v>0</v>
      </c>
      <c r="AH1693" t="s">
        <v>128</v>
      </c>
      <c r="AI1693" s="1">
        <v>44215.770972222221</v>
      </c>
      <c r="AJ1693">
        <v>1212</v>
      </c>
      <c r="AK1693">
        <v>1</v>
      </c>
      <c r="AL1693">
        <v>0</v>
      </c>
      <c r="AM1693">
        <v>1</v>
      </c>
      <c r="AN1693">
        <v>37</v>
      </c>
      <c r="AO1693">
        <v>1</v>
      </c>
      <c r="AP1693">
        <v>63</v>
      </c>
      <c r="AQ1693">
        <v>0</v>
      </c>
      <c r="AR1693">
        <v>0</v>
      </c>
      <c r="AS1693">
        <v>0</v>
      </c>
      <c r="AT1693" t="s">
        <v>90</v>
      </c>
      <c r="AU1693" s="1">
        <v>44216.365972222222</v>
      </c>
      <c r="AV1693">
        <v>31</v>
      </c>
      <c r="AW1693">
        <v>0</v>
      </c>
      <c r="AX1693">
        <v>0</v>
      </c>
      <c r="AY1693">
        <v>0</v>
      </c>
      <c r="AZ1693">
        <v>37</v>
      </c>
      <c r="BA1693">
        <v>0</v>
      </c>
      <c r="BB1693">
        <v>63</v>
      </c>
      <c r="BC1693">
        <v>0</v>
      </c>
      <c r="BD1693">
        <v>0</v>
      </c>
      <c r="BE1693">
        <v>0</v>
      </c>
    </row>
    <row r="1694" spans="1:57" x14ac:dyDescent="0.45">
      <c r="A1694" t="s">
        <v>4178</v>
      </c>
      <c r="B1694" t="s">
        <v>79</v>
      </c>
      <c r="C1694" t="s">
        <v>4136</v>
      </c>
      <c r="D1694" t="s">
        <v>81</v>
      </c>
      <c r="E1694" s="2" t="str">
        <f>HYPERLINK("capsilon://?command=openfolder&amp;siteaddress=FAM.docvelocity-na8.net&amp;folderid=FX1EBB9D67-9D21-3D6A-51C3-D7E16EA17366","FX21016779")</f>
        <v>FX21016779</v>
      </c>
      <c r="F1694" t="s">
        <v>19</v>
      </c>
      <c r="G1694" t="s">
        <v>19</v>
      </c>
      <c r="H1694" t="s">
        <v>82</v>
      </c>
      <c r="I1694" t="s">
        <v>4137</v>
      </c>
      <c r="J1694">
        <v>133</v>
      </c>
      <c r="K1694" t="s">
        <v>84</v>
      </c>
      <c r="L1694" t="s">
        <v>85</v>
      </c>
      <c r="M1694" t="s">
        <v>86</v>
      </c>
      <c r="N1694">
        <v>3</v>
      </c>
      <c r="O1694" s="1">
        <v>44215.634733796294</v>
      </c>
      <c r="P1694" s="1">
        <v>44215.704942129632</v>
      </c>
      <c r="Q1694">
        <v>386</v>
      </c>
      <c r="R1694">
        <v>5680</v>
      </c>
      <c r="S1694" t="b">
        <v>0</v>
      </c>
      <c r="T1694" t="s">
        <v>87</v>
      </c>
      <c r="U1694" t="b">
        <v>1</v>
      </c>
      <c r="V1694" t="s">
        <v>179</v>
      </c>
      <c r="W1694" s="1">
        <v>44215.684548611112</v>
      </c>
      <c r="X1694">
        <v>4216</v>
      </c>
      <c r="Y1694">
        <v>133</v>
      </c>
      <c r="Z1694">
        <v>0</v>
      </c>
      <c r="AA1694">
        <v>133</v>
      </c>
      <c r="AB1694">
        <v>0</v>
      </c>
      <c r="AC1694">
        <v>94</v>
      </c>
      <c r="AD1694">
        <v>0</v>
      </c>
      <c r="AE1694">
        <v>0</v>
      </c>
      <c r="AF1694">
        <v>0</v>
      </c>
      <c r="AG1694">
        <v>0</v>
      </c>
      <c r="AH1694" t="s">
        <v>267</v>
      </c>
      <c r="AI1694" s="1">
        <v>44215.699895833335</v>
      </c>
      <c r="AJ1694">
        <v>768</v>
      </c>
      <c r="AK1694">
        <v>3</v>
      </c>
      <c r="AL1694">
        <v>0</v>
      </c>
      <c r="AM1694">
        <v>3</v>
      </c>
      <c r="AN1694">
        <v>0</v>
      </c>
      <c r="AO1694">
        <v>3</v>
      </c>
      <c r="AP1694">
        <v>-3</v>
      </c>
      <c r="AQ1694">
        <v>0</v>
      </c>
      <c r="AR1694">
        <v>0</v>
      </c>
      <c r="AS1694">
        <v>0</v>
      </c>
      <c r="AT1694" t="s">
        <v>90</v>
      </c>
      <c r="AU1694" s="1">
        <v>44215.704942129632</v>
      </c>
      <c r="AV1694">
        <v>244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-3</v>
      </c>
      <c r="BC1694">
        <v>0</v>
      </c>
      <c r="BD1694">
        <v>0</v>
      </c>
      <c r="BE1694">
        <v>0</v>
      </c>
    </row>
    <row r="1695" spans="1:57" x14ac:dyDescent="0.45">
      <c r="A1695" t="s">
        <v>4179</v>
      </c>
      <c r="B1695" t="s">
        <v>79</v>
      </c>
      <c r="C1695" t="s">
        <v>4146</v>
      </c>
      <c r="D1695" t="s">
        <v>81</v>
      </c>
      <c r="E1695" s="2" t="str">
        <f>HYPERLINK("capsilon://?command=openfolder&amp;siteaddress=FAM.docvelocity-na8.net&amp;folderid=FX192981EC-DA88-149B-8D49-4D8AC4B99488","FX20121015")</f>
        <v>FX20121015</v>
      </c>
      <c r="F1695" t="s">
        <v>19</v>
      </c>
      <c r="G1695" t="s">
        <v>19</v>
      </c>
      <c r="H1695" t="s">
        <v>82</v>
      </c>
      <c r="I1695" t="s">
        <v>4147</v>
      </c>
      <c r="J1695">
        <v>38</v>
      </c>
      <c r="K1695" t="s">
        <v>84</v>
      </c>
      <c r="L1695" t="s">
        <v>85</v>
      </c>
      <c r="M1695" t="s">
        <v>86</v>
      </c>
      <c r="N1695">
        <v>3</v>
      </c>
      <c r="O1695" s="1">
        <v>44215.637465277781</v>
      </c>
      <c r="P1695" s="1">
        <v>44215.652581018519</v>
      </c>
      <c r="Q1695">
        <v>715</v>
      </c>
      <c r="R1695">
        <v>591</v>
      </c>
      <c r="S1695" t="b">
        <v>0</v>
      </c>
      <c r="T1695" t="s">
        <v>87</v>
      </c>
      <c r="U1695" t="b">
        <v>1</v>
      </c>
      <c r="V1695" t="s">
        <v>242</v>
      </c>
      <c r="W1695" s="1">
        <v>44215.642291666663</v>
      </c>
      <c r="X1695">
        <v>225</v>
      </c>
      <c r="Y1695">
        <v>37</v>
      </c>
      <c r="Z1695">
        <v>0</v>
      </c>
      <c r="AA1695">
        <v>37</v>
      </c>
      <c r="AB1695">
        <v>0</v>
      </c>
      <c r="AC1695">
        <v>32</v>
      </c>
      <c r="AD1695">
        <v>1</v>
      </c>
      <c r="AE1695">
        <v>0</v>
      </c>
      <c r="AF1695">
        <v>0</v>
      </c>
      <c r="AG1695">
        <v>0</v>
      </c>
      <c r="AH1695" t="s">
        <v>267</v>
      </c>
      <c r="AI1695" s="1">
        <v>44215.649861111109</v>
      </c>
      <c r="AJ1695">
        <v>360</v>
      </c>
      <c r="AK1695">
        <v>1</v>
      </c>
      <c r="AL1695">
        <v>0</v>
      </c>
      <c r="AM1695">
        <v>1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 t="s">
        <v>90</v>
      </c>
      <c r="AU1695" s="1">
        <v>44215.652581018519</v>
      </c>
      <c r="AV1695">
        <v>6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</row>
    <row r="1696" spans="1:57" x14ac:dyDescent="0.45">
      <c r="A1696" t="s">
        <v>4180</v>
      </c>
      <c r="B1696" t="s">
        <v>79</v>
      </c>
      <c r="C1696" t="s">
        <v>528</v>
      </c>
      <c r="D1696" t="s">
        <v>81</v>
      </c>
      <c r="E1696" s="2" t="str">
        <f>HYPERLINK("capsilon://?command=openfolder&amp;siteaddress=FAM.docvelocity-na8.net&amp;folderid=FX3BE8FBE4-4712-474B-9A2B-7BE20AB7D001","FX20121125")</f>
        <v>FX20121125</v>
      </c>
      <c r="F1696" t="s">
        <v>19</v>
      </c>
      <c r="G1696" t="s">
        <v>19</v>
      </c>
      <c r="H1696" t="s">
        <v>82</v>
      </c>
      <c r="I1696" t="s">
        <v>4181</v>
      </c>
      <c r="J1696">
        <v>66</v>
      </c>
      <c r="K1696" t="s">
        <v>84</v>
      </c>
      <c r="L1696" t="s">
        <v>85</v>
      </c>
      <c r="M1696" t="s">
        <v>86</v>
      </c>
      <c r="N1696">
        <v>3</v>
      </c>
      <c r="O1696" s="1">
        <v>44215.638460648152</v>
      </c>
      <c r="P1696" s="1">
        <v>44216.366493055553</v>
      </c>
      <c r="Q1696">
        <v>62244</v>
      </c>
      <c r="R1696">
        <v>658</v>
      </c>
      <c r="S1696" t="b">
        <v>0</v>
      </c>
      <c r="T1696" t="s">
        <v>87</v>
      </c>
      <c r="U1696" t="b">
        <v>0</v>
      </c>
      <c r="V1696" t="s">
        <v>242</v>
      </c>
      <c r="W1696" s="1">
        <v>44215.676087962966</v>
      </c>
      <c r="X1696">
        <v>434</v>
      </c>
      <c r="Y1696">
        <v>52</v>
      </c>
      <c r="Z1696">
        <v>0</v>
      </c>
      <c r="AA1696">
        <v>52</v>
      </c>
      <c r="AB1696">
        <v>0</v>
      </c>
      <c r="AC1696">
        <v>42</v>
      </c>
      <c r="AD1696">
        <v>14</v>
      </c>
      <c r="AE1696">
        <v>0</v>
      </c>
      <c r="AF1696">
        <v>0</v>
      </c>
      <c r="AG1696">
        <v>0</v>
      </c>
      <c r="AH1696" t="s">
        <v>128</v>
      </c>
      <c r="AI1696" s="1">
        <v>44215.773055555554</v>
      </c>
      <c r="AJ1696">
        <v>179</v>
      </c>
      <c r="AK1696">
        <v>2</v>
      </c>
      <c r="AL1696">
        <v>0</v>
      </c>
      <c r="AM1696">
        <v>2</v>
      </c>
      <c r="AN1696">
        <v>0</v>
      </c>
      <c r="AO1696">
        <v>2</v>
      </c>
      <c r="AP1696">
        <v>12</v>
      </c>
      <c r="AQ1696">
        <v>0</v>
      </c>
      <c r="AR1696">
        <v>0</v>
      </c>
      <c r="AS1696">
        <v>0</v>
      </c>
      <c r="AT1696" t="s">
        <v>90</v>
      </c>
      <c r="AU1696" s="1">
        <v>44216.366493055553</v>
      </c>
      <c r="AV1696">
        <v>45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12</v>
      </c>
      <c r="BC1696">
        <v>0</v>
      </c>
      <c r="BD1696">
        <v>0</v>
      </c>
      <c r="BE1696">
        <v>0</v>
      </c>
    </row>
    <row r="1697" spans="1:57" x14ac:dyDescent="0.45">
      <c r="A1697" t="s">
        <v>4182</v>
      </c>
      <c r="B1697" t="s">
        <v>79</v>
      </c>
      <c r="C1697" t="s">
        <v>1928</v>
      </c>
      <c r="D1697" t="s">
        <v>81</v>
      </c>
      <c r="E1697" s="2" t="str">
        <f>HYPERLINK("capsilon://?command=openfolder&amp;siteaddress=FAM.docvelocity-na8.net&amp;folderid=FXD5402F74-9441-9133-9B1D-15E6F3F8C529","FX201228122")</f>
        <v>FX201228122</v>
      </c>
      <c r="F1697" t="s">
        <v>19</v>
      </c>
      <c r="G1697" t="s">
        <v>19</v>
      </c>
      <c r="H1697" t="s">
        <v>82</v>
      </c>
      <c r="I1697" t="s">
        <v>4183</v>
      </c>
      <c r="J1697">
        <v>66</v>
      </c>
      <c r="K1697" t="s">
        <v>84</v>
      </c>
      <c r="L1697" t="s">
        <v>85</v>
      </c>
      <c r="M1697" t="s">
        <v>86</v>
      </c>
      <c r="N1697">
        <v>3</v>
      </c>
      <c r="O1697" s="1">
        <v>44215.639594907407</v>
      </c>
      <c r="P1697" s="1">
        <v>44216.366689814815</v>
      </c>
      <c r="Q1697">
        <v>60555</v>
      </c>
      <c r="R1697">
        <v>2266</v>
      </c>
      <c r="S1697" t="b">
        <v>0</v>
      </c>
      <c r="T1697" t="s">
        <v>87</v>
      </c>
      <c r="U1697" t="b">
        <v>0</v>
      </c>
      <c r="V1697" t="s">
        <v>146</v>
      </c>
      <c r="W1697" s="1">
        <v>44215.69604166667</v>
      </c>
      <c r="X1697">
        <v>1981</v>
      </c>
      <c r="Y1697">
        <v>52</v>
      </c>
      <c r="Z1697">
        <v>0</v>
      </c>
      <c r="AA1697">
        <v>52</v>
      </c>
      <c r="AB1697">
        <v>0</v>
      </c>
      <c r="AC1697">
        <v>28</v>
      </c>
      <c r="AD1697">
        <v>14</v>
      </c>
      <c r="AE1697">
        <v>0</v>
      </c>
      <c r="AF1697">
        <v>0</v>
      </c>
      <c r="AG1697">
        <v>0</v>
      </c>
      <c r="AH1697" t="s">
        <v>267</v>
      </c>
      <c r="AI1697" s="1">
        <v>44215.775972222225</v>
      </c>
      <c r="AJ1697">
        <v>261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13</v>
      </c>
      <c r="AQ1697">
        <v>0</v>
      </c>
      <c r="AR1697">
        <v>0</v>
      </c>
      <c r="AS1697">
        <v>0</v>
      </c>
      <c r="AT1697" t="s">
        <v>90</v>
      </c>
      <c r="AU1697" s="1">
        <v>44216.366689814815</v>
      </c>
      <c r="AV1697">
        <v>16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13</v>
      </c>
      <c r="BC1697">
        <v>0</v>
      </c>
      <c r="BD1697">
        <v>0</v>
      </c>
      <c r="BE1697">
        <v>0</v>
      </c>
    </row>
    <row r="1698" spans="1:57" x14ac:dyDescent="0.45">
      <c r="A1698" t="s">
        <v>4184</v>
      </c>
      <c r="B1698" t="s">
        <v>79</v>
      </c>
      <c r="C1698" t="s">
        <v>4185</v>
      </c>
      <c r="D1698" t="s">
        <v>81</v>
      </c>
      <c r="E1698" s="2" t="str">
        <f>HYPERLINK("capsilon://?command=openfolder&amp;siteaddress=FAM.docvelocity-na8.net&amp;folderid=FX400084BC-C394-5ECC-1778-7A19EBAE3862","FX20128443")</f>
        <v>FX20128443</v>
      </c>
      <c r="F1698" t="s">
        <v>19</v>
      </c>
      <c r="G1698" t="s">
        <v>19</v>
      </c>
      <c r="H1698" t="s">
        <v>82</v>
      </c>
      <c r="I1698" t="s">
        <v>4186</v>
      </c>
      <c r="J1698">
        <v>80</v>
      </c>
      <c r="K1698" t="s">
        <v>84</v>
      </c>
      <c r="L1698" t="s">
        <v>85</v>
      </c>
      <c r="M1698" t="s">
        <v>86</v>
      </c>
      <c r="N1698">
        <v>3</v>
      </c>
      <c r="O1698" s="1">
        <v>44215.646944444445</v>
      </c>
      <c r="P1698" s="1">
        <v>44216.366956018515</v>
      </c>
      <c r="Q1698">
        <v>61770</v>
      </c>
      <c r="R1698">
        <v>439</v>
      </c>
      <c r="S1698" t="b">
        <v>0</v>
      </c>
      <c r="T1698" t="s">
        <v>87</v>
      </c>
      <c r="U1698" t="b">
        <v>0</v>
      </c>
      <c r="V1698" t="s">
        <v>242</v>
      </c>
      <c r="W1698" s="1">
        <v>44215.677754629629</v>
      </c>
      <c r="X1698">
        <v>143</v>
      </c>
      <c r="Y1698">
        <v>72</v>
      </c>
      <c r="Z1698">
        <v>0</v>
      </c>
      <c r="AA1698">
        <v>72</v>
      </c>
      <c r="AB1698">
        <v>0</v>
      </c>
      <c r="AC1698">
        <v>4</v>
      </c>
      <c r="AD1698">
        <v>8</v>
      </c>
      <c r="AE1698">
        <v>0</v>
      </c>
      <c r="AF1698">
        <v>0</v>
      </c>
      <c r="AG1698">
        <v>0</v>
      </c>
      <c r="AH1698" t="s">
        <v>128</v>
      </c>
      <c r="AI1698" s="1">
        <v>44215.776273148149</v>
      </c>
      <c r="AJ1698">
        <v>220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8</v>
      </c>
      <c r="AQ1698">
        <v>0</v>
      </c>
      <c r="AR1698">
        <v>0</v>
      </c>
      <c r="AS1698">
        <v>0</v>
      </c>
      <c r="AT1698" t="s">
        <v>90</v>
      </c>
      <c r="AU1698" s="1">
        <v>44216.366956018515</v>
      </c>
      <c r="AV1698">
        <v>22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8</v>
      </c>
      <c r="BC1698">
        <v>0</v>
      </c>
      <c r="BD1698">
        <v>0</v>
      </c>
      <c r="BE1698">
        <v>0</v>
      </c>
    </row>
    <row r="1699" spans="1:57" hidden="1" x14ac:dyDescent="0.45">
      <c r="A1699" t="s">
        <v>4187</v>
      </c>
      <c r="B1699" t="s">
        <v>79</v>
      </c>
      <c r="C1699" t="s">
        <v>528</v>
      </c>
      <c r="D1699" t="s">
        <v>81</v>
      </c>
      <c r="E1699" s="2" t="str">
        <f>HYPERLINK("capsilon://?command=openfolder&amp;siteaddress=FAM.docvelocity-na8.net&amp;folderid=FX3BE8FBE4-4712-474B-9A2B-7BE20AB7D001","FX20121125")</f>
        <v>FX20121125</v>
      </c>
      <c r="F1699" t="s">
        <v>19</v>
      </c>
      <c r="G1699" t="s">
        <v>19</v>
      </c>
      <c r="H1699" t="s">
        <v>82</v>
      </c>
      <c r="I1699" t="s">
        <v>4188</v>
      </c>
      <c r="J1699">
        <v>66</v>
      </c>
      <c r="K1699" t="s">
        <v>84</v>
      </c>
      <c r="L1699" t="s">
        <v>85</v>
      </c>
      <c r="M1699" t="s">
        <v>86</v>
      </c>
      <c r="N1699">
        <v>3</v>
      </c>
      <c r="O1699" s="1">
        <v>44215.648333333331</v>
      </c>
      <c r="P1699" s="1">
        <v>44216.367002314815</v>
      </c>
      <c r="Q1699">
        <v>61906</v>
      </c>
      <c r="R1699">
        <v>187</v>
      </c>
      <c r="S1699" t="b">
        <v>0</v>
      </c>
      <c r="T1699" t="s">
        <v>87</v>
      </c>
      <c r="U1699" t="b">
        <v>0</v>
      </c>
      <c r="V1699" t="s">
        <v>242</v>
      </c>
      <c r="W1699" s="1">
        <v>44215.684201388889</v>
      </c>
      <c r="X1699">
        <v>84</v>
      </c>
      <c r="Y1699">
        <v>0</v>
      </c>
      <c r="Z1699">
        <v>0</v>
      </c>
      <c r="AA1699">
        <v>0</v>
      </c>
      <c r="AB1699">
        <v>52</v>
      </c>
      <c r="AC1699">
        <v>0</v>
      </c>
      <c r="AD1699">
        <v>66</v>
      </c>
      <c r="AE1699">
        <v>0</v>
      </c>
      <c r="AF1699">
        <v>0</v>
      </c>
      <c r="AG1699">
        <v>0</v>
      </c>
      <c r="AH1699" t="s">
        <v>267</v>
      </c>
      <c r="AI1699" s="1">
        <v>44215.777013888888</v>
      </c>
      <c r="AJ1699">
        <v>89</v>
      </c>
      <c r="AK1699">
        <v>0</v>
      </c>
      <c r="AL1699">
        <v>0</v>
      </c>
      <c r="AM1699">
        <v>0</v>
      </c>
      <c r="AN1699">
        <v>52</v>
      </c>
      <c r="AO1699">
        <v>0</v>
      </c>
      <c r="AP1699">
        <v>66</v>
      </c>
      <c r="AQ1699">
        <v>0</v>
      </c>
      <c r="AR1699">
        <v>0</v>
      </c>
      <c r="AS1699">
        <v>0</v>
      </c>
      <c r="AT1699" t="s">
        <v>90</v>
      </c>
      <c r="AU1699" s="1">
        <v>44216.367002314815</v>
      </c>
      <c r="AV1699">
        <v>3</v>
      </c>
      <c r="AW1699">
        <v>0</v>
      </c>
      <c r="AX1699">
        <v>0</v>
      </c>
      <c r="AY1699">
        <v>0</v>
      </c>
      <c r="AZ1699">
        <v>52</v>
      </c>
      <c r="BA1699">
        <v>0</v>
      </c>
      <c r="BB1699">
        <v>66</v>
      </c>
      <c r="BC1699">
        <v>0</v>
      </c>
      <c r="BD1699">
        <v>0</v>
      </c>
      <c r="BE1699">
        <v>0</v>
      </c>
    </row>
    <row r="1700" spans="1:57" x14ac:dyDescent="0.45">
      <c r="A1700" t="s">
        <v>4189</v>
      </c>
      <c r="B1700" t="s">
        <v>79</v>
      </c>
      <c r="C1700" t="s">
        <v>528</v>
      </c>
      <c r="D1700" t="s">
        <v>81</v>
      </c>
      <c r="E1700" s="2" t="str">
        <f>HYPERLINK("capsilon://?command=openfolder&amp;siteaddress=FAM.docvelocity-na8.net&amp;folderid=FX3BE8FBE4-4712-474B-9A2B-7BE20AB7D001","FX20121125")</f>
        <v>FX20121125</v>
      </c>
      <c r="F1700" t="s">
        <v>19</v>
      </c>
      <c r="G1700" t="s">
        <v>19</v>
      </c>
      <c r="H1700" t="s">
        <v>82</v>
      </c>
      <c r="I1700" t="s">
        <v>4190</v>
      </c>
      <c r="J1700">
        <v>66</v>
      </c>
      <c r="K1700" t="s">
        <v>84</v>
      </c>
      <c r="L1700" t="s">
        <v>85</v>
      </c>
      <c r="M1700" t="s">
        <v>86</v>
      </c>
      <c r="N1700">
        <v>3</v>
      </c>
      <c r="O1700" s="1">
        <v>44215.648495370369</v>
      </c>
      <c r="P1700" s="1">
        <v>44216.367534722223</v>
      </c>
      <c r="Q1700">
        <v>61455</v>
      </c>
      <c r="R1700">
        <v>670</v>
      </c>
      <c r="S1700" t="b">
        <v>0</v>
      </c>
      <c r="T1700" t="s">
        <v>87</v>
      </c>
      <c r="U1700" t="b">
        <v>0</v>
      </c>
      <c r="V1700" t="s">
        <v>242</v>
      </c>
      <c r="W1700" s="1">
        <v>44215.683217592596</v>
      </c>
      <c r="X1700">
        <v>472</v>
      </c>
      <c r="Y1700">
        <v>52</v>
      </c>
      <c r="Z1700">
        <v>0</v>
      </c>
      <c r="AA1700">
        <v>52</v>
      </c>
      <c r="AB1700">
        <v>0</v>
      </c>
      <c r="AC1700">
        <v>44</v>
      </c>
      <c r="AD1700">
        <v>14</v>
      </c>
      <c r="AE1700">
        <v>0</v>
      </c>
      <c r="AF1700">
        <v>0</v>
      </c>
      <c r="AG1700">
        <v>0</v>
      </c>
      <c r="AH1700" t="s">
        <v>128</v>
      </c>
      <c r="AI1700" s="1">
        <v>44215.778055555558</v>
      </c>
      <c r="AJ1700">
        <v>153</v>
      </c>
      <c r="AK1700">
        <v>2</v>
      </c>
      <c r="AL1700">
        <v>0</v>
      </c>
      <c r="AM1700">
        <v>2</v>
      </c>
      <c r="AN1700">
        <v>0</v>
      </c>
      <c r="AO1700">
        <v>2</v>
      </c>
      <c r="AP1700">
        <v>12</v>
      </c>
      <c r="AQ1700">
        <v>0</v>
      </c>
      <c r="AR1700">
        <v>0</v>
      </c>
      <c r="AS1700">
        <v>0</v>
      </c>
      <c r="AT1700" t="s">
        <v>90</v>
      </c>
      <c r="AU1700" s="1">
        <v>44216.367534722223</v>
      </c>
      <c r="AV1700">
        <v>45</v>
      </c>
      <c r="AW1700">
        <v>1</v>
      </c>
      <c r="AX1700">
        <v>0</v>
      </c>
      <c r="AY1700">
        <v>1</v>
      </c>
      <c r="AZ1700">
        <v>0</v>
      </c>
      <c r="BA1700">
        <v>1</v>
      </c>
      <c r="BB1700">
        <v>11</v>
      </c>
      <c r="BC1700">
        <v>0</v>
      </c>
      <c r="BD1700">
        <v>0</v>
      </c>
      <c r="BE1700">
        <v>0</v>
      </c>
    </row>
    <row r="1701" spans="1:57" x14ac:dyDescent="0.45">
      <c r="A1701" t="s">
        <v>4191</v>
      </c>
      <c r="B1701" t="s">
        <v>79</v>
      </c>
      <c r="C1701" t="s">
        <v>3350</v>
      </c>
      <c r="D1701" t="s">
        <v>81</v>
      </c>
      <c r="E1701" s="2" t="str">
        <f>HYPERLINK("capsilon://?command=openfolder&amp;siteaddress=FAM.docvelocity-na8.net&amp;folderid=FX1D888946-AC8D-5980-2EC2-0D029BE0E1BC","FX21017894")</f>
        <v>FX21017894</v>
      </c>
      <c r="F1701" t="s">
        <v>19</v>
      </c>
      <c r="G1701" t="s">
        <v>19</v>
      </c>
      <c r="H1701" t="s">
        <v>82</v>
      </c>
      <c r="I1701" t="s">
        <v>4153</v>
      </c>
      <c r="J1701">
        <v>26</v>
      </c>
      <c r="K1701" t="s">
        <v>84</v>
      </c>
      <c r="L1701" t="s">
        <v>85</v>
      </c>
      <c r="M1701" t="s">
        <v>81</v>
      </c>
      <c r="N1701">
        <v>3</v>
      </c>
      <c r="O1701" s="1">
        <v>44215.649837962963</v>
      </c>
      <c r="P1701" s="1">
        <v>44216.405138888891</v>
      </c>
      <c r="Q1701">
        <v>64737</v>
      </c>
      <c r="R1701">
        <v>521</v>
      </c>
      <c r="S1701" t="b">
        <v>0</v>
      </c>
      <c r="T1701" t="s">
        <v>90</v>
      </c>
      <c r="U1701" t="b">
        <v>1</v>
      </c>
      <c r="V1701" t="s">
        <v>242</v>
      </c>
      <c r="W1701" s="1">
        <v>44215.654745370368</v>
      </c>
      <c r="X1701">
        <v>399</v>
      </c>
      <c r="Y1701">
        <v>21</v>
      </c>
      <c r="Z1701">
        <v>0</v>
      </c>
      <c r="AA1701">
        <v>21</v>
      </c>
      <c r="AB1701">
        <v>0</v>
      </c>
      <c r="AC1701">
        <v>20</v>
      </c>
      <c r="AD1701">
        <v>5</v>
      </c>
      <c r="AE1701">
        <v>0</v>
      </c>
      <c r="AF1701">
        <v>0</v>
      </c>
      <c r="AG1701">
        <v>0</v>
      </c>
      <c r="AH1701" t="s">
        <v>128</v>
      </c>
      <c r="AI1701" s="1">
        <v>44215.65861111111</v>
      </c>
      <c r="AJ1701">
        <v>108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5</v>
      </c>
      <c r="AQ1701">
        <v>0</v>
      </c>
      <c r="AR1701">
        <v>0</v>
      </c>
      <c r="AS1701">
        <v>0</v>
      </c>
      <c r="AT1701" t="s">
        <v>90</v>
      </c>
      <c r="AU1701" s="1">
        <v>44216.405138888891</v>
      </c>
      <c r="AV1701">
        <v>6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5</v>
      </c>
      <c r="BC1701">
        <v>0</v>
      </c>
      <c r="BD1701">
        <v>0</v>
      </c>
      <c r="BE1701">
        <v>0</v>
      </c>
    </row>
    <row r="1702" spans="1:57" x14ac:dyDescent="0.45">
      <c r="A1702" t="s">
        <v>4192</v>
      </c>
      <c r="B1702" t="s">
        <v>79</v>
      </c>
      <c r="C1702" t="s">
        <v>4193</v>
      </c>
      <c r="D1702" t="s">
        <v>81</v>
      </c>
      <c r="E1702" s="2" t="str">
        <f>HYPERLINK("capsilon://?command=openfolder&amp;siteaddress=FAM.docvelocity-na8.net&amp;folderid=FX4AB9CC12-F228-5427-8370-77978128F3BB","FX210110214")</f>
        <v>FX210110214</v>
      </c>
      <c r="F1702" t="s">
        <v>19</v>
      </c>
      <c r="G1702" t="s">
        <v>19</v>
      </c>
      <c r="H1702" t="s">
        <v>82</v>
      </c>
      <c r="I1702" t="s">
        <v>4194</v>
      </c>
      <c r="J1702">
        <v>334</v>
      </c>
      <c r="K1702" t="s">
        <v>84</v>
      </c>
      <c r="L1702" t="s">
        <v>85</v>
      </c>
      <c r="M1702" t="s">
        <v>86</v>
      </c>
      <c r="N1702">
        <v>3</v>
      </c>
      <c r="O1702" s="1">
        <v>44215.650578703702</v>
      </c>
      <c r="P1702" s="1">
        <v>44216.368159722224</v>
      </c>
      <c r="Q1702">
        <v>55858</v>
      </c>
      <c r="R1702">
        <v>6141</v>
      </c>
      <c r="S1702" t="b">
        <v>0</v>
      </c>
      <c r="T1702" t="s">
        <v>87</v>
      </c>
      <c r="U1702" t="b">
        <v>0</v>
      </c>
      <c r="V1702" t="s">
        <v>343</v>
      </c>
      <c r="W1702" s="1">
        <v>44215.737303240741</v>
      </c>
      <c r="X1702">
        <v>5137</v>
      </c>
      <c r="Y1702">
        <v>264</v>
      </c>
      <c r="Z1702">
        <v>0</v>
      </c>
      <c r="AA1702">
        <v>264</v>
      </c>
      <c r="AB1702">
        <v>37</v>
      </c>
      <c r="AC1702">
        <v>138</v>
      </c>
      <c r="AD1702">
        <v>70</v>
      </c>
      <c r="AE1702">
        <v>0</v>
      </c>
      <c r="AF1702">
        <v>0</v>
      </c>
      <c r="AG1702">
        <v>0</v>
      </c>
      <c r="AH1702" t="s">
        <v>267</v>
      </c>
      <c r="AI1702" s="1">
        <v>44215.788032407407</v>
      </c>
      <c r="AJ1702">
        <v>951</v>
      </c>
      <c r="AK1702">
        <v>2</v>
      </c>
      <c r="AL1702">
        <v>0</v>
      </c>
      <c r="AM1702">
        <v>2</v>
      </c>
      <c r="AN1702">
        <v>37</v>
      </c>
      <c r="AO1702">
        <v>2</v>
      </c>
      <c r="AP1702">
        <v>68</v>
      </c>
      <c r="AQ1702">
        <v>0</v>
      </c>
      <c r="AR1702">
        <v>0</v>
      </c>
      <c r="AS1702">
        <v>0</v>
      </c>
      <c r="AT1702" t="s">
        <v>90</v>
      </c>
      <c r="AU1702" s="1">
        <v>44216.368159722224</v>
      </c>
      <c r="AV1702">
        <v>53</v>
      </c>
      <c r="AW1702">
        <v>0</v>
      </c>
      <c r="AX1702">
        <v>0</v>
      </c>
      <c r="AY1702">
        <v>0</v>
      </c>
      <c r="AZ1702">
        <v>37</v>
      </c>
      <c r="BA1702">
        <v>0</v>
      </c>
      <c r="BB1702">
        <v>68</v>
      </c>
      <c r="BC1702">
        <v>0</v>
      </c>
      <c r="BD1702">
        <v>0</v>
      </c>
      <c r="BE1702">
        <v>0</v>
      </c>
    </row>
    <row r="1703" spans="1:57" hidden="1" x14ac:dyDescent="0.45">
      <c r="A1703" t="s">
        <v>4195</v>
      </c>
      <c r="B1703" t="s">
        <v>79</v>
      </c>
      <c r="C1703" t="s">
        <v>2554</v>
      </c>
      <c r="D1703" t="s">
        <v>81</v>
      </c>
      <c r="E1703" s="2" t="str">
        <f>HYPERLINK("capsilon://?command=openfolder&amp;siteaddress=FAM.docvelocity-na8.net&amp;folderid=FXC16B6975-5E66-D3A5-1DF1-6EC1B35FD0D6","FX20125168")</f>
        <v>FX20125168</v>
      </c>
      <c r="F1703" t="s">
        <v>19</v>
      </c>
      <c r="G1703" t="s">
        <v>19</v>
      </c>
      <c r="H1703" t="s">
        <v>82</v>
      </c>
      <c r="I1703" t="s">
        <v>4196</v>
      </c>
      <c r="J1703">
        <v>66</v>
      </c>
      <c r="K1703" t="s">
        <v>84</v>
      </c>
      <c r="L1703" t="s">
        <v>85</v>
      </c>
      <c r="M1703" t="s">
        <v>86</v>
      </c>
      <c r="N1703">
        <v>3</v>
      </c>
      <c r="O1703" s="1">
        <v>44215.651122685187</v>
      </c>
      <c r="P1703" s="1">
        <v>44216.368206018517</v>
      </c>
      <c r="Q1703">
        <v>61841</v>
      </c>
      <c r="R1703">
        <v>115</v>
      </c>
      <c r="S1703" t="b">
        <v>0</v>
      </c>
      <c r="T1703" t="s">
        <v>87</v>
      </c>
      <c r="U1703" t="b">
        <v>0</v>
      </c>
      <c r="V1703" t="s">
        <v>242</v>
      </c>
      <c r="W1703" s="1">
        <v>44215.685115740744</v>
      </c>
      <c r="X1703">
        <v>78</v>
      </c>
      <c r="Y1703">
        <v>0</v>
      </c>
      <c r="Z1703">
        <v>0</v>
      </c>
      <c r="AA1703">
        <v>0</v>
      </c>
      <c r="AB1703">
        <v>52</v>
      </c>
      <c r="AC1703">
        <v>0</v>
      </c>
      <c r="AD1703">
        <v>66</v>
      </c>
      <c r="AE1703">
        <v>0</v>
      </c>
      <c r="AF1703">
        <v>0</v>
      </c>
      <c r="AG1703">
        <v>0</v>
      </c>
      <c r="AH1703" t="s">
        <v>128</v>
      </c>
      <c r="AI1703" s="1">
        <v>44215.778460648151</v>
      </c>
      <c r="AJ1703">
        <v>34</v>
      </c>
      <c r="AK1703">
        <v>0</v>
      </c>
      <c r="AL1703">
        <v>0</v>
      </c>
      <c r="AM1703">
        <v>0</v>
      </c>
      <c r="AN1703">
        <v>52</v>
      </c>
      <c r="AO1703">
        <v>0</v>
      </c>
      <c r="AP1703">
        <v>66</v>
      </c>
      <c r="AQ1703">
        <v>0</v>
      </c>
      <c r="AR1703">
        <v>0</v>
      </c>
      <c r="AS1703">
        <v>0</v>
      </c>
      <c r="AT1703" t="s">
        <v>90</v>
      </c>
      <c r="AU1703" s="1">
        <v>44216.368206018517</v>
      </c>
      <c r="AV1703">
        <v>3</v>
      </c>
      <c r="AW1703">
        <v>0</v>
      </c>
      <c r="AX1703">
        <v>0</v>
      </c>
      <c r="AY1703">
        <v>0</v>
      </c>
      <c r="AZ1703">
        <v>52</v>
      </c>
      <c r="BA1703">
        <v>0</v>
      </c>
      <c r="BB1703">
        <v>66</v>
      </c>
      <c r="BC1703">
        <v>0</v>
      </c>
      <c r="BD1703">
        <v>0</v>
      </c>
      <c r="BE1703">
        <v>0</v>
      </c>
    </row>
    <row r="1704" spans="1:57" hidden="1" x14ac:dyDescent="0.45">
      <c r="A1704" t="s">
        <v>4197</v>
      </c>
      <c r="B1704" t="s">
        <v>79</v>
      </c>
      <c r="C1704" t="s">
        <v>1220</v>
      </c>
      <c r="D1704" t="s">
        <v>81</v>
      </c>
      <c r="E1704" s="2" t="str">
        <f>HYPERLINK("capsilon://?command=openfolder&amp;siteaddress=FAM.docvelocity-na8.net&amp;folderid=FX68476497-1A07-2542-3773-3C7E47CB44FA","FX201111788")</f>
        <v>FX201111788</v>
      </c>
      <c r="F1704" t="s">
        <v>19</v>
      </c>
      <c r="G1704" t="s">
        <v>19</v>
      </c>
      <c r="H1704" t="s">
        <v>82</v>
      </c>
      <c r="I1704" t="s">
        <v>4198</v>
      </c>
      <c r="J1704">
        <v>66</v>
      </c>
      <c r="K1704" t="s">
        <v>84</v>
      </c>
      <c r="L1704" t="s">
        <v>85</v>
      </c>
      <c r="M1704" t="s">
        <v>86</v>
      </c>
      <c r="N1704">
        <v>1</v>
      </c>
      <c r="O1704" s="1">
        <v>44215.651226851849</v>
      </c>
      <c r="P1704" s="1">
        <v>44215.685115740744</v>
      </c>
      <c r="Q1704">
        <v>2880</v>
      </c>
      <c r="R1704">
        <v>48</v>
      </c>
      <c r="S1704" t="b">
        <v>0</v>
      </c>
      <c r="T1704" t="s">
        <v>87</v>
      </c>
      <c r="U1704" t="b">
        <v>0</v>
      </c>
      <c r="V1704" t="s">
        <v>179</v>
      </c>
      <c r="W1704" s="1">
        <v>44215.685115740744</v>
      </c>
      <c r="X1704">
        <v>48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66</v>
      </c>
      <c r="AE1704">
        <v>52</v>
      </c>
      <c r="AF1704">
        <v>0</v>
      </c>
      <c r="AG1704">
        <v>1</v>
      </c>
      <c r="AH1704" t="s">
        <v>87</v>
      </c>
      <c r="AI1704" t="s">
        <v>87</v>
      </c>
      <c r="AJ1704" t="s">
        <v>87</v>
      </c>
      <c r="AK1704" t="s">
        <v>87</v>
      </c>
      <c r="AL1704" t="s">
        <v>87</v>
      </c>
      <c r="AM1704" t="s">
        <v>87</v>
      </c>
      <c r="AN1704" t="s">
        <v>87</v>
      </c>
      <c r="AO1704" t="s">
        <v>87</v>
      </c>
      <c r="AP1704" t="s">
        <v>87</v>
      </c>
      <c r="AQ1704" t="s">
        <v>87</v>
      </c>
      <c r="AR1704" t="s">
        <v>87</v>
      </c>
      <c r="AS1704" t="s">
        <v>87</v>
      </c>
      <c r="AT1704" t="s">
        <v>87</v>
      </c>
      <c r="AU1704" t="s">
        <v>87</v>
      </c>
      <c r="AV1704" t="s">
        <v>87</v>
      </c>
      <c r="AW1704" t="s">
        <v>87</v>
      </c>
      <c r="AX1704" t="s">
        <v>87</v>
      </c>
      <c r="AY1704" t="s">
        <v>87</v>
      </c>
      <c r="AZ1704" t="s">
        <v>87</v>
      </c>
      <c r="BA1704" t="s">
        <v>87</v>
      </c>
      <c r="BB1704" t="s">
        <v>87</v>
      </c>
      <c r="BC1704" t="s">
        <v>87</v>
      </c>
      <c r="BD1704" t="s">
        <v>87</v>
      </c>
      <c r="BE1704" t="s">
        <v>87</v>
      </c>
    </row>
    <row r="1705" spans="1:57" x14ac:dyDescent="0.45">
      <c r="A1705" t="s">
        <v>4199</v>
      </c>
      <c r="B1705" t="s">
        <v>79</v>
      </c>
      <c r="C1705" t="s">
        <v>4200</v>
      </c>
      <c r="D1705" t="s">
        <v>81</v>
      </c>
      <c r="E1705" s="2" t="str">
        <f>HYPERLINK("capsilon://?command=openfolder&amp;siteaddress=FAM.docvelocity-na8.net&amp;folderid=FX77EC1932-07DF-4885-8F94-AE74BD6A549D","FX21019977")</f>
        <v>FX21019977</v>
      </c>
      <c r="F1705" t="s">
        <v>19</v>
      </c>
      <c r="G1705" t="s">
        <v>19</v>
      </c>
      <c r="H1705" t="s">
        <v>82</v>
      </c>
      <c r="I1705" t="s">
        <v>4201</v>
      </c>
      <c r="J1705">
        <v>64</v>
      </c>
      <c r="K1705" t="s">
        <v>84</v>
      </c>
      <c r="L1705" t="s">
        <v>85</v>
      </c>
      <c r="M1705" t="s">
        <v>86</v>
      </c>
      <c r="N1705">
        <v>3</v>
      </c>
      <c r="O1705" s="1">
        <v>44215.652303240742</v>
      </c>
      <c r="P1705" s="1">
        <v>44216.368541666663</v>
      </c>
      <c r="Q1705">
        <v>61409</v>
      </c>
      <c r="R1705">
        <v>474</v>
      </c>
      <c r="S1705" t="b">
        <v>0</v>
      </c>
      <c r="T1705" t="s">
        <v>87</v>
      </c>
      <c r="U1705" t="b">
        <v>0</v>
      </c>
      <c r="V1705" t="s">
        <v>242</v>
      </c>
      <c r="W1705" s="1">
        <v>44215.688460648147</v>
      </c>
      <c r="X1705">
        <v>288</v>
      </c>
      <c r="Y1705">
        <v>58</v>
      </c>
      <c r="Z1705">
        <v>0</v>
      </c>
      <c r="AA1705">
        <v>58</v>
      </c>
      <c r="AB1705">
        <v>0</v>
      </c>
      <c r="AC1705">
        <v>16</v>
      </c>
      <c r="AD1705">
        <v>6</v>
      </c>
      <c r="AE1705">
        <v>0</v>
      </c>
      <c r="AF1705">
        <v>0</v>
      </c>
      <c r="AG1705">
        <v>0</v>
      </c>
      <c r="AH1705" t="s">
        <v>128</v>
      </c>
      <c r="AI1705" s="1">
        <v>44215.780300925922</v>
      </c>
      <c r="AJ1705">
        <v>158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6</v>
      </c>
      <c r="AQ1705">
        <v>0</v>
      </c>
      <c r="AR1705">
        <v>0</v>
      </c>
      <c r="AS1705">
        <v>0</v>
      </c>
      <c r="AT1705" t="s">
        <v>90</v>
      </c>
      <c r="AU1705" s="1">
        <v>44216.368541666663</v>
      </c>
      <c r="AV1705">
        <v>28</v>
      </c>
      <c r="AW1705">
        <v>1</v>
      </c>
      <c r="AX1705">
        <v>0</v>
      </c>
      <c r="AY1705">
        <v>1</v>
      </c>
      <c r="AZ1705">
        <v>0</v>
      </c>
      <c r="BA1705">
        <v>1</v>
      </c>
      <c r="BB1705">
        <v>5</v>
      </c>
      <c r="BC1705">
        <v>0</v>
      </c>
      <c r="BD1705">
        <v>0</v>
      </c>
      <c r="BE1705">
        <v>0</v>
      </c>
    </row>
    <row r="1706" spans="1:57" hidden="1" x14ac:dyDescent="0.45">
      <c r="A1706" t="s">
        <v>4202</v>
      </c>
      <c r="B1706" t="s">
        <v>79</v>
      </c>
      <c r="C1706" t="s">
        <v>2554</v>
      </c>
      <c r="D1706" t="s">
        <v>81</v>
      </c>
      <c r="E1706" s="2" t="str">
        <f>HYPERLINK("capsilon://?command=openfolder&amp;siteaddress=FAM.docvelocity-na8.net&amp;folderid=FXC16B6975-5E66-D3A5-1DF1-6EC1B35FD0D6","FX20125168")</f>
        <v>FX20125168</v>
      </c>
      <c r="F1706" t="s">
        <v>19</v>
      </c>
      <c r="G1706" t="s">
        <v>19</v>
      </c>
      <c r="H1706" t="s">
        <v>82</v>
      </c>
      <c r="I1706" t="s">
        <v>4203</v>
      </c>
      <c r="J1706">
        <v>66</v>
      </c>
      <c r="K1706" t="s">
        <v>84</v>
      </c>
      <c r="L1706" t="s">
        <v>85</v>
      </c>
      <c r="M1706" t="s">
        <v>86</v>
      </c>
      <c r="N1706">
        <v>3</v>
      </c>
      <c r="O1706" s="1">
        <v>44215.653310185182</v>
      </c>
      <c r="P1706" s="1">
        <v>44216.368587962963</v>
      </c>
      <c r="Q1706">
        <v>61632</v>
      </c>
      <c r="R1706">
        <v>168</v>
      </c>
      <c r="S1706" t="b">
        <v>0</v>
      </c>
      <c r="T1706" t="s">
        <v>87</v>
      </c>
      <c r="U1706" t="b">
        <v>0</v>
      </c>
      <c r="V1706" t="s">
        <v>179</v>
      </c>
      <c r="W1706" s="1">
        <v>44215.686597222222</v>
      </c>
      <c r="X1706">
        <v>127</v>
      </c>
      <c r="Y1706">
        <v>0</v>
      </c>
      <c r="Z1706">
        <v>0</v>
      </c>
      <c r="AA1706">
        <v>0</v>
      </c>
      <c r="AB1706">
        <v>52</v>
      </c>
      <c r="AC1706">
        <v>0</v>
      </c>
      <c r="AD1706">
        <v>66</v>
      </c>
      <c r="AE1706">
        <v>0</v>
      </c>
      <c r="AF1706">
        <v>0</v>
      </c>
      <c r="AG1706">
        <v>0</v>
      </c>
      <c r="AH1706" t="s">
        <v>128</v>
      </c>
      <c r="AI1706" s="1">
        <v>44215.780752314815</v>
      </c>
      <c r="AJ1706">
        <v>38</v>
      </c>
      <c r="AK1706">
        <v>0</v>
      </c>
      <c r="AL1706">
        <v>0</v>
      </c>
      <c r="AM1706">
        <v>0</v>
      </c>
      <c r="AN1706">
        <v>52</v>
      </c>
      <c r="AO1706">
        <v>0</v>
      </c>
      <c r="AP1706">
        <v>66</v>
      </c>
      <c r="AQ1706">
        <v>0</v>
      </c>
      <c r="AR1706">
        <v>0</v>
      </c>
      <c r="AS1706">
        <v>0</v>
      </c>
      <c r="AT1706" t="s">
        <v>90</v>
      </c>
      <c r="AU1706" s="1">
        <v>44216.368587962963</v>
      </c>
      <c r="AV1706">
        <v>3</v>
      </c>
      <c r="AW1706">
        <v>0</v>
      </c>
      <c r="AX1706">
        <v>0</v>
      </c>
      <c r="AY1706">
        <v>0</v>
      </c>
      <c r="AZ1706">
        <v>52</v>
      </c>
      <c r="BA1706">
        <v>0</v>
      </c>
      <c r="BB1706">
        <v>66</v>
      </c>
      <c r="BC1706">
        <v>0</v>
      </c>
      <c r="BD1706">
        <v>0</v>
      </c>
      <c r="BE1706">
        <v>0</v>
      </c>
    </row>
    <row r="1707" spans="1:57" hidden="1" x14ac:dyDescent="0.45">
      <c r="A1707" t="s">
        <v>4204</v>
      </c>
      <c r="B1707" t="s">
        <v>79</v>
      </c>
      <c r="C1707" t="s">
        <v>1220</v>
      </c>
      <c r="D1707" t="s">
        <v>81</v>
      </c>
      <c r="E1707" s="2" t="str">
        <f>HYPERLINK("capsilon://?command=openfolder&amp;siteaddress=FAM.docvelocity-na8.net&amp;folderid=FX68476497-1A07-2542-3773-3C7E47CB44FA","FX201111788")</f>
        <v>FX201111788</v>
      </c>
      <c r="F1707" t="s">
        <v>19</v>
      </c>
      <c r="G1707" t="s">
        <v>19</v>
      </c>
      <c r="H1707" t="s">
        <v>82</v>
      </c>
      <c r="I1707" t="s">
        <v>4205</v>
      </c>
      <c r="J1707">
        <v>66</v>
      </c>
      <c r="K1707" t="s">
        <v>84</v>
      </c>
      <c r="L1707" t="s">
        <v>85</v>
      </c>
      <c r="M1707" t="s">
        <v>86</v>
      </c>
      <c r="N1707">
        <v>1</v>
      </c>
      <c r="O1707" s="1">
        <v>44215.654606481483</v>
      </c>
      <c r="P1707" s="1">
        <v>44215.686099537037</v>
      </c>
      <c r="Q1707">
        <v>2650</v>
      </c>
      <c r="R1707">
        <v>71</v>
      </c>
      <c r="S1707" t="b">
        <v>0</v>
      </c>
      <c r="T1707" t="s">
        <v>87</v>
      </c>
      <c r="U1707" t="b">
        <v>0</v>
      </c>
      <c r="V1707" t="s">
        <v>255</v>
      </c>
      <c r="W1707" s="1">
        <v>44215.686099537037</v>
      </c>
      <c r="X1707">
        <v>71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66</v>
      </c>
      <c r="AE1707">
        <v>52</v>
      </c>
      <c r="AF1707">
        <v>0</v>
      </c>
      <c r="AG1707">
        <v>1</v>
      </c>
      <c r="AH1707" t="s">
        <v>87</v>
      </c>
      <c r="AI1707" t="s">
        <v>87</v>
      </c>
      <c r="AJ1707" t="s">
        <v>87</v>
      </c>
      <c r="AK1707" t="s">
        <v>87</v>
      </c>
      <c r="AL1707" t="s">
        <v>87</v>
      </c>
      <c r="AM1707" t="s">
        <v>87</v>
      </c>
      <c r="AN1707" t="s">
        <v>87</v>
      </c>
      <c r="AO1707" t="s">
        <v>87</v>
      </c>
      <c r="AP1707" t="s">
        <v>87</v>
      </c>
      <c r="AQ1707" t="s">
        <v>87</v>
      </c>
      <c r="AR1707" t="s">
        <v>87</v>
      </c>
      <c r="AS1707" t="s">
        <v>87</v>
      </c>
      <c r="AT1707" t="s">
        <v>87</v>
      </c>
      <c r="AU1707" t="s">
        <v>87</v>
      </c>
      <c r="AV1707" t="s">
        <v>87</v>
      </c>
      <c r="AW1707" t="s">
        <v>87</v>
      </c>
      <c r="AX1707" t="s">
        <v>87</v>
      </c>
      <c r="AY1707" t="s">
        <v>87</v>
      </c>
      <c r="AZ1707" t="s">
        <v>87</v>
      </c>
      <c r="BA1707" t="s">
        <v>87</v>
      </c>
      <c r="BB1707" t="s">
        <v>87</v>
      </c>
      <c r="BC1707" t="s">
        <v>87</v>
      </c>
      <c r="BD1707" t="s">
        <v>87</v>
      </c>
      <c r="BE1707" t="s">
        <v>87</v>
      </c>
    </row>
    <row r="1708" spans="1:57" hidden="1" x14ac:dyDescent="0.45">
      <c r="A1708" t="s">
        <v>4206</v>
      </c>
      <c r="B1708" t="s">
        <v>79</v>
      </c>
      <c r="C1708" t="s">
        <v>2839</v>
      </c>
      <c r="D1708" t="s">
        <v>81</v>
      </c>
      <c r="E1708" s="2" t="str">
        <f>HYPERLINK("capsilon://?command=openfolder&amp;siteaddress=FAM.docvelocity-na8.net&amp;folderid=FXCE14A4F2-A2B0-4EC6-8CE2-24A3400D27DD","FX201111849")</f>
        <v>FX201111849</v>
      </c>
      <c r="F1708" t="s">
        <v>19</v>
      </c>
      <c r="G1708" t="s">
        <v>19</v>
      </c>
      <c r="H1708" t="s">
        <v>82</v>
      </c>
      <c r="I1708" t="s">
        <v>4207</v>
      </c>
      <c r="J1708">
        <v>66</v>
      </c>
      <c r="K1708" t="s">
        <v>84</v>
      </c>
      <c r="L1708" t="s">
        <v>85</v>
      </c>
      <c r="M1708" t="s">
        <v>86</v>
      </c>
      <c r="N1708">
        <v>3</v>
      </c>
      <c r="O1708" s="1">
        <v>44215.655312499999</v>
      </c>
      <c r="P1708" s="1">
        <v>44216.368634259263</v>
      </c>
      <c r="Q1708">
        <v>61529</v>
      </c>
      <c r="R1708">
        <v>102</v>
      </c>
      <c r="S1708" t="b">
        <v>0</v>
      </c>
      <c r="T1708" t="s">
        <v>87</v>
      </c>
      <c r="U1708" t="b">
        <v>0</v>
      </c>
      <c r="V1708" t="s">
        <v>242</v>
      </c>
      <c r="W1708" s="1">
        <v>44215.688993055555</v>
      </c>
      <c r="X1708">
        <v>45</v>
      </c>
      <c r="Y1708">
        <v>0</v>
      </c>
      <c r="Z1708">
        <v>0</v>
      </c>
      <c r="AA1708">
        <v>0</v>
      </c>
      <c r="AB1708">
        <v>52</v>
      </c>
      <c r="AC1708">
        <v>0</v>
      </c>
      <c r="AD1708">
        <v>66</v>
      </c>
      <c r="AE1708">
        <v>0</v>
      </c>
      <c r="AF1708">
        <v>0</v>
      </c>
      <c r="AG1708">
        <v>0</v>
      </c>
      <c r="AH1708" t="s">
        <v>128</v>
      </c>
      <c r="AI1708" s="1">
        <v>44215.781377314815</v>
      </c>
      <c r="AJ1708">
        <v>53</v>
      </c>
      <c r="AK1708">
        <v>0</v>
      </c>
      <c r="AL1708">
        <v>0</v>
      </c>
      <c r="AM1708">
        <v>0</v>
      </c>
      <c r="AN1708">
        <v>52</v>
      </c>
      <c r="AO1708">
        <v>0</v>
      </c>
      <c r="AP1708">
        <v>66</v>
      </c>
      <c r="AQ1708">
        <v>0</v>
      </c>
      <c r="AR1708">
        <v>0</v>
      </c>
      <c r="AS1708">
        <v>0</v>
      </c>
      <c r="AT1708" t="s">
        <v>90</v>
      </c>
      <c r="AU1708" s="1">
        <v>44216.368634259263</v>
      </c>
      <c r="AV1708">
        <v>4</v>
      </c>
      <c r="AW1708">
        <v>0</v>
      </c>
      <c r="AX1708">
        <v>0</v>
      </c>
      <c r="AY1708">
        <v>0</v>
      </c>
      <c r="AZ1708">
        <v>52</v>
      </c>
      <c r="BA1708">
        <v>0</v>
      </c>
      <c r="BB1708">
        <v>66</v>
      </c>
      <c r="BC1708">
        <v>0</v>
      </c>
      <c r="BD1708">
        <v>0</v>
      </c>
      <c r="BE1708">
        <v>0</v>
      </c>
    </row>
    <row r="1709" spans="1:57" hidden="1" x14ac:dyDescent="0.45">
      <c r="A1709" t="s">
        <v>4208</v>
      </c>
      <c r="B1709" t="s">
        <v>79</v>
      </c>
      <c r="C1709" t="s">
        <v>1220</v>
      </c>
      <c r="D1709" t="s">
        <v>81</v>
      </c>
      <c r="E1709" s="2" t="str">
        <f>HYPERLINK("capsilon://?command=openfolder&amp;siteaddress=FAM.docvelocity-na8.net&amp;folderid=FX68476497-1A07-2542-3773-3C7E47CB44FA","FX201111788")</f>
        <v>FX201111788</v>
      </c>
      <c r="F1709" t="s">
        <v>19</v>
      </c>
      <c r="G1709" t="s">
        <v>19</v>
      </c>
      <c r="H1709" t="s">
        <v>82</v>
      </c>
      <c r="I1709" t="s">
        <v>4209</v>
      </c>
      <c r="J1709">
        <v>66</v>
      </c>
      <c r="K1709" t="s">
        <v>84</v>
      </c>
      <c r="L1709" t="s">
        <v>85</v>
      </c>
      <c r="M1709" t="s">
        <v>86</v>
      </c>
      <c r="N1709">
        <v>3</v>
      </c>
      <c r="O1709" s="1">
        <v>44215.655925925923</v>
      </c>
      <c r="P1709" s="1">
        <v>44216.368668981479</v>
      </c>
      <c r="Q1709">
        <v>61451</v>
      </c>
      <c r="R1709">
        <v>130</v>
      </c>
      <c r="S1709" t="b">
        <v>0</v>
      </c>
      <c r="T1709" t="s">
        <v>87</v>
      </c>
      <c r="U1709" t="b">
        <v>0</v>
      </c>
      <c r="V1709" t="s">
        <v>242</v>
      </c>
      <c r="W1709" s="1">
        <v>44215.690081018518</v>
      </c>
      <c r="X1709">
        <v>93</v>
      </c>
      <c r="Y1709">
        <v>0</v>
      </c>
      <c r="Z1709">
        <v>0</v>
      </c>
      <c r="AA1709">
        <v>0</v>
      </c>
      <c r="AB1709">
        <v>52</v>
      </c>
      <c r="AC1709">
        <v>0</v>
      </c>
      <c r="AD1709">
        <v>66</v>
      </c>
      <c r="AE1709">
        <v>0</v>
      </c>
      <c r="AF1709">
        <v>0</v>
      </c>
      <c r="AG1709">
        <v>0</v>
      </c>
      <c r="AH1709" t="s">
        <v>128</v>
      </c>
      <c r="AI1709" s="1">
        <v>44215.781782407408</v>
      </c>
      <c r="AJ1709">
        <v>34</v>
      </c>
      <c r="AK1709">
        <v>0</v>
      </c>
      <c r="AL1709">
        <v>0</v>
      </c>
      <c r="AM1709">
        <v>0</v>
      </c>
      <c r="AN1709">
        <v>52</v>
      </c>
      <c r="AO1709">
        <v>0</v>
      </c>
      <c r="AP1709">
        <v>66</v>
      </c>
      <c r="AQ1709">
        <v>0</v>
      </c>
      <c r="AR1709">
        <v>0</v>
      </c>
      <c r="AS1709">
        <v>0</v>
      </c>
      <c r="AT1709" t="s">
        <v>90</v>
      </c>
      <c r="AU1709" s="1">
        <v>44216.368668981479</v>
      </c>
      <c r="AV1709">
        <v>3</v>
      </c>
      <c r="AW1709">
        <v>0</v>
      </c>
      <c r="AX1709">
        <v>0</v>
      </c>
      <c r="AY1709">
        <v>0</v>
      </c>
      <c r="AZ1709">
        <v>52</v>
      </c>
      <c r="BA1709">
        <v>0</v>
      </c>
      <c r="BB1709">
        <v>66</v>
      </c>
      <c r="BC1709">
        <v>0</v>
      </c>
      <c r="BD1709">
        <v>0</v>
      </c>
      <c r="BE1709">
        <v>0</v>
      </c>
    </row>
    <row r="1710" spans="1:57" x14ac:dyDescent="0.45">
      <c r="A1710" t="s">
        <v>4210</v>
      </c>
      <c r="B1710" t="s">
        <v>79</v>
      </c>
      <c r="C1710" t="s">
        <v>3042</v>
      </c>
      <c r="D1710" t="s">
        <v>81</v>
      </c>
      <c r="E1710" s="2" t="str">
        <f>HYPERLINK("capsilon://?command=openfolder&amp;siteaddress=FAM.docvelocity-na8.net&amp;folderid=FXEEC36E63-F88A-C724-BD49-78DA7A2E03A9","FX201227841")</f>
        <v>FX201227841</v>
      </c>
      <c r="F1710" t="s">
        <v>19</v>
      </c>
      <c r="G1710" t="s">
        <v>19</v>
      </c>
      <c r="H1710" t="s">
        <v>82</v>
      </c>
      <c r="I1710" t="s">
        <v>3043</v>
      </c>
      <c r="J1710">
        <v>100</v>
      </c>
      <c r="K1710" t="s">
        <v>84</v>
      </c>
      <c r="L1710" t="s">
        <v>85</v>
      </c>
      <c r="M1710" t="s">
        <v>86</v>
      </c>
      <c r="N1710">
        <v>3</v>
      </c>
      <c r="O1710" s="1">
        <v>44200.895243055558</v>
      </c>
      <c r="P1710" s="1">
        <v>44201.345462962963</v>
      </c>
      <c r="Q1710">
        <v>32200</v>
      </c>
      <c r="R1710">
        <v>6699</v>
      </c>
      <c r="S1710" t="b">
        <v>0</v>
      </c>
      <c r="T1710" t="s">
        <v>87</v>
      </c>
      <c r="U1710" t="b">
        <v>1</v>
      </c>
      <c r="V1710" t="s">
        <v>266</v>
      </c>
      <c r="W1710" s="1">
        <v>44200.91673611111</v>
      </c>
      <c r="X1710">
        <v>1854</v>
      </c>
      <c r="Y1710">
        <v>229</v>
      </c>
      <c r="Z1710">
        <v>0</v>
      </c>
      <c r="AA1710">
        <v>229</v>
      </c>
      <c r="AB1710">
        <v>0</v>
      </c>
      <c r="AC1710">
        <v>101</v>
      </c>
      <c r="AD1710">
        <v>-129</v>
      </c>
      <c r="AE1710">
        <v>0</v>
      </c>
      <c r="AF1710">
        <v>0</v>
      </c>
      <c r="AG1710">
        <v>0</v>
      </c>
      <c r="AH1710" t="s">
        <v>89</v>
      </c>
      <c r="AI1710" s="1">
        <v>44201.20585648148</v>
      </c>
      <c r="AJ1710">
        <v>4662</v>
      </c>
      <c r="AK1710">
        <v>32</v>
      </c>
      <c r="AL1710">
        <v>0</v>
      </c>
      <c r="AM1710">
        <v>32</v>
      </c>
      <c r="AN1710">
        <v>0</v>
      </c>
      <c r="AO1710">
        <v>31</v>
      </c>
      <c r="AP1710">
        <v>-161</v>
      </c>
      <c r="AQ1710">
        <v>0</v>
      </c>
      <c r="AR1710">
        <v>0</v>
      </c>
      <c r="AS1710">
        <v>0</v>
      </c>
      <c r="AT1710" t="s">
        <v>90</v>
      </c>
      <c r="AU1710" s="1">
        <v>44201.345462962963</v>
      </c>
      <c r="AV1710">
        <v>68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-161</v>
      </c>
      <c r="BC1710">
        <v>0</v>
      </c>
      <c r="BD1710">
        <v>0</v>
      </c>
      <c r="BE1710">
        <v>0</v>
      </c>
    </row>
    <row r="1711" spans="1:57" hidden="1" x14ac:dyDescent="0.45">
      <c r="A1711" t="s">
        <v>4211</v>
      </c>
      <c r="B1711" t="s">
        <v>79</v>
      </c>
      <c r="C1711" t="s">
        <v>4212</v>
      </c>
      <c r="D1711" t="s">
        <v>81</v>
      </c>
      <c r="E1711" s="2" t="str">
        <f>HYPERLINK("capsilon://?command=openfolder&amp;siteaddress=FAM.docvelocity-na8.net&amp;folderid=FX55DC3CD4-BEFA-8425-DC6F-EC6F54C4B7F4","FX20127988")</f>
        <v>FX20127988</v>
      </c>
      <c r="F1711" t="s">
        <v>19</v>
      </c>
      <c r="G1711" t="s">
        <v>19</v>
      </c>
      <c r="H1711" t="s">
        <v>82</v>
      </c>
      <c r="I1711" t="s">
        <v>4213</v>
      </c>
      <c r="J1711">
        <v>89</v>
      </c>
      <c r="K1711" t="s">
        <v>84</v>
      </c>
      <c r="L1711" t="s">
        <v>85</v>
      </c>
      <c r="M1711" t="s">
        <v>86</v>
      </c>
      <c r="N1711">
        <v>1</v>
      </c>
      <c r="O1711" s="1">
        <v>44215.66238425926</v>
      </c>
      <c r="P1711" s="1">
        <v>44215.691111111111</v>
      </c>
      <c r="Q1711">
        <v>2394</v>
      </c>
      <c r="R1711">
        <v>88</v>
      </c>
      <c r="S1711" t="b">
        <v>0</v>
      </c>
      <c r="T1711" t="s">
        <v>87</v>
      </c>
      <c r="U1711" t="b">
        <v>0</v>
      </c>
      <c r="V1711" t="s">
        <v>242</v>
      </c>
      <c r="W1711" s="1">
        <v>44215.691111111111</v>
      </c>
      <c r="X1711">
        <v>88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89</v>
      </c>
      <c r="AE1711">
        <v>85</v>
      </c>
      <c r="AF1711">
        <v>0</v>
      </c>
      <c r="AG1711">
        <v>2</v>
      </c>
      <c r="AH1711" t="s">
        <v>87</v>
      </c>
      <c r="AI1711" t="s">
        <v>87</v>
      </c>
      <c r="AJ1711" t="s">
        <v>87</v>
      </c>
      <c r="AK1711" t="s">
        <v>87</v>
      </c>
      <c r="AL1711" t="s">
        <v>87</v>
      </c>
      <c r="AM1711" t="s">
        <v>87</v>
      </c>
      <c r="AN1711" t="s">
        <v>87</v>
      </c>
      <c r="AO1711" t="s">
        <v>87</v>
      </c>
      <c r="AP1711" t="s">
        <v>87</v>
      </c>
      <c r="AQ1711" t="s">
        <v>87</v>
      </c>
      <c r="AR1711" t="s">
        <v>87</v>
      </c>
      <c r="AS1711" t="s">
        <v>87</v>
      </c>
      <c r="AT1711" t="s">
        <v>87</v>
      </c>
      <c r="AU1711" t="s">
        <v>87</v>
      </c>
      <c r="AV1711" t="s">
        <v>87</v>
      </c>
      <c r="AW1711" t="s">
        <v>87</v>
      </c>
      <c r="AX1711" t="s">
        <v>87</v>
      </c>
      <c r="AY1711" t="s">
        <v>87</v>
      </c>
      <c r="AZ1711" t="s">
        <v>87</v>
      </c>
      <c r="BA1711" t="s">
        <v>87</v>
      </c>
      <c r="BB1711" t="s">
        <v>87</v>
      </c>
      <c r="BC1711" t="s">
        <v>87</v>
      </c>
      <c r="BD1711" t="s">
        <v>87</v>
      </c>
      <c r="BE1711" t="s">
        <v>87</v>
      </c>
    </row>
    <row r="1712" spans="1:57" x14ac:dyDescent="0.45">
      <c r="A1712" t="s">
        <v>4214</v>
      </c>
      <c r="B1712" t="s">
        <v>79</v>
      </c>
      <c r="C1712" t="s">
        <v>4215</v>
      </c>
      <c r="D1712" t="s">
        <v>81</v>
      </c>
      <c r="E1712" s="2" t="str">
        <f>HYPERLINK("capsilon://?command=openfolder&amp;siteaddress=FAM.docvelocity-na8.net&amp;folderid=FX0FD9774C-95A0-D5D0-F20C-845B6E8BFC87","FX21018661")</f>
        <v>FX21018661</v>
      </c>
      <c r="F1712" t="s">
        <v>19</v>
      </c>
      <c r="G1712" t="s">
        <v>19</v>
      </c>
      <c r="H1712" t="s">
        <v>82</v>
      </c>
      <c r="I1712" t="s">
        <v>4216</v>
      </c>
      <c r="J1712">
        <v>274</v>
      </c>
      <c r="K1712" t="s">
        <v>84</v>
      </c>
      <c r="L1712" t="s">
        <v>85</v>
      </c>
      <c r="M1712" t="s">
        <v>86</v>
      </c>
      <c r="N1712">
        <v>3</v>
      </c>
      <c r="O1712" s="1">
        <v>44215.662546296298</v>
      </c>
      <c r="P1712" s="1">
        <v>44216.370509259257</v>
      </c>
      <c r="Q1712">
        <v>58797</v>
      </c>
      <c r="R1712">
        <v>2371</v>
      </c>
      <c r="S1712" t="b">
        <v>0</v>
      </c>
      <c r="T1712" t="s">
        <v>87</v>
      </c>
      <c r="U1712" t="b">
        <v>0</v>
      </c>
      <c r="V1712" t="s">
        <v>142</v>
      </c>
      <c r="W1712" s="1">
        <v>44215.707743055558</v>
      </c>
      <c r="X1712">
        <v>1455</v>
      </c>
      <c r="Y1712">
        <v>180</v>
      </c>
      <c r="Z1712">
        <v>0</v>
      </c>
      <c r="AA1712">
        <v>180</v>
      </c>
      <c r="AB1712">
        <v>54</v>
      </c>
      <c r="AC1712">
        <v>97</v>
      </c>
      <c r="AD1712">
        <v>94</v>
      </c>
      <c r="AE1712">
        <v>0</v>
      </c>
      <c r="AF1712">
        <v>0</v>
      </c>
      <c r="AG1712">
        <v>0</v>
      </c>
      <c r="AH1712" t="s">
        <v>128</v>
      </c>
      <c r="AI1712" s="1">
        <v>44215.790567129632</v>
      </c>
      <c r="AJ1712">
        <v>758</v>
      </c>
      <c r="AK1712">
        <v>2</v>
      </c>
      <c r="AL1712">
        <v>0</v>
      </c>
      <c r="AM1712">
        <v>2</v>
      </c>
      <c r="AN1712">
        <v>54</v>
      </c>
      <c r="AO1712">
        <v>2</v>
      </c>
      <c r="AP1712">
        <v>92</v>
      </c>
      <c r="AQ1712">
        <v>0</v>
      </c>
      <c r="AR1712">
        <v>0</v>
      </c>
      <c r="AS1712">
        <v>0</v>
      </c>
      <c r="AT1712" t="s">
        <v>90</v>
      </c>
      <c r="AU1712" s="1">
        <v>44216.370509259257</v>
      </c>
      <c r="AV1712">
        <v>158</v>
      </c>
      <c r="AW1712">
        <v>0</v>
      </c>
      <c r="AX1712">
        <v>0</v>
      </c>
      <c r="AY1712">
        <v>0</v>
      </c>
      <c r="AZ1712">
        <v>54</v>
      </c>
      <c r="BA1712">
        <v>0</v>
      </c>
      <c r="BB1712">
        <v>92</v>
      </c>
      <c r="BC1712">
        <v>0</v>
      </c>
      <c r="BD1712">
        <v>0</v>
      </c>
      <c r="BE1712">
        <v>0</v>
      </c>
    </row>
    <row r="1713" spans="1:57" hidden="1" x14ac:dyDescent="0.45">
      <c r="A1713" t="s">
        <v>4217</v>
      </c>
      <c r="B1713" t="s">
        <v>79</v>
      </c>
      <c r="C1713" t="s">
        <v>4218</v>
      </c>
      <c r="D1713" t="s">
        <v>81</v>
      </c>
      <c r="E1713" s="2" t="str">
        <f>HYPERLINK("capsilon://?command=openfolder&amp;siteaddress=FAM.docvelocity-na8.net&amp;folderid=FX7D2CC7A2-735E-6FBB-F61E-5E7CD21B32B4","FX20128039")</f>
        <v>FX20128039</v>
      </c>
      <c r="F1713" t="s">
        <v>19</v>
      </c>
      <c r="G1713" t="s">
        <v>19</v>
      </c>
      <c r="H1713" t="s">
        <v>82</v>
      </c>
      <c r="I1713" t="s">
        <v>4219</v>
      </c>
      <c r="J1713">
        <v>66</v>
      </c>
      <c r="K1713" t="s">
        <v>84</v>
      </c>
      <c r="L1713" t="s">
        <v>85</v>
      </c>
      <c r="M1713" t="s">
        <v>86</v>
      </c>
      <c r="N1713">
        <v>1</v>
      </c>
      <c r="O1713" s="1">
        <v>44215.668090277781</v>
      </c>
      <c r="P1713" s="1">
        <v>44215.691817129627</v>
      </c>
      <c r="Q1713">
        <v>1990</v>
      </c>
      <c r="R1713">
        <v>60</v>
      </c>
      <c r="S1713" t="b">
        <v>0</v>
      </c>
      <c r="T1713" t="s">
        <v>87</v>
      </c>
      <c r="U1713" t="b">
        <v>0</v>
      </c>
      <c r="V1713" t="s">
        <v>242</v>
      </c>
      <c r="W1713" s="1">
        <v>44215.691817129627</v>
      </c>
      <c r="X1713">
        <v>60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66</v>
      </c>
      <c r="AE1713">
        <v>52</v>
      </c>
      <c r="AF1713">
        <v>0</v>
      </c>
      <c r="AG1713">
        <v>1</v>
      </c>
      <c r="AH1713" t="s">
        <v>87</v>
      </c>
      <c r="AI1713" t="s">
        <v>87</v>
      </c>
      <c r="AJ1713" t="s">
        <v>87</v>
      </c>
      <c r="AK1713" t="s">
        <v>87</v>
      </c>
      <c r="AL1713" t="s">
        <v>87</v>
      </c>
      <c r="AM1713" t="s">
        <v>87</v>
      </c>
      <c r="AN1713" t="s">
        <v>87</v>
      </c>
      <c r="AO1713" t="s">
        <v>87</v>
      </c>
      <c r="AP1713" t="s">
        <v>87</v>
      </c>
      <c r="AQ1713" t="s">
        <v>87</v>
      </c>
      <c r="AR1713" t="s">
        <v>87</v>
      </c>
      <c r="AS1713" t="s">
        <v>87</v>
      </c>
      <c r="AT1713" t="s">
        <v>87</v>
      </c>
      <c r="AU1713" t="s">
        <v>87</v>
      </c>
      <c r="AV1713" t="s">
        <v>87</v>
      </c>
      <c r="AW1713" t="s">
        <v>87</v>
      </c>
      <c r="AX1713" t="s">
        <v>87</v>
      </c>
      <c r="AY1713" t="s">
        <v>87</v>
      </c>
      <c r="AZ1713" t="s">
        <v>87</v>
      </c>
      <c r="BA1713" t="s">
        <v>87</v>
      </c>
      <c r="BB1713" t="s">
        <v>87</v>
      </c>
      <c r="BC1713" t="s">
        <v>87</v>
      </c>
      <c r="BD1713" t="s">
        <v>87</v>
      </c>
      <c r="BE1713" t="s">
        <v>87</v>
      </c>
    </row>
    <row r="1714" spans="1:57" hidden="1" x14ac:dyDescent="0.45">
      <c r="A1714" t="s">
        <v>4220</v>
      </c>
      <c r="B1714" t="s">
        <v>79</v>
      </c>
      <c r="C1714" t="s">
        <v>4221</v>
      </c>
      <c r="D1714" t="s">
        <v>81</v>
      </c>
      <c r="E1714" s="2" t="str">
        <f>HYPERLINK("capsilon://?command=openfolder&amp;siteaddress=FAM.docvelocity-na8.net&amp;folderid=FX7F171298-412E-8A5C-25D4-425DF3A8017F","FX20122068")</f>
        <v>FX20122068</v>
      </c>
      <c r="F1714" t="s">
        <v>19</v>
      </c>
      <c r="G1714" t="s">
        <v>19</v>
      </c>
      <c r="H1714" t="s">
        <v>82</v>
      </c>
      <c r="I1714" t="s">
        <v>4222</v>
      </c>
      <c r="J1714">
        <v>66</v>
      </c>
      <c r="K1714" t="s">
        <v>84</v>
      </c>
      <c r="L1714" t="s">
        <v>85</v>
      </c>
      <c r="M1714" t="s">
        <v>86</v>
      </c>
      <c r="N1714">
        <v>3</v>
      </c>
      <c r="O1714" s="1">
        <v>44215.676990740743</v>
      </c>
      <c r="P1714" s="1">
        <v>44216.37054398148</v>
      </c>
      <c r="Q1714">
        <v>59594</v>
      </c>
      <c r="R1714">
        <v>329</v>
      </c>
      <c r="S1714" t="b">
        <v>0</v>
      </c>
      <c r="T1714" t="s">
        <v>87</v>
      </c>
      <c r="U1714" t="b">
        <v>0</v>
      </c>
      <c r="V1714" t="s">
        <v>255</v>
      </c>
      <c r="W1714" s="1">
        <v>44215.693981481483</v>
      </c>
      <c r="X1714">
        <v>85</v>
      </c>
      <c r="Y1714">
        <v>0</v>
      </c>
      <c r="Z1714">
        <v>0</v>
      </c>
      <c r="AA1714">
        <v>0</v>
      </c>
      <c r="AB1714">
        <v>52</v>
      </c>
      <c r="AC1714">
        <v>0</v>
      </c>
      <c r="AD1714">
        <v>66</v>
      </c>
      <c r="AE1714">
        <v>0</v>
      </c>
      <c r="AF1714">
        <v>0</v>
      </c>
      <c r="AG1714">
        <v>0</v>
      </c>
      <c r="AH1714" t="s">
        <v>267</v>
      </c>
      <c r="AI1714" s="1">
        <v>44215.79074074074</v>
      </c>
      <c r="AJ1714">
        <v>233</v>
      </c>
      <c r="AK1714">
        <v>0</v>
      </c>
      <c r="AL1714">
        <v>0</v>
      </c>
      <c r="AM1714">
        <v>0</v>
      </c>
      <c r="AN1714">
        <v>52</v>
      </c>
      <c r="AO1714">
        <v>0</v>
      </c>
      <c r="AP1714">
        <v>66</v>
      </c>
      <c r="AQ1714">
        <v>0</v>
      </c>
      <c r="AR1714">
        <v>0</v>
      </c>
      <c r="AS1714">
        <v>0</v>
      </c>
      <c r="AT1714" t="s">
        <v>90</v>
      </c>
      <c r="AU1714" s="1">
        <v>44216.37054398148</v>
      </c>
      <c r="AV1714">
        <v>3</v>
      </c>
      <c r="AW1714">
        <v>0</v>
      </c>
      <c r="AX1714">
        <v>0</v>
      </c>
      <c r="AY1714">
        <v>0</v>
      </c>
      <c r="AZ1714">
        <v>52</v>
      </c>
      <c r="BA1714">
        <v>0</v>
      </c>
      <c r="BB1714">
        <v>66</v>
      </c>
      <c r="BC1714">
        <v>0</v>
      </c>
      <c r="BD1714">
        <v>0</v>
      </c>
      <c r="BE1714">
        <v>0</v>
      </c>
    </row>
    <row r="1715" spans="1:57" hidden="1" x14ac:dyDescent="0.45">
      <c r="A1715" t="s">
        <v>4223</v>
      </c>
      <c r="B1715" t="s">
        <v>79</v>
      </c>
      <c r="C1715" t="s">
        <v>1645</v>
      </c>
      <c r="D1715" t="s">
        <v>81</v>
      </c>
      <c r="E1715" s="2" t="str">
        <f>HYPERLINK("capsilon://?command=openfolder&amp;siteaddress=FAM.docvelocity-na8.net&amp;folderid=FX7A6D6680-14C1-5A53-DBD0-E629F31E888E","FX2012959")</f>
        <v>FX2012959</v>
      </c>
      <c r="F1715" t="s">
        <v>19</v>
      </c>
      <c r="G1715" t="s">
        <v>19</v>
      </c>
      <c r="H1715" t="s">
        <v>82</v>
      </c>
      <c r="I1715" t="s">
        <v>4224</v>
      </c>
      <c r="J1715">
        <v>66</v>
      </c>
      <c r="K1715" t="s">
        <v>84</v>
      </c>
      <c r="L1715" t="s">
        <v>85</v>
      </c>
      <c r="M1715" t="s">
        <v>86</v>
      </c>
      <c r="N1715">
        <v>1</v>
      </c>
      <c r="O1715" s="1">
        <v>44215.678101851852</v>
      </c>
      <c r="P1715" s="1">
        <v>44215.694641203707</v>
      </c>
      <c r="Q1715">
        <v>1373</v>
      </c>
      <c r="R1715">
        <v>56</v>
      </c>
      <c r="S1715" t="b">
        <v>0</v>
      </c>
      <c r="T1715" t="s">
        <v>87</v>
      </c>
      <c r="U1715" t="b">
        <v>0</v>
      </c>
      <c r="V1715" t="s">
        <v>255</v>
      </c>
      <c r="W1715" s="1">
        <v>44215.694641203707</v>
      </c>
      <c r="X1715">
        <v>56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66</v>
      </c>
      <c r="AE1715">
        <v>52</v>
      </c>
      <c r="AF1715">
        <v>0</v>
      </c>
      <c r="AG1715">
        <v>1</v>
      </c>
      <c r="AH1715" t="s">
        <v>87</v>
      </c>
      <c r="AI1715" t="s">
        <v>87</v>
      </c>
      <c r="AJ1715" t="s">
        <v>87</v>
      </c>
      <c r="AK1715" t="s">
        <v>87</v>
      </c>
      <c r="AL1715" t="s">
        <v>87</v>
      </c>
      <c r="AM1715" t="s">
        <v>87</v>
      </c>
      <c r="AN1715" t="s">
        <v>87</v>
      </c>
      <c r="AO1715" t="s">
        <v>87</v>
      </c>
      <c r="AP1715" t="s">
        <v>87</v>
      </c>
      <c r="AQ1715" t="s">
        <v>87</v>
      </c>
      <c r="AR1715" t="s">
        <v>87</v>
      </c>
      <c r="AS1715" t="s">
        <v>87</v>
      </c>
      <c r="AT1715" t="s">
        <v>87</v>
      </c>
      <c r="AU1715" t="s">
        <v>87</v>
      </c>
      <c r="AV1715" t="s">
        <v>87</v>
      </c>
      <c r="AW1715" t="s">
        <v>87</v>
      </c>
      <c r="AX1715" t="s">
        <v>87</v>
      </c>
      <c r="AY1715" t="s">
        <v>87</v>
      </c>
      <c r="AZ1715" t="s">
        <v>87</v>
      </c>
      <c r="BA1715" t="s">
        <v>87</v>
      </c>
      <c r="BB1715" t="s">
        <v>87</v>
      </c>
      <c r="BC1715" t="s">
        <v>87</v>
      </c>
      <c r="BD1715" t="s">
        <v>87</v>
      </c>
      <c r="BE1715" t="s">
        <v>87</v>
      </c>
    </row>
    <row r="1716" spans="1:57" hidden="1" x14ac:dyDescent="0.45">
      <c r="A1716" t="s">
        <v>4225</v>
      </c>
      <c r="B1716" t="s">
        <v>79</v>
      </c>
      <c r="C1716" t="s">
        <v>4226</v>
      </c>
      <c r="D1716" t="s">
        <v>81</v>
      </c>
      <c r="E1716" s="2" t="str">
        <f>HYPERLINK("capsilon://?command=openfolder&amp;siteaddress=FAM.docvelocity-na8.net&amp;folderid=FX61018A86-366A-3FFD-9A18-B65CE1C10912","FX21019591")</f>
        <v>FX21019591</v>
      </c>
      <c r="F1716" t="s">
        <v>19</v>
      </c>
      <c r="G1716" t="s">
        <v>19</v>
      </c>
      <c r="H1716" t="s">
        <v>82</v>
      </c>
      <c r="I1716" t="s">
        <v>4227</v>
      </c>
      <c r="J1716">
        <v>72</v>
      </c>
      <c r="K1716" t="s">
        <v>84</v>
      </c>
      <c r="L1716" t="s">
        <v>85</v>
      </c>
      <c r="M1716" t="s">
        <v>86</v>
      </c>
      <c r="N1716">
        <v>1</v>
      </c>
      <c r="O1716" s="1">
        <v>44215.680555555555</v>
      </c>
      <c r="P1716" s="1">
        <v>44215.697071759256</v>
      </c>
      <c r="Q1716">
        <v>1217</v>
      </c>
      <c r="R1716">
        <v>210</v>
      </c>
      <c r="S1716" t="b">
        <v>0</v>
      </c>
      <c r="T1716" t="s">
        <v>87</v>
      </c>
      <c r="U1716" t="b">
        <v>0</v>
      </c>
      <c r="V1716" t="s">
        <v>255</v>
      </c>
      <c r="W1716" s="1">
        <v>44215.697071759256</v>
      </c>
      <c r="X1716">
        <v>210</v>
      </c>
      <c r="Y1716">
        <v>42</v>
      </c>
      <c r="Z1716">
        <v>0</v>
      </c>
      <c r="AA1716">
        <v>42</v>
      </c>
      <c r="AB1716">
        <v>0</v>
      </c>
      <c r="AC1716">
        <v>0</v>
      </c>
      <c r="AD1716">
        <v>30</v>
      </c>
      <c r="AE1716">
        <v>21</v>
      </c>
      <c r="AF1716">
        <v>0</v>
      </c>
      <c r="AG1716">
        <v>2</v>
      </c>
      <c r="AH1716" t="s">
        <v>87</v>
      </c>
      <c r="AI1716" t="s">
        <v>87</v>
      </c>
      <c r="AJ1716" t="s">
        <v>87</v>
      </c>
      <c r="AK1716" t="s">
        <v>87</v>
      </c>
      <c r="AL1716" t="s">
        <v>87</v>
      </c>
      <c r="AM1716" t="s">
        <v>87</v>
      </c>
      <c r="AN1716" t="s">
        <v>87</v>
      </c>
      <c r="AO1716" t="s">
        <v>87</v>
      </c>
      <c r="AP1716" t="s">
        <v>87</v>
      </c>
      <c r="AQ1716" t="s">
        <v>87</v>
      </c>
      <c r="AR1716" t="s">
        <v>87</v>
      </c>
      <c r="AS1716" t="s">
        <v>87</v>
      </c>
      <c r="AT1716" t="s">
        <v>87</v>
      </c>
      <c r="AU1716" t="s">
        <v>87</v>
      </c>
      <c r="AV1716" t="s">
        <v>87</v>
      </c>
      <c r="AW1716" t="s">
        <v>87</v>
      </c>
      <c r="AX1716" t="s">
        <v>87</v>
      </c>
      <c r="AY1716" t="s">
        <v>87</v>
      </c>
      <c r="AZ1716" t="s">
        <v>87</v>
      </c>
      <c r="BA1716" t="s">
        <v>87</v>
      </c>
      <c r="BB1716" t="s">
        <v>87</v>
      </c>
      <c r="BC1716" t="s">
        <v>87</v>
      </c>
      <c r="BD1716" t="s">
        <v>87</v>
      </c>
      <c r="BE1716" t="s">
        <v>87</v>
      </c>
    </row>
    <row r="1717" spans="1:57" hidden="1" x14ac:dyDescent="0.45">
      <c r="A1717" t="s">
        <v>4228</v>
      </c>
      <c r="B1717" t="s">
        <v>79</v>
      </c>
      <c r="C1717" t="s">
        <v>4226</v>
      </c>
      <c r="D1717" t="s">
        <v>81</v>
      </c>
      <c r="E1717" s="2" t="str">
        <f>HYPERLINK("capsilon://?command=openfolder&amp;siteaddress=FAM.docvelocity-na8.net&amp;folderid=FX61018A86-366A-3FFD-9A18-B65CE1C10912","FX21019591")</f>
        <v>FX21019591</v>
      </c>
      <c r="F1717" t="s">
        <v>19</v>
      </c>
      <c r="G1717" t="s">
        <v>19</v>
      </c>
      <c r="H1717" t="s">
        <v>82</v>
      </c>
      <c r="I1717" t="s">
        <v>4229</v>
      </c>
      <c r="J1717">
        <v>41</v>
      </c>
      <c r="K1717" t="s">
        <v>84</v>
      </c>
      <c r="L1717" t="s">
        <v>85</v>
      </c>
      <c r="M1717" t="s">
        <v>86</v>
      </c>
      <c r="N1717">
        <v>1</v>
      </c>
      <c r="O1717" s="1">
        <v>44215.682789351849</v>
      </c>
      <c r="P1717" s="1">
        <v>44215.698368055557</v>
      </c>
      <c r="Q1717">
        <v>1146</v>
      </c>
      <c r="R1717">
        <v>200</v>
      </c>
      <c r="S1717" t="b">
        <v>0</v>
      </c>
      <c r="T1717" t="s">
        <v>87</v>
      </c>
      <c r="U1717" t="b">
        <v>0</v>
      </c>
      <c r="V1717" t="s">
        <v>146</v>
      </c>
      <c r="W1717" s="1">
        <v>44215.698368055557</v>
      </c>
      <c r="X1717">
        <v>200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41</v>
      </c>
      <c r="AE1717">
        <v>37</v>
      </c>
      <c r="AF1717">
        <v>0</v>
      </c>
      <c r="AG1717">
        <v>1</v>
      </c>
      <c r="AH1717" t="s">
        <v>87</v>
      </c>
      <c r="AI1717" t="s">
        <v>87</v>
      </c>
      <c r="AJ1717" t="s">
        <v>87</v>
      </c>
      <c r="AK1717" t="s">
        <v>87</v>
      </c>
      <c r="AL1717" t="s">
        <v>87</v>
      </c>
      <c r="AM1717" t="s">
        <v>87</v>
      </c>
      <c r="AN1717" t="s">
        <v>87</v>
      </c>
      <c r="AO1717" t="s">
        <v>87</v>
      </c>
      <c r="AP1717" t="s">
        <v>87</v>
      </c>
      <c r="AQ1717" t="s">
        <v>87</v>
      </c>
      <c r="AR1717" t="s">
        <v>87</v>
      </c>
      <c r="AS1717" t="s">
        <v>87</v>
      </c>
      <c r="AT1717" t="s">
        <v>87</v>
      </c>
      <c r="AU1717" t="s">
        <v>87</v>
      </c>
      <c r="AV1717" t="s">
        <v>87</v>
      </c>
      <c r="AW1717" t="s">
        <v>87</v>
      </c>
      <c r="AX1717" t="s">
        <v>87</v>
      </c>
      <c r="AY1717" t="s">
        <v>87</v>
      </c>
      <c r="AZ1717" t="s">
        <v>87</v>
      </c>
      <c r="BA1717" t="s">
        <v>87</v>
      </c>
      <c r="BB1717" t="s">
        <v>87</v>
      </c>
      <c r="BC1717" t="s">
        <v>87</v>
      </c>
      <c r="BD1717" t="s">
        <v>87</v>
      </c>
      <c r="BE1717" t="s">
        <v>87</v>
      </c>
    </row>
    <row r="1718" spans="1:57" x14ac:dyDescent="0.45">
      <c r="A1718" t="s">
        <v>4230</v>
      </c>
      <c r="B1718" t="s">
        <v>79</v>
      </c>
      <c r="C1718" t="s">
        <v>1220</v>
      </c>
      <c r="D1718" t="s">
        <v>81</v>
      </c>
      <c r="E1718" s="2" t="str">
        <f>HYPERLINK("capsilon://?command=openfolder&amp;siteaddress=FAM.docvelocity-na8.net&amp;folderid=FX68476497-1A07-2542-3773-3C7E47CB44FA","FX201111788")</f>
        <v>FX201111788</v>
      </c>
      <c r="F1718" t="s">
        <v>19</v>
      </c>
      <c r="G1718" t="s">
        <v>19</v>
      </c>
      <c r="H1718" t="s">
        <v>82</v>
      </c>
      <c r="I1718" t="s">
        <v>4198</v>
      </c>
      <c r="J1718">
        <v>38</v>
      </c>
      <c r="K1718" t="s">
        <v>84</v>
      </c>
      <c r="L1718" t="s">
        <v>85</v>
      </c>
      <c r="M1718" t="s">
        <v>86</v>
      </c>
      <c r="N1718">
        <v>3</v>
      </c>
      <c r="O1718" s="1">
        <v>44215.685590277775</v>
      </c>
      <c r="P1718" s="1">
        <v>44215.705023148148</v>
      </c>
      <c r="Q1718">
        <v>910</v>
      </c>
      <c r="R1718">
        <v>769</v>
      </c>
      <c r="S1718" t="b">
        <v>0</v>
      </c>
      <c r="T1718" t="s">
        <v>87</v>
      </c>
      <c r="U1718" t="b">
        <v>1</v>
      </c>
      <c r="V1718" t="s">
        <v>255</v>
      </c>
      <c r="W1718" s="1">
        <v>44215.692986111113</v>
      </c>
      <c r="X1718">
        <v>594</v>
      </c>
      <c r="Y1718">
        <v>37</v>
      </c>
      <c r="Z1718">
        <v>0</v>
      </c>
      <c r="AA1718">
        <v>37</v>
      </c>
      <c r="AB1718">
        <v>0</v>
      </c>
      <c r="AC1718">
        <v>35</v>
      </c>
      <c r="AD1718">
        <v>1</v>
      </c>
      <c r="AE1718">
        <v>0</v>
      </c>
      <c r="AF1718">
        <v>0</v>
      </c>
      <c r="AG1718">
        <v>0</v>
      </c>
      <c r="AH1718" t="s">
        <v>267</v>
      </c>
      <c r="AI1718" s="1">
        <v>44215.701863425929</v>
      </c>
      <c r="AJ1718">
        <v>169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 t="s">
        <v>90</v>
      </c>
      <c r="AU1718" s="1">
        <v>44215.705023148148</v>
      </c>
      <c r="AV1718">
        <v>6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</row>
    <row r="1719" spans="1:57" x14ac:dyDescent="0.45">
      <c r="A1719" t="s">
        <v>4231</v>
      </c>
      <c r="B1719" t="s">
        <v>79</v>
      </c>
      <c r="C1719" t="s">
        <v>1220</v>
      </c>
      <c r="D1719" t="s">
        <v>81</v>
      </c>
      <c r="E1719" s="2" t="str">
        <f>HYPERLINK("capsilon://?command=openfolder&amp;siteaddress=FAM.docvelocity-na8.net&amp;folderid=FX68476497-1A07-2542-3773-3C7E47CB44FA","FX201111788")</f>
        <v>FX201111788</v>
      </c>
      <c r="F1719" t="s">
        <v>19</v>
      </c>
      <c r="G1719" t="s">
        <v>19</v>
      </c>
      <c r="H1719" t="s">
        <v>82</v>
      </c>
      <c r="I1719" t="s">
        <v>4205</v>
      </c>
      <c r="J1719">
        <v>38</v>
      </c>
      <c r="K1719" t="s">
        <v>84</v>
      </c>
      <c r="L1719" t="s">
        <v>85</v>
      </c>
      <c r="M1719" t="s">
        <v>86</v>
      </c>
      <c r="N1719">
        <v>3</v>
      </c>
      <c r="O1719" s="1">
        <v>44215.686423611114</v>
      </c>
      <c r="P1719" s="1">
        <v>44215.705138888887</v>
      </c>
      <c r="Q1719">
        <v>291</v>
      </c>
      <c r="R1719">
        <v>1326</v>
      </c>
      <c r="S1719" t="b">
        <v>0</v>
      </c>
      <c r="T1719" t="s">
        <v>87</v>
      </c>
      <c r="U1719" t="b">
        <v>1</v>
      </c>
      <c r="V1719" t="s">
        <v>179</v>
      </c>
      <c r="W1719" s="1">
        <v>44215.700196759259</v>
      </c>
      <c r="X1719">
        <v>1174</v>
      </c>
      <c r="Y1719">
        <v>37</v>
      </c>
      <c r="Z1719">
        <v>0</v>
      </c>
      <c r="AA1719">
        <v>37</v>
      </c>
      <c r="AB1719">
        <v>0</v>
      </c>
      <c r="AC1719">
        <v>28</v>
      </c>
      <c r="AD1719">
        <v>1</v>
      </c>
      <c r="AE1719">
        <v>0</v>
      </c>
      <c r="AF1719">
        <v>0</v>
      </c>
      <c r="AG1719">
        <v>0</v>
      </c>
      <c r="AH1719" t="s">
        <v>267</v>
      </c>
      <c r="AI1719" s="1">
        <v>44215.703530092593</v>
      </c>
      <c r="AJ1719">
        <v>143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 t="s">
        <v>90</v>
      </c>
      <c r="AU1719" s="1">
        <v>44215.705138888887</v>
      </c>
      <c r="AV1719">
        <v>9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</row>
    <row r="1720" spans="1:57" hidden="1" x14ac:dyDescent="0.45">
      <c r="A1720" t="s">
        <v>4232</v>
      </c>
      <c r="B1720" t="s">
        <v>79</v>
      </c>
      <c r="C1720" t="s">
        <v>4233</v>
      </c>
      <c r="D1720" t="s">
        <v>81</v>
      </c>
      <c r="E1720" s="2" t="str">
        <f>HYPERLINK("capsilon://?command=openfolder&amp;siteaddress=FAM.docvelocity-na8.net&amp;folderid=FXE3D2F105-B3C8-5E12-3148-AE51AF641A1B","FX20126172")</f>
        <v>FX20126172</v>
      </c>
      <c r="F1720" t="s">
        <v>19</v>
      </c>
      <c r="G1720" t="s">
        <v>19</v>
      </c>
      <c r="H1720" t="s">
        <v>82</v>
      </c>
      <c r="I1720" t="s">
        <v>4234</v>
      </c>
      <c r="J1720">
        <v>66</v>
      </c>
      <c r="K1720" t="s">
        <v>84</v>
      </c>
      <c r="L1720" t="s">
        <v>85</v>
      </c>
      <c r="M1720" t="s">
        <v>86</v>
      </c>
      <c r="N1720">
        <v>3</v>
      </c>
      <c r="O1720" s="1">
        <v>44215.688611111109</v>
      </c>
      <c r="P1720" s="1">
        <v>44216.37059027778</v>
      </c>
      <c r="Q1720">
        <v>58799</v>
      </c>
      <c r="R1720">
        <v>124</v>
      </c>
      <c r="S1720" t="b">
        <v>0</v>
      </c>
      <c r="T1720" t="s">
        <v>87</v>
      </c>
      <c r="U1720" t="b">
        <v>0</v>
      </c>
      <c r="V1720" t="s">
        <v>255</v>
      </c>
      <c r="W1720" s="1">
        <v>44215.697881944441</v>
      </c>
      <c r="X1720">
        <v>69</v>
      </c>
      <c r="Y1720">
        <v>0</v>
      </c>
      <c r="Z1720">
        <v>0</v>
      </c>
      <c r="AA1720">
        <v>0</v>
      </c>
      <c r="AB1720">
        <v>52</v>
      </c>
      <c r="AC1720">
        <v>0</v>
      </c>
      <c r="AD1720">
        <v>66</v>
      </c>
      <c r="AE1720">
        <v>0</v>
      </c>
      <c r="AF1720">
        <v>0</v>
      </c>
      <c r="AG1720">
        <v>0</v>
      </c>
      <c r="AH1720" t="s">
        <v>128</v>
      </c>
      <c r="AI1720" s="1">
        <v>44215.791180555556</v>
      </c>
      <c r="AJ1720">
        <v>52</v>
      </c>
      <c r="AK1720">
        <v>0</v>
      </c>
      <c r="AL1720">
        <v>0</v>
      </c>
      <c r="AM1720">
        <v>0</v>
      </c>
      <c r="AN1720">
        <v>52</v>
      </c>
      <c r="AO1720">
        <v>0</v>
      </c>
      <c r="AP1720">
        <v>66</v>
      </c>
      <c r="AQ1720">
        <v>0</v>
      </c>
      <c r="AR1720">
        <v>0</v>
      </c>
      <c r="AS1720">
        <v>0</v>
      </c>
      <c r="AT1720" t="s">
        <v>90</v>
      </c>
      <c r="AU1720" s="1">
        <v>44216.37059027778</v>
      </c>
      <c r="AV1720">
        <v>3</v>
      </c>
      <c r="AW1720">
        <v>0</v>
      </c>
      <c r="AX1720">
        <v>0</v>
      </c>
      <c r="AY1720">
        <v>0</v>
      </c>
      <c r="AZ1720">
        <v>52</v>
      </c>
      <c r="BA1720">
        <v>0</v>
      </c>
      <c r="BB1720">
        <v>66</v>
      </c>
      <c r="BC1720">
        <v>0</v>
      </c>
      <c r="BD1720">
        <v>0</v>
      </c>
      <c r="BE1720">
        <v>0</v>
      </c>
    </row>
    <row r="1721" spans="1:57" x14ac:dyDescent="0.45">
      <c r="A1721" t="s">
        <v>4235</v>
      </c>
      <c r="B1721" t="s">
        <v>79</v>
      </c>
      <c r="C1721" t="s">
        <v>4218</v>
      </c>
      <c r="D1721" t="s">
        <v>81</v>
      </c>
      <c r="E1721" s="2" t="str">
        <f>HYPERLINK("capsilon://?command=openfolder&amp;siteaddress=FAM.docvelocity-na8.net&amp;folderid=FX7D2CC7A2-735E-6FBB-F61E-5E7CD21B32B4","FX20128039")</f>
        <v>FX20128039</v>
      </c>
      <c r="F1721" t="s">
        <v>19</v>
      </c>
      <c r="G1721" t="s">
        <v>19</v>
      </c>
      <c r="H1721" t="s">
        <v>82</v>
      </c>
      <c r="I1721" t="s">
        <v>4219</v>
      </c>
      <c r="J1721">
        <v>38</v>
      </c>
      <c r="K1721" t="s">
        <v>84</v>
      </c>
      <c r="L1721" t="s">
        <v>85</v>
      </c>
      <c r="M1721" t="s">
        <v>86</v>
      </c>
      <c r="N1721">
        <v>3</v>
      </c>
      <c r="O1721" s="1">
        <v>44215.692256944443</v>
      </c>
      <c r="P1721" s="1">
        <v>44216.345625000002</v>
      </c>
      <c r="Q1721">
        <v>55964</v>
      </c>
      <c r="R1721">
        <v>487</v>
      </c>
      <c r="S1721" t="b">
        <v>0</v>
      </c>
      <c r="T1721" t="s">
        <v>87</v>
      </c>
      <c r="U1721" t="b">
        <v>1</v>
      </c>
      <c r="V1721" t="s">
        <v>242</v>
      </c>
      <c r="W1721" s="1">
        <v>44215.695937500001</v>
      </c>
      <c r="X1721">
        <v>307</v>
      </c>
      <c r="Y1721">
        <v>37</v>
      </c>
      <c r="Z1721">
        <v>0</v>
      </c>
      <c r="AA1721">
        <v>37</v>
      </c>
      <c r="AB1721">
        <v>0</v>
      </c>
      <c r="AC1721">
        <v>34</v>
      </c>
      <c r="AD1721">
        <v>1</v>
      </c>
      <c r="AE1721">
        <v>0</v>
      </c>
      <c r="AF1721">
        <v>0</v>
      </c>
      <c r="AG1721">
        <v>0</v>
      </c>
      <c r="AH1721" t="s">
        <v>267</v>
      </c>
      <c r="AI1721" s="1">
        <v>44215.705509259256</v>
      </c>
      <c r="AJ1721">
        <v>170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 t="s">
        <v>90</v>
      </c>
      <c r="AU1721" s="1">
        <v>44216.345625000002</v>
      </c>
      <c r="AV1721">
        <v>10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0</v>
      </c>
      <c r="BE1721">
        <v>0</v>
      </c>
    </row>
    <row r="1722" spans="1:57" x14ac:dyDescent="0.45">
      <c r="A1722" t="s">
        <v>4236</v>
      </c>
      <c r="B1722" t="s">
        <v>79</v>
      </c>
      <c r="C1722" t="s">
        <v>4212</v>
      </c>
      <c r="D1722" t="s">
        <v>81</v>
      </c>
      <c r="E1722" s="2" t="str">
        <f>HYPERLINK("capsilon://?command=openfolder&amp;siteaddress=FAM.docvelocity-na8.net&amp;folderid=FX55DC3CD4-BEFA-8425-DC6F-EC6F54C4B7F4","FX20127988")</f>
        <v>FX20127988</v>
      </c>
      <c r="F1722" t="s">
        <v>19</v>
      </c>
      <c r="G1722" t="s">
        <v>19</v>
      </c>
      <c r="H1722" t="s">
        <v>82</v>
      </c>
      <c r="I1722" t="s">
        <v>4213</v>
      </c>
      <c r="J1722">
        <v>158</v>
      </c>
      <c r="K1722" t="s">
        <v>84</v>
      </c>
      <c r="L1722" t="s">
        <v>85</v>
      </c>
      <c r="M1722" t="s">
        <v>86</v>
      </c>
      <c r="N1722">
        <v>3</v>
      </c>
      <c r="O1722" s="1">
        <v>44215.692719907405</v>
      </c>
      <c r="P1722" s="1">
        <v>44216.346932870372</v>
      </c>
      <c r="Q1722">
        <v>53056</v>
      </c>
      <c r="R1722">
        <v>3468</v>
      </c>
      <c r="S1722" t="b">
        <v>0</v>
      </c>
      <c r="T1722" t="s">
        <v>87</v>
      </c>
      <c r="U1722" t="b">
        <v>1</v>
      </c>
      <c r="V1722" t="s">
        <v>160</v>
      </c>
      <c r="W1722" s="1">
        <v>44215.728067129632</v>
      </c>
      <c r="X1722">
        <v>3035</v>
      </c>
      <c r="Y1722">
        <v>143</v>
      </c>
      <c r="Z1722">
        <v>0</v>
      </c>
      <c r="AA1722">
        <v>143</v>
      </c>
      <c r="AB1722">
        <v>0</v>
      </c>
      <c r="AC1722">
        <v>109</v>
      </c>
      <c r="AD1722">
        <v>15</v>
      </c>
      <c r="AE1722">
        <v>0</v>
      </c>
      <c r="AF1722">
        <v>0</v>
      </c>
      <c r="AG1722">
        <v>0</v>
      </c>
      <c r="AH1722" t="s">
        <v>128</v>
      </c>
      <c r="AI1722" s="1">
        <v>44215.733078703706</v>
      </c>
      <c r="AJ1722">
        <v>321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15</v>
      </c>
      <c r="AQ1722">
        <v>0</v>
      </c>
      <c r="AR1722">
        <v>0</v>
      </c>
      <c r="AS1722">
        <v>0</v>
      </c>
      <c r="AT1722" t="s">
        <v>90</v>
      </c>
      <c r="AU1722" s="1">
        <v>44216.346932870372</v>
      </c>
      <c r="AV1722">
        <v>112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15</v>
      </c>
      <c r="BC1722">
        <v>0</v>
      </c>
      <c r="BD1722">
        <v>0</v>
      </c>
      <c r="BE1722">
        <v>0</v>
      </c>
    </row>
    <row r="1723" spans="1:57" hidden="1" x14ac:dyDescent="0.45">
      <c r="A1723" t="s">
        <v>4237</v>
      </c>
      <c r="B1723" t="s">
        <v>79</v>
      </c>
      <c r="C1723" t="s">
        <v>4233</v>
      </c>
      <c r="D1723" t="s">
        <v>81</v>
      </c>
      <c r="E1723" s="2" t="str">
        <f>HYPERLINK("capsilon://?command=openfolder&amp;siteaddress=FAM.docvelocity-na8.net&amp;folderid=FXE3D2F105-B3C8-5E12-3148-AE51AF641A1B","FX20126172")</f>
        <v>FX20126172</v>
      </c>
      <c r="F1723" t="s">
        <v>19</v>
      </c>
      <c r="G1723" t="s">
        <v>19</v>
      </c>
      <c r="H1723" t="s">
        <v>82</v>
      </c>
      <c r="I1723" t="s">
        <v>4238</v>
      </c>
      <c r="J1723">
        <v>66</v>
      </c>
      <c r="K1723" t="s">
        <v>84</v>
      </c>
      <c r="L1723" t="s">
        <v>85</v>
      </c>
      <c r="M1723" t="s">
        <v>86</v>
      </c>
      <c r="N1723">
        <v>1</v>
      </c>
      <c r="O1723" s="1">
        <v>44215.693182870367</v>
      </c>
      <c r="P1723" s="1">
        <v>44215.702326388891</v>
      </c>
      <c r="Q1723">
        <v>407</v>
      </c>
      <c r="R1723">
        <v>383</v>
      </c>
      <c r="S1723" t="b">
        <v>0</v>
      </c>
      <c r="T1723" t="s">
        <v>87</v>
      </c>
      <c r="U1723" t="b">
        <v>0</v>
      </c>
      <c r="V1723" t="s">
        <v>255</v>
      </c>
      <c r="W1723" s="1">
        <v>44215.702326388891</v>
      </c>
      <c r="X1723">
        <v>383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66</v>
      </c>
      <c r="AE1723">
        <v>52</v>
      </c>
      <c r="AF1723">
        <v>0</v>
      </c>
      <c r="AG1723">
        <v>1</v>
      </c>
      <c r="AH1723" t="s">
        <v>87</v>
      </c>
      <c r="AI1723" t="s">
        <v>87</v>
      </c>
      <c r="AJ1723" t="s">
        <v>87</v>
      </c>
      <c r="AK1723" t="s">
        <v>87</v>
      </c>
      <c r="AL1723" t="s">
        <v>87</v>
      </c>
      <c r="AM1723" t="s">
        <v>87</v>
      </c>
      <c r="AN1723" t="s">
        <v>87</v>
      </c>
      <c r="AO1723" t="s">
        <v>87</v>
      </c>
      <c r="AP1723" t="s">
        <v>87</v>
      </c>
      <c r="AQ1723" t="s">
        <v>87</v>
      </c>
      <c r="AR1723" t="s">
        <v>87</v>
      </c>
      <c r="AS1723" t="s">
        <v>87</v>
      </c>
      <c r="AT1723" t="s">
        <v>87</v>
      </c>
      <c r="AU1723" t="s">
        <v>87</v>
      </c>
      <c r="AV1723" t="s">
        <v>87</v>
      </c>
      <c r="AW1723" t="s">
        <v>87</v>
      </c>
      <c r="AX1723" t="s">
        <v>87</v>
      </c>
      <c r="AY1723" t="s">
        <v>87</v>
      </c>
      <c r="AZ1723" t="s">
        <v>87</v>
      </c>
      <c r="BA1723" t="s">
        <v>87</v>
      </c>
      <c r="BB1723" t="s">
        <v>87</v>
      </c>
      <c r="BC1723" t="s">
        <v>87</v>
      </c>
      <c r="BD1723" t="s">
        <v>87</v>
      </c>
      <c r="BE1723" t="s">
        <v>87</v>
      </c>
    </row>
    <row r="1724" spans="1:57" x14ac:dyDescent="0.45">
      <c r="A1724" t="s">
        <v>4239</v>
      </c>
      <c r="B1724" t="s">
        <v>79</v>
      </c>
      <c r="C1724" t="s">
        <v>1645</v>
      </c>
      <c r="D1724" t="s">
        <v>81</v>
      </c>
      <c r="E1724" s="2" t="str">
        <f>HYPERLINK("capsilon://?command=openfolder&amp;siteaddress=FAM.docvelocity-na8.net&amp;folderid=FX7A6D6680-14C1-5A53-DBD0-E629F31E888E","FX2012959")</f>
        <v>FX2012959</v>
      </c>
      <c r="F1724" t="s">
        <v>19</v>
      </c>
      <c r="G1724" t="s">
        <v>19</v>
      </c>
      <c r="H1724" t="s">
        <v>82</v>
      </c>
      <c r="I1724" t="s">
        <v>4224</v>
      </c>
      <c r="J1724">
        <v>38</v>
      </c>
      <c r="K1724" t="s">
        <v>84</v>
      </c>
      <c r="L1724" t="s">
        <v>85</v>
      </c>
      <c r="M1724" t="s">
        <v>86</v>
      </c>
      <c r="N1724">
        <v>3</v>
      </c>
      <c r="O1724" s="1">
        <v>44215.695243055554</v>
      </c>
      <c r="P1724" s="1">
        <v>44215.705208333333</v>
      </c>
      <c r="Q1724">
        <v>558</v>
      </c>
      <c r="R1724">
        <v>303</v>
      </c>
      <c r="S1724" t="b">
        <v>0</v>
      </c>
      <c r="T1724" t="s">
        <v>87</v>
      </c>
      <c r="U1724" t="b">
        <v>1</v>
      </c>
      <c r="V1724" t="s">
        <v>242</v>
      </c>
      <c r="W1724" s="1">
        <v>44215.698240740741</v>
      </c>
      <c r="X1724">
        <v>199</v>
      </c>
      <c r="Y1724">
        <v>37</v>
      </c>
      <c r="Z1724">
        <v>0</v>
      </c>
      <c r="AA1724">
        <v>37</v>
      </c>
      <c r="AB1724">
        <v>0</v>
      </c>
      <c r="AC1724">
        <v>14</v>
      </c>
      <c r="AD1724">
        <v>1</v>
      </c>
      <c r="AE1724">
        <v>0</v>
      </c>
      <c r="AF1724">
        <v>0</v>
      </c>
      <c r="AG1724">
        <v>0</v>
      </c>
      <c r="AH1724" t="s">
        <v>128</v>
      </c>
      <c r="AI1724" s="1">
        <v>44215.705000000002</v>
      </c>
      <c r="AJ1724">
        <v>98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 t="s">
        <v>90</v>
      </c>
      <c r="AU1724" s="1">
        <v>44215.705208333333</v>
      </c>
      <c r="AV1724">
        <v>6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</row>
    <row r="1725" spans="1:57" x14ac:dyDescent="0.45">
      <c r="A1725" t="s">
        <v>4240</v>
      </c>
      <c r="B1725" t="s">
        <v>79</v>
      </c>
      <c r="C1725" t="s">
        <v>4241</v>
      </c>
      <c r="D1725" t="s">
        <v>81</v>
      </c>
      <c r="E1725" s="2" t="str">
        <f>HYPERLINK("capsilon://?command=openfolder&amp;siteaddress=FAM.docvelocity-na8.net&amp;folderid=FX1BE9118F-F6B1-78E2-E242-D9EE3BD13FD9","FX20118696")</f>
        <v>FX20118696</v>
      </c>
      <c r="F1725" t="s">
        <v>19</v>
      </c>
      <c r="G1725" t="s">
        <v>19</v>
      </c>
      <c r="H1725" t="s">
        <v>82</v>
      </c>
      <c r="I1725" t="s">
        <v>4242</v>
      </c>
      <c r="J1725">
        <v>86</v>
      </c>
      <c r="K1725" t="s">
        <v>84</v>
      </c>
      <c r="L1725" t="s">
        <v>85</v>
      </c>
      <c r="M1725" t="s">
        <v>86</v>
      </c>
      <c r="N1725">
        <v>3</v>
      </c>
      <c r="O1725" s="1">
        <v>44215.698460648149</v>
      </c>
      <c r="P1725" s="1">
        <v>44216.370775462965</v>
      </c>
      <c r="Q1725">
        <v>53941</v>
      </c>
      <c r="R1725">
        <v>4147</v>
      </c>
      <c r="S1725" t="b">
        <v>0</v>
      </c>
      <c r="T1725" t="s">
        <v>87</v>
      </c>
      <c r="U1725" t="b">
        <v>0</v>
      </c>
      <c r="V1725" t="s">
        <v>146</v>
      </c>
      <c r="W1725" s="1">
        <v>44215.74082175926</v>
      </c>
      <c r="X1725">
        <v>3656</v>
      </c>
      <c r="Y1725">
        <v>93</v>
      </c>
      <c r="Z1725">
        <v>0</v>
      </c>
      <c r="AA1725">
        <v>93</v>
      </c>
      <c r="AB1725">
        <v>0</v>
      </c>
      <c r="AC1725">
        <v>45</v>
      </c>
      <c r="AD1725">
        <v>-7</v>
      </c>
      <c r="AE1725">
        <v>0</v>
      </c>
      <c r="AF1725">
        <v>0</v>
      </c>
      <c r="AG1725">
        <v>0</v>
      </c>
      <c r="AH1725" t="s">
        <v>267</v>
      </c>
      <c r="AI1725" s="1">
        <v>44215.796249999999</v>
      </c>
      <c r="AJ1725">
        <v>475</v>
      </c>
      <c r="AK1725">
        <v>1</v>
      </c>
      <c r="AL1725">
        <v>0</v>
      </c>
      <c r="AM1725">
        <v>1</v>
      </c>
      <c r="AN1725">
        <v>0</v>
      </c>
      <c r="AO1725">
        <v>1</v>
      </c>
      <c r="AP1725">
        <v>-8</v>
      </c>
      <c r="AQ1725">
        <v>0</v>
      </c>
      <c r="AR1725">
        <v>0</v>
      </c>
      <c r="AS1725">
        <v>0</v>
      </c>
      <c r="AT1725" t="s">
        <v>90</v>
      </c>
      <c r="AU1725" s="1">
        <v>44216.370775462965</v>
      </c>
      <c r="AV1725">
        <v>16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-8</v>
      </c>
      <c r="BC1725">
        <v>0</v>
      </c>
      <c r="BD1725">
        <v>0</v>
      </c>
      <c r="BE1725">
        <v>0</v>
      </c>
    </row>
    <row r="1726" spans="1:57" x14ac:dyDescent="0.45">
      <c r="A1726" t="s">
        <v>4243</v>
      </c>
      <c r="B1726" t="s">
        <v>79</v>
      </c>
      <c r="C1726" t="s">
        <v>4244</v>
      </c>
      <c r="D1726" t="s">
        <v>81</v>
      </c>
      <c r="E1726" s="2" t="str">
        <f>HYPERLINK("capsilon://?command=openfolder&amp;siteaddress=FAM.docvelocity-na8.net&amp;folderid=FXFC5D7CA9-429B-833C-B1E6-5FAED238F5C0","FX210110137")</f>
        <v>FX210110137</v>
      </c>
      <c r="F1726" t="s">
        <v>19</v>
      </c>
      <c r="G1726" t="s">
        <v>19</v>
      </c>
      <c r="H1726" t="s">
        <v>82</v>
      </c>
      <c r="I1726" t="s">
        <v>4245</v>
      </c>
      <c r="J1726">
        <v>210</v>
      </c>
      <c r="K1726" t="s">
        <v>84</v>
      </c>
      <c r="L1726" t="s">
        <v>85</v>
      </c>
      <c r="M1726" t="s">
        <v>86</v>
      </c>
      <c r="N1726">
        <v>3</v>
      </c>
      <c r="O1726" s="1">
        <v>44215.698530092595</v>
      </c>
      <c r="P1726" s="1">
        <v>44216.371493055558</v>
      </c>
      <c r="Q1726">
        <v>57039</v>
      </c>
      <c r="R1726">
        <v>1105</v>
      </c>
      <c r="S1726" t="b">
        <v>0</v>
      </c>
      <c r="T1726" t="s">
        <v>87</v>
      </c>
      <c r="U1726" t="b">
        <v>0</v>
      </c>
      <c r="V1726" t="s">
        <v>242</v>
      </c>
      <c r="W1726" s="1">
        <v>44215.709606481483</v>
      </c>
      <c r="X1726">
        <v>555</v>
      </c>
      <c r="Y1726">
        <v>192</v>
      </c>
      <c r="Z1726">
        <v>0</v>
      </c>
      <c r="AA1726">
        <v>192</v>
      </c>
      <c r="AB1726">
        <v>0</v>
      </c>
      <c r="AC1726">
        <v>107</v>
      </c>
      <c r="AD1726">
        <v>18</v>
      </c>
      <c r="AE1726">
        <v>0</v>
      </c>
      <c r="AF1726">
        <v>0</v>
      </c>
      <c r="AG1726">
        <v>0</v>
      </c>
      <c r="AH1726" t="s">
        <v>128</v>
      </c>
      <c r="AI1726" s="1">
        <v>44215.796840277777</v>
      </c>
      <c r="AJ1726">
        <v>488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18</v>
      </c>
      <c r="AQ1726">
        <v>0</v>
      </c>
      <c r="AR1726">
        <v>0</v>
      </c>
      <c r="AS1726">
        <v>0</v>
      </c>
      <c r="AT1726" t="s">
        <v>90</v>
      </c>
      <c r="AU1726" s="1">
        <v>44216.371493055558</v>
      </c>
      <c r="AV1726">
        <v>62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18</v>
      </c>
      <c r="BC1726">
        <v>0</v>
      </c>
      <c r="BD1726">
        <v>0</v>
      </c>
      <c r="BE1726">
        <v>0</v>
      </c>
    </row>
    <row r="1727" spans="1:57" x14ac:dyDescent="0.45">
      <c r="A1727" t="s">
        <v>4246</v>
      </c>
      <c r="B1727" t="s">
        <v>79</v>
      </c>
      <c r="C1727" t="s">
        <v>4226</v>
      </c>
      <c r="D1727" t="s">
        <v>81</v>
      </c>
      <c r="E1727" s="2" t="str">
        <f>HYPERLINK("capsilon://?command=openfolder&amp;siteaddress=FAM.docvelocity-na8.net&amp;folderid=FX61018A86-366A-3FFD-9A18-B65CE1C10912","FX21019591")</f>
        <v>FX21019591</v>
      </c>
      <c r="F1727" t="s">
        <v>19</v>
      </c>
      <c r="G1727" t="s">
        <v>19</v>
      </c>
      <c r="H1727" t="s">
        <v>82</v>
      </c>
      <c r="I1727" t="s">
        <v>4227</v>
      </c>
      <c r="J1727">
        <v>52</v>
      </c>
      <c r="K1727" t="s">
        <v>84</v>
      </c>
      <c r="L1727" t="s">
        <v>85</v>
      </c>
      <c r="M1727" t="s">
        <v>86</v>
      </c>
      <c r="N1727">
        <v>3</v>
      </c>
      <c r="O1727" s="1">
        <v>44215.698981481481</v>
      </c>
      <c r="P1727" s="1">
        <v>44216.347256944442</v>
      </c>
      <c r="Q1727">
        <v>50474</v>
      </c>
      <c r="R1727">
        <v>5537</v>
      </c>
      <c r="S1727" t="b">
        <v>0</v>
      </c>
      <c r="T1727" t="s">
        <v>87</v>
      </c>
      <c r="U1727" t="b">
        <v>1</v>
      </c>
      <c r="V1727" t="s">
        <v>179</v>
      </c>
      <c r="W1727" s="1">
        <v>44215.761296296296</v>
      </c>
      <c r="X1727">
        <v>5136</v>
      </c>
      <c r="Y1727">
        <v>91</v>
      </c>
      <c r="Z1727">
        <v>0</v>
      </c>
      <c r="AA1727">
        <v>91</v>
      </c>
      <c r="AB1727">
        <v>0</v>
      </c>
      <c r="AC1727">
        <v>91</v>
      </c>
      <c r="AD1727">
        <v>-39</v>
      </c>
      <c r="AE1727">
        <v>0</v>
      </c>
      <c r="AF1727">
        <v>0</v>
      </c>
      <c r="AG1727">
        <v>0</v>
      </c>
      <c r="AH1727" t="s">
        <v>267</v>
      </c>
      <c r="AI1727" s="1">
        <v>44215.772939814815</v>
      </c>
      <c r="AJ1727">
        <v>334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-39</v>
      </c>
      <c r="AQ1727">
        <v>0</v>
      </c>
      <c r="AR1727">
        <v>0</v>
      </c>
      <c r="AS1727">
        <v>0</v>
      </c>
      <c r="AT1727" t="s">
        <v>90</v>
      </c>
      <c r="AU1727" s="1">
        <v>44216.347256944442</v>
      </c>
      <c r="AV1727">
        <v>27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-39</v>
      </c>
      <c r="BC1727">
        <v>0</v>
      </c>
      <c r="BD1727">
        <v>0</v>
      </c>
      <c r="BE1727">
        <v>0</v>
      </c>
    </row>
    <row r="1728" spans="1:57" x14ac:dyDescent="0.45">
      <c r="A1728" t="s">
        <v>4247</v>
      </c>
      <c r="B1728" t="s">
        <v>79</v>
      </c>
      <c r="C1728" t="s">
        <v>2723</v>
      </c>
      <c r="D1728" t="s">
        <v>81</v>
      </c>
      <c r="E1728" s="2" t="str">
        <f>HYPERLINK("capsilon://?command=openfolder&amp;siteaddress=FAM.docvelocity-na8.net&amp;folderid=FX21B1759B-D0C8-0853-F05D-F26D1F00119A","FX201222282")</f>
        <v>FX201222282</v>
      </c>
      <c r="F1728" t="s">
        <v>19</v>
      </c>
      <c r="G1728" t="s">
        <v>19</v>
      </c>
      <c r="H1728" t="s">
        <v>82</v>
      </c>
      <c r="I1728" t="s">
        <v>4248</v>
      </c>
      <c r="J1728">
        <v>43</v>
      </c>
      <c r="K1728" t="s">
        <v>84</v>
      </c>
      <c r="L1728" t="s">
        <v>85</v>
      </c>
      <c r="M1728" t="s">
        <v>86</v>
      </c>
      <c r="N1728">
        <v>3</v>
      </c>
      <c r="O1728" s="1">
        <v>44215.699895833335</v>
      </c>
      <c r="P1728" s="1">
        <v>44216.371828703705</v>
      </c>
      <c r="Q1728">
        <v>57539</v>
      </c>
      <c r="R1728">
        <v>516</v>
      </c>
      <c r="S1728" t="b">
        <v>0</v>
      </c>
      <c r="T1728" t="s">
        <v>87</v>
      </c>
      <c r="U1728" t="b">
        <v>0</v>
      </c>
      <c r="V1728" t="s">
        <v>242</v>
      </c>
      <c r="W1728" s="1">
        <v>44215.71298611111</v>
      </c>
      <c r="X1728">
        <v>291</v>
      </c>
      <c r="Y1728">
        <v>46</v>
      </c>
      <c r="Z1728">
        <v>0</v>
      </c>
      <c r="AA1728">
        <v>46</v>
      </c>
      <c r="AB1728">
        <v>0</v>
      </c>
      <c r="AC1728">
        <v>31</v>
      </c>
      <c r="AD1728">
        <v>-3</v>
      </c>
      <c r="AE1728">
        <v>0</v>
      </c>
      <c r="AF1728">
        <v>0</v>
      </c>
      <c r="AG1728">
        <v>0</v>
      </c>
      <c r="AH1728" t="s">
        <v>267</v>
      </c>
      <c r="AI1728" s="1">
        <v>44215.798541666663</v>
      </c>
      <c r="AJ1728">
        <v>197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-3</v>
      </c>
      <c r="AQ1728">
        <v>0</v>
      </c>
      <c r="AR1728">
        <v>0</v>
      </c>
      <c r="AS1728">
        <v>0</v>
      </c>
      <c r="AT1728" t="s">
        <v>90</v>
      </c>
      <c r="AU1728" s="1">
        <v>44216.371828703705</v>
      </c>
      <c r="AV1728">
        <v>28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-3</v>
      </c>
      <c r="BC1728">
        <v>0</v>
      </c>
      <c r="BD1728">
        <v>0</v>
      </c>
      <c r="BE1728">
        <v>0</v>
      </c>
    </row>
    <row r="1729" spans="1:57" x14ac:dyDescent="0.45">
      <c r="A1729" t="s">
        <v>4249</v>
      </c>
      <c r="B1729" t="s">
        <v>79</v>
      </c>
      <c r="C1729" t="s">
        <v>4241</v>
      </c>
      <c r="D1729" t="s">
        <v>81</v>
      </c>
      <c r="E1729" s="2" t="str">
        <f>HYPERLINK("capsilon://?command=openfolder&amp;siteaddress=FAM.docvelocity-na8.net&amp;folderid=FX1BE9118F-F6B1-78E2-E242-D9EE3BD13FD9","FX20118696")</f>
        <v>FX20118696</v>
      </c>
      <c r="F1729" t="s">
        <v>19</v>
      </c>
      <c r="G1729" t="s">
        <v>19</v>
      </c>
      <c r="H1729" t="s">
        <v>82</v>
      </c>
      <c r="I1729" t="s">
        <v>4250</v>
      </c>
      <c r="J1729">
        <v>169</v>
      </c>
      <c r="K1729" t="s">
        <v>84</v>
      </c>
      <c r="L1729" t="s">
        <v>85</v>
      </c>
      <c r="M1729" t="s">
        <v>86</v>
      </c>
      <c r="N1729">
        <v>3</v>
      </c>
      <c r="O1729" s="1">
        <v>44215.700127314813</v>
      </c>
      <c r="P1729" s="1">
        <v>44216.372847222221</v>
      </c>
      <c r="Q1729">
        <v>57273</v>
      </c>
      <c r="R1729">
        <v>850</v>
      </c>
      <c r="S1729" t="b">
        <v>0</v>
      </c>
      <c r="T1729" t="s">
        <v>87</v>
      </c>
      <c r="U1729" t="b">
        <v>0</v>
      </c>
      <c r="V1729" t="s">
        <v>142</v>
      </c>
      <c r="W1729" s="1">
        <v>44215.715381944443</v>
      </c>
      <c r="X1729">
        <v>443</v>
      </c>
      <c r="Y1729">
        <v>157</v>
      </c>
      <c r="Z1729">
        <v>0</v>
      </c>
      <c r="AA1729">
        <v>157</v>
      </c>
      <c r="AB1729">
        <v>0</v>
      </c>
      <c r="AC1729">
        <v>58</v>
      </c>
      <c r="AD1729">
        <v>12</v>
      </c>
      <c r="AE1729">
        <v>0</v>
      </c>
      <c r="AF1729">
        <v>0</v>
      </c>
      <c r="AG1729">
        <v>0</v>
      </c>
      <c r="AH1729" t="s">
        <v>128</v>
      </c>
      <c r="AI1729" s="1">
        <v>44215.800543981481</v>
      </c>
      <c r="AJ1729">
        <v>319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12</v>
      </c>
      <c r="AQ1729">
        <v>0</v>
      </c>
      <c r="AR1729">
        <v>0</v>
      </c>
      <c r="AS1729">
        <v>0</v>
      </c>
      <c r="AT1729" t="s">
        <v>90</v>
      </c>
      <c r="AU1729" s="1">
        <v>44216.372847222221</v>
      </c>
      <c r="AV1729">
        <v>88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12</v>
      </c>
      <c r="BC1729">
        <v>0</v>
      </c>
      <c r="BD1729">
        <v>0</v>
      </c>
      <c r="BE1729">
        <v>0</v>
      </c>
    </row>
    <row r="1730" spans="1:57" hidden="1" x14ac:dyDescent="0.45">
      <c r="A1730" t="s">
        <v>4251</v>
      </c>
      <c r="B1730" t="s">
        <v>79</v>
      </c>
      <c r="C1730" t="s">
        <v>2589</v>
      </c>
      <c r="D1730" t="s">
        <v>81</v>
      </c>
      <c r="E1730" s="2" t="str">
        <f>HYPERLINK("capsilon://?command=openfolder&amp;siteaddress=FAM.docvelocity-na8.net&amp;folderid=FX10EF0C96-9773-4A74-7EAE-E17C422C8693","FX20128235")</f>
        <v>FX20128235</v>
      </c>
      <c r="F1730" t="s">
        <v>19</v>
      </c>
      <c r="G1730" t="s">
        <v>19</v>
      </c>
      <c r="H1730" t="s">
        <v>82</v>
      </c>
      <c r="I1730" t="s">
        <v>4252</v>
      </c>
      <c r="J1730">
        <v>66</v>
      </c>
      <c r="K1730" t="s">
        <v>84</v>
      </c>
      <c r="L1730" t="s">
        <v>85</v>
      </c>
      <c r="M1730" t="s">
        <v>86</v>
      </c>
      <c r="N1730">
        <v>3</v>
      </c>
      <c r="O1730" s="1">
        <v>44215.700196759259</v>
      </c>
      <c r="P1730" s="1">
        <v>44216.372881944444</v>
      </c>
      <c r="Q1730">
        <v>57989</v>
      </c>
      <c r="R1730">
        <v>131</v>
      </c>
      <c r="S1730" t="b">
        <v>0</v>
      </c>
      <c r="T1730" t="s">
        <v>87</v>
      </c>
      <c r="U1730" t="b">
        <v>0</v>
      </c>
      <c r="V1730" t="s">
        <v>242</v>
      </c>
      <c r="W1730" s="1">
        <v>44215.713750000003</v>
      </c>
      <c r="X1730">
        <v>65</v>
      </c>
      <c r="Y1730">
        <v>0</v>
      </c>
      <c r="Z1730">
        <v>0</v>
      </c>
      <c r="AA1730">
        <v>0</v>
      </c>
      <c r="AB1730">
        <v>52</v>
      </c>
      <c r="AC1730">
        <v>0</v>
      </c>
      <c r="AD1730">
        <v>66</v>
      </c>
      <c r="AE1730">
        <v>0</v>
      </c>
      <c r="AF1730">
        <v>0</v>
      </c>
      <c r="AG1730">
        <v>0</v>
      </c>
      <c r="AH1730" t="s">
        <v>267</v>
      </c>
      <c r="AI1730" s="1">
        <v>44215.79928240741</v>
      </c>
      <c r="AJ1730">
        <v>63</v>
      </c>
      <c r="AK1730">
        <v>0</v>
      </c>
      <c r="AL1730">
        <v>0</v>
      </c>
      <c r="AM1730">
        <v>0</v>
      </c>
      <c r="AN1730">
        <v>52</v>
      </c>
      <c r="AO1730">
        <v>0</v>
      </c>
      <c r="AP1730">
        <v>66</v>
      </c>
      <c r="AQ1730">
        <v>0</v>
      </c>
      <c r="AR1730">
        <v>0</v>
      </c>
      <c r="AS1730">
        <v>0</v>
      </c>
      <c r="AT1730" t="s">
        <v>90</v>
      </c>
      <c r="AU1730" s="1">
        <v>44216.372881944444</v>
      </c>
      <c r="AV1730">
        <v>3</v>
      </c>
      <c r="AW1730">
        <v>0</v>
      </c>
      <c r="AX1730">
        <v>0</v>
      </c>
      <c r="AY1730">
        <v>0</v>
      </c>
      <c r="AZ1730">
        <v>52</v>
      </c>
      <c r="BA1730">
        <v>0</v>
      </c>
      <c r="BB1730">
        <v>66</v>
      </c>
      <c r="BC1730">
        <v>0</v>
      </c>
      <c r="BD1730">
        <v>0</v>
      </c>
      <c r="BE1730">
        <v>0</v>
      </c>
    </row>
    <row r="1731" spans="1:57" hidden="1" x14ac:dyDescent="0.45">
      <c r="A1731" t="s">
        <v>4253</v>
      </c>
      <c r="B1731" t="s">
        <v>79</v>
      </c>
      <c r="C1731" t="s">
        <v>2472</v>
      </c>
      <c r="D1731" t="s">
        <v>81</v>
      </c>
      <c r="E1731" s="2" t="str">
        <f>HYPERLINK("capsilon://?command=openfolder&amp;siteaddress=FAM.docvelocity-na8.net&amp;folderid=FXCC5CEFAA-7297-6936-DCF4-A77F4E3DFB31","FX201110096")</f>
        <v>FX201110096</v>
      </c>
      <c r="F1731" t="s">
        <v>19</v>
      </c>
      <c r="G1731" t="s">
        <v>19</v>
      </c>
      <c r="H1731" t="s">
        <v>82</v>
      </c>
      <c r="I1731" t="s">
        <v>4254</v>
      </c>
      <c r="J1731">
        <v>66</v>
      </c>
      <c r="K1731" t="s">
        <v>84</v>
      </c>
      <c r="L1731" t="s">
        <v>85</v>
      </c>
      <c r="M1731" t="s">
        <v>86</v>
      </c>
      <c r="N1731">
        <v>1</v>
      </c>
      <c r="O1731" s="1">
        <v>44215.700416666667</v>
      </c>
      <c r="P1731" s="1">
        <v>44215.713877314818</v>
      </c>
      <c r="Q1731">
        <v>1093</v>
      </c>
      <c r="R1731">
        <v>70</v>
      </c>
      <c r="S1731" t="b">
        <v>0</v>
      </c>
      <c r="T1731" t="s">
        <v>87</v>
      </c>
      <c r="U1731" t="b">
        <v>0</v>
      </c>
      <c r="V1731" t="s">
        <v>255</v>
      </c>
      <c r="W1731" s="1">
        <v>44215.713877314818</v>
      </c>
      <c r="X1731">
        <v>70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66</v>
      </c>
      <c r="AE1731">
        <v>52</v>
      </c>
      <c r="AF1731">
        <v>0</v>
      </c>
      <c r="AG1731">
        <v>1</v>
      </c>
      <c r="AH1731" t="s">
        <v>87</v>
      </c>
      <c r="AI1731" t="s">
        <v>87</v>
      </c>
      <c r="AJ1731" t="s">
        <v>87</v>
      </c>
      <c r="AK1731" t="s">
        <v>87</v>
      </c>
      <c r="AL1731" t="s">
        <v>87</v>
      </c>
      <c r="AM1731" t="s">
        <v>87</v>
      </c>
      <c r="AN1731" t="s">
        <v>87</v>
      </c>
      <c r="AO1731" t="s">
        <v>87</v>
      </c>
      <c r="AP1731" t="s">
        <v>87</v>
      </c>
      <c r="AQ1731" t="s">
        <v>87</v>
      </c>
      <c r="AR1731" t="s">
        <v>87</v>
      </c>
      <c r="AS1731" t="s">
        <v>87</v>
      </c>
      <c r="AT1731" t="s">
        <v>87</v>
      </c>
      <c r="AU1731" t="s">
        <v>87</v>
      </c>
      <c r="AV1731" t="s">
        <v>87</v>
      </c>
      <c r="AW1731" t="s">
        <v>87</v>
      </c>
      <c r="AX1731" t="s">
        <v>87</v>
      </c>
      <c r="AY1731" t="s">
        <v>87</v>
      </c>
      <c r="AZ1731" t="s">
        <v>87</v>
      </c>
      <c r="BA1731" t="s">
        <v>87</v>
      </c>
      <c r="BB1731" t="s">
        <v>87</v>
      </c>
      <c r="BC1731" t="s">
        <v>87</v>
      </c>
      <c r="BD1731" t="s">
        <v>87</v>
      </c>
      <c r="BE1731" t="s">
        <v>87</v>
      </c>
    </row>
    <row r="1732" spans="1:57" x14ac:dyDescent="0.45">
      <c r="A1732" t="s">
        <v>4255</v>
      </c>
      <c r="B1732" t="s">
        <v>79</v>
      </c>
      <c r="C1732" t="s">
        <v>4226</v>
      </c>
      <c r="D1732" t="s">
        <v>81</v>
      </c>
      <c r="E1732" s="2" t="str">
        <f>HYPERLINK("capsilon://?command=openfolder&amp;siteaddress=FAM.docvelocity-na8.net&amp;folderid=FX61018A86-366A-3FFD-9A18-B65CE1C10912","FX21019591")</f>
        <v>FX21019591</v>
      </c>
      <c r="F1732" t="s">
        <v>19</v>
      </c>
      <c r="G1732" t="s">
        <v>19</v>
      </c>
      <c r="H1732" t="s">
        <v>82</v>
      </c>
      <c r="I1732" t="s">
        <v>4229</v>
      </c>
      <c r="J1732">
        <v>41</v>
      </c>
      <c r="K1732" t="s">
        <v>84</v>
      </c>
      <c r="L1732" t="s">
        <v>85</v>
      </c>
      <c r="M1732" t="s">
        <v>86</v>
      </c>
      <c r="N1732">
        <v>3</v>
      </c>
      <c r="O1732" s="1">
        <v>44215.701597222222</v>
      </c>
      <c r="P1732" s="1">
        <v>44216.347430555557</v>
      </c>
      <c r="Q1732">
        <v>54685</v>
      </c>
      <c r="R1732">
        <v>1115</v>
      </c>
      <c r="S1732" t="b">
        <v>0</v>
      </c>
      <c r="T1732" t="s">
        <v>87</v>
      </c>
      <c r="U1732" t="b">
        <v>1</v>
      </c>
      <c r="V1732" t="s">
        <v>255</v>
      </c>
      <c r="W1732" s="1">
        <v>44215.713055555556</v>
      </c>
      <c r="X1732">
        <v>926</v>
      </c>
      <c r="Y1732">
        <v>54</v>
      </c>
      <c r="Z1732">
        <v>0</v>
      </c>
      <c r="AA1732">
        <v>54</v>
      </c>
      <c r="AB1732">
        <v>0</v>
      </c>
      <c r="AC1732">
        <v>52</v>
      </c>
      <c r="AD1732">
        <v>-13</v>
      </c>
      <c r="AE1732">
        <v>0</v>
      </c>
      <c r="AF1732">
        <v>0</v>
      </c>
      <c r="AG1732">
        <v>0</v>
      </c>
      <c r="AH1732" t="s">
        <v>267</v>
      </c>
      <c r="AI1732" s="1">
        <v>44215.718391203707</v>
      </c>
      <c r="AJ1732">
        <v>175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-13</v>
      </c>
      <c r="AQ1732">
        <v>0</v>
      </c>
      <c r="AR1732">
        <v>0</v>
      </c>
      <c r="AS1732">
        <v>0</v>
      </c>
      <c r="AT1732" t="s">
        <v>90</v>
      </c>
      <c r="AU1732" s="1">
        <v>44216.347430555557</v>
      </c>
      <c r="AV1732">
        <v>14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-13</v>
      </c>
      <c r="BC1732">
        <v>0</v>
      </c>
      <c r="BD1732">
        <v>0</v>
      </c>
      <c r="BE1732">
        <v>0</v>
      </c>
    </row>
    <row r="1733" spans="1:57" x14ac:dyDescent="0.45">
      <c r="A1733" t="s">
        <v>4256</v>
      </c>
      <c r="B1733" t="s">
        <v>79</v>
      </c>
      <c r="C1733" t="s">
        <v>2723</v>
      </c>
      <c r="D1733" t="s">
        <v>81</v>
      </c>
      <c r="E1733" s="2" t="str">
        <f>HYPERLINK("capsilon://?command=openfolder&amp;siteaddress=FAM.docvelocity-na8.net&amp;folderid=FX21B1759B-D0C8-0853-F05D-F26D1F00119A","FX201222282")</f>
        <v>FX201222282</v>
      </c>
      <c r="F1733" t="s">
        <v>19</v>
      </c>
      <c r="G1733" t="s">
        <v>19</v>
      </c>
      <c r="H1733" t="s">
        <v>82</v>
      </c>
      <c r="I1733" t="s">
        <v>4257</v>
      </c>
      <c r="J1733">
        <v>43</v>
      </c>
      <c r="K1733" t="s">
        <v>84</v>
      </c>
      <c r="L1733" t="s">
        <v>85</v>
      </c>
      <c r="M1733" t="s">
        <v>86</v>
      </c>
      <c r="N1733">
        <v>3</v>
      </c>
      <c r="O1733" s="1">
        <v>44215.702361111114</v>
      </c>
      <c r="P1733" s="1">
        <v>44216.373240740744</v>
      </c>
      <c r="Q1733">
        <v>57509</v>
      </c>
      <c r="R1733">
        <v>455</v>
      </c>
      <c r="S1733" t="b">
        <v>0</v>
      </c>
      <c r="T1733" t="s">
        <v>87</v>
      </c>
      <c r="U1733" t="b">
        <v>0</v>
      </c>
      <c r="V1733" t="s">
        <v>242</v>
      </c>
      <c r="W1733" s="1">
        <v>44215.716631944444</v>
      </c>
      <c r="X1733">
        <v>248</v>
      </c>
      <c r="Y1733">
        <v>51</v>
      </c>
      <c r="Z1733">
        <v>0</v>
      </c>
      <c r="AA1733">
        <v>51</v>
      </c>
      <c r="AB1733">
        <v>0</v>
      </c>
      <c r="AC1733">
        <v>35</v>
      </c>
      <c r="AD1733">
        <v>-8</v>
      </c>
      <c r="AE1733">
        <v>0</v>
      </c>
      <c r="AF1733">
        <v>0</v>
      </c>
      <c r="AG1733">
        <v>0</v>
      </c>
      <c r="AH1733" t="s">
        <v>267</v>
      </c>
      <c r="AI1733" s="1">
        <v>44215.80133101852</v>
      </c>
      <c r="AJ1733">
        <v>177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-8</v>
      </c>
      <c r="AQ1733">
        <v>0</v>
      </c>
      <c r="AR1733">
        <v>0</v>
      </c>
      <c r="AS1733">
        <v>0</v>
      </c>
      <c r="AT1733" t="s">
        <v>90</v>
      </c>
      <c r="AU1733" s="1">
        <v>44216.373240740744</v>
      </c>
      <c r="AV1733">
        <v>30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-8</v>
      </c>
      <c r="BC1733">
        <v>0</v>
      </c>
      <c r="BD1733">
        <v>0</v>
      </c>
      <c r="BE1733">
        <v>0</v>
      </c>
    </row>
    <row r="1734" spans="1:57" x14ac:dyDescent="0.45">
      <c r="A1734" t="s">
        <v>4258</v>
      </c>
      <c r="B1734" t="s">
        <v>79</v>
      </c>
      <c r="C1734" t="s">
        <v>2723</v>
      </c>
      <c r="D1734" t="s">
        <v>81</v>
      </c>
      <c r="E1734" s="2" t="str">
        <f>HYPERLINK("capsilon://?command=openfolder&amp;siteaddress=FAM.docvelocity-na8.net&amp;folderid=FX21B1759B-D0C8-0853-F05D-F26D1F00119A","FX201222282")</f>
        <v>FX201222282</v>
      </c>
      <c r="F1734" t="s">
        <v>19</v>
      </c>
      <c r="G1734" t="s">
        <v>19</v>
      </c>
      <c r="H1734" t="s">
        <v>82</v>
      </c>
      <c r="I1734" t="s">
        <v>4259</v>
      </c>
      <c r="J1734">
        <v>34</v>
      </c>
      <c r="K1734" t="s">
        <v>84</v>
      </c>
      <c r="L1734" t="s">
        <v>85</v>
      </c>
      <c r="M1734" t="s">
        <v>86</v>
      </c>
      <c r="N1734">
        <v>3</v>
      </c>
      <c r="O1734" s="1">
        <v>44215.703009259261</v>
      </c>
      <c r="P1734" s="1">
        <v>44216.373425925929</v>
      </c>
      <c r="Q1734">
        <v>57262</v>
      </c>
      <c r="R1734">
        <v>662</v>
      </c>
      <c r="S1734" t="b">
        <v>0</v>
      </c>
      <c r="T1734" t="s">
        <v>87</v>
      </c>
      <c r="U1734" t="b">
        <v>0</v>
      </c>
      <c r="V1734" t="s">
        <v>255</v>
      </c>
      <c r="W1734" s="1">
        <v>44215.719224537039</v>
      </c>
      <c r="X1734">
        <v>461</v>
      </c>
      <c r="Y1734">
        <v>56</v>
      </c>
      <c r="Z1734">
        <v>0</v>
      </c>
      <c r="AA1734">
        <v>56</v>
      </c>
      <c r="AB1734">
        <v>0</v>
      </c>
      <c r="AC1734">
        <v>48</v>
      </c>
      <c r="AD1734">
        <v>-22</v>
      </c>
      <c r="AE1734">
        <v>0</v>
      </c>
      <c r="AF1734">
        <v>0</v>
      </c>
      <c r="AG1734">
        <v>0</v>
      </c>
      <c r="AH1734" t="s">
        <v>128</v>
      </c>
      <c r="AI1734" s="1">
        <v>44215.802708333336</v>
      </c>
      <c r="AJ1734">
        <v>186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-22</v>
      </c>
      <c r="AQ1734">
        <v>0</v>
      </c>
      <c r="AR1734">
        <v>0</v>
      </c>
      <c r="AS1734">
        <v>0</v>
      </c>
      <c r="AT1734" t="s">
        <v>90</v>
      </c>
      <c r="AU1734" s="1">
        <v>44216.373425925929</v>
      </c>
      <c r="AV1734">
        <v>15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-22</v>
      </c>
      <c r="BC1734">
        <v>0</v>
      </c>
      <c r="BD1734">
        <v>0</v>
      </c>
      <c r="BE1734">
        <v>0</v>
      </c>
    </row>
    <row r="1735" spans="1:57" x14ac:dyDescent="0.45">
      <c r="A1735" t="s">
        <v>4260</v>
      </c>
      <c r="B1735" t="s">
        <v>79</v>
      </c>
      <c r="C1735" t="s">
        <v>2723</v>
      </c>
      <c r="D1735" t="s">
        <v>81</v>
      </c>
      <c r="E1735" s="2" t="str">
        <f>HYPERLINK("capsilon://?command=openfolder&amp;siteaddress=FAM.docvelocity-na8.net&amp;folderid=FX21B1759B-D0C8-0853-F05D-F26D1F00119A","FX201222282")</f>
        <v>FX201222282</v>
      </c>
      <c r="F1735" t="s">
        <v>19</v>
      </c>
      <c r="G1735" t="s">
        <v>19</v>
      </c>
      <c r="H1735" t="s">
        <v>82</v>
      </c>
      <c r="I1735" t="s">
        <v>4261</v>
      </c>
      <c r="J1735">
        <v>42</v>
      </c>
      <c r="K1735" t="s">
        <v>84</v>
      </c>
      <c r="L1735" t="s">
        <v>85</v>
      </c>
      <c r="M1735" t="s">
        <v>86</v>
      </c>
      <c r="N1735">
        <v>3</v>
      </c>
      <c r="O1735" s="1">
        <v>44215.70412037037</v>
      </c>
      <c r="P1735" s="1">
        <v>44216.373460648145</v>
      </c>
      <c r="Q1735">
        <v>57007</v>
      </c>
      <c r="R1735">
        <v>824</v>
      </c>
      <c r="S1735" t="b">
        <v>0</v>
      </c>
      <c r="T1735" t="s">
        <v>87</v>
      </c>
      <c r="U1735" t="b">
        <v>0</v>
      </c>
      <c r="V1735" t="s">
        <v>242</v>
      </c>
      <c r="W1735" s="1">
        <v>44215.725636574076</v>
      </c>
      <c r="X1735">
        <v>553</v>
      </c>
      <c r="Y1735">
        <v>56</v>
      </c>
      <c r="Z1735">
        <v>0</v>
      </c>
      <c r="AA1735">
        <v>56</v>
      </c>
      <c r="AB1735">
        <v>0</v>
      </c>
      <c r="AC1735">
        <v>52</v>
      </c>
      <c r="AD1735">
        <v>-14</v>
      </c>
      <c r="AE1735">
        <v>0</v>
      </c>
      <c r="AF1735">
        <v>0</v>
      </c>
      <c r="AG1735">
        <v>0</v>
      </c>
      <c r="AH1735" t="s">
        <v>267</v>
      </c>
      <c r="AI1735" s="1">
        <v>44215.804444444446</v>
      </c>
      <c r="AJ1735">
        <v>268</v>
      </c>
      <c r="AK1735">
        <v>1</v>
      </c>
      <c r="AL1735">
        <v>0</v>
      </c>
      <c r="AM1735">
        <v>1</v>
      </c>
      <c r="AN1735">
        <v>0</v>
      </c>
      <c r="AO1735">
        <v>1</v>
      </c>
      <c r="AP1735">
        <v>-15</v>
      </c>
      <c r="AQ1735">
        <v>0</v>
      </c>
      <c r="AR1735">
        <v>0</v>
      </c>
      <c r="AS1735">
        <v>0</v>
      </c>
      <c r="AT1735" t="s">
        <v>90</v>
      </c>
      <c r="AU1735" s="1">
        <v>44216.373460648145</v>
      </c>
      <c r="AV1735">
        <v>3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-15</v>
      </c>
      <c r="BC1735">
        <v>0</v>
      </c>
      <c r="BD1735">
        <v>0</v>
      </c>
      <c r="BE1735">
        <v>0</v>
      </c>
    </row>
    <row r="1736" spans="1:57" x14ac:dyDescent="0.45">
      <c r="A1736" t="s">
        <v>4262</v>
      </c>
      <c r="B1736" t="s">
        <v>79</v>
      </c>
      <c r="C1736" t="s">
        <v>4263</v>
      </c>
      <c r="D1736" t="s">
        <v>81</v>
      </c>
      <c r="E1736" s="2" t="str">
        <f>HYPERLINK("capsilon://?command=openfolder&amp;siteaddress=FAM.docvelocity-na8.net&amp;folderid=FX6898E36C-91A4-5539-DE53-14A610109486","FX210110257")</f>
        <v>FX210110257</v>
      </c>
      <c r="F1736" t="s">
        <v>19</v>
      </c>
      <c r="G1736" t="s">
        <v>19</v>
      </c>
      <c r="H1736" t="s">
        <v>82</v>
      </c>
      <c r="I1736" t="s">
        <v>4264</v>
      </c>
      <c r="J1736">
        <v>471</v>
      </c>
      <c r="K1736" t="s">
        <v>84</v>
      </c>
      <c r="L1736" t="s">
        <v>85</v>
      </c>
      <c r="M1736" t="s">
        <v>86</v>
      </c>
      <c r="N1736">
        <v>3</v>
      </c>
      <c r="O1736" s="1">
        <v>44215.704525462963</v>
      </c>
      <c r="P1736" s="1">
        <v>44216.373703703706</v>
      </c>
      <c r="Q1736">
        <v>56428</v>
      </c>
      <c r="R1736">
        <v>1389</v>
      </c>
      <c r="S1736" t="b">
        <v>0</v>
      </c>
      <c r="T1736" t="s">
        <v>87</v>
      </c>
      <c r="U1736" t="b">
        <v>0</v>
      </c>
      <c r="V1736" t="s">
        <v>255</v>
      </c>
      <c r="W1736" s="1">
        <v>44215.726527777777</v>
      </c>
      <c r="X1736">
        <v>630</v>
      </c>
      <c r="Y1736">
        <v>153</v>
      </c>
      <c r="Z1736">
        <v>0</v>
      </c>
      <c r="AA1736">
        <v>153</v>
      </c>
      <c r="AB1736">
        <v>213</v>
      </c>
      <c r="AC1736">
        <v>41</v>
      </c>
      <c r="AD1736">
        <v>318</v>
      </c>
      <c r="AE1736">
        <v>0</v>
      </c>
      <c r="AF1736">
        <v>0</v>
      </c>
      <c r="AG1736">
        <v>0</v>
      </c>
      <c r="AH1736" t="s">
        <v>128</v>
      </c>
      <c r="AI1736" s="1">
        <v>44215.811273148145</v>
      </c>
      <c r="AJ1736">
        <v>739</v>
      </c>
      <c r="AK1736">
        <v>1</v>
      </c>
      <c r="AL1736">
        <v>0</v>
      </c>
      <c r="AM1736">
        <v>1</v>
      </c>
      <c r="AN1736">
        <v>213</v>
      </c>
      <c r="AO1736">
        <v>1</v>
      </c>
      <c r="AP1736">
        <v>317</v>
      </c>
      <c r="AQ1736">
        <v>0</v>
      </c>
      <c r="AR1736">
        <v>0</v>
      </c>
      <c r="AS1736">
        <v>0</v>
      </c>
      <c r="AT1736" t="s">
        <v>90</v>
      </c>
      <c r="AU1736" s="1">
        <v>44216.373703703706</v>
      </c>
      <c r="AV1736">
        <v>20</v>
      </c>
      <c r="AW1736">
        <v>0</v>
      </c>
      <c r="AX1736">
        <v>0</v>
      </c>
      <c r="AY1736">
        <v>0</v>
      </c>
      <c r="AZ1736">
        <v>213</v>
      </c>
      <c r="BA1736">
        <v>0</v>
      </c>
      <c r="BB1736">
        <v>317</v>
      </c>
      <c r="BC1736">
        <v>0</v>
      </c>
      <c r="BD1736">
        <v>0</v>
      </c>
      <c r="BE1736">
        <v>0</v>
      </c>
    </row>
    <row r="1737" spans="1:57" x14ac:dyDescent="0.45">
      <c r="A1737" t="s">
        <v>4265</v>
      </c>
      <c r="B1737" t="s">
        <v>79</v>
      </c>
      <c r="C1737" t="s">
        <v>4233</v>
      </c>
      <c r="D1737" t="s">
        <v>81</v>
      </c>
      <c r="E1737" s="2" t="str">
        <f>HYPERLINK("capsilon://?command=openfolder&amp;siteaddress=FAM.docvelocity-na8.net&amp;folderid=FXE3D2F105-B3C8-5E12-3148-AE51AF641A1B","FX20126172")</f>
        <v>FX20126172</v>
      </c>
      <c r="F1737" t="s">
        <v>19</v>
      </c>
      <c r="G1737" t="s">
        <v>19</v>
      </c>
      <c r="H1737" t="s">
        <v>82</v>
      </c>
      <c r="I1737" t="s">
        <v>4238</v>
      </c>
      <c r="J1737">
        <v>38</v>
      </c>
      <c r="K1737" t="s">
        <v>84</v>
      </c>
      <c r="L1737" t="s">
        <v>85</v>
      </c>
      <c r="M1737" t="s">
        <v>86</v>
      </c>
      <c r="N1737">
        <v>3</v>
      </c>
      <c r="O1737" s="1">
        <v>44215.704780092594</v>
      </c>
      <c r="P1737" s="1">
        <v>44216.34752314815</v>
      </c>
      <c r="Q1737">
        <v>55218</v>
      </c>
      <c r="R1737">
        <v>315</v>
      </c>
      <c r="S1737" t="b">
        <v>0</v>
      </c>
      <c r="T1737" t="s">
        <v>87</v>
      </c>
      <c r="U1737" t="b">
        <v>1</v>
      </c>
      <c r="V1737" t="s">
        <v>142</v>
      </c>
      <c r="W1737" s="1">
        <v>44215.710243055553</v>
      </c>
      <c r="X1737">
        <v>216</v>
      </c>
      <c r="Y1737">
        <v>37</v>
      </c>
      <c r="Z1737">
        <v>0</v>
      </c>
      <c r="AA1737">
        <v>37</v>
      </c>
      <c r="AB1737">
        <v>0</v>
      </c>
      <c r="AC1737">
        <v>35</v>
      </c>
      <c r="AD1737">
        <v>1</v>
      </c>
      <c r="AE1737">
        <v>0</v>
      </c>
      <c r="AF1737">
        <v>0</v>
      </c>
      <c r="AG1737">
        <v>0</v>
      </c>
      <c r="AH1737" t="s">
        <v>128</v>
      </c>
      <c r="AI1737" s="1">
        <v>44215.712418981479</v>
      </c>
      <c r="AJ1737">
        <v>92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 t="s">
        <v>90</v>
      </c>
      <c r="AU1737" s="1">
        <v>44216.34752314815</v>
      </c>
      <c r="AV1737">
        <v>7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</row>
    <row r="1738" spans="1:57" x14ac:dyDescent="0.45">
      <c r="A1738" t="s">
        <v>4266</v>
      </c>
      <c r="B1738" t="s">
        <v>79</v>
      </c>
      <c r="C1738" t="s">
        <v>2723</v>
      </c>
      <c r="D1738" t="s">
        <v>81</v>
      </c>
      <c r="E1738" s="2" t="str">
        <f>HYPERLINK("capsilon://?command=openfolder&amp;siteaddress=FAM.docvelocity-na8.net&amp;folderid=FX21B1759B-D0C8-0853-F05D-F26D1F00119A","FX201222282")</f>
        <v>FX201222282</v>
      </c>
      <c r="F1738" t="s">
        <v>19</v>
      </c>
      <c r="G1738" t="s">
        <v>19</v>
      </c>
      <c r="H1738" t="s">
        <v>82</v>
      </c>
      <c r="I1738" t="s">
        <v>4267</v>
      </c>
      <c r="J1738">
        <v>31</v>
      </c>
      <c r="K1738" t="s">
        <v>84</v>
      </c>
      <c r="L1738" t="s">
        <v>85</v>
      </c>
      <c r="M1738" t="s">
        <v>86</v>
      </c>
      <c r="N1738">
        <v>3</v>
      </c>
      <c r="O1738" s="1">
        <v>44215.705740740741</v>
      </c>
      <c r="P1738" s="1">
        <v>44216.373761574076</v>
      </c>
      <c r="Q1738">
        <v>57249</v>
      </c>
      <c r="R1738">
        <v>468</v>
      </c>
      <c r="S1738" t="b">
        <v>0</v>
      </c>
      <c r="T1738" t="s">
        <v>87</v>
      </c>
      <c r="U1738" t="b">
        <v>0</v>
      </c>
      <c r="V1738" t="s">
        <v>242</v>
      </c>
      <c r="W1738" s="1">
        <v>44215.729409722226</v>
      </c>
      <c r="X1738">
        <v>325</v>
      </c>
      <c r="Y1738">
        <v>41</v>
      </c>
      <c r="Z1738">
        <v>0</v>
      </c>
      <c r="AA1738">
        <v>41</v>
      </c>
      <c r="AB1738">
        <v>0</v>
      </c>
      <c r="AC1738">
        <v>33</v>
      </c>
      <c r="AD1738">
        <v>-10</v>
      </c>
      <c r="AE1738">
        <v>0</v>
      </c>
      <c r="AF1738">
        <v>0</v>
      </c>
      <c r="AG1738">
        <v>0</v>
      </c>
      <c r="AH1738" t="s">
        <v>128</v>
      </c>
      <c r="AI1738" s="1">
        <v>44215.812881944446</v>
      </c>
      <c r="AJ1738">
        <v>138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-10</v>
      </c>
      <c r="AQ1738">
        <v>0</v>
      </c>
      <c r="AR1738">
        <v>0</v>
      </c>
      <c r="AS1738">
        <v>0</v>
      </c>
      <c r="AT1738" t="s">
        <v>90</v>
      </c>
      <c r="AU1738" s="1">
        <v>44216.373761574076</v>
      </c>
      <c r="AV1738">
        <v>5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-10</v>
      </c>
      <c r="BC1738">
        <v>0</v>
      </c>
      <c r="BD1738">
        <v>0</v>
      </c>
      <c r="BE1738">
        <v>0</v>
      </c>
    </row>
    <row r="1739" spans="1:57" hidden="1" x14ac:dyDescent="0.45">
      <c r="A1739" t="s">
        <v>4268</v>
      </c>
      <c r="B1739" t="s">
        <v>79</v>
      </c>
      <c r="C1739" t="s">
        <v>190</v>
      </c>
      <c r="D1739" t="s">
        <v>81</v>
      </c>
      <c r="E1739" s="2" t="str">
        <f>HYPERLINK("capsilon://?command=openfolder&amp;siteaddress=FAM.docvelocity-na8.net&amp;folderid=FX90F33575-1B15-74B6-5FAE-D91E1ADB7F21","FX20121938")</f>
        <v>FX20121938</v>
      </c>
      <c r="F1739" t="s">
        <v>19</v>
      </c>
      <c r="G1739" t="s">
        <v>19</v>
      </c>
      <c r="H1739" t="s">
        <v>82</v>
      </c>
      <c r="I1739" t="s">
        <v>4269</v>
      </c>
      <c r="J1739">
        <v>66</v>
      </c>
      <c r="K1739" t="s">
        <v>84</v>
      </c>
      <c r="L1739" t="s">
        <v>85</v>
      </c>
      <c r="M1739" t="s">
        <v>86</v>
      </c>
      <c r="N1739">
        <v>3</v>
      </c>
      <c r="O1739" s="1">
        <v>44215.709826388891</v>
      </c>
      <c r="P1739" s="1">
        <v>44216.373807870368</v>
      </c>
      <c r="Q1739">
        <v>57256</v>
      </c>
      <c r="R1739">
        <v>112</v>
      </c>
      <c r="S1739" t="b">
        <v>0</v>
      </c>
      <c r="T1739" t="s">
        <v>87</v>
      </c>
      <c r="U1739" t="b">
        <v>0</v>
      </c>
      <c r="V1739" t="s">
        <v>255</v>
      </c>
      <c r="W1739" s="1">
        <v>44215.727349537039</v>
      </c>
      <c r="X1739">
        <v>70</v>
      </c>
      <c r="Y1739">
        <v>0</v>
      </c>
      <c r="Z1739">
        <v>0</v>
      </c>
      <c r="AA1739">
        <v>0</v>
      </c>
      <c r="AB1739">
        <v>52</v>
      </c>
      <c r="AC1739">
        <v>0</v>
      </c>
      <c r="AD1739">
        <v>66</v>
      </c>
      <c r="AE1739">
        <v>0</v>
      </c>
      <c r="AF1739">
        <v>0</v>
      </c>
      <c r="AG1739">
        <v>0</v>
      </c>
      <c r="AH1739" t="s">
        <v>128</v>
      </c>
      <c r="AI1739" s="1">
        <v>44215.813333333332</v>
      </c>
      <c r="AJ1739">
        <v>38</v>
      </c>
      <c r="AK1739">
        <v>0</v>
      </c>
      <c r="AL1739">
        <v>0</v>
      </c>
      <c r="AM1739">
        <v>0</v>
      </c>
      <c r="AN1739">
        <v>52</v>
      </c>
      <c r="AO1739">
        <v>0</v>
      </c>
      <c r="AP1739">
        <v>66</v>
      </c>
      <c r="AQ1739">
        <v>0</v>
      </c>
      <c r="AR1739">
        <v>0</v>
      </c>
      <c r="AS1739">
        <v>0</v>
      </c>
      <c r="AT1739" t="s">
        <v>90</v>
      </c>
      <c r="AU1739" s="1">
        <v>44216.373807870368</v>
      </c>
      <c r="AV1739">
        <v>4</v>
      </c>
      <c r="AW1739">
        <v>0</v>
      </c>
      <c r="AX1739">
        <v>0</v>
      </c>
      <c r="AY1739">
        <v>0</v>
      </c>
      <c r="AZ1739">
        <v>52</v>
      </c>
      <c r="BA1739">
        <v>0</v>
      </c>
      <c r="BB1739">
        <v>66</v>
      </c>
      <c r="BC1739">
        <v>0</v>
      </c>
      <c r="BD1739">
        <v>0</v>
      </c>
      <c r="BE1739">
        <v>0</v>
      </c>
    </row>
    <row r="1740" spans="1:57" x14ac:dyDescent="0.45">
      <c r="A1740" t="s">
        <v>4270</v>
      </c>
      <c r="B1740" t="s">
        <v>79</v>
      </c>
      <c r="C1740" t="s">
        <v>190</v>
      </c>
      <c r="D1740" t="s">
        <v>81</v>
      </c>
      <c r="E1740" s="2" t="str">
        <f>HYPERLINK("capsilon://?command=openfolder&amp;siteaddress=FAM.docvelocity-na8.net&amp;folderid=FX90F33575-1B15-74B6-5FAE-D91E1ADB7F21","FX20121938")</f>
        <v>FX20121938</v>
      </c>
      <c r="F1740" t="s">
        <v>19</v>
      </c>
      <c r="G1740" t="s">
        <v>19</v>
      </c>
      <c r="H1740" t="s">
        <v>82</v>
      </c>
      <c r="I1740" t="s">
        <v>4271</v>
      </c>
      <c r="J1740">
        <v>66</v>
      </c>
      <c r="K1740" t="s">
        <v>84</v>
      </c>
      <c r="L1740" t="s">
        <v>85</v>
      </c>
      <c r="M1740" t="s">
        <v>86</v>
      </c>
      <c r="N1740">
        <v>3</v>
      </c>
      <c r="O1740" s="1">
        <v>44215.713495370372</v>
      </c>
      <c r="P1740" s="1">
        <v>44216.375648148147</v>
      </c>
      <c r="Q1740">
        <v>56454</v>
      </c>
      <c r="R1740">
        <v>756</v>
      </c>
      <c r="S1740" t="b">
        <v>0</v>
      </c>
      <c r="T1740" t="s">
        <v>87</v>
      </c>
      <c r="U1740" t="b">
        <v>0</v>
      </c>
      <c r="V1740" t="s">
        <v>255</v>
      </c>
      <c r="W1740" s="1">
        <v>44215.73170138889</v>
      </c>
      <c r="X1740">
        <v>375</v>
      </c>
      <c r="Y1740">
        <v>52</v>
      </c>
      <c r="Z1740">
        <v>0</v>
      </c>
      <c r="AA1740">
        <v>52</v>
      </c>
      <c r="AB1740">
        <v>0</v>
      </c>
      <c r="AC1740">
        <v>45</v>
      </c>
      <c r="AD1740">
        <v>14</v>
      </c>
      <c r="AE1740">
        <v>0</v>
      </c>
      <c r="AF1740">
        <v>0</v>
      </c>
      <c r="AG1740">
        <v>0</v>
      </c>
      <c r="AH1740" t="s">
        <v>128</v>
      </c>
      <c r="AI1740" s="1">
        <v>44215.815925925926</v>
      </c>
      <c r="AJ1740">
        <v>223</v>
      </c>
      <c r="AK1740">
        <v>1</v>
      </c>
      <c r="AL1740">
        <v>0</v>
      </c>
      <c r="AM1740">
        <v>1</v>
      </c>
      <c r="AN1740">
        <v>0</v>
      </c>
      <c r="AO1740">
        <v>1</v>
      </c>
      <c r="AP1740">
        <v>13</v>
      </c>
      <c r="AQ1740">
        <v>0</v>
      </c>
      <c r="AR1740">
        <v>0</v>
      </c>
      <c r="AS1740">
        <v>0</v>
      </c>
      <c r="AT1740" t="s">
        <v>90</v>
      </c>
      <c r="AU1740" s="1">
        <v>44216.375648148147</v>
      </c>
      <c r="AV1740">
        <v>158</v>
      </c>
      <c r="AW1740">
        <v>3</v>
      </c>
      <c r="AX1740">
        <v>0</v>
      </c>
      <c r="AY1740">
        <v>3</v>
      </c>
      <c r="AZ1740">
        <v>0</v>
      </c>
      <c r="BA1740">
        <v>3</v>
      </c>
      <c r="BB1740">
        <v>10</v>
      </c>
      <c r="BC1740">
        <v>0</v>
      </c>
      <c r="BD1740">
        <v>0</v>
      </c>
      <c r="BE1740">
        <v>0</v>
      </c>
    </row>
    <row r="1741" spans="1:57" x14ac:dyDescent="0.45">
      <c r="A1741" t="s">
        <v>4272</v>
      </c>
      <c r="B1741" t="s">
        <v>79</v>
      </c>
      <c r="C1741" t="s">
        <v>2472</v>
      </c>
      <c r="D1741" t="s">
        <v>81</v>
      </c>
      <c r="E1741" s="2" t="str">
        <f>HYPERLINK("capsilon://?command=openfolder&amp;siteaddress=FAM.docvelocity-na8.net&amp;folderid=FXCC5CEFAA-7297-6936-DCF4-A77F4E3DFB31","FX201110096")</f>
        <v>FX201110096</v>
      </c>
      <c r="F1741" t="s">
        <v>19</v>
      </c>
      <c r="G1741" t="s">
        <v>19</v>
      </c>
      <c r="H1741" t="s">
        <v>82</v>
      </c>
      <c r="I1741" t="s">
        <v>4254</v>
      </c>
      <c r="J1741">
        <v>38</v>
      </c>
      <c r="K1741" t="s">
        <v>84</v>
      </c>
      <c r="L1741" t="s">
        <v>85</v>
      </c>
      <c r="M1741" t="s">
        <v>86</v>
      </c>
      <c r="N1741">
        <v>3</v>
      </c>
      <c r="O1741" s="1">
        <v>44215.714259259257</v>
      </c>
      <c r="P1741" s="1">
        <v>44216.347581018519</v>
      </c>
      <c r="Q1741">
        <v>54344</v>
      </c>
      <c r="R1741">
        <v>375</v>
      </c>
      <c r="S1741" t="b">
        <v>0</v>
      </c>
      <c r="T1741" t="s">
        <v>87</v>
      </c>
      <c r="U1741" t="b">
        <v>1</v>
      </c>
      <c r="V1741" t="s">
        <v>242</v>
      </c>
      <c r="W1741" s="1">
        <v>44215.719224537039</v>
      </c>
      <c r="X1741">
        <v>223</v>
      </c>
      <c r="Y1741">
        <v>37</v>
      </c>
      <c r="Z1741">
        <v>0</v>
      </c>
      <c r="AA1741">
        <v>37</v>
      </c>
      <c r="AB1741">
        <v>0</v>
      </c>
      <c r="AC1741">
        <v>28</v>
      </c>
      <c r="AD1741">
        <v>1</v>
      </c>
      <c r="AE1741">
        <v>0</v>
      </c>
      <c r="AF1741">
        <v>0</v>
      </c>
      <c r="AG1741">
        <v>0</v>
      </c>
      <c r="AH1741" t="s">
        <v>267</v>
      </c>
      <c r="AI1741" s="1">
        <v>44215.721747685187</v>
      </c>
      <c r="AJ1741">
        <v>131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 t="s">
        <v>90</v>
      </c>
      <c r="AU1741" s="1">
        <v>44216.347581018519</v>
      </c>
      <c r="AV1741">
        <v>5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</row>
    <row r="1742" spans="1:57" x14ac:dyDescent="0.45">
      <c r="A1742" t="s">
        <v>4273</v>
      </c>
      <c r="B1742" t="s">
        <v>79</v>
      </c>
      <c r="C1742" t="s">
        <v>190</v>
      </c>
      <c r="D1742" t="s">
        <v>81</v>
      </c>
      <c r="E1742" s="2" t="str">
        <f>HYPERLINK("capsilon://?command=openfolder&amp;siteaddress=FAM.docvelocity-na8.net&amp;folderid=FX90F33575-1B15-74B6-5FAE-D91E1ADB7F21","FX20121938")</f>
        <v>FX20121938</v>
      </c>
      <c r="F1742" t="s">
        <v>19</v>
      </c>
      <c r="G1742" t="s">
        <v>19</v>
      </c>
      <c r="H1742" t="s">
        <v>82</v>
      </c>
      <c r="I1742" t="s">
        <v>4274</v>
      </c>
      <c r="J1742">
        <v>66</v>
      </c>
      <c r="K1742" t="s">
        <v>84</v>
      </c>
      <c r="L1742" t="s">
        <v>85</v>
      </c>
      <c r="M1742" t="s">
        <v>86</v>
      </c>
      <c r="N1742">
        <v>3</v>
      </c>
      <c r="O1742" s="1">
        <v>44215.714884259258</v>
      </c>
      <c r="P1742" s="1">
        <v>44216.375844907408</v>
      </c>
      <c r="Q1742">
        <v>54630</v>
      </c>
      <c r="R1742">
        <v>2477</v>
      </c>
      <c r="S1742" t="b">
        <v>0</v>
      </c>
      <c r="T1742" t="s">
        <v>87</v>
      </c>
      <c r="U1742" t="b">
        <v>0</v>
      </c>
      <c r="V1742" t="s">
        <v>160</v>
      </c>
      <c r="W1742" s="1">
        <v>44215.752060185187</v>
      </c>
      <c r="X1742">
        <v>2072</v>
      </c>
      <c r="Y1742">
        <v>52</v>
      </c>
      <c r="Z1742">
        <v>0</v>
      </c>
      <c r="AA1742">
        <v>52</v>
      </c>
      <c r="AB1742">
        <v>0</v>
      </c>
      <c r="AC1742">
        <v>51</v>
      </c>
      <c r="AD1742">
        <v>14</v>
      </c>
      <c r="AE1742">
        <v>0</v>
      </c>
      <c r="AF1742">
        <v>0</v>
      </c>
      <c r="AG1742">
        <v>0</v>
      </c>
      <c r="AH1742" t="s">
        <v>267</v>
      </c>
      <c r="AI1742" s="1">
        <v>44215.818206018521</v>
      </c>
      <c r="AJ1742">
        <v>389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14</v>
      </c>
      <c r="AQ1742">
        <v>0</v>
      </c>
      <c r="AR1742">
        <v>0</v>
      </c>
      <c r="AS1742">
        <v>0</v>
      </c>
      <c r="AT1742" t="s">
        <v>90</v>
      </c>
      <c r="AU1742" s="1">
        <v>44216.375844907408</v>
      </c>
      <c r="AV1742">
        <v>16</v>
      </c>
      <c r="AW1742">
        <v>0</v>
      </c>
      <c r="AX1742">
        <v>0</v>
      </c>
      <c r="AY1742">
        <v>0</v>
      </c>
      <c r="AZ1742">
        <v>52</v>
      </c>
      <c r="BA1742">
        <v>0</v>
      </c>
      <c r="BB1742">
        <v>14</v>
      </c>
      <c r="BC1742">
        <v>0</v>
      </c>
      <c r="BD1742">
        <v>0</v>
      </c>
      <c r="BE1742">
        <v>0</v>
      </c>
    </row>
    <row r="1743" spans="1:57" x14ac:dyDescent="0.45">
      <c r="A1743" t="s">
        <v>4275</v>
      </c>
      <c r="B1743" t="s">
        <v>79</v>
      </c>
      <c r="C1743" t="s">
        <v>3829</v>
      </c>
      <c r="D1743" t="s">
        <v>81</v>
      </c>
      <c r="E1743" s="2" t="str">
        <f>HYPERLINK("capsilon://?command=openfolder&amp;siteaddress=FAM.docvelocity-na8.net&amp;folderid=FXFB033F66-B15A-8525-49BA-1F9EE659EF9F","FX20126597")</f>
        <v>FX20126597</v>
      </c>
      <c r="F1743" t="s">
        <v>19</v>
      </c>
      <c r="G1743" t="s">
        <v>19</v>
      </c>
      <c r="H1743" t="s">
        <v>82</v>
      </c>
      <c r="I1743" t="s">
        <v>3830</v>
      </c>
      <c r="J1743">
        <v>38</v>
      </c>
      <c r="K1743" t="s">
        <v>84</v>
      </c>
      <c r="L1743" t="s">
        <v>85</v>
      </c>
      <c r="M1743" t="s">
        <v>86</v>
      </c>
      <c r="N1743">
        <v>3</v>
      </c>
      <c r="O1743" s="1">
        <v>44200.918078703704</v>
      </c>
      <c r="P1743" s="1">
        <v>44201.345543981479</v>
      </c>
      <c r="Q1743">
        <v>35637</v>
      </c>
      <c r="R1743">
        <v>1296</v>
      </c>
      <c r="S1743" t="b">
        <v>0</v>
      </c>
      <c r="T1743" t="s">
        <v>87</v>
      </c>
      <c r="U1743" t="b">
        <v>1</v>
      </c>
      <c r="V1743" t="s">
        <v>266</v>
      </c>
      <c r="W1743" s="1">
        <v>44200.921909722223</v>
      </c>
      <c r="X1743">
        <v>315</v>
      </c>
      <c r="Y1743">
        <v>37</v>
      </c>
      <c r="Z1743">
        <v>0</v>
      </c>
      <c r="AA1743">
        <v>37</v>
      </c>
      <c r="AB1743">
        <v>0</v>
      </c>
      <c r="AC1743">
        <v>22</v>
      </c>
      <c r="AD1743">
        <v>1</v>
      </c>
      <c r="AE1743">
        <v>0</v>
      </c>
      <c r="AF1743">
        <v>0</v>
      </c>
      <c r="AG1743">
        <v>0</v>
      </c>
      <c r="AH1743" t="s">
        <v>94</v>
      </c>
      <c r="AI1743" s="1">
        <v>44201.206331018519</v>
      </c>
      <c r="AJ1743">
        <v>974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 t="s">
        <v>90</v>
      </c>
      <c r="AU1743" s="1">
        <v>44201.345543981479</v>
      </c>
      <c r="AV1743">
        <v>7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</row>
    <row r="1744" spans="1:57" x14ac:dyDescent="0.45">
      <c r="A1744" t="s">
        <v>4276</v>
      </c>
      <c r="B1744" t="s">
        <v>79</v>
      </c>
      <c r="C1744" t="s">
        <v>1451</v>
      </c>
      <c r="D1744" t="s">
        <v>81</v>
      </c>
      <c r="E1744" s="2" t="str">
        <f>HYPERLINK("capsilon://?command=openfolder&amp;siteaddress=FAM.docvelocity-na8.net&amp;folderid=FX5AEEC950-6C4C-5784-BB7E-49520969E379","FX201221274")</f>
        <v>FX201221274</v>
      </c>
      <c r="F1744" t="s">
        <v>19</v>
      </c>
      <c r="G1744" t="s">
        <v>19</v>
      </c>
      <c r="H1744" t="s">
        <v>82</v>
      </c>
      <c r="I1744" t="s">
        <v>4277</v>
      </c>
      <c r="J1744">
        <v>183</v>
      </c>
      <c r="K1744" t="s">
        <v>84</v>
      </c>
      <c r="L1744" t="s">
        <v>85</v>
      </c>
      <c r="M1744" t="s">
        <v>86</v>
      </c>
      <c r="N1744">
        <v>3</v>
      </c>
      <c r="O1744" s="1">
        <v>44200.918368055558</v>
      </c>
      <c r="P1744" s="1">
        <v>44201.44740740741</v>
      </c>
      <c r="Q1744">
        <v>40299</v>
      </c>
      <c r="R1744">
        <v>5410</v>
      </c>
      <c r="S1744" t="b">
        <v>0</v>
      </c>
      <c r="T1744" t="s">
        <v>87</v>
      </c>
      <c r="U1744" t="b">
        <v>0</v>
      </c>
      <c r="V1744" t="s">
        <v>736</v>
      </c>
      <c r="W1744" s="1">
        <v>44201.193298611113</v>
      </c>
      <c r="X1744">
        <v>3381</v>
      </c>
      <c r="Y1744">
        <v>163</v>
      </c>
      <c r="Z1744">
        <v>0</v>
      </c>
      <c r="AA1744">
        <v>163</v>
      </c>
      <c r="AB1744">
        <v>37</v>
      </c>
      <c r="AC1744">
        <v>128</v>
      </c>
      <c r="AD1744">
        <v>20</v>
      </c>
      <c r="AE1744">
        <v>0</v>
      </c>
      <c r="AF1744">
        <v>0</v>
      </c>
      <c r="AG1744">
        <v>0</v>
      </c>
      <c r="AH1744" t="s">
        <v>94</v>
      </c>
      <c r="AI1744" s="1">
        <v>44201.336458333331</v>
      </c>
      <c r="AJ1744">
        <v>1769</v>
      </c>
      <c r="AK1744">
        <v>0</v>
      </c>
      <c r="AL1744">
        <v>0</v>
      </c>
      <c r="AM1744">
        <v>0</v>
      </c>
      <c r="AN1744">
        <v>37</v>
      </c>
      <c r="AO1744">
        <v>0</v>
      </c>
      <c r="AP1744">
        <v>20</v>
      </c>
      <c r="AQ1744">
        <v>0</v>
      </c>
      <c r="AR1744">
        <v>0</v>
      </c>
      <c r="AS1744">
        <v>0</v>
      </c>
      <c r="AT1744" t="s">
        <v>549</v>
      </c>
      <c r="AU1744" s="1">
        <v>44201.44740740741</v>
      </c>
      <c r="AV1744">
        <v>260</v>
      </c>
      <c r="AW1744">
        <v>1</v>
      </c>
      <c r="AX1744">
        <v>0</v>
      </c>
      <c r="AY1744">
        <v>1</v>
      </c>
      <c r="AZ1744">
        <v>37</v>
      </c>
      <c r="BA1744">
        <v>1</v>
      </c>
      <c r="BB1744">
        <v>19</v>
      </c>
      <c r="BC1744">
        <v>0</v>
      </c>
      <c r="BD1744">
        <v>0</v>
      </c>
      <c r="BE1744">
        <v>0</v>
      </c>
    </row>
    <row r="1745" spans="1:57" x14ac:dyDescent="0.45">
      <c r="A1745" t="s">
        <v>4278</v>
      </c>
      <c r="B1745" t="s">
        <v>79</v>
      </c>
      <c r="C1745" t="s">
        <v>4244</v>
      </c>
      <c r="D1745" t="s">
        <v>81</v>
      </c>
      <c r="E1745" s="2" t="str">
        <f>HYPERLINK("capsilon://?command=openfolder&amp;siteaddress=FAM.docvelocity-na8.net&amp;folderid=FXFC5D7CA9-429B-833C-B1E6-5FAED238F5C0","FX210110137")</f>
        <v>FX210110137</v>
      </c>
      <c r="F1745" t="s">
        <v>19</v>
      </c>
      <c r="G1745" t="s">
        <v>19</v>
      </c>
      <c r="H1745" t="s">
        <v>82</v>
      </c>
      <c r="I1745" t="s">
        <v>4279</v>
      </c>
      <c r="J1745">
        <v>65</v>
      </c>
      <c r="K1745" t="s">
        <v>84</v>
      </c>
      <c r="L1745" t="s">
        <v>85</v>
      </c>
      <c r="M1745" t="s">
        <v>86</v>
      </c>
      <c r="N1745">
        <v>3</v>
      </c>
      <c r="O1745" s="1">
        <v>44215.721307870372</v>
      </c>
      <c r="P1745" s="1">
        <v>44216.376111111109</v>
      </c>
      <c r="Q1745">
        <v>56129</v>
      </c>
      <c r="R1745">
        <v>446</v>
      </c>
      <c r="S1745" t="b">
        <v>0</v>
      </c>
      <c r="T1745" t="s">
        <v>87</v>
      </c>
      <c r="U1745" t="b">
        <v>0</v>
      </c>
      <c r="V1745" t="s">
        <v>242</v>
      </c>
      <c r="W1745" s="1">
        <v>44215.732731481483</v>
      </c>
      <c r="X1745">
        <v>286</v>
      </c>
      <c r="Y1745">
        <v>56</v>
      </c>
      <c r="Z1745">
        <v>0</v>
      </c>
      <c r="AA1745">
        <v>56</v>
      </c>
      <c r="AB1745">
        <v>0</v>
      </c>
      <c r="AC1745">
        <v>38</v>
      </c>
      <c r="AD1745">
        <v>9</v>
      </c>
      <c r="AE1745">
        <v>0</v>
      </c>
      <c r="AF1745">
        <v>0</v>
      </c>
      <c r="AG1745">
        <v>0</v>
      </c>
      <c r="AH1745" t="s">
        <v>128</v>
      </c>
      <c r="AI1745" s="1">
        <v>44215.817523148151</v>
      </c>
      <c r="AJ1745">
        <v>138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9</v>
      </c>
      <c r="AQ1745">
        <v>0</v>
      </c>
      <c r="AR1745">
        <v>0</v>
      </c>
      <c r="AS1745">
        <v>0</v>
      </c>
      <c r="AT1745" t="s">
        <v>90</v>
      </c>
      <c r="AU1745" s="1">
        <v>44216.376111111109</v>
      </c>
      <c r="AV1745">
        <v>22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9</v>
      </c>
      <c r="BC1745">
        <v>0</v>
      </c>
      <c r="BD1745">
        <v>0</v>
      </c>
      <c r="BE1745">
        <v>0</v>
      </c>
    </row>
    <row r="1746" spans="1:57" hidden="1" x14ac:dyDescent="0.45">
      <c r="A1746" t="s">
        <v>4280</v>
      </c>
      <c r="B1746" t="s">
        <v>79</v>
      </c>
      <c r="C1746" t="s">
        <v>2797</v>
      </c>
      <c r="D1746" t="s">
        <v>81</v>
      </c>
      <c r="E1746" s="2" t="str">
        <f>HYPERLINK("capsilon://?command=openfolder&amp;siteaddress=FAM.docvelocity-na8.net&amp;folderid=FXCEEF3435-8536-C34A-C25F-9FBC17CFEC95","FX201226078")</f>
        <v>FX201226078</v>
      </c>
      <c r="F1746" t="s">
        <v>19</v>
      </c>
      <c r="G1746" t="s">
        <v>19</v>
      </c>
      <c r="H1746" t="s">
        <v>82</v>
      </c>
      <c r="I1746" t="s">
        <v>4281</v>
      </c>
      <c r="J1746">
        <v>439</v>
      </c>
      <c r="K1746" t="s">
        <v>84</v>
      </c>
      <c r="L1746" t="s">
        <v>85</v>
      </c>
      <c r="M1746" t="s">
        <v>86</v>
      </c>
      <c r="N1746">
        <v>1</v>
      </c>
      <c r="O1746" s="1">
        <v>44200.921493055554</v>
      </c>
      <c r="P1746" s="1">
        <v>44201.173344907409</v>
      </c>
      <c r="Q1746">
        <v>21046</v>
      </c>
      <c r="R1746">
        <v>714</v>
      </c>
      <c r="S1746" t="b">
        <v>0</v>
      </c>
      <c r="T1746" t="s">
        <v>87</v>
      </c>
      <c r="U1746" t="b">
        <v>0</v>
      </c>
      <c r="V1746" t="s">
        <v>88</v>
      </c>
      <c r="W1746" s="1">
        <v>44201.173344907409</v>
      </c>
      <c r="X1746">
        <v>714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439</v>
      </c>
      <c r="AE1746">
        <v>395</v>
      </c>
      <c r="AF1746">
        <v>0</v>
      </c>
      <c r="AG1746">
        <v>12</v>
      </c>
      <c r="AH1746" t="s">
        <v>87</v>
      </c>
      <c r="AI1746" t="s">
        <v>87</v>
      </c>
      <c r="AJ1746" t="s">
        <v>87</v>
      </c>
      <c r="AK1746" t="s">
        <v>87</v>
      </c>
      <c r="AL1746" t="s">
        <v>87</v>
      </c>
      <c r="AM1746" t="s">
        <v>87</v>
      </c>
      <c r="AN1746" t="s">
        <v>87</v>
      </c>
      <c r="AO1746" t="s">
        <v>87</v>
      </c>
      <c r="AP1746" t="s">
        <v>87</v>
      </c>
      <c r="AQ1746" t="s">
        <v>87</v>
      </c>
      <c r="AR1746" t="s">
        <v>87</v>
      </c>
      <c r="AS1746" t="s">
        <v>87</v>
      </c>
      <c r="AT1746" t="s">
        <v>87</v>
      </c>
      <c r="AU1746" t="s">
        <v>87</v>
      </c>
      <c r="AV1746" t="s">
        <v>87</v>
      </c>
      <c r="AW1746" t="s">
        <v>87</v>
      </c>
      <c r="AX1746" t="s">
        <v>87</v>
      </c>
      <c r="AY1746" t="s">
        <v>87</v>
      </c>
      <c r="AZ1746" t="s">
        <v>87</v>
      </c>
      <c r="BA1746" t="s">
        <v>87</v>
      </c>
      <c r="BB1746" t="s">
        <v>87</v>
      </c>
      <c r="BC1746" t="s">
        <v>87</v>
      </c>
      <c r="BD1746" t="s">
        <v>87</v>
      </c>
      <c r="BE1746" t="s">
        <v>87</v>
      </c>
    </row>
    <row r="1747" spans="1:57" x14ac:dyDescent="0.45">
      <c r="A1747" t="s">
        <v>4282</v>
      </c>
      <c r="B1747" t="s">
        <v>79</v>
      </c>
      <c r="C1747" t="s">
        <v>980</v>
      </c>
      <c r="D1747" t="s">
        <v>81</v>
      </c>
      <c r="E1747" s="2" t="str">
        <f>HYPERLINK("capsilon://?command=openfolder&amp;siteaddress=FAM.docvelocity-na8.net&amp;folderid=FX88E79DC1-11E1-8934-EA03-3CAC9FBB0112","FX20123051")</f>
        <v>FX20123051</v>
      </c>
      <c r="F1747" t="s">
        <v>19</v>
      </c>
      <c r="G1747" t="s">
        <v>19</v>
      </c>
      <c r="H1747" t="s">
        <v>82</v>
      </c>
      <c r="I1747" t="s">
        <v>4283</v>
      </c>
      <c r="J1747">
        <v>38</v>
      </c>
      <c r="K1747" t="s">
        <v>84</v>
      </c>
      <c r="L1747" t="s">
        <v>85</v>
      </c>
      <c r="M1747" t="s">
        <v>86</v>
      </c>
      <c r="N1747">
        <v>3</v>
      </c>
      <c r="O1747" s="1">
        <v>44215.722372685188</v>
      </c>
      <c r="P1747" s="1">
        <v>44216.376180555555</v>
      </c>
      <c r="Q1747">
        <v>55922</v>
      </c>
      <c r="R1747">
        <v>567</v>
      </c>
      <c r="S1747" t="b">
        <v>0</v>
      </c>
      <c r="T1747" t="s">
        <v>87</v>
      </c>
      <c r="U1747" t="b">
        <v>0</v>
      </c>
      <c r="V1747" t="s">
        <v>255</v>
      </c>
      <c r="W1747" s="1">
        <v>44215.737060185187</v>
      </c>
      <c r="X1747">
        <v>463</v>
      </c>
      <c r="Y1747">
        <v>37</v>
      </c>
      <c r="Z1747">
        <v>0</v>
      </c>
      <c r="AA1747">
        <v>37</v>
      </c>
      <c r="AB1747">
        <v>0</v>
      </c>
      <c r="AC1747">
        <v>33</v>
      </c>
      <c r="AD1747">
        <v>1</v>
      </c>
      <c r="AE1747">
        <v>0</v>
      </c>
      <c r="AF1747">
        <v>0</v>
      </c>
      <c r="AG1747">
        <v>0</v>
      </c>
      <c r="AH1747" t="s">
        <v>128</v>
      </c>
      <c r="AI1747" s="1">
        <v>44215.818680555552</v>
      </c>
      <c r="AJ1747">
        <v>99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 t="s">
        <v>90</v>
      </c>
      <c r="AU1747" s="1">
        <v>44216.376180555555</v>
      </c>
      <c r="AV1747">
        <v>5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</row>
    <row r="1748" spans="1:57" x14ac:dyDescent="0.45">
      <c r="A1748" t="s">
        <v>4284</v>
      </c>
      <c r="B1748" t="s">
        <v>79</v>
      </c>
      <c r="C1748" t="s">
        <v>4285</v>
      </c>
      <c r="D1748" t="s">
        <v>81</v>
      </c>
      <c r="E1748" s="2" t="str">
        <f>HYPERLINK("capsilon://?command=openfolder&amp;siteaddress=FAM.docvelocity-na8.net&amp;folderid=FXE634D8FB-595E-4A9E-CC57-E03A2BE914F4","FX210110078")</f>
        <v>FX210110078</v>
      </c>
      <c r="F1748" t="s">
        <v>19</v>
      </c>
      <c r="G1748" t="s">
        <v>19</v>
      </c>
      <c r="H1748" t="s">
        <v>82</v>
      </c>
      <c r="I1748" t="s">
        <v>4286</v>
      </c>
      <c r="J1748">
        <v>332</v>
      </c>
      <c r="K1748" t="s">
        <v>84</v>
      </c>
      <c r="L1748" t="s">
        <v>85</v>
      </c>
      <c r="M1748" t="s">
        <v>86</v>
      </c>
      <c r="N1748">
        <v>3</v>
      </c>
      <c r="O1748" s="1">
        <v>44215.731157407405</v>
      </c>
      <c r="P1748" s="1">
        <v>44216.378564814811</v>
      </c>
      <c r="Q1748">
        <v>49555</v>
      </c>
      <c r="R1748">
        <v>6381</v>
      </c>
      <c r="S1748" t="b">
        <v>0</v>
      </c>
      <c r="T1748" t="s">
        <v>87</v>
      </c>
      <c r="U1748" t="b">
        <v>0</v>
      </c>
      <c r="V1748" t="s">
        <v>146</v>
      </c>
      <c r="W1748" s="1">
        <v>44215.799444444441</v>
      </c>
      <c r="X1748">
        <v>5064</v>
      </c>
      <c r="Y1748">
        <v>264</v>
      </c>
      <c r="Z1748">
        <v>0</v>
      </c>
      <c r="AA1748">
        <v>264</v>
      </c>
      <c r="AB1748">
        <v>0</v>
      </c>
      <c r="AC1748">
        <v>125</v>
      </c>
      <c r="AD1748">
        <v>68</v>
      </c>
      <c r="AE1748">
        <v>0</v>
      </c>
      <c r="AF1748">
        <v>0</v>
      </c>
      <c r="AG1748">
        <v>0</v>
      </c>
      <c r="AH1748" t="s">
        <v>267</v>
      </c>
      <c r="AI1748" s="1">
        <v>44215.830034722225</v>
      </c>
      <c r="AJ1748">
        <v>1021</v>
      </c>
      <c r="AK1748">
        <v>1</v>
      </c>
      <c r="AL1748">
        <v>0</v>
      </c>
      <c r="AM1748">
        <v>1</v>
      </c>
      <c r="AN1748">
        <v>48</v>
      </c>
      <c r="AO1748">
        <v>1</v>
      </c>
      <c r="AP1748">
        <v>67</v>
      </c>
      <c r="AQ1748">
        <v>0</v>
      </c>
      <c r="AR1748">
        <v>0</v>
      </c>
      <c r="AS1748">
        <v>0</v>
      </c>
      <c r="AT1748" t="s">
        <v>90</v>
      </c>
      <c r="AU1748" s="1">
        <v>44216.378564814811</v>
      </c>
      <c r="AV1748">
        <v>8</v>
      </c>
      <c r="AW1748">
        <v>0</v>
      </c>
      <c r="AX1748">
        <v>0</v>
      </c>
      <c r="AY1748">
        <v>0</v>
      </c>
      <c r="AZ1748">
        <v>48</v>
      </c>
      <c r="BA1748">
        <v>0</v>
      </c>
      <c r="BB1748">
        <v>67</v>
      </c>
      <c r="BC1748">
        <v>0</v>
      </c>
      <c r="BD1748">
        <v>0</v>
      </c>
      <c r="BE1748">
        <v>0</v>
      </c>
    </row>
    <row r="1749" spans="1:57" x14ac:dyDescent="0.45">
      <c r="A1749" t="s">
        <v>4287</v>
      </c>
      <c r="B1749" t="s">
        <v>79</v>
      </c>
      <c r="C1749" t="s">
        <v>4244</v>
      </c>
      <c r="D1749" t="s">
        <v>81</v>
      </c>
      <c r="E1749" s="2" t="str">
        <f>HYPERLINK("capsilon://?command=openfolder&amp;siteaddress=FAM.docvelocity-na8.net&amp;folderid=FXFC5D7CA9-429B-833C-B1E6-5FAED238F5C0","FX210110137")</f>
        <v>FX210110137</v>
      </c>
      <c r="F1749" t="s">
        <v>19</v>
      </c>
      <c r="G1749" t="s">
        <v>19</v>
      </c>
      <c r="H1749" t="s">
        <v>82</v>
      </c>
      <c r="I1749" t="s">
        <v>4288</v>
      </c>
      <c r="J1749">
        <v>26</v>
      </c>
      <c r="K1749" t="s">
        <v>84</v>
      </c>
      <c r="L1749" t="s">
        <v>85</v>
      </c>
      <c r="M1749" t="s">
        <v>86</v>
      </c>
      <c r="N1749">
        <v>3</v>
      </c>
      <c r="O1749" s="1">
        <v>44215.731770833336</v>
      </c>
      <c r="P1749" s="1">
        <v>44216.378611111111</v>
      </c>
      <c r="Q1749">
        <v>55452</v>
      </c>
      <c r="R1749">
        <v>435</v>
      </c>
      <c r="S1749" t="b">
        <v>0</v>
      </c>
      <c r="T1749" t="s">
        <v>87</v>
      </c>
      <c r="U1749" t="b">
        <v>0</v>
      </c>
      <c r="V1749" t="s">
        <v>343</v>
      </c>
      <c r="W1749" s="1">
        <v>44215.740856481483</v>
      </c>
      <c r="X1749">
        <v>306</v>
      </c>
      <c r="Y1749">
        <v>21</v>
      </c>
      <c r="Z1749">
        <v>0</v>
      </c>
      <c r="AA1749">
        <v>21</v>
      </c>
      <c r="AB1749">
        <v>0</v>
      </c>
      <c r="AC1749">
        <v>4</v>
      </c>
      <c r="AD1749">
        <v>5</v>
      </c>
      <c r="AE1749">
        <v>0</v>
      </c>
      <c r="AF1749">
        <v>0</v>
      </c>
      <c r="AG1749">
        <v>0</v>
      </c>
      <c r="AH1749" t="s">
        <v>128</v>
      </c>
      <c r="AI1749" s="1">
        <v>44215.820138888892</v>
      </c>
      <c r="AJ1749">
        <v>125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5</v>
      </c>
      <c r="AQ1749">
        <v>0</v>
      </c>
      <c r="AR1749">
        <v>0</v>
      </c>
      <c r="AS1749">
        <v>0</v>
      </c>
      <c r="AT1749" t="s">
        <v>90</v>
      </c>
      <c r="AU1749" s="1">
        <v>44216.378611111111</v>
      </c>
      <c r="AV1749">
        <v>4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5</v>
      </c>
      <c r="BC1749">
        <v>0</v>
      </c>
      <c r="BD1749">
        <v>0</v>
      </c>
      <c r="BE1749">
        <v>0</v>
      </c>
    </row>
    <row r="1750" spans="1:57" x14ac:dyDescent="0.45">
      <c r="A1750" t="s">
        <v>4289</v>
      </c>
      <c r="B1750" t="s">
        <v>79</v>
      </c>
      <c r="C1750" t="s">
        <v>4290</v>
      </c>
      <c r="D1750" t="s">
        <v>81</v>
      </c>
      <c r="E1750" s="2" t="str">
        <f>HYPERLINK("capsilon://?command=openfolder&amp;siteaddress=FAM.docvelocity-na8.net&amp;folderid=FX0EA678ED-0648-FFB4-BEDF-A4704C8DAC5B","FX210110495")</f>
        <v>FX210110495</v>
      </c>
      <c r="F1750" t="s">
        <v>19</v>
      </c>
      <c r="G1750" t="s">
        <v>19</v>
      </c>
      <c r="H1750" t="s">
        <v>82</v>
      </c>
      <c r="I1750" t="s">
        <v>4291</v>
      </c>
      <c r="J1750">
        <v>38</v>
      </c>
      <c r="K1750" t="s">
        <v>84</v>
      </c>
      <c r="L1750" t="s">
        <v>85</v>
      </c>
      <c r="M1750" t="s">
        <v>86</v>
      </c>
      <c r="N1750">
        <v>3</v>
      </c>
      <c r="O1750" s="1">
        <v>44215.732083333336</v>
      </c>
      <c r="P1750" s="1">
        <v>44216.378668981481</v>
      </c>
      <c r="Q1750">
        <v>55369</v>
      </c>
      <c r="R1750">
        <v>496</v>
      </c>
      <c r="S1750" t="b">
        <v>0</v>
      </c>
      <c r="T1750" t="s">
        <v>87</v>
      </c>
      <c r="U1750" t="b">
        <v>0</v>
      </c>
      <c r="V1750" t="s">
        <v>343</v>
      </c>
      <c r="W1750" s="1">
        <v>44215.744571759256</v>
      </c>
      <c r="X1750">
        <v>320</v>
      </c>
      <c r="Y1750">
        <v>37</v>
      </c>
      <c r="Z1750">
        <v>0</v>
      </c>
      <c r="AA1750">
        <v>37</v>
      </c>
      <c r="AB1750">
        <v>0</v>
      </c>
      <c r="AC1750">
        <v>15</v>
      </c>
      <c r="AD1750">
        <v>1</v>
      </c>
      <c r="AE1750">
        <v>0</v>
      </c>
      <c r="AF1750">
        <v>0</v>
      </c>
      <c r="AG1750">
        <v>0</v>
      </c>
      <c r="AH1750" t="s">
        <v>128</v>
      </c>
      <c r="AI1750" s="1">
        <v>44215.822141203702</v>
      </c>
      <c r="AJ1750">
        <v>172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 t="s">
        <v>90</v>
      </c>
      <c r="AU1750" s="1">
        <v>44216.378668981481</v>
      </c>
      <c r="AV1750">
        <v>4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</row>
    <row r="1751" spans="1:57" x14ac:dyDescent="0.45">
      <c r="A1751" t="s">
        <v>4292</v>
      </c>
      <c r="B1751" t="s">
        <v>79</v>
      </c>
      <c r="C1751" t="s">
        <v>4293</v>
      </c>
      <c r="D1751" t="s">
        <v>81</v>
      </c>
      <c r="E1751" s="2" t="str">
        <f>HYPERLINK("capsilon://?command=openfolder&amp;siteaddress=FAM.docvelocity-na8.net&amp;folderid=FX00EAC5CA-99FA-C3C0-0CED-D30807B02AE2","FX210110627")</f>
        <v>FX210110627</v>
      </c>
      <c r="F1751" t="s">
        <v>19</v>
      </c>
      <c r="G1751" t="s">
        <v>19</v>
      </c>
      <c r="H1751" t="s">
        <v>82</v>
      </c>
      <c r="I1751" t="s">
        <v>4294</v>
      </c>
      <c r="J1751">
        <v>694</v>
      </c>
      <c r="K1751" t="s">
        <v>84</v>
      </c>
      <c r="L1751" t="s">
        <v>85</v>
      </c>
      <c r="M1751" t="s">
        <v>86</v>
      </c>
      <c r="N1751">
        <v>3</v>
      </c>
      <c r="O1751" s="1">
        <v>44215.732592592591</v>
      </c>
      <c r="P1751" s="1">
        <v>44216.379293981481</v>
      </c>
      <c r="Q1751">
        <v>45721</v>
      </c>
      <c r="R1751">
        <v>10154</v>
      </c>
      <c r="S1751" t="b">
        <v>0</v>
      </c>
      <c r="T1751" t="s">
        <v>87</v>
      </c>
      <c r="U1751" t="b">
        <v>0</v>
      </c>
      <c r="V1751" t="s">
        <v>343</v>
      </c>
      <c r="W1751" s="1">
        <v>44215.848240740743</v>
      </c>
      <c r="X1751">
        <v>7862</v>
      </c>
      <c r="Y1751">
        <v>685</v>
      </c>
      <c r="Z1751">
        <v>0</v>
      </c>
      <c r="AA1751">
        <v>685</v>
      </c>
      <c r="AB1751">
        <v>0</v>
      </c>
      <c r="AC1751">
        <v>320</v>
      </c>
      <c r="AD1751">
        <v>9</v>
      </c>
      <c r="AE1751">
        <v>0</v>
      </c>
      <c r="AF1751">
        <v>0</v>
      </c>
      <c r="AG1751">
        <v>0</v>
      </c>
      <c r="AH1751" t="s">
        <v>128</v>
      </c>
      <c r="AI1751" s="1">
        <v>44215.873333333337</v>
      </c>
      <c r="AJ1751">
        <v>2128</v>
      </c>
      <c r="AK1751">
        <v>10</v>
      </c>
      <c r="AL1751">
        <v>0</v>
      </c>
      <c r="AM1751">
        <v>10</v>
      </c>
      <c r="AN1751">
        <v>0</v>
      </c>
      <c r="AO1751">
        <v>9</v>
      </c>
      <c r="AP1751">
        <v>-1</v>
      </c>
      <c r="AQ1751">
        <v>0</v>
      </c>
      <c r="AR1751">
        <v>0</v>
      </c>
      <c r="AS1751">
        <v>0</v>
      </c>
      <c r="AT1751" t="s">
        <v>90</v>
      </c>
      <c r="AU1751" s="1">
        <v>44216.379293981481</v>
      </c>
      <c r="AV1751">
        <v>53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-1</v>
      </c>
      <c r="BC1751">
        <v>0</v>
      </c>
      <c r="BD1751">
        <v>0</v>
      </c>
      <c r="BE1751">
        <v>0</v>
      </c>
    </row>
    <row r="1752" spans="1:57" hidden="1" x14ac:dyDescent="0.45">
      <c r="A1752" t="s">
        <v>4295</v>
      </c>
      <c r="B1752" t="s">
        <v>79</v>
      </c>
      <c r="C1752" t="s">
        <v>4296</v>
      </c>
      <c r="D1752" t="s">
        <v>81</v>
      </c>
      <c r="E1752" s="2" t="str">
        <f>HYPERLINK("capsilon://?command=openfolder&amp;siteaddress=FAM.docvelocity-na8.net&amp;folderid=FX4CD40FB8-125E-BD85-05AA-49045928715F","FX20126292")</f>
        <v>FX20126292</v>
      </c>
      <c r="F1752" t="s">
        <v>19</v>
      </c>
      <c r="G1752" t="s">
        <v>19</v>
      </c>
      <c r="H1752" t="s">
        <v>82</v>
      </c>
      <c r="I1752" t="s">
        <v>4297</v>
      </c>
      <c r="J1752">
        <v>66</v>
      </c>
      <c r="K1752" t="s">
        <v>84</v>
      </c>
      <c r="L1752" t="s">
        <v>85</v>
      </c>
      <c r="M1752" t="s">
        <v>86</v>
      </c>
      <c r="N1752">
        <v>3</v>
      </c>
      <c r="O1752" s="1">
        <v>44215.740416666667</v>
      </c>
      <c r="P1752" s="1">
        <v>44216.379340277781</v>
      </c>
      <c r="Q1752">
        <v>55075</v>
      </c>
      <c r="R1752">
        <v>128</v>
      </c>
      <c r="S1752" t="b">
        <v>0</v>
      </c>
      <c r="T1752" t="s">
        <v>87</v>
      </c>
      <c r="U1752" t="b">
        <v>0</v>
      </c>
      <c r="V1752" t="s">
        <v>179</v>
      </c>
      <c r="W1752" s="1">
        <v>44215.761944444443</v>
      </c>
      <c r="X1752">
        <v>55</v>
      </c>
      <c r="Y1752">
        <v>0</v>
      </c>
      <c r="Z1752">
        <v>0</v>
      </c>
      <c r="AA1752">
        <v>0</v>
      </c>
      <c r="AB1752">
        <v>52</v>
      </c>
      <c r="AC1752">
        <v>0</v>
      </c>
      <c r="AD1752">
        <v>66</v>
      </c>
      <c r="AE1752">
        <v>0</v>
      </c>
      <c r="AF1752">
        <v>0</v>
      </c>
      <c r="AG1752">
        <v>0</v>
      </c>
      <c r="AH1752" t="s">
        <v>128</v>
      </c>
      <c r="AI1752" s="1">
        <v>44215.8278125</v>
      </c>
      <c r="AJ1752">
        <v>43</v>
      </c>
      <c r="AK1752">
        <v>0</v>
      </c>
      <c r="AL1752">
        <v>0</v>
      </c>
      <c r="AM1752">
        <v>0</v>
      </c>
      <c r="AN1752">
        <v>52</v>
      </c>
      <c r="AO1752">
        <v>0</v>
      </c>
      <c r="AP1752">
        <v>66</v>
      </c>
      <c r="AQ1752">
        <v>0</v>
      </c>
      <c r="AR1752">
        <v>0</v>
      </c>
      <c r="AS1752">
        <v>0</v>
      </c>
      <c r="AT1752" t="s">
        <v>90</v>
      </c>
      <c r="AU1752" s="1">
        <v>44216.379340277781</v>
      </c>
      <c r="AV1752">
        <v>3</v>
      </c>
      <c r="AW1752">
        <v>0</v>
      </c>
      <c r="AX1752">
        <v>0</v>
      </c>
      <c r="AY1752">
        <v>0</v>
      </c>
      <c r="AZ1752">
        <v>52</v>
      </c>
      <c r="BA1752">
        <v>0</v>
      </c>
      <c r="BB1752">
        <v>66</v>
      </c>
      <c r="BC1752">
        <v>0</v>
      </c>
      <c r="BD1752">
        <v>0</v>
      </c>
      <c r="BE1752">
        <v>0</v>
      </c>
    </row>
    <row r="1753" spans="1:57" x14ac:dyDescent="0.45">
      <c r="A1753" t="s">
        <v>4298</v>
      </c>
      <c r="B1753" t="s">
        <v>79</v>
      </c>
      <c r="C1753" t="s">
        <v>4293</v>
      </c>
      <c r="D1753" t="s">
        <v>81</v>
      </c>
      <c r="E1753" s="2" t="str">
        <f>HYPERLINK("capsilon://?command=openfolder&amp;siteaddress=FAM.docvelocity-na8.net&amp;folderid=FX00EAC5CA-99FA-C3C0-0CED-D30807B02AE2","FX210110627")</f>
        <v>FX210110627</v>
      </c>
      <c r="F1753" t="s">
        <v>19</v>
      </c>
      <c r="G1753" t="s">
        <v>19</v>
      </c>
      <c r="H1753" t="s">
        <v>82</v>
      </c>
      <c r="I1753" t="s">
        <v>4299</v>
      </c>
      <c r="J1753">
        <v>26</v>
      </c>
      <c r="K1753" t="s">
        <v>84</v>
      </c>
      <c r="L1753" t="s">
        <v>85</v>
      </c>
      <c r="M1753" t="s">
        <v>86</v>
      </c>
      <c r="N1753">
        <v>3</v>
      </c>
      <c r="O1753" s="1">
        <v>44215.7425</v>
      </c>
      <c r="P1753" s="1">
        <v>44216.379374999997</v>
      </c>
      <c r="Q1753">
        <v>54478</v>
      </c>
      <c r="R1753">
        <v>548</v>
      </c>
      <c r="S1753" t="b">
        <v>0</v>
      </c>
      <c r="T1753" t="s">
        <v>87</v>
      </c>
      <c r="U1753" t="b">
        <v>0</v>
      </c>
      <c r="V1753" t="s">
        <v>343</v>
      </c>
      <c r="W1753" s="1">
        <v>44215.757233796299</v>
      </c>
      <c r="X1753">
        <v>425</v>
      </c>
      <c r="Y1753">
        <v>21</v>
      </c>
      <c r="Z1753">
        <v>0</v>
      </c>
      <c r="AA1753">
        <v>21</v>
      </c>
      <c r="AB1753">
        <v>0</v>
      </c>
      <c r="AC1753">
        <v>10</v>
      </c>
      <c r="AD1753">
        <v>5</v>
      </c>
      <c r="AE1753">
        <v>0</v>
      </c>
      <c r="AF1753">
        <v>0</v>
      </c>
      <c r="AG1753">
        <v>0</v>
      </c>
      <c r="AH1753" t="s">
        <v>128</v>
      </c>
      <c r="AI1753" s="1">
        <v>44215.829212962963</v>
      </c>
      <c r="AJ1753">
        <v>120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5</v>
      </c>
      <c r="AQ1753">
        <v>0</v>
      </c>
      <c r="AR1753">
        <v>0</v>
      </c>
      <c r="AS1753">
        <v>0</v>
      </c>
      <c r="AT1753" t="s">
        <v>90</v>
      </c>
      <c r="AU1753" s="1">
        <v>44216.379374999997</v>
      </c>
      <c r="AV1753">
        <v>3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5</v>
      </c>
      <c r="BC1753">
        <v>0</v>
      </c>
      <c r="BD1753">
        <v>0</v>
      </c>
      <c r="BE1753">
        <v>0</v>
      </c>
    </row>
    <row r="1754" spans="1:57" hidden="1" x14ac:dyDescent="0.45">
      <c r="A1754" t="s">
        <v>4300</v>
      </c>
      <c r="B1754" t="s">
        <v>79</v>
      </c>
      <c r="C1754" t="s">
        <v>1109</v>
      </c>
      <c r="D1754" t="s">
        <v>81</v>
      </c>
      <c r="E1754" s="2" t="str">
        <f>HYPERLINK("capsilon://?command=openfolder&amp;siteaddress=FAM.docvelocity-na8.net&amp;folderid=FX752C2642-5ECF-773B-8E65-695284F4786D","FX201017101")</f>
        <v>FX201017101</v>
      </c>
      <c r="F1754" t="s">
        <v>19</v>
      </c>
      <c r="G1754" t="s">
        <v>19</v>
      </c>
      <c r="H1754" t="s">
        <v>82</v>
      </c>
      <c r="I1754" t="s">
        <v>4301</v>
      </c>
      <c r="J1754">
        <v>66</v>
      </c>
      <c r="K1754" t="s">
        <v>84</v>
      </c>
      <c r="L1754" t="s">
        <v>85</v>
      </c>
      <c r="M1754" t="s">
        <v>86</v>
      </c>
      <c r="N1754">
        <v>3</v>
      </c>
      <c r="O1754" s="1">
        <v>44215.749212962961</v>
      </c>
      <c r="P1754" s="1">
        <v>44216.379421296297</v>
      </c>
      <c r="Q1754">
        <v>54289</v>
      </c>
      <c r="R1754">
        <v>161</v>
      </c>
      <c r="S1754" t="b">
        <v>0</v>
      </c>
      <c r="T1754" t="s">
        <v>87</v>
      </c>
      <c r="U1754" t="b">
        <v>0</v>
      </c>
      <c r="V1754" t="s">
        <v>179</v>
      </c>
      <c r="W1754" s="1">
        <v>44215.763287037036</v>
      </c>
      <c r="X1754">
        <v>115</v>
      </c>
      <c r="Y1754">
        <v>0</v>
      </c>
      <c r="Z1754">
        <v>0</v>
      </c>
      <c r="AA1754">
        <v>0</v>
      </c>
      <c r="AB1754">
        <v>52</v>
      </c>
      <c r="AC1754">
        <v>0</v>
      </c>
      <c r="AD1754">
        <v>66</v>
      </c>
      <c r="AE1754">
        <v>0</v>
      </c>
      <c r="AF1754">
        <v>0</v>
      </c>
      <c r="AG1754">
        <v>0</v>
      </c>
      <c r="AH1754" t="s">
        <v>128</v>
      </c>
      <c r="AI1754" s="1">
        <v>44215.829722222225</v>
      </c>
      <c r="AJ1754">
        <v>43</v>
      </c>
      <c r="AK1754">
        <v>0</v>
      </c>
      <c r="AL1754">
        <v>0</v>
      </c>
      <c r="AM1754">
        <v>0</v>
      </c>
      <c r="AN1754">
        <v>52</v>
      </c>
      <c r="AO1754">
        <v>0</v>
      </c>
      <c r="AP1754">
        <v>66</v>
      </c>
      <c r="AQ1754">
        <v>0</v>
      </c>
      <c r="AR1754">
        <v>0</v>
      </c>
      <c r="AS1754">
        <v>0</v>
      </c>
      <c r="AT1754" t="s">
        <v>90</v>
      </c>
      <c r="AU1754" s="1">
        <v>44216.379421296297</v>
      </c>
      <c r="AV1754">
        <v>3</v>
      </c>
      <c r="AW1754">
        <v>0</v>
      </c>
      <c r="AX1754">
        <v>0</v>
      </c>
      <c r="AY1754">
        <v>0</v>
      </c>
      <c r="AZ1754">
        <v>52</v>
      </c>
      <c r="BA1754">
        <v>0</v>
      </c>
      <c r="BB1754">
        <v>66</v>
      </c>
      <c r="BC1754">
        <v>0</v>
      </c>
      <c r="BD1754">
        <v>0</v>
      </c>
      <c r="BE1754">
        <v>0</v>
      </c>
    </row>
    <row r="1755" spans="1:57" x14ac:dyDescent="0.45">
      <c r="A1755" t="s">
        <v>4302</v>
      </c>
      <c r="B1755" t="s">
        <v>79</v>
      </c>
      <c r="C1755" t="s">
        <v>4293</v>
      </c>
      <c r="D1755" t="s">
        <v>81</v>
      </c>
      <c r="E1755" s="2" t="str">
        <f>HYPERLINK("capsilon://?command=openfolder&amp;siteaddress=FAM.docvelocity-na8.net&amp;folderid=FX00EAC5CA-99FA-C3C0-0CED-D30807B02AE2","FX210110627")</f>
        <v>FX210110627</v>
      </c>
      <c r="F1755" t="s">
        <v>19</v>
      </c>
      <c r="G1755" t="s">
        <v>19</v>
      </c>
      <c r="H1755" t="s">
        <v>82</v>
      </c>
      <c r="I1755" t="s">
        <v>4303</v>
      </c>
      <c r="J1755">
        <v>31</v>
      </c>
      <c r="K1755" t="s">
        <v>84</v>
      </c>
      <c r="L1755" t="s">
        <v>85</v>
      </c>
      <c r="M1755" t="s">
        <v>86</v>
      </c>
      <c r="N1755">
        <v>3</v>
      </c>
      <c r="O1755" s="1">
        <v>44215.751689814817</v>
      </c>
      <c r="P1755" s="1">
        <v>44216.382314814815</v>
      </c>
      <c r="Q1755">
        <v>53013</v>
      </c>
      <c r="R1755">
        <v>1473</v>
      </c>
      <c r="S1755" t="b">
        <v>0</v>
      </c>
      <c r="T1755" t="s">
        <v>87</v>
      </c>
      <c r="U1755" t="b">
        <v>0</v>
      </c>
      <c r="V1755" t="s">
        <v>171</v>
      </c>
      <c r="W1755" s="1">
        <v>44215.775092592594</v>
      </c>
      <c r="X1755">
        <v>1094</v>
      </c>
      <c r="Y1755">
        <v>38</v>
      </c>
      <c r="Z1755">
        <v>0</v>
      </c>
      <c r="AA1755">
        <v>38</v>
      </c>
      <c r="AB1755">
        <v>0</v>
      </c>
      <c r="AC1755">
        <v>29</v>
      </c>
      <c r="AD1755">
        <v>-7</v>
      </c>
      <c r="AE1755">
        <v>0</v>
      </c>
      <c r="AF1755">
        <v>0</v>
      </c>
      <c r="AG1755">
        <v>0</v>
      </c>
      <c r="AH1755" t="s">
        <v>128</v>
      </c>
      <c r="AI1755" s="1">
        <v>44215.831226851849</v>
      </c>
      <c r="AJ1755">
        <v>129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-7</v>
      </c>
      <c r="AQ1755">
        <v>0</v>
      </c>
      <c r="AR1755">
        <v>0</v>
      </c>
      <c r="AS1755">
        <v>0</v>
      </c>
      <c r="AT1755" t="s">
        <v>90</v>
      </c>
      <c r="AU1755" s="1">
        <v>44216.382314814815</v>
      </c>
      <c r="AV1755">
        <v>250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-7</v>
      </c>
      <c r="BC1755">
        <v>0</v>
      </c>
      <c r="BD1755">
        <v>0</v>
      </c>
      <c r="BE1755">
        <v>0</v>
      </c>
    </row>
    <row r="1756" spans="1:57" x14ac:dyDescent="0.45">
      <c r="A1756" t="s">
        <v>4304</v>
      </c>
      <c r="B1756" t="s">
        <v>79</v>
      </c>
      <c r="C1756" t="s">
        <v>2199</v>
      </c>
      <c r="D1756" t="s">
        <v>81</v>
      </c>
      <c r="E1756" s="2" t="str">
        <f>HYPERLINK("capsilon://?command=openfolder&amp;siteaddress=FAM.docvelocity-na8.net&amp;folderid=FX3E508EA4-D795-A5DE-8974-97DB8256FC06","FX201223829")</f>
        <v>FX201223829</v>
      </c>
      <c r="F1756" t="s">
        <v>19</v>
      </c>
      <c r="G1756" t="s">
        <v>19</v>
      </c>
      <c r="H1756" t="s">
        <v>82</v>
      </c>
      <c r="I1756" t="s">
        <v>4305</v>
      </c>
      <c r="J1756">
        <v>66</v>
      </c>
      <c r="K1756" t="s">
        <v>84</v>
      </c>
      <c r="L1756" t="s">
        <v>85</v>
      </c>
      <c r="M1756" t="s">
        <v>86</v>
      </c>
      <c r="N1756">
        <v>3</v>
      </c>
      <c r="O1756" s="1">
        <v>44215.753969907404</v>
      </c>
      <c r="P1756" s="1">
        <v>44216.382685185185</v>
      </c>
      <c r="Q1756">
        <v>53604</v>
      </c>
      <c r="R1756">
        <v>717</v>
      </c>
      <c r="S1756" t="b">
        <v>0</v>
      </c>
      <c r="T1756" t="s">
        <v>87</v>
      </c>
      <c r="U1756" t="b">
        <v>0</v>
      </c>
      <c r="V1756" t="s">
        <v>255</v>
      </c>
      <c r="W1756" s="1">
        <v>44215.769409722219</v>
      </c>
      <c r="X1756">
        <v>445</v>
      </c>
      <c r="Y1756">
        <v>52</v>
      </c>
      <c r="Z1756">
        <v>0</v>
      </c>
      <c r="AA1756">
        <v>52</v>
      </c>
      <c r="AB1756">
        <v>0</v>
      </c>
      <c r="AC1756">
        <v>18</v>
      </c>
      <c r="AD1756">
        <v>14</v>
      </c>
      <c r="AE1756">
        <v>0</v>
      </c>
      <c r="AF1756">
        <v>0</v>
      </c>
      <c r="AG1756">
        <v>0</v>
      </c>
      <c r="AH1756" t="s">
        <v>267</v>
      </c>
      <c r="AI1756" s="1">
        <v>44215.832858796297</v>
      </c>
      <c r="AJ1756">
        <v>244</v>
      </c>
      <c r="AK1756">
        <v>1</v>
      </c>
      <c r="AL1756">
        <v>0</v>
      </c>
      <c r="AM1756">
        <v>1</v>
      </c>
      <c r="AN1756">
        <v>0</v>
      </c>
      <c r="AO1756">
        <v>1</v>
      </c>
      <c r="AP1756">
        <v>13</v>
      </c>
      <c r="AQ1756">
        <v>0</v>
      </c>
      <c r="AR1756">
        <v>0</v>
      </c>
      <c r="AS1756">
        <v>0</v>
      </c>
      <c r="AT1756" t="s">
        <v>90</v>
      </c>
      <c r="AU1756" s="1">
        <v>44216.382685185185</v>
      </c>
      <c r="AV1756">
        <v>19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13</v>
      </c>
      <c r="BC1756">
        <v>0</v>
      </c>
      <c r="BD1756">
        <v>0</v>
      </c>
      <c r="BE1756">
        <v>0</v>
      </c>
    </row>
    <row r="1757" spans="1:57" x14ac:dyDescent="0.45">
      <c r="A1757" t="s">
        <v>4306</v>
      </c>
      <c r="B1757" t="s">
        <v>79</v>
      </c>
      <c r="C1757" t="s">
        <v>1008</v>
      </c>
      <c r="D1757" t="s">
        <v>81</v>
      </c>
      <c r="E1757" s="2" t="str">
        <f>HYPERLINK("capsilon://?command=openfolder&amp;siteaddress=FAM.docvelocity-na8.net&amp;folderid=FX8B229F9D-25EA-922E-8625-A16F93D39D87","FX210174")</f>
        <v>FX210174</v>
      </c>
      <c r="F1757" t="s">
        <v>19</v>
      </c>
      <c r="G1757" t="s">
        <v>19</v>
      </c>
      <c r="H1757" t="s">
        <v>82</v>
      </c>
      <c r="I1757" t="s">
        <v>4307</v>
      </c>
      <c r="J1757">
        <v>420</v>
      </c>
      <c r="K1757" t="s">
        <v>84</v>
      </c>
      <c r="L1757" t="s">
        <v>85</v>
      </c>
      <c r="M1757" t="s">
        <v>86</v>
      </c>
      <c r="N1757">
        <v>3</v>
      </c>
      <c r="O1757" s="1">
        <v>44200.941018518519</v>
      </c>
      <c r="P1757" s="1">
        <v>44201.455092592594</v>
      </c>
      <c r="Q1757">
        <v>36912</v>
      </c>
      <c r="R1757">
        <v>7504</v>
      </c>
      <c r="S1757" t="b">
        <v>0</v>
      </c>
      <c r="T1757" t="s">
        <v>87</v>
      </c>
      <c r="U1757" t="b">
        <v>0</v>
      </c>
      <c r="V1757" t="s">
        <v>88</v>
      </c>
      <c r="W1757" s="1">
        <v>44201.215324074074</v>
      </c>
      <c r="X1757">
        <v>3626</v>
      </c>
      <c r="Y1757">
        <v>345</v>
      </c>
      <c r="Z1757">
        <v>0</v>
      </c>
      <c r="AA1757">
        <v>345</v>
      </c>
      <c r="AB1757">
        <v>0</v>
      </c>
      <c r="AC1757">
        <v>205</v>
      </c>
      <c r="AD1757">
        <v>75</v>
      </c>
      <c r="AE1757">
        <v>0</v>
      </c>
      <c r="AF1757">
        <v>0</v>
      </c>
      <c r="AG1757">
        <v>0</v>
      </c>
      <c r="AH1757" t="s">
        <v>89</v>
      </c>
      <c r="AI1757" s="1">
        <v>44201.355405092596</v>
      </c>
      <c r="AJ1757">
        <v>3270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74</v>
      </c>
      <c r="AQ1757">
        <v>0</v>
      </c>
      <c r="AR1757">
        <v>0</v>
      </c>
      <c r="AS1757">
        <v>0</v>
      </c>
      <c r="AT1757" t="s">
        <v>549</v>
      </c>
      <c r="AU1757" s="1">
        <v>44201.455092592594</v>
      </c>
      <c r="AV1757">
        <v>608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74</v>
      </c>
      <c r="BC1757">
        <v>0</v>
      </c>
      <c r="BD1757">
        <v>0</v>
      </c>
      <c r="BE1757">
        <v>0</v>
      </c>
    </row>
    <row r="1758" spans="1:57" hidden="1" x14ac:dyDescent="0.45">
      <c r="A1758" t="s">
        <v>4308</v>
      </c>
      <c r="B1758" t="s">
        <v>79</v>
      </c>
      <c r="C1758" t="s">
        <v>3425</v>
      </c>
      <c r="D1758" t="s">
        <v>81</v>
      </c>
      <c r="E1758" s="2" t="str">
        <f>HYPERLINK("capsilon://?command=openfolder&amp;siteaddress=FAM.docvelocity-na8.net&amp;folderid=FX89A055B8-A429-F8CF-09EF-B1DE8793191F","FX201113492")</f>
        <v>FX201113492</v>
      </c>
      <c r="F1758" t="s">
        <v>19</v>
      </c>
      <c r="G1758" t="s">
        <v>19</v>
      </c>
      <c r="H1758" t="s">
        <v>82</v>
      </c>
      <c r="I1758" t="s">
        <v>4309</v>
      </c>
      <c r="J1758">
        <v>77</v>
      </c>
      <c r="K1758" t="s">
        <v>84</v>
      </c>
      <c r="L1758" t="s">
        <v>85</v>
      </c>
      <c r="M1758" t="s">
        <v>86</v>
      </c>
      <c r="N1758">
        <v>1</v>
      </c>
      <c r="O1758" s="1">
        <v>44215.75986111111</v>
      </c>
      <c r="P1758" s="1">
        <v>44215.770312499997</v>
      </c>
      <c r="Q1758">
        <v>826</v>
      </c>
      <c r="R1758">
        <v>77</v>
      </c>
      <c r="S1758" t="b">
        <v>0</v>
      </c>
      <c r="T1758" t="s">
        <v>87</v>
      </c>
      <c r="U1758" t="b">
        <v>0</v>
      </c>
      <c r="V1758" t="s">
        <v>255</v>
      </c>
      <c r="W1758" s="1">
        <v>44215.770312499997</v>
      </c>
      <c r="X1758">
        <v>77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77</v>
      </c>
      <c r="AE1758">
        <v>69</v>
      </c>
      <c r="AF1758">
        <v>0</v>
      </c>
      <c r="AG1758">
        <v>2</v>
      </c>
      <c r="AH1758" t="s">
        <v>87</v>
      </c>
      <c r="AI1758" t="s">
        <v>87</v>
      </c>
      <c r="AJ1758" t="s">
        <v>87</v>
      </c>
      <c r="AK1758" t="s">
        <v>87</v>
      </c>
      <c r="AL1758" t="s">
        <v>87</v>
      </c>
      <c r="AM1758" t="s">
        <v>87</v>
      </c>
      <c r="AN1758" t="s">
        <v>87</v>
      </c>
      <c r="AO1758" t="s">
        <v>87</v>
      </c>
      <c r="AP1758" t="s">
        <v>87</v>
      </c>
      <c r="AQ1758" t="s">
        <v>87</v>
      </c>
      <c r="AR1758" t="s">
        <v>87</v>
      </c>
      <c r="AS1758" t="s">
        <v>87</v>
      </c>
      <c r="AT1758" t="s">
        <v>87</v>
      </c>
      <c r="AU1758" t="s">
        <v>87</v>
      </c>
      <c r="AV1758" t="s">
        <v>87</v>
      </c>
      <c r="AW1758" t="s">
        <v>87</v>
      </c>
      <c r="AX1758" t="s">
        <v>87</v>
      </c>
      <c r="AY1758" t="s">
        <v>87</v>
      </c>
      <c r="AZ1758" t="s">
        <v>87</v>
      </c>
      <c r="BA1758" t="s">
        <v>87</v>
      </c>
      <c r="BB1758" t="s">
        <v>87</v>
      </c>
      <c r="BC1758" t="s">
        <v>87</v>
      </c>
      <c r="BD1758" t="s">
        <v>87</v>
      </c>
      <c r="BE1758" t="s">
        <v>87</v>
      </c>
    </row>
    <row r="1759" spans="1:57" x14ac:dyDescent="0.45">
      <c r="A1759" t="s">
        <v>4310</v>
      </c>
      <c r="B1759" t="s">
        <v>79</v>
      </c>
      <c r="C1759" t="s">
        <v>4293</v>
      </c>
      <c r="D1759" t="s">
        <v>81</v>
      </c>
      <c r="E1759" s="2" t="str">
        <f>HYPERLINK("capsilon://?command=openfolder&amp;siteaddress=FAM.docvelocity-na8.net&amp;folderid=FX00EAC5CA-99FA-C3C0-0CED-D30807B02AE2","FX210110627")</f>
        <v>FX210110627</v>
      </c>
      <c r="F1759" t="s">
        <v>19</v>
      </c>
      <c r="G1759" t="s">
        <v>19</v>
      </c>
      <c r="H1759" t="s">
        <v>82</v>
      </c>
      <c r="I1759" t="s">
        <v>4311</v>
      </c>
      <c r="J1759">
        <v>26</v>
      </c>
      <c r="K1759" t="s">
        <v>84</v>
      </c>
      <c r="L1759" t="s">
        <v>85</v>
      </c>
      <c r="M1759" t="s">
        <v>86</v>
      </c>
      <c r="N1759">
        <v>3</v>
      </c>
      <c r="O1759" s="1">
        <v>44215.762037037035</v>
      </c>
      <c r="P1759" s="1">
        <v>44216.382743055554</v>
      </c>
      <c r="Q1759">
        <v>53035</v>
      </c>
      <c r="R1759">
        <v>594</v>
      </c>
      <c r="S1759" t="b">
        <v>0</v>
      </c>
      <c r="T1759" t="s">
        <v>87</v>
      </c>
      <c r="U1759" t="b">
        <v>0</v>
      </c>
      <c r="V1759" t="s">
        <v>255</v>
      </c>
      <c r="W1759" s="1">
        <v>44215.775277777779</v>
      </c>
      <c r="X1759">
        <v>428</v>
      </c>
      <c r="Y1759">
        <v>21</v>
      </c>
      <c r="Z1759">
        <v>0</v>
      </c>
      <c r="AA1759">
        <v>21</v>
      </c>
      <c r="AB1759">
        <v>0</v>
      </c>
      <c r="AC1759">
        <v>10</v>
      </c>
      <c r="AD1759">
        <v>5</v>
      </c>
      <c r="AE1759">
        <v>0</v>
      </c>
      <c r="AF1759">
        <v>0</v>
      </c>
      <c r="AG1759">
        <v>0</v>
      </c>
      <c r="AH1759" t="s">
        <v>128</v>
      </c>
      <c r="AI1759" s="1">
        <v>44215.833113425928</v>
      </c>
      <c r="AJ1759">
        <v>162</v>
      </c>
      <c r="AK1759">
        <v>1</v>
      </c>
      <c r="AL1759">
        <v>0</v>
      </c>
      <c r="AM1759">
        <v>1</v>
      </c>
      <c r="AN1759">
        <v>0</v>
      </c>
      <c r="AO1759">
        <v>1</v>
      </c>
      <c r="AP1759">
        <v>4</v>
      </c>
      <c r="AQ1759">
        <v>0</v>
      </c>
      <c r="AR1759">
        <v>0</v>
      </c>
      <c r="AS1759">
        <v>0</v>
      </c>
      <c r="AT1759" t="s">
        <v>90</v>
      </c>
      <c r="AU1759" s="1">
        <v>44216.382743055554</v>
      </c>
      <c r="AV1759">
        <v>4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4</v>
      </c>
      <c r="BC1759">
        <v>0</v>
      </c>
      <c r="BD1759">
        <v>0</v>
      </c>
      <c r="BE1759">
        <v>0</v>
      </c>
    </row>
    <row r="1760" spans="1:57" x14ac:dyDescent="0.45">
      <c r="A1760" t="s">
        <v>4312</v>
      </c>
      <c r="B1760" t="s">
        <v>79</v>
      </c>
      <c r="C1760" t="s">
        <v>4313</v>
      </c>
      <c r="D1760" t="s">
        <v>81</v>
      </c>
      <c r="E1760" s="2" t="str">
        <f>HYPERLINK("capsilon://?command=openfolder&amp;siteaddress=FAM.docvelocity-na8.net&amp;folderid=FX5BD9B704-93DC-22EC-2F20-F4B2934E3292","FX210111281")</f>
        <v>FX210111281</v>
      </c>
      <c r="F1760" t="s">
        <v>19</v>
      </c>
      <c r="G1760" t="s">
        <v>19</v>
      </c>
      <c r="H1760" t="s">
        <v>82</v>
      </c>
      <c r="I1760" t="s">
        <v>4314</v>
      </c>
      <c r="J1760">
        <v>512</v>
      </c>
      <c r="K1760" t="s">
        <v>84</v>
      </c>
      <c r="L1760" t="s">
        <v>85</v>
      </c>
      <c r="M1760" t="s">
        <v>86</v>
      </c>
      <c r="N1760">
        <v>3</v>
      </c>
      <c r="O1760" s="1">
        <v>44215.762974537036</v>
      </c>
      <c r="P1760" s="1">
        <v>44216.384212962963</v>
      </c>
      <c r="Q1760">
        <v>50600</v>
      </c>
      <c r="R1760">
        <v>3075</v>
      </c>
      <c r="S1760" t="b">
        <v>0</v>
      </c>
      <c r="T1760" t="s">
        <v>87</v>
      </c>
      <c r="U1760" t="b">
        <v>0</v>
      </c>
      <c r="V1760" t="s">
        <v>255</v>
      </c>
      <c r="W1760" s="1">
        <v>44215.792997685188</v>
      </c>
      <c r="X1760">
        <v>1530</v>
      </c>
      <c r="Y1760">
        <v>387</v>
      </c>
      <c r="Z1760">
        <v>0</v>
      </c>
      <c r="AA1760">
        <v>387</v>
      </c>
      <c r="AB1760">
        <v>21</v>
      </c>
      <c r="AC1760">
        <v>103</v>
      </c>
      <c r="AD1760">
        <v>125</v>
      </c>
      <c r="AE1760">
        <v>0</v>
      </c>
      <c r="AF1760">
        <v>0</v>
      </c>
      <c r="AG1760">
        <v>0</v>
      </c>
      <c r="AH1760" t="s">
        <v>267</v>
      </c>
      <c r="AI1760" s="1">
        <v>44215.849293981482</v>
      </c>
      <c r="AJ1760">
        <v>1419</v>
      </c>
      <c r="AK1760">
        <v>0</v>
      </c>
      <c r="AL1760">
        <v>0</v>
      </c>
      <c r="AM1760">
        <v>0</v>
      </c>
      <c r="AN1760">
        <v>21</v>
      </c>
      <c r="AO1760">
        <v>0</v>
      </c>
      <c r="AP1760">
        <v>125</v>
      </c>
      <c r="AQ1760">
        <v>0</v>
      </c>
      <c r="AR1760">
        <v>0</v>
      </c>
      <c r="AS1760">
        <v>0</v>
      </c>
      <c r="AT1760" t="s">
        <v>90</v>
      </c>
      <c r="AU1760" s="1">
        <v>44216.384212962963</v>
      </c>
      <c r="AV1760">
        <v>126</v>
      </c>
      <c r="AW1760">
        <v>0</v>
      </c>
      <c r="AX1760">
        <v>0</v>
      </c>
      <c r="AY1760">
        <v>0</v>
      </c>
      <c r="AZ1760">
        <v>21</v>
      </c>
      <c r="BA1760">
        <v>0</v>
      </c>
      <c r="BB1760">
        <v>125</v>
      </c>
      <c r="BC1760">
        <v>0</v>
      </c>
      <c r="BD1760">
        <v>0</v>
      </c>
      <c r="BE1760">
        <v>0</v>
      </c>
    </row>
    <row r="1761" spans="1:57" x14ac:dyDescent="0.45">
      <c r="A1761" t="s">
        <v>4315</v>
      </c>
      <c r="B1761" t="s">
        <v>79</v>
      </c>
      <c r="C1761" t="s">
        <v>2863</v>
      </c>
      <c r="D1761" t="s">
        <v>81</v>
      </c>
      <c r="E1761" s="2" t="str">
        <f>HYPERLINK("capsilon://?command=openfolder&amp;siteaddress=FAM.docvelocity-na8.net&amp;folderid=FX13647EEC-6C73-C303-9C31-08B5B0F8181E","FX21014568")</f>
        <v>FX21014568</v>
      </c>
      <c r="F1761" t="s">
        <v>19</v>
      </c>
      <c r="G1761" t="s">
        <v>19</v>
      </c>
      <c r="H1761" t="s">
        <v>82</v>
      </c>
      <c r="I1761" t="s">
        <v>4316</v>
      </c>
      <c r="J1761">
        <v>66</v>
      </c>
      <c r="K1761" t="s">
        <v>84</v>
      </c>
      <c r="L1761" t="s">
        <v>85</v>
      </c>
      <c r="M1761" t="s">
        <v>86</v>
      </c>
      <c r="N1761">
        <v>3</v>
      </c>
      <c r="O1761" s="1">
        <v>44215.7655787037</v>
      </c>
      <c r="P1761" s="1">
        <v>44216.384745370371</v>
      </c>
      <c r="Q1761">
        <v>53084</v>
      </c>
      <c r="R1761">
        <v>412</v>
      </c>
      <c r="S1761" t="b">
        <v>0</v>
      </c>
      <c r="T1761" t="s">
        <v>87</v>
      </c>
      <c r="U1761" t="b">
        <v>0</v>
      </c>
      <c r="V1761" t="s">
        <v>242</v>
      </c>
      <c r="W1761" s="1">
        <v>44215.819722222222</v>
      </c>
      <c r="X1761">
        <v>224</v>
      </c>
      <c r="Y1761">
        <v>52</v>
      </c>
      <c r="Z1761">
        <v>0</v>
      </c>
      <c r="AA1761">
        <v>52</v>
      </c>
      <c r="AB1761">
        <v>0</v>
      </c>
      <c r="AC1761">
        <v>27</v>
      </c>
      <c r="AD1761">
        <v>14</v>
      </c>
      <c r="AE1761">
        <v>0</v>
      </c>
      <c r="AF1761">
        <v>0</v>
      </c>
      <c r="AG1761">
        <v>0</v>
      </c>
      <c r="AH1761" t="s">
        <v>128</v>
      </c>
      <c r="AI1761" s="1">
        <v>44215.834548611114</v>
      </c>
      <c r="AJ1761">
        <v>123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14</v>
      </c>
      <c r="AQ1761">
        <v>0</v>
      </c>
      <c r="AR1761">
        <v>0</v>
      </c>
      <c r="AS1761">
        <v>0</v>
      </c>
      <c r="AT1761" t="s">
        <v>90</v>
      </c>
      <c r="AU1761" s="1">
        <v>44216.384745370371</v>
      </c>
      <c r="AV1761">
        <v>45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14</v>
      </c>
      <c r="BC1761">
        <v>0</v>
      </c>
      <c r="BD1761">
        <v>0</v>
      </c>
      <c r="BE1761">
        <v>0</v>
      </c>
    </row>
    <row r="1762" spans="1:57" x14ac:dyDescent="0.45">
      <c r="A1762" t="s">
        <v>4317</v>
      </c>
      <c r="B1762" t="s">
        <v>79</v>
      </c>
      <c r="C1762" t="s">
        <v>4293</v>
      </c>
      <c r="D1762" t="s">
        <v>81</v>
      </c>
      <c r="E1762" s="2" t="str">
        <f>HYPERLINK("capsilon://?command=openfolder&amp;siteaddress=FAM.docvelocity-na8.net&amp;folderid=FX00EAC5CA-99FA-C3C0-0CED-D30807B02AE2","FX210110627")</f>
        <v>FX210110627</v>
      </c>
      <c r="F1762" t="s">
        <v>19</v>
      </c>
      <c r="G1762" t="s">
        <v>19</v>
      </c>
      <c r="H1762" t="s">
        <v>82</v>
      </c>
      <c r="I1762" t="s">
        <v>4318</v>
      </c>
      <c r="J1762">
        <v>26</v>
      </c>
      <c r="K1762" t="s">
        <v>84</v>
      </c>
      <c r="L1762" t="s">
        <v>85</v>
      </c>
      <c r="M1762" t="s">
        <v>86</v>
      </c>
      <c r="N1762">
        <v>3</v>
      </c>
      <c r="O1762" s="1">
        <v>44215.768391203703</v>
      </c>
      <c r="P1762" s="1">
        <v>44216.384814814817</v>
      </c>
      <c r="Q1762">
        <v>52999</v>
      </c>
      <c r="R1762">
        <v>260</v>
      </c>
      <c r="S1762" t="b">
        <v>0</v>
      </c>
      <c r="T1762" t="s">
        <v>87</v>
      </c>
      <c r="U1762" t="b">
        <v>0</v>
      </c>
      <c r="V1762" t="s">
        <v>242</v>
      </c>
      <c r="W1762" s="1">
        <v>44215.821423611109</v>
      </c>
      <c r="X1762">
        <v>146</v>
      </c>
      <c r="Y1762">
        <v>21</v>
      </c>
      <c r="Z1762">
        <v>0</v>
      </c>
      <c r="AA1762">
        <v>21</v>
      </c>
      <c r="AB1762">
        <v>0</v>
      </c>
      <c r="AC1762">
        <v>6</v>
      </c>
      <c r="AD1762">
        <v>5</v>
      </c>
      <c r="AE1762">
        <v>0</v>
      </c>
      <c r="AF1762">
        <v>0</v>
      </c>
      <c r="AG1762">
        <v>0</v>
      </c>
      <c r="AH1762" t="s">
        <v>128</v>
      </c>
      <c r="AI1762" s="1">
        <v>44215.835821759261</v>
      </c>
      <c r="AJ1762">
        <v>109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5</v>
      </c>
      <c r="AQ1762">
        <v>0</v>
      </c>
      <c r="AR1762">
        <v>0</v>
      </c>
      <c r="AS1762">
        <v>0</v>
      </c>
      <c r="AT1762" t="s">
        <v>90</v>
      </c>
      <c r="AU1762" s="1">
        <v>44216.384814814817</v>
      </c>
      <c r="AV1762">
        <v>5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5</v>
      </c>
      <c r="BC1762">
        <v>0</v>
      </c>
      <c r="BD1762">
        <v>0</v>
      </c>
      <c r="BE1762">
        <v>0</v>
      </c>
    </row>
    <row r="1763" spans="1:57" hidden="1" x14ac:dyDescent="0.45">
      <c r="A1763" t="s">
        <v>4319</v>
      </c>
      <c r="B1763" t="s">
        <v>79</v>
      </c>
      <c r="C1763" t="s">
        <v>2882</v>
      </c>
      <c r="D1763" t="s">
        <v>81</v>
      </c>
      <c r="E1763" s="2" t="str">
        <f>HYPERLINK("capsilon://?command=openfolder&amp;siteaddress=FAM.docvelocity-na8.net&amp;folderid=FXC9769D95-F2B7-E14F-60C9-C8ED0DA5BBB8","FX20116137")</f>
        <v>FX20116137</v>
      </c>
      <c r="F1763" t="s">
        <v>19</v>
      </c>
      <c r="G1763" t="s">
        <v>19</v>
      </c>
      <c r="H1763" t="s">
        <v>82</v>
      </c>
      <c r="I1763" t="s">
        <v>4320</v>
      </c>
      <c r="J1763">
        <v>66</v>
      </c>
      <c r="K1763" t="s">
        <v>84</v>
      </c>
      <c r="L1763" t="s">
        <v>85</v>
      </c>
      <c r="M1763" t="s">
        <v>86</v>
      </c>
      <c r="N1763">
        <v>3</v>
      </c>
      <c r="O1763" s="1">
        <v>44215.769756944443</v>
      </c>
      <c r="P1763" s="1">
        <v>44216.38486111111</v>
      </c>
      <c r="Q1763">
        <v>53056</v>
      </c>
      <c r="R1763">
        <v>89</v>
      </c>
      <c r="S1763" t="b">
        <v>0</v>
      </c>
      <c r="T1763" t="s">
        <v>87</v>
      </c>
      <c r="U1763" t="b">
        <v>0</v>
      </c>
      <c r="V1763" t="s">
        <v>255</v>
      </c>
      <c r="W1763" s="1">
        <v>44215.820821759262</v>
      </c>
      <c r="X1763">
        <v>45</v>
      </c>
      <c r="Y1763">
        <v>0</v>
      </c>
      <c r="Z1763">
        <v>0</v>
      </c>
      <c r="AA1763">
        <v>0</v>
      </c>
      <c r="AB1763">
        <v>52</v>
      </c>
      <c r="AC1763">
        <v>0</v>
      </c>
      <c r="AD1763">
        <v>66</v>
      </c>
      <c r="AE1763">
        <v>0</v>
      </c>
      <c r="AF1763">
        <v>0</v>
      </c>
      <c r="AG1763">
        <v>0</v>
      </c>
      <c r="AH1763" t="s">
        <v>128</v>
      </c>
      <c r="AI1763" s="1">
        <v>44215.83630787037</v>
      </c>
      <c r="AJ1763">
        <v>41</v>
      </c>
      <c r="AK1763">
        <v>0</v>
      </c>
      <c r="AL1763">
        <v>0</v>
      </c>
      <c r="AM1763">
        <v>0</v>
      </c>
      <c r="AN1763">
        <v>52</v>
      </c>
      <c r="AO1763">
        <v>0</v>
      </c>
      <c r="AP1763">
        <v>66</v>
      </c>
      <c r="AQ1763">
        <v>0</v>
      </c>
      <c r="AR1763">
        <v>0</v>
      </c>
      <c r="AS1763">
        <v>0</v>
      </c>
      <c r="AT1763" t="s">
        <v>90</v>
      </c>
      <c r="AU1763" s="1">
        <v>44216.38486111111</v>
      </c>
      <c r="AV1763">
        <v>3</v>
      </c>
      <c r="AW1763">
        <v>0</v>
      </c>
      <c r="AX1763">
        <v>0</v>
      </c>
      <c r="AY1763">
        <v>0</v>
      </c>
      <c r="AZ1763">
        <v>52</v>
      </c>
      <c r="BA1763">
        <v>0</v>
      </c>
      <c r="BB1763">
        <v>66</v>
      </c>
      <c r="BC1763">
        <v>0</v>
      </c>
      <c r="BD1763">
        <v>0</v>
      </c>
      <c r="BE1763">
        <v>0</v>
      </c>
    </row>
    <row r="1764" spans="1:57" x14ac:dyDescent="0.45">
      <c r="A1764" t="s">
        <v>4321</v>
      </c>
      <c r="B1764" t="s">
        <v>79</v>
      </c>
      <c r="C1764" t="s">
        <v>1727</v>
      </c>
      <c r="D1764" t="s">
        <v>81</v>
      </c>
      <c r="E1764" s="2" t="str">
        <f>HYPERLINK("capsilon://?command=openfolder&amp;siteaddress=FAM.docvelocity-na8.net&amp;folderid=FXD9AD949D-97C4-E9EB-FE17-42A6D0186042","FX21012280")</f>
        <v>FX21012280</v>
      </c>
      <c r="F1764" t="s">
        <v>19</v>
      </c>
      <c r="G1764" t="s">
        <v>19</v>
      </c>
      <c r="H1764" t="s">
        <v>82</v>
      </c>
      <c r="I1764" t="s">
        <v>4322</v>
      </c>
      <c r="J1764">
        <v>66</v>
      </c>
      <c r="K1764" t="s">
        <v>84</v>
      </c>
      <c r="L1764" t="s">
        <v>85</v>
      </c>
      <c r="M1764" t="s">
        <v>86</v>
      </c>
      <c r="N1764">
        <v>3</v>
      </c>
      <c r="O1764" s="1">
        <v>44215.770428240743</v>
      </c>
      <c r="P1764" s="1">
        <v>44216.384930555556</v>
      </c>
      <c r="Q1764">
        <v>52663</v>
      </c>
      <c r="R1764">
        <v>430</v>
      </c>
      <c r="S1764" t="b">
        <v>0</v>
      </c>
      <c r="T1764" t="s">
        <v>87</v>
      </c>
      <c r="U1764" t="b">
        <v>0</v>
      </c>
      <c r="V1764" t="s">
        <v>255</v>
      </c>
      <c r="W1764" s="1">
        <v>44215.823530092595</v>
      </c>
      <c r="X1764">
        <v>233</v>
      </c>
      <c r="Y1764">
        <v>52</v>
      </c>
      <c r="Z1764">
        <v>0</v>
      </c>
      <c r="AA1764">
        <v>52</v>
      </c>
      <c r="AB1764">
        <v>0</v>
      </c>
      <c r="AC1764">
        <v>36</v>
      </c>
      <c r="AD1764">
        <v>14</v>
      </c>
      <c r="AE1764">
        <v>0</v>
      </c>
      <c r="AF1764">
        <v>0</v>
      </c>
      <c r="AG1764">
        <v>0</v>
      </c>
      <c r="AH1764" t="s">
        <v>128</v>
      </c>
      <c r="AI1764" s="1">
        <v>44215.838541666664</v>
      </c>
      <c r="AJ1764">
        <v>192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14</v>
      </c>
      <c r="AQ1764">
        <v>0</v>
      </c>
      <c r="AR1764">
        <v>0</v>
      </c>
      <c r="AS1764">
        <v>0</v>
      </c>
      <c r="AT1764" t="s">
        <v>90</v>
      </c>
      <c r="AU1764" s="1">
        <v>44216.384930555556</v>
      </c>
      <c r="AV1764">
        <v>5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14</v>
      </c>
      <c r="BC1764">
        <v>0</v>
      </c>
      <c r="BD1764">
        <v>0</v>
      </c>
      <c r="BE1764">
        <v>0</v>
      </c>
    </row>
    <row r="1765" spans="1:57" x14ac:dyDescent="0.45">
      <c r="A1765" t="s">
        <v>4323</v>
      </c>
      <c r="B1765" t="s">
        <v>79</v>
      </c>
      <c r="C1765" t="s">
        <v>3425</v>
      </c>
      <c r="D1765" t="s">
        <v>81</v>
      </c>
      <c r="E1765" s="2" t="str">
        <f>HYPERLINK("capsilon://?command=openfolder&amp;siteaddress=FAM.docvelocity-na8.net&amp;folderid=FX89A055B8-A429-F8CF-09EF-B1DE8793191F","FX201113492")</f>
        <v>FX201113492</v>
      </c>
      <c r="F1765" t="s">
        <v>19</v>
      </c>
      <c r="G1765" t="s">
        <v>19</v>
      </c>
      <c r="H1765" t="s">
        <v>82</v>
      </c>
      <c r="I1765" t="s">
        <v>4309</v>
      </c>
      <c r="J1765">
        <v>77</v>
      </c>
      <c r="K1765" t="s">
        <v>84</v>
      </c>
      <c r="L1765" t="s">
        <v>85</v>
      </c>
      <c r="M1765" t="s">
        <v>86</v>
      </c>
      <c r="N1765">
        <v>3</v>
      </c>
      <c r="O1765" s="1">
        <v>44215.771631944444</v>
      </c>
      <c r="P1765" s="1">
        <v>44216.348136574074</v>
      </c>
      <c r="Q1765">
        <v>47116</v>
      </c>
      <c r="R1765">
        <v>2694</v>
      </c>
      <c r="S1765" t="b">
        <v>0</v>
      </c>
      <c r="T1765" t="s">
        <v>87</v>
      </c>
      <c r="U1765" t="b">
        <v>1</v>
      </c>
      <c r="V1765" t="s">
        <v>255</v>
      </c>
      <c r="W1765" s="1">
        <v>44215.820289351854</v>
      </c>
      <c r="X1765">
        <v>1896</v>
      </c>
      <c r="Y1765">
        <v>112</v>
      </c>
      <c r="Z1765">
        <v>0</v>
      </c>
      <c r="AA1765">
        <v>112</v>
      </c>
      <c r="AB1765">
        <v>0</v>
      </c>
      <c r="AC1765">
        <v>90</v>
      </c>
      <c r="AD1765">
        <v>-35</v>
      </c>
      <c r="AE1765">
        <v>0</v>
      </c>
      <c r="AF1765">
        <v>0</v>
      </c>
      <c r="AG1765">
        <v>0</v>
      </c>
      <c r="AH1765" t="s">
        <v>128</v>
      </c>
      <c r="AI1765" s="1">
        <v>44215.827303240738</v>
      </c>
      <c r="AJ1765">
        <v>445</v>
      </c>
      <c r="AK1765">
        <v>1</v>
      </c>
      <c r="AL1765">
        <v>0</v>
      </c>
      <c r="AM1765">
        <v>1</v>
      </c>
      <c r="AN1765">
        <v>0</v>
      </c>
      <c r="AO1765">
        <v>1</v>
      </c>
      <c r="AP1765">
        <v>-36</v>
      </c>
      <c r="AQ1765">
        <v>0</v>
      </c>
      <c r="AR1765">
        <v>0</v>
      </c>
      <c r="AS1765">
        <v>0</v>
      </c>
      <c r="AT1765" t="s">
        <v>90</v>
      </c>
      <c r="AU1765" s="1">
        <v>44216.348136574074</v>
      </c>
      <c r="AV1765">
        <v>48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-36</v>
      </c>
      <c r="BC1765">
        <v>0</v>
      </c>
      <c r="BD1765">
        <v>0</v>
      </c>
      <c r="BE1765">
        <v>0</v>
      </c>
    </row>
    <row r="1766" spans="1:57" x14ac:dyDescent="0.45">
      <c r="A1766" t="s">
        <v>4324</v>
      </c>
      <c r="B1766" t="s">
        <v>79</v>
      </c>
      <c r="C1766" t="s">
        <v>4313</v>
      </c>
      <c r="D1766" t="s">
        <v>81</v>
      </c>
      <c r="E1766" s="2" t="str">
        <f>HYPERLINK("capsilon://?command=openfolder&amp;siteaddress=FAM.docvelocity-na8.net&amp;folderid=FX5BD9B704-93DC-22EC-2F20-F4B2934E3292","FX210111281")</f>
        <v>FX210111281</v>
      </c>
      <c r="F1766" t="s">
        <v>19</v>
      </c>
      <c r="G1766" t="s">
        <v>19</v>
      </c>
      <c r="H1766" t="s">
        <v>82</v>
      </c>
      <c r="I1766" t="s">
        <v>4325</v>
      </c>
      <c r="J1766">
        <v>26</v>
      </c>
      <c r="K1766" t="s">
        <v>84</v>
      </c>
      <c r="L1766" t="s">
        <v>85</v>
      </c>
      <c r="M1766" t="s">
        <v>86</v>
      </c>
      <c r="N1766">
        <v>3</v>
      </c>
      <c r="O1766" s="1">
        <v>44215.772407407407</v>
      </c>
      <c r="P1766" s="1">
        <v>44216.385011574072</v>
      </c>
      <c r="Q1766">
        <v>52592</v>
      </c>
      <c r="R1766">
        <v>337</v>
      </c>
      <c r="S1766" t="b">
        <v>0</v>
      </c>
      <c r="T1766" t="s">
        <v>87</v>
      </c>
      <c r="U1766" t="b">
        <v>0</v>
      </c>
      <c r="V1766" t="s">
        <v>242</v>
      </c>
      <c r="W1766" s="1">
        <v>44215.823958333334</v>
      </c>
      <c r="X1766">
        <v>218</v>
      </c>
      <c r="Y1766">
        <v>21</v>
      </c>
      <c r="Z1766">
        <v>0</v>
      </c>
      <c r="AA1766">
        <v>21</v>
      </c>
      <c r="AB1766">
        <v>0</v>
      </c>
      <c r="AC1766">
        <v>2</v>
      </c>
      <c r="AD1766">
        <v>5</v>
      </c>
      <c r="AE1766">
        <v>0</v>
      </c>
      <c r="AF1766">
        <v>0</v>
      </c>
      <c r="AG1766">
        <v>0</v>
      </c>
      <c r="AH1766" t="s">
        <v>128</v>
      </c>
      <c r="AI1766" s="1">
        <v>44215.839861111112</v>
      </c>
      <c r="AJ1766">
        <v>113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5</v>
      </c>
      <c r="AQ1766">
        <v>0</v>
      </c>
      <c r="AR1766">
        <v>0</v>
      </c>
      <c r="AS1766">
        <v>0</v>
      </c>
      <c r="AT1766" t="s">
        <v>90</v>
      </c>
      <c r="AU1766" s="1">
        <v>44216.385011574072</v>
      </c>
      <c r="AV1766">
        <v>6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5</v>
      </c>
      <c r="BC1766">
        <v>0</v>
      </c>
      <c r="BD1766">
        <v>0</v>
      </c>
      <c r="BE1766">
        <v>0</v>
      </c>
    </row>
    <row r="1767" spans="1:57" hidden="1" x14ac:dyDescent="0.45">
      <c r="A1767" t="s">
        <v>4326</v>
      </c>
      <c r="B1767" t="s">
        <v>79</v>
      </c>
      <c r="C1767" t="s">
        <v>4293</v>
      </c>
      <c r="D1767" t="s">
        <v>81</v>
      </c>
      <c r="E1767" s="2" t="str">
        <f>HYPERLINK("capsilon://?command=openfolder&amp;siteaddress=FAM.docvelocity-na8.net&amp;folderid=FX00EAC5CA-99FA-C3C0-0CED-D30807B02AE2","FX210110627")</f>
        <v>FX210110627</v>
      </c>
      <c r="F1767" t="s">
        <v>19</v>
      </c>
      <c r="G1767" t="s">
        <v>19</v>
      </c>
      <c r="H1767" t="s">
        <v>82</v>
      </c>
      <c r="I1767" t="s">
        <v>4327</v>
      </c>
      <c r="J1767">
        <v>58</v>
      </c>
      <c r="K1767" t="s">
        <v>84</v>
      </c>
      <c r="L1767" t="s">
        <v>85</v>
      </c>
      <c r="M1767" t="s">
        <v>86</v>
      </c>
      <c r="N1767">
        <v>1</v>
      </c>
      <c r="O1767" s="1">
        <v>44215.773287037038</v>
      </c>
      <c r="P1767" s="1">
        <v>44215.825856481482</v>
      </c>
      <c r="Q1767">
        <v>4342</v>
      </c>
      <c r="R1767">
        <v>200</v>
      </c>
      <c r="S1767" t="b">
        <v>0</v>
      </c>
      <c r="T1767" t="s">
        <v>87</v>
      </c>
      <c r="U1767" t="b">
        <v>0</v>
      </c>
      <c r="V1767" t="s">
        <v>255</v>
      </c>
      <c r="W1767" s="1">
        <v>44215.825856481482</v>
      </c>
      <c r="X1767">
        <v>200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58</v>
      </c>
      <c r="AE1767">
        <v>54</v>
      </c>
      <c r="AF1767">
        <v>0</v>
      </c>
      <c r="AG1767">
        <v>5</v>
      </c>
      <c r="AH1767" t="s">
        <v>87</v>
      </c>
      <c r="AI1767" t="s">
        <v>87</v>
      </c>
      <c r="AJ1767" t="s">
        <v>87</v>
      </c>
      <c r="AK1767" t="s">
        <v>87</v>
      </c>
      <c r="AL1767" t="s">
        <v>87</v>
      </c>
      <c r="AM1767" t="s">
        <v>87</v>
      </c>
      <c r="AN1767" t="s">
        <v>87</v>
      </c>
      <c r="AO1767" t="s">
        <v>87</v>
      </c>
      <c r="AP1767" t="s">
        <v>87</v>
      </c>
      <c r="AQ1767" t="s">
        <v>87</v>
      </c>
      <c r="AR1767" t="s">
        <v>87</v>
      </c>
      <c r="AS1767" t="s">
        <v>87</v>
      </c>
      <c r="AT1767" t="s">
        <v>87</v>
      </c>
      <c r="AU1767" t="s">
        <v>87</v>
      </c>
      <c r="AV1767" t="s">
        <v>87</v>
      </c>
      <c r="AW1767" t="s">
        <v>87</v>
      </c>
      <c r="AX1767" t="s">
        <v>87</v>
      </c>
      <c r="AY1767" t="s">
        <v>87</v>
      </c>
      <c r="AZ1767" t="s">
        <v>87</v>
      </c>
      <c r="BA1767" t="s">
        <v>87</v>
      </c>
      <c r="BB1767" t="s">
        <v>87</v>
      </c>
      <c r="BC1767" t="s">
        <v>87</v>
      </c>
      <c r="BD1767" t="s">
        <v>87</v>
      </c>
      <c r="BE1767" t="s">
        <v>87</v>
      </c>
    </row>
    <row r="1768" spans="1:57" x14ac:dyDescent="0.45">
      <c r="A1768" t="s">
        <v>4328</v>
      </c>
      <c r="B1768" t="s">
        <v>79</v>
      </c>
      <c r="C1768" t="s">
        <v>3815</v>
      </c>
      <c r="D1768" t="s">
        <v>81</v>
      </c>
      <c r="E1768" s="2" t="str">
        <f>HYPERLINK("capsilon://?command=openfolder&amp;siteaddress=FAM.docvelocity-na8.net&amp;folderid=FXC8574CA4-F9AC-B0C9-3E6D-CE0DA4ABD1A6","FX20128284")</f>
        <v>FX20128284</v>
      </c>
      <c r="F1768" t="s">
        <v>19</v>
      </c>
      <c r="G1768" t="s">
        <v>19</v>
      </c>
      <c r="H1768" t="s">
        <v>82</v>
      </c>
      <c r="I1768" t="s">
        <v>4329</v>
      </c>
      <c r="J1768">
        <v>99</v>
      </c>
      <c r="K1768" t="s">
        <v>84</v>
      </c>
      <c r="L1768" t="s">
        <v>85</v>
      </c>
      <c r="M1768" t="s">
        <v>86</v>
      </c>
      <c r="N1768">
        <v>3</v>
      </c>
      <c r="O1768" s="1">
        <v>44215.782523148147</v>
      </c>
      <c r="P1768" s="1">
        <v>44216.386932870373</v>
      </c>
      <c r="Q1768">
        <v>50593</v>
      </c>
      <c r="R1768">
        <v>1628</v>
      </c>
      <c r="S1768" t="b">
        <v>0</v>
      </c>
      <c r="T1768" t="s">
        <v>87</v>
      </c>
      <c r="U1768" t="b">
        <v>0</v>
      </c>
      <c r="V1768" t="s">
        <v>242</v>
      </c>
      <c r="W1768" s="1">
        <v>44215.837476851855</v>
      </c>
      <c r="X1768">
        <v>923</v>
      </c>
      <c r="Y1768">
        <v>131</v>
      </c>
      <c r="Z1768">
        <v>0</v>
      </c>
      <c r="AA1768">
        <v>131</v>
      </c>
      <c r="AB1768">
        <v>0</v>
      </c>
      <c r="AC1768">
        <v>82</v>
      </c>
      <c r="AD1768">
        <v>-32</v>
      </c>
      <c r="AE1768">
        <v>0</v>
      </c>
      <c r="AF1768">
        <v>0</v>
      </c>
      <c r="AG1768">
        <v>0</v>
      </c>
      <c r="AH1768" t="s">
        <v>128</v>
      </c>
      <c r="AI1768" s="1">
        <v>44215.845775462964</v>
      </c>
      <c r="AJ1768">
        <v>510</v>
      </c>
      <c r="AK1768">
        <v>3</v>
      </c>
      <c r="AL1768">
        <v>0</v>
      </c>
      <c r="AM1768">
        <v>3</v>
      </c>
      <c r="AN1768">
        <v>0</v>
      </c>
      <c r="AO1768">
        <v>3</v>
      </c>
      <c r="AP1768">
        <v>-35</v>
      </c>
      <c r="AQ1768">
        <v>0</v>
      </c>
      <c r="AR1768">
        <v>0</v>
      </c>
      <c r="AS1768">
        <v>0</v>
      </c>
      <c r="AT1768" t="s">
        <v>90</v>
      </c>
      <c r="AU1768" s="1">
        <v>44216.386932870373</v>
      </c>
      <c r="AV1768">
        <v>166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-35</v>
      </c>
      <c r="BC1768">
        <v>0</v>
      </c>
      <c r="BD1768">
        <v>0</v>
      </c>
      <c r="BE1768">
        <v>0</v>
      </c>
    </row>
    <row r="1769" spans="1:57" x14ac:dyDescent="0.45">
      <c r="A1769" t="s">
        <v>4330</v>
      </c>
      <c r="B1769" t="s">
        <v>79</v>
      </c>
      <c r="C1769" t="s">
        <v>4331</v>
      </c>
      <c r="D1769" t="s">
        <v>81</v>
      </c>
      <c r="E1769" s="2" t="str">
        <f>HYPERLINK("capsilon://?command=openfolder&amp;siteaddress=FAM.docvelocity-na8.net&amp;folderid=FXD8471E80-8EA6-47D7-F4C4-AA4742CA2A89","FX20123276")</f>
        <v>FX20123276</v>
      </c>
      <c r="F1769" t="s">
        <v>19</v>
      </c>
      <c r="G1769" t="s">
        <v>19</v>
      </c>
      <c r="H1769" t="s">
        <v>82</v>
      </c>
      <c r="I1769" t="s">
        <v>4332</v>
      </c>
      <c r="J1769">
        <v>66</v>
      </c>
      <c r="K1769" t="s">
        <v>84</v>
      </c>
      <c r="L1769" t="s">
        <v>85</v>
      </c>
      <c r="M1769" t="s">
        <v>86</v>
      </c>
      <c r="N1769">
        <v>3</v>
      </c>
      <c r="O1769" s="1">
        <v>44200.953935185185</v>
      </c>
      <c r="P1769" s="1">
        <v>44201.448796296296</v>
      </c>
      <c r="Q1769">
        <v>41368</v>
      </c>
      <c r="R1769">
        <v>1388</v>
      </c>
      <c r="S1769" t="b">
        <v>0</v>
      </c>
      <c r="T1769" t="s">
        <v>87</v>
      </c>
      <c r="U1769" t="b">
        <v>0</v>
      </c>
      <c r="V1769" t="s">
        <v>88</v>
      </c>
      <c r="W1769" s="1">
        <v>44201.227731481478</v>
      </c>
      <c r="X1769">
        <v>1071</v>
      </c>
      <c r="Y1769">
        <v>52</v>
      </c>
      <c r="Z1769">
        <v>0</v>
      </c>
      <c r="AA1769">
        <v>52</v>
      </c>
      <c r="AB1769">
        <v>0</v>
      </c>
      <c r="AC1769">
        <v>38</v>
      </c>
      <c r="AD1769">
        <v>14</v>
      </c>
      <c r="AE1769">
        <v>0</v>
      </c>
      <c r="AF1769">
        <v>0</v>
      </c>
      <c r="AG1769">
        <v>0</v>
      </c>
      <c r="AH1769" t="s">
        <v>94</v>
      </c>
      <c r="AI1769" s="1">
        <v>44201.340011574073</v>
      </c>
      <c r="AJ1769">
        <v>306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14</v>
      </c>
      <c r="AQ1769">
        <v>0</v>
      </c>
      <c r="AR1769">
        <v>0</v>
      </c>
      <c r="AS1769">
        <v>0</v>
      </c>
      <c r="AT1769" t="s">
        <v>90</v>
      </c>
      <c r="AU1769" s="1">
        <v>44201.448796296296</v>
      </c>
      <c r="AV1769">
        <v>11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14</v>
      </c>
      <c r="BC1769">
        <v>0</v>
      </c>
      <c r="BD1769">
        <v>0</v>
      </c>
      <c r="BE1769">
        <v>0</v>
      </c>
    </row>
    <row r="1770" spans="1:57" x14ac:dyDescent="0.45">
      <c r="A1770" t="s">
        <v>4333</v>
      </c>
      <c r="B1770" t="s">
        <v>79</v>
      </c>
      <c r="C1770" t="s">
        <v>4334</v>
      </c>
      <c r="D1770" t="s">
        <v>81</v>
      </c>
      <c r="E1770" s="2" t="str">
        <f>HYPERLINK("capsilon://?command=openfolder&amp;siteaddress=FAM.docvelocity-na8.net&amp;folderid=FX59603E9D-4A79-8524-ECD1-9AD01E4A07B3","FX21019029")</f>
        <v>FX21019029</v>
      </c>
      <c r="F1770" t="s">
        <v>19</v>
      </c>
      <c r="G1770" t="s">
        <v>19</v>
      </c>
      <c r="H1770" t="s">
        <v>82</v>
      </c>
      <c r="I1770" t="s">
        <v>4335</v>
      </c>
      <c r="J1770">
        <v>140</v>
      </c>
      <c r="K1770" t="s">
        <v>84</v>
      </c>
      <c r="L1770" t="s">
        <v>85</v>
      </c>
      <c r="M1770" t="s">
        <v>86</v>
      </c>
      <c r="N1770">
        <v>3</v>
      </c>
      <c r="O1770" s="1">
        <v>44215.825358796297</v>
      </c>
      <c r="P1770" s="1">
        <v>44216.387627314813</v>
      </c>
      <c r="Q1770">
        <v>46894</v>
      </c>
      <c r="R1770">
        <v>1686</v>
      </c>
      <c r="S1770" t="b">
        <v>0</v>
      </c>
      <c r="T1770" t="s">
        <v>87</v>
      </c>
      <c r="U1770" t="b">
        <v>0</v>
      </c>
      <c r="V1770" t="s">
        <v>343</v>
      </c>
      <c r="W1770" s="1">
        <v>44215.865532407406</v>
      </c>
      <c r="X1770">
        <v>1311</v>
      </c>
      <c r="Y1770">
        <v>120</v>
      </c>
      <c r="Z1770">
        <v>0</v>
      </c>
      <c r="AA1770">
        <v>120</v>
      </c>
      <c r="AB1770">
        <v>0</v>
      </c>
      <c r="AC1770">
        <v>64</v>
      </c>
      <c r="AD1770">
        <v>20</v>
      </c>
      <c r="AE1770">
        <v>0</v>
      </c>
      <c r="AF1770">
        <v>0</v>
      </c>
      <c r="AG1770">
        <v>0</v>
      </c>
      <c r="AH1770" t="s">
        <v>128</v>
      </c>
      <c r="AI1770" s="1">
        <v>44215.878750000003</v>
      </c>
      <c r="AJ1770">
        <v>316</v>
      </c>
      <c r="AK1770">
        <v>4</v>
      </c>
      <c r="AL1770">
        <v>0</v>
      </c>
      <c r="AM1770">
        <v>4</v>
      </c>
      <c r="AN1770">
        <v>0</v>
      </c>
      <c r="AO1770">
        <v>4</v>
      </c>
      <c r="AP1770">
        <v>16</v>
      </c>
      <c r="AQ1770">
        <v>0</v>
      </c>
      <c r="AR1770">
        <v>0</v>
      </c>
      <c r="AS1770">
        <v>0</v>
      </c>
      <c r="AT1770" t="s">
        <v>90</v>
      </c>
      <c r="AU1770" s="1">
        <v>44216.387627314813</v>
      </c>
      <c r="AV1770">
        <v>59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16</v>
      </c>
      <c r="BC1770">
        <v>0</v>
      </c>
      <c r="BD1770">
        <v>0</v>
      </c>
      <c r="BE1770">
        <v>0</v>
      </c>
    </row>
    <row r="1771" spans="1:57" x14ac:dyDescent="0.45">
      <c r="A1771" t="s">
        <v>4336</v>
      </c>
      <c r="B1771" t="s">
        <v>79</v>
      </c>
      <c r="C1771" t="s">
        <v>4293</v>
      </c>
      <c r="D1771" t="s">
        <v>81</v>
      </c>
      <c r="E1771" s="2" t="str">
        <f>HYPERLINK("capsilon://?command=openfolder&amp;siteaddress=FAM.docvelocity-na8.net&amp;folderid=FX00EAC5CA-99FA-C3C0-0CED-D30807B02AE2","FX210110627")</f>
        <v>FX210110627</v>
      </c>
      <c r="F1771" t="s">
        <v>19</v>
      </c>
      <c r="G1771" t="s">
        <v>19</v>
      </c>
      <c r="H1771" t="s">
        <v>82</v>
      </c>
      <c r="I1771" t="s">
        <v>4327</v>
      </c>
      <c r="J1771">
        <v>280</v>
      </c>
      <c r="K1771" t="s">
        <v>84</v>
      </c>
      <c r="L1771" t="s">
        <v>85</v>
      </c>
      <c r="M1771" t="s">
        <v>86</v>
      </c>
      <c r="N1771">
        <v>3</v>
      </c>
      <c r="O1771" s="1">
        <v>44215.826921296299</v>
      </c>
      <c r="P1771" s="1">
        <v>44216.348368055558</v>
      </c>
      <c r="Q1771">
        <v>42106</v>
      </c>
      <c r="R1771">
        <v>2947</v>
      </c>
      <c r="S1771" t="b">
        <v>0</v>
      </c>
      <c r="T1771" t="s">
        <v>87</v>
      </c>
      <c r="U1771" t="b">
        <v>1</v>
      </c>
      <c r="V1771" t="s">
        <v>343</v>
      </c>
      <c r="W1771" s="1">
        <v>44215.880925925929</v>
      </c>
      <c r="X1771">
        <v>2224</v>
      </c>
      <c r="Y1771">
        <v>260</v>
      </c>
      <c r="Z1771">
        <v>0</v>
      </c>
      <c r="AA1771">
        <v>260</v>
      </c>
      <c r="AB1771">
        <v>0</v>
      </c>
      <c r="AC1771">
        <v>64</v>
      </c>
      <c r="AD1771">
        <v>20</v>
      </c>
      <c r="AE1771">
        <v>0</v>
      </c>
      <c r="AF1771">
        <v>0</v>
      </c>
      <c r="AG1771">
        <v>0</v>
      </c>
      <c r="AH1771" t="s">
        <v>128</v>
      </c>
      <c r="AI1771" s="1">
        <v>44215.883483796293</v>
      </c>
      <c r="AJ1771">
        <v>199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20</v>
      </c>
      <c r="AQ1771">
        <v>0</v>
      </c>
      <c r="AR1771">
        <v>0</v>
      </c>
      <c r="AS1771">
        <v>0</v>
      </c>
      <c r="AT1771" t="s">
        <v>90</v>
      </c>
      <c r="AU1771" s="1">
        <v>44216.348368055558</v>
      </c>
      <c r="AV1771">
        <v>19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20</v>
      </c>
      <c r="BC1771">
        <v>0</v>
      </c>
      <c r="BD1771">
        <v>0</v>
      </c>
      <c r="BE1771">
        <v>0</v>
      </c>
    </row>
    <row r="1772" spans="1:57" hidden="1" x14ac:dyDescent="0.45">
      <c r="A1772" t="s">
        <v>4337</v>
      </c>
      <c r="B1772" t="s">
        <v>79</v>
      </c>
      <c r="C1772" t="s">
        <v>4338</v>
      </c>
      <c r="D1772" t="s">
        <v>81</v>
      </c>
      <c r="E1772" s="2" t="str">
        <f>HYPERLINK("capsilon://?command=openfolder&amp;siteaddress=FAM.docvelocity-na8.net&amp;folderid=FXB37EF653-903C-5917-4E6A-2F136673C487","FX201222504")</f>
        <v>FX201222504</v>
      </c>
      <c r="F1772" t="s">
        <v>19</v>
      </c>
      <c r="G1772" t="s">
        <v>19</v>
      </c>
      <c r="H1772" t="s">
        <v>82</v>
      </c>
      <c r="I1772" t="s">
        <v>4339</v>
      </c>
      <c r="J1772">
        <v>66</v>
      </c>
      <c r="K1772" t="s">
        <v>84</v>
      </c>
      <c r="L1772" t="s">
        <v>85</v>
      </c>
      <c r="M1772" t="s">
        <v>86</v>
      </c>
      <c r="N1772">
        <v>1</v>
      </c>
      <c r="O1772" s="1">
        <v>44215.860983796294</v>
      </c>
      <c r="P1772" s="1">
        <v>44215.866435185184</v>
      </c>
      <c r="Q1772">
        <v>394</v>
      </c>
      <c r="R1772">
        <v>77</v>
      </c>
      <c r="S1772" t="b">
        <v>0</v>
      </c>
      <c r="T1772" t="s">
        <v>87</v>
      </c>
      <c r="U1772" t="b">
        <v>0</v>
      </c>
      <c r="V1772" t="s">
        <v>343</v>
      </c>
      <c r="W1772" s="1">
        <v>44215.866435185184</v>
      </c>
      <c r="X1772">
        <v>77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66</v>
      </c>
      <c r="AE1772">
        <v>52</v>
      </c>
      <c r="AF1772">
        <v>0</v>
      </c>
      <c r="AG1772">
        <v>1</v>
      </c>
      <c r="AH1772" t="s">
        <v>87</v>
      </c>
      <c r="AI1772" t="s">
        <v>87</v>
      </c>
      <c r="AJ1772" t="s">
        <v>87</v>
      </c>
      <c r="AK1772" t="s">
        <v>87</v>
      </c>
      <c r="AL1772" t="s">
        <v>87</v>
      </c>
      <c r="AM1772" t="s">
        <v>87</v>
      </c>
      <c r="AN1772" t="s">
        <v>87</v>
      </c>
      <c r="AO1772" t="s">
        <v>87</v>
      </c>
      <c r="AP1772" t="s">
        <v>87</v>
      </c>
      <c r="AQ1772" t="s">
        <v>87</v>
      </c>
      <c r="AR1772" t="s">
        <v>87</v>
      </c>
      <c r="AS1772" t="s">
        <v>87</v>
      </c>
      <c r="AT1772" t="s">
        <v>87</v>
      </c>
      <c r="AU1772" t="s">
        <v>87</v>
      </c>
      <c r="AV1772" t="s">
        <v>87</v>
      </c>
      <c r="AW1772" t="s">
        <v>87</v>
      </c>
      <c r="AX1772" t="s">
        <v>87</v>
      </c>
      <c r="AY1772" t="s">
        <v>87</v>
      </c>
      <c r="AZ1772" t="s">
        <v>87</v>
      </c>
      <c r="BA1772" t="s">
        <v>87</v>
      </c>
      <c r="BB1772" t="s">
        <v>87</v>
      </c>
      <c r="BC1772" t="s">
        <v>87</v>
      </c>
      <c r="BD1772" t="s">
        <v>87</v>
      </c>
      <c r="BE1772" t="s">
        <v>87</v>
      </c>
    </row>
    <row r="1773" spans="1:57" hidden="1" x14ac:dyDescent="0.45">
      <c r="A1773" t="s">
        <v>4340</v>
      </c>
      <c r="B1773" t="s">
        <v>79</v>
      </c>
      <c r="C1773" t="s">
        <v>4241</v>
      </c>
      <c r="D1773" t="s">
        <v>81</v>
      </c>
      <c r="E1773" s="2" t="str">
        <f>HYPERLINK("capsilon://?command=openfolder&amp;siteaddress=FAM.docvelocity-na8.net&amp;folderid=FX1BE9118F-F6B1-78E2-E242-D9EE3BD13FD9","FX20118696")</f>
        <v>FX20118696</v>
      </c>
      <c r="F1773" t="s">
        <v>19</v>
      </c>
      <c r="G1773" t="s">
        <v>19</v>
      </c>
      <c r="H1773" t="s">
        <v>82</v>
      </c>
      <c r="I1773" t="s">
        <v>4341</v>
      </c>
      <c r="J1773">
        <v>38</v>
      </c>
      <c r="K1773" t="s">
        <v>84</v>
      </c>
      <c r="L1773" t="s">
        <v>85</v>
      </c>
      <c r="M1773" t="s">
        <v>86</v>
      </c>
      <c r="N1773">
        <v>3</v>
      </c>
      <c r="O1773" s="1">
        <v>44215.864236111112</v>
      </c>
      <c r="P1773" s="1">
        <v>44216.382465277777</v>
      </c>
      <c r="Q1773">
        <v>44579</v>
      </c>
      <c r="R1773">
        <v>196</v>
      </c>
      <c r="S1773" t="b">
        <v>0</v>
      </c>
      <c r="T1773" t="s">
        <v>87</v>
      </c>
      <c r="U1773" t="b">
        <v>1</v>
      </c>
      <c r="V1773" t="s">
        <v>343</v>
      </c>
      <c r="W1773" s="1">
        <v>44215.868113425924</v>
      </c>
      <c r="X1773">
        <v>144</v>
      </c>
      <c r="Y1773">
        <v>0</v>
      </c>
      <c r="Z1773">
        <v>0</v>
      </c>
      <c r="AA1773">
        <v>0</v>
      </c>
      <c r="AB1773">
        <v>37</v>
      </c>
      <c r="AC1773">
        <v>0</v>
      </c>
      <c r="AD1773">
        <v>38</v>
      </c>
      <c r="AE1773">
        <v>0</v>
      </c>
      <c r="AF1773">
        <v>0</v>
      </c>
      <c r="AG1773">
        <v>0</v>
      </c>
      <c r="AH1773" t="s">
        <v>128</v>
      </c>
      <c r="AI1773" s="1">
        <v>44215.879317129627</v>
      </c>
      <c r="AJ1773">
        <v>48</v>
      </c>
      <c r="AK1773">
        <v>0</v>
      </c>
      <c r="AL1773">
        <v>0</v>
      </c>
      <c r="AM1773">
        <v>0</v>
      </c>
      <c r="AN1773">
        <v>37</v>
      </c>
      <c r="AO1773">
        <v>0</v>
      </c>
      <c r="AP1773">
        <v>38</v>
      </c>
      <c r="AQ1773">
        <v>0</v>
      </c>
      <c r="AR1773">
        <v>0</v>
      </c>
      <c r="AS1773">
        <v>0</v>
      </c>
      <c r="AT1773" t="s">
        <v>90</v>
      </c>
      <c r="AU1773" s="1">
        <v>44216.382465277777</v>
      </c>
      <c r="AV1773">
        <v>4</v>
      </c>
      <c r="AW1773">
        <v>0</v>
      </c>
      <c r="AX1773">
        <v>0</v>
      </c>
      <c r="AY1773">
        <v>0</v>
      </c>
      <c r="AZ1773">
        <v>37</v>
      </c>
      <c r="BA1773">
        <v>0</v>
      </c>
      <c r="BB1773">
        <v>38</v>
      </c>
      <c r="BC1773">
        <v>0</v>
      </c>
      <c r="BD1773">
        <v>0</v>
      </c>
      <c r="BE1773">
        <v>0</v>
      </c>
    </row>
    <row r="1774" spans="1:57" x14ac:dyDescent="0.45">
      <c r="A1774" t="s">
        <v>4342</v>
      </c>
      <c r="B1774" t="s">
        <v>79</v>
      </c>
      <c r="C1774" t="s">
        <v>4338</v>
      </c>
      <c r="D1774" t="s">
        <v>81</v>
      </c>
      <c r="E1774" s="2" t="str">
        <f>HYPERLINK("capsilon://?command=openfolder&amp;siteaddress=FAM.docvelocity-na8.net&amp;folderid=FXB37EF653-903C-5917-4E6A-2F136673C487","FX201222504")</f>
        <v>FX201222504</v>
      </c>
      <c r="F1774" t="s">
        <v>19</v>
      </c>
      <c r="G1774" t="s">
        <v>19</v>
      </c>
      <c r="H1774" t="s">
        <v>82</v>
      </c>
      <c r="I1774" t="s">
        <v>4339</v>
      </c>
      <c r="J1774">
        <v>38</v>
      </c>
      <c r="K1774" t="s">
        <v>84</v>
      </c>
      <c r="L1774" t="s">
        <v>85</v>
      </c>
      <c r="M1774" t="s">
        <v>86</v>
      </c>
      <c r="N1774">
        <v>3</v>
      </c>
      <c r="O1774" s="1">
        <v>44215.866770833331</v>
      </c>
      <c r="P1774" s="1">
        <v>44216.348449074074</v>
      </c>
      <c r="Q1774">
        <v>41149</v>
      </c>
      <c r="R1774">
        <v>468</v>
      </c>
      <c r="S1774" t="b">
        <v>0</v>
      </c>
      <c r="T1774" t="s">
        <v>87</v>
      </c>
      <c r="U1774" t="b">
        <v>1</v>
      </c>
      <c r="V1774" t="s">
        <v>343</v>
      </c>
      <c r="W1774" s="1">
        <v>44215.871736111112</v>
      </c>
      <c r="X1774">
        <v>312</v>
      </c>
      <c r="Y1774">
        <v>37</v>
      </c>
      <c r="Z1774">
        <v>0</v>
      </c>
      <c r="AA1774">
        <v>37</v>
      </c>
      <c r="AB1774">
        <v>0</v>
      </c>
      <c r="AC1774">
        <v>14</v>
      </c>
      <c r="AD1774">
        <v>1</v>
      </c>
      <c r="AE1774">
        <v>0</v>
      </c>
      <c r="AF1774">
        <v>0</v>
      </c>
      <c r="AG1774">
        <v>0</v>
      </c>
      <c r="AH1774" t="s">
        <v>128</v>
      </c>
      <c r="AI1774" s="1">
        <v>44215.875081018516</v>
      </c>
      <c r="AJ1774">
        <v>150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 t="s">
        <v>90</v>
      </c>
      <c r="AU1774" s="1">
        <v>44216.348449074074</v>
      </c>
      <c r="AV1774">
        <v>6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</row>
    <row r="1775" spans="1:57" x14ac:dyDescent="0.45">
      <c r="A1775" t="s">
        <v>4343</v>
      </c>
      <c r="B1775" t="s">
        <v>79</v>
      </c>
      <c r="C1775" t="s">
        <v>4344</v>
      </c>
      <c r="D1775" t="s">
        <v>81</v>
      </c>
      <c r="E1775" s="2" t="str">
        <f>HYPERLINK("capsilon://?command=openfolder&amp;siteaddress=FAM.docvelocity-na8.net&amp;folderid=FXA62CFF2F-09CC-0C8D-9554-3A8E8D781F87","FX201221174")</f>
        <v>FX201221174</v>
      </c>
      <c r="F1775" t="s">
        <v>19</v>
      </c>
      <c r="G1775" t="s">
        <v>19</v>
      </c>
      <c r="H1775" t="s">
        <v>82</v>
      </c>
      <c r="I1775" t="s">
        <v>4345</v>
      </c>
      <c r="J1775">
        <v>135</v>
      </c>
      <c r="K1775" t="s">
        <v>84</v>
      </c>
      <c r="L1775" t="s">
        <v>85</v>
      </c>
      <c r="M1775" t="s">
        <v>86</v>
      </c>
      <c r="N1775">
        <v>3</v>
      </c>
      <c r="O1775" s="1">
        <v>44215.912870370368</v>
      </c>
      <c r="P1775" s="1">
        <v>44216.387835648151</v>
      </c>
      <c r="Q1775">
        <v>38528</v>
      </c>
      <c r="R1775">
        <v>2509</v>
      </c>
      <c r="S1775" t="b">
        <v>0</v>
      </c>
      <c r="T1775" t="s">
        <v>87</v>
      </c>
      <c r="U1775" t="b">
        <v>0</v>
      </c>
      <c r="V1775" t="s">
        <v>1418</v>
      </c>
      <c r="W1775" s="1">
        <v>44216.155451388891</v>
      </c>
      <c r="X1775">
        <v>1003</v>
      </c>
      <c r="Y1775">
        <v>109</v>
      </c>
      <c r="Z1775">
        <v>0</v>
      </c>
      <c r="AA1775">
        <v>109</v>
      </c>
      <c r="AB1775">
        <v>0</v>
      </c>
      <c r="AC1775">
        <v>63</v>
      </c>
      <c r="AD1775">
        <v>26</v>
      </c>
      <c r="AE1775">
        <v>0</v>
      </c>
      <c r="AF1775">
        <v>0</v>
      </c>
      <c r="AG1775">
        <v>0</v>
      </c>
      <c r="AH1775" t="s">
        <v>89</v>
      </c>
      <c r="AI1775" s="1">
        <v>44216.176655092589</v>
      </c>
      <c r="AJ1775">
        <v>1489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26</v>
      </c>
      <c r="AQ1775">
        <v>0</v>
      </c>
      <c r="AR1775">
        <v>0</v>
      </c>
      <c r="AS1775">
        <v>0</v>
      </c>
      <c r="AT1775" t="s">
        <v>90</v>
      </c>
      <c r="AU1775" s="1">
        <v>44216.387835648151</v>
      </c>
      <c r="AV1775">
        <v>17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26</v>
      </c>
      <c r="BC1775">
        <v>0</v>
      </c>
      <c r="BD1775">
        <v>0</v>
      </c>
      <c r="BE1775">
        <v>0</v>
      </c>
    </row>
    <row r="1776" spans="1:57" hidden="1" x14ac:dyDescent="0.45">
      <c r="A1776" t="s">
        <v>4346</v>
      </c>
      <c r="B1776" t="s">
        <v>79</v>
      </c>
      <c r="C1776" t="s">
        <v>4347</v>
      </c>
      <c r="D1776" t="s">
        <v>81</v>
      </c>
      <c r="E1776" s="2" t="str">
        <f>HYPERLINK("capsilon://?command=openfolder&amp;siteaddress=FAM.docvelocity-na8.net&amp;folderid=FXADF94EC6-62EE-0831-E939-A2B60D2CB4C5","FX20122371")</f>
        <v>FX20122371</v>
      </c>
      <c r="F1776" t="s">
        <v>19</v>
      </c>
      <c r="G1776" t="s">
        <v>19</v>
      </c>
      <c r="H1776" t="s">
        <v>82</v>
      </c>
      <c r="I1776" t="s">
        <v>4348</v>
      </c>
      <c r="J1776">
        <v>882</v>
      </c>
      <c r="K1776" t="s">
        <v>84</v>
      </c>
      <c r="L1776" t="s">
        <v>85</v>
      </c>
      <c r="M1776" t="s">
        <v>81</v>
      </c>
      <c r="N1776">
        <v>3</v>
      </c>
      <c r="O1776" s="1">
        <v>44216.214004629626</v>
      </c>
      <c r="P1776" s="1">
        <v>44216.245185185187</v>
      </c>
      <c r="Q1776">
        <v>2428</v>
      </c>
      <c r="R1776">
        <v>266</v>
      </c>
      <c r="S1776" t="b">
        <v>0</v>
      </c>
      <c r="T1776" t="s">
        <v>2541</v>
      </c>
      <c r="U1776" t="b">
        <v>0</v>
      </c>
      <c r="V1776" t="s">
        <v>88</v>
      </c>
      <c r="W1776" s="1">
        <v>44216.222303240742</v>
      </c>
      <c r="X1776">
        <v>181</v>
      </c>
      <c r="Y1776">
        <v>0</v>
      </c>
      <c r="Z1776">
        <v>0</v>
      </c>
      <c r="AA1776">
        <v>0</v>
      </c>
      <c r="AB1776">
        <v>196</v>
      </c>
      <c r="AC1776">
        <v>0</v>
      </c>
      <c r="AD1776">
        <v>882</v>
      </c>
      <c r="AE1776">
        <v>0</v>
      </c>
      <c r="AF1776">
        <v>0</v>
      </c>
      <c r="AG1776">
        <v>0</v>
      </c>
      <c r="AH1776" t="s">
        <v>89</v>
      </c>
      <c r="AI1776" s="1">
        <v>44216.236238425925</v>
      </c>
      <c r="AJ1776">
        <v>62</v>
      </c>
      <c r="AK1776">
        <v>0</v>
      </c>
      <c r="AL1776">
        <v>0</v>
      </c>
      <c r="AM1776">
        <v>0</v>
      </c>
      <c r="AN1776">
        <v>196</v>
      </c>
      <c r="AO1776">
        <v>0</v>
      </c>
      <c r="AP1776">
        <v>882</v>
      </c>
      <c r="AQ1776">
        <v>0</v>
      </c>
      <c r="AR1776">
        <v>0</v>
      </c>
      <c r="AS1776">
        <v>0</v>
      </c>
      <c r="AT1776" t="s">
        <v>2541</v>
      </c>
      <c r="AU1776" s="1">
        <v>44216.245185185187</v>
      </c>
      <c r="AV1776">
        <v>8</v>
      </c>
      <c r="AW1776">
        <v>0</v>
      </c>
      <c r="AX1776">
        <v>0</v>
      </c>
      <c r="AY1776">
        <v>0</v>
      </c>
      <c r="AZ1776">
        <v>196</v>
      </c>
      <c r="BA1776">
        <v>0</v>
      </c>
      <c r="BB1776">
        <v>882</v>
      </c>
      <c r="BC1776">
        <v>0</v>
      </c>
      <c r="BD1776">
        <v>0</v>
      </c>
      <c r="BE1776">
        <v>0</v>
      </c>
    </row>
    <row r="1777" spans="1:57" hidden="1" x14ac:dyDescent="0.45">
      <c r="A1777" t="s">
        <v>4349</v>
      </c>
      <c r="B1777" t="s">
        <v>79</v>
      </c>
      <c r="C1777" t="s">
        <v>2757</v>
      </c>
      <c r="D1777" t="s">
        <v>81</v>
      </c>
      <c r="E1777" s="2" t="str">
        <f>HYPERLINK("capsilon://?command=openfolder&amp;siteaddress=FAM.docvelocity-na8.net&amp;folderid=FX1E64DCAB-55F9-2156-A733-F203019180AD","FX20126308")</f>
        <v>FX20126308</v>
      </c>
      <c r="F1777" t="s">
        <v>19</v>
      </c>
      <c r="G1777" t="s">
        <v>19</v>
      </c>
      <c r="H1777" t="s">
        <v>82</v>
      </c>
      <c r="I1777" t="s">
        <v>4350</v>
      </c>
      <c r="J1777">
        <v>66</v>
      </c>
      <c r="K1777" t="s">
        <v>84</v>
      </c>
      <c r="L1777" t="s">
        <v>85</v>
      </c>
      <c r="M1777" t="s">
        <v>86</v>
      </c>
      <c r="N1777">
        <v>1</v>
      </c>
      <c r="O1777" s="1">
        <v>44201.014548611114</v>
      </c>
      <c r="P1777" s="1">
        <v>44201.22934027778</v>
      </c>
      <c r="Q1777">
        <v>18420</v>
      </c>
      <c r="R1777">
        <v>138</v>
      </c>
      <c r="S1777" t="b">
        <v>0</v>
      </c>
      <c r="T1777" t="s">
        <v>87</v>
      </c>
      <c r="U1777" t="b">
        <v>0</v>
      </c>
      <c r="V1777" t="s">
        <v>88</v>
      </c>
      <c r="W1777" s="1">
        <v>44201.22934027778</v>
      </c>
      <c r="X1777">
        <v>138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66</v>
      </c>
      <c r="AE1777">
        <v>52</v>
      </c>
      <c r="AF1777">
        <v>0</v>
      </c>
      <c r="AG1777">
        <v>1</v>
      </c>
      <c r="AH1777" t="s">
        <v>87</v>
      </c>
      <c r="AI1777" t="s">
        <v>87</v>
      </c>
      <c r="AJ1777" t="s">
        <v>87</v>
      </c>
      <c r="AK1777" t="s">
        <v>87</v>
      </c>
      <c r="AL1777" t="s">
        <v>87</v>
      </c>
      <c r="AM1777" t="s">
        <v>87</v>
      </c>
      <c r="AN1777" t="s">
        <v>87</v>
      </c>
      <c r="AO1777" t="s">
        <v>87</v>
      </c>
      <c r="AP1777" t="s">
        <v>87</v>
      </c>
      <c r="AQ1777" t="s">
        <v>87</v>
      </c>
      <c r="AR1777" t="s">
        <v>87</v>
      </c>
      <c r="AS1777" t="s">
        <v>87</v>
      </c>
      <c r="AT1777" t="s">
        <v>87</v>
      </c>
      <c r="AU1777" t="s">
        <v>87</v>
      </c>
      <c r="AV1777" t="s">
        <v>87</v>
      </c>
      <c r="AW1777" t="s">
        <v>87</v>
      </c>
      <c r="AX1777" t="s">
        <v>87</v>
      </c>
      <c r="AY1777" t="s">
        <v>87</v>
      </c>
      <c r="AZ1777" t="s">
        <v>87</v>
      </c>
      <c r="BA1777" t="s">
        <v>87</v>
      </c>
      <c r="BB1777" t="s">
        <v>87</v>
      </c>
      <c r="BC1777" t="s">
        <v>87</v>
      </c>
      <c r="BD1777" t="s">
        <v>87</v>
      </c>
      <c r="BE1777" t="s">
        <v>87</v>
      </c>
    </row>
    <row r="1778" spans="1:57" x14ac:dyDescent="0.45">
      <c r="A1778" t="s">
        <v>4351</v>
      </c>
      <c r="B1778" t="s">
        <v>79</v>
      </c>
      <c r="C1778" t="s">
        <v>1305</v>
      </c>
      <c r="D1778" t="s">
        <v>81</v>
      </c>
      <c r="E1778" s="2" t="str">
        <f>HYPERLINK("capsilon://?command=openfolder&amp;siteaddress=FAM.docvelocity-na8.net&amp;folderid=FXA055200C-CCA5-48A9-3061-7C52518C62F9","FX21012021")</f>
        <v>FX21012021</v>
      </c>
      <c r="F1778" t="s">
        <v>19</v>
      </c>
      <c r="G1778" t="s">
        <v>19</v>
      </c>
      <c r="H1778" t="s">
        <v>82</v>
      </c>
      <c r="I1778" t="s">
        <v>4352</v>
      </c>
      <c r="J1778">
        <v>66</v>
      </c>
      <c r="K1778" t="s">
        <v>84</v>
      </c>
      <c r="L1778" t="s">
        <v>85</v>
      </c>
      <c r="M1778" t="s">
        <v>86</v>
      </c>
      <c r="N1778">
        <v>3</v>
      </c>
      <c r="O1778" s="1">
        <v>44216.290763888886</v>
      </c>
      <c r="P1778" s="1">
        <v>44216.389108796298</v>
      </c>
      <c r="Q1778">
        <v>7308</v>
      </c>
      <c r="R1778">
        <v>1189</v>
      </c>
      <c r="S1778" t="b">
        <v>0</v>
      </c>
      <c r="T1778" t="s">
        <v>87</v>
      </c>
      <c r="U1778" t="b">
        <v>0</v>
      </c>
      <c r="V1778" t="s">
        <v>88</v>
      </c>
      <c r="W1778" s="1">
        <v>44216.301550925928</v>
      </c>
      <c r="X1778">
        <v>875</v>
      </c>
      <c r="Y1778">
        <v>52</v>
      </c>
      <c r="Z1778">
        <v>0</v>
      </c>
      <c r="AA1778">
        <v>52</v>
      </c>
      <c r="AB1778">
        <v>0</v>
      </c>
      <c r="AC1778">
        <v>39</v>
      </c>
      <c r="AD1778">
        <v>14</v>
      </c>
      <c r="AE1778">
        <v>0</v>
      </c>
      <c r="AF1778">
        <v>0</v>
      </c>
      <c r="AG1778">
        <v>0</v>
      </c>
      <c r="AH1778" t="s">
        <v>94</v>
      </c>
      <c r="AI1778" s="1">
        <v>44216.304895833331</v>
      </c>
      <c r="AJ1778">
        <v>205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14</v>
      </c>
      <c r="AQ1778">
        <v>0</v>
      </c>
      <c r="AR1778">
        <v>0</v>
      </c>
      <c r="AS1778">
        <v>0</v>
      </c>
      <c r="AT1778" t="s">
        <v>90</v>
      </c>
      <c r="AU1778" s="1">
        <v>44216.389108796298</v>
      </c>
      <c r="AV1778">
        <v>109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14</v>
      </c>
      <c r="BC1778">
        <v>0</v>
      </c>
      <c r="BD1778">
        <v>0</v>
      </c>
      <c r="BE1778">
        <v>0</v>
      </c>
    </row>
    <row r="1779" spans="1:57" x14ac:dyDescent="0.45">
      <c r="A1779" t="s">
        <v>4353</v>
      </c>
      <c r="B1779" t="s">
        <v>79</v>
      </c>
      <c r="C1779" t="s">
        <v>2822</v>
      </c>
      <c r="D1779" t="s">
        <v>81</v>
      </c>
      <c r="E1779" s="2" t="str">
        <f>HYPERLINK("capsilon://?command=openfolder&amp;siteaddress=FAM.docvelocity-na8.net&amp;folderid=FX1FEBA49D-523B-CF7D-6837-5E2FA79C5EE8","FX20127860")</f>
        <v>FX20127860</v>
      </c>
      <c r="F1779" t="s">
        <v>19</v>
      </c>
      <c r="G1779" t="s">
        <v>19</v>
      </c>
      <c r="H1779" t="s">
        <v>82</v>
      </c>
      <c r="I1779" t="s">
        <v>4354</v>
      </c>
      <c r="J1779">
        <v>38</v>
      </c>
      <c r="K1779" t="s">
        <v>84</v>
      </c>
      <c r="L1779" t="s">
        <v>85</v>
      </c>
      <c r="M1779" t="s">
        <v>86</v>
      </c>
      <c r="N1779">
        <v>3</v>
      </c>
      <c r="O1779" s="1">
        <v>44216.322094907409</v>
      </c>
      <c r="P1779" s="1">
        <v>44216.389189814814</v>
      </c>
      <c r="Q1779">
        <v>3767</v>
      </c>
      <c r="R1779">
        <v>2030</v>
      </c>
      <c r="S1779" t="b">
        <v>0</v>
      </c>
      <c r="T1779" t="s">
        <v>87</v>
      </c>
      <c r="U1779" t="b">
        <v>0</v>
      </c>
      <c r="V1779" t="s">
        <v>98</v>
      </c>
      <c r="W1779" s="1">
        <v>44216.333819444444</v>
      </c>
      <c r="X1779">
        <v>1012</v>
      </c>
      <c r="Y1779">
        <v>37</v>
      </c>
      <c r="Z1779">
        <v>0</v>
      </c>
      <c r="AA1779">
        <v>37</v>
      </c>
      <c r="AB1779">
        <v>0</v>
      </c>
      <c r="AC1779">
        <v>31</v>
      </c>
      <c r="AD1779">
        <v>1</v>
      </c>
      <c r="AE1779">
        <v>0</v>
      </c>
      <c r="AF1779">
        <v>0</v>
      </c>
      <c r="AG1779">
        <v>0</v>
      </c>
      <c r="AH1779" t="s">
        <v>94</v>
      </c>
      <c r="AI1779" s="1">
        <v>44216.350231481483</v>
      </c>
      <c r="AJ1779">
        <v>1012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 t="s">
        <v>90</v>
      </c>
      <c r="AU1779" s="1">
        <v>44216.389189814814</v>
      </c>
      <c r="AV1779">
        <v>6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</row>
    <row r="1780" spans="1:57" x14ac:dyDescent="0.45">
      <c r="A1780" t="s">
        <v>4355</v>
      </c>
      <c r="B1780" t="s">
        <v>79</v>
      </c>
      <c r="C1780" t="s">
        <v>4356</v>
      </c>
      <c r="D1780" t="s">
        <v>81</v>
      </c>
      <c r="E1780" s="2" t="str">
        <f>HYPERLINK("capsilon://?command=openfolder&amp;siteaddress=FAM.docvelocity-na8.net&amp;folderid=FX05DFFCE0-0402-FA3D-499B-9C4BFD84A0B8","FX21017547")</f>
        <v>FX21017547</v>
      </c>
      <c r="F1780" t="s">
        <v>19</v>
      </c>
      <c r="G1780" t="s">
        <v>19</v>
      </c>
      <c r="H1780" t="s">
        <v>82</v>
      </c>
      <c r="I1780" t="s">
        <v>4357</v>
      </c>
      <c r="J1780">
        <v>590</v>
      </c>
      <c r="K1780" t="s">
        <v>84</v>
      </c>
      <c r="L1780" t="s">
        <v>85</v>
      </c>
      <c r="M1780" t="s">
        <v>86</v>
      </c>
      <c r="N1780">
        <v>3</v>
      </c>
      <c r="O1780" s="1">
        <v>44216.328449074077</v>
      </c>
      <c r="P1780" s="1">
        <v>44216.450266203705</v>
      </c>
      <c r="Q1780">
        <v>3557</v>
      </c>
      <c r="R1780">
        <v>6968</v>
      </c>
      <c r="S1780" t="b">
        <v>0</v>
      </c>
      <c r="T1780" t="s">
        <v>87</v>
      </c>
      <c r="U1780" t="b">
        <v>0</v>
      </c>
      <c r="V1780" t="s">
        <v>88</v>
      </c>
      <c r="W1780" s="1">
        <v>44216.381898148145</v>
      </c>
      <c r="X1780">
        <v>4338</v>
      </c>
      <c r="Y1780">
        <v>271</v>
      </c>
      <c r="Z1780">
        <v>0</v>
      </c>
      <c r="AA1780">
        <v>271</v>
      </c>
      <c r="AB1780">
        <v>201</v>
      </c>
      <c r="AC1780">
        <v>141</v>
      </c>
      <c r="AD1780">
        <v>319</v>
      </c>
      <c r="AE1780">
        <v>0</v>
      </c>
      <c r="AF1780">
        <v>0</v>
      </c>
      <c r="AG1780">
        <v>0</v>
      </c>
      <c r="AH1780" t="s">
        <v>89</v>
      </c>
      <c r="AI1780" s="1">
        <v>44216.428530092591</v>
      </c>
      <c r="AJ1780">
        <v>2585</v>
      </c>
      <c r="AK1780">
        <v>1</v>
      </c>
      <c r="AL1780">
        <v>0</v>
      </c>
      <c r="AM1780">
        <v>1</v>
      </c>
      <c r="AN1780">
        <v>201</v>
      </c>
      <c r="AO1780">
        <v>0</v>
      </c>
      <c r="AP1780">
        <v>318</v>
      </c>
      <c r="AQ1780">
        <v>0</v>
      </c>
      <c r="AR1780">
        <v>0</v>
      </c>
      <c r="AS1780">
        <v>0</v>
      </c>
      <c r="AT1780" t="s">
        <v>90</v>
      </c>
      <c r="AU1780" s="1">
        <v>44216.450266203705</v>
      </c>
      <c r="AV1780">
        <v>33</v>
      </c>
      <c r="AW1780">
        <v>0</v>
      </c>
      <c r="AX1780">
        <v>0</v>
      </c>
      <c r="AY1780">
        <v>0</v>
      </c>
      <c r="AZ1780">
        <v>201</v>
      </c>
      <c r="BA1780">
        <v>0</v>
      </c>
      <c r="BB1780">
        <v>318</v>
      </c>
      <c r="BC1780">
        <v>0</v>
      </c>
      <c r="BD1780">
        <v>0</v>
      </c>
      <c r="BE1780">
        <v>0</v>
      </c>
    </row>
    <row r="1781" spans="1:57" x14ac:dyDescent="0.45">
      <c r="A1781" t="s">
        <v>4358</v>
      </c>
      <c r="B1781" t="s">
        <v>79</v>
      </c>
      <c r="C1781" t="s">
        <v>4359</v>
      </c>
      <c r="D1781" t="s">
        <v>81</v>
      </c>
      <c r="E1781" s="2" t="str">
        <f>HYPERLINK("capsilon://?command=openfolder&amp;siteaddress=FAM.docvelocity-na8.net&amp;folderid=FX31F2B96A-DCC0-9312-7666-8DB924C81019","FX210111160")</f>
        <v>FX210111160</v>
      </c>
      <c r="F1781" t="s">
        <v>19</v>
      </c>
      <c r="G1781" t="s">
        <v>19</v>
      </c>
      <c r="H1781" t="s">
        <v>82</v>
      </c>
      <c r="I1781" t="s">
        <v>4360</v>
      </c>
      <c r="J1781">
        <v>274</v>
      </c>
      <c r="K1781" t="s">
        <v>84</v>
      </c>
      <c r="L1781" t="s">
        <v>85</v>
      </c>
      <c r="M1781" t="s">
        <v>86</v>
      </c>
      <c r="N1781">
        <v>3</v>
      </c>
      <c r="O1781" s="1">
        <v>44216.33315972222</v>
      </c>
      <c r="P1781" s="1">
        <v>44216.427604166667</v>
      </c>
      <c r="Q1781">
        <v>3556</v>
      </c>
      <c r="R1781">
        <v>4604</v>
      </c>
      <c r="S1781" t="b">
        <v>0</v>
      </c>
      <c r="T1781" t="s">
        <v>87</v>
      </c>
      <c r="U1781" t="b">
        <v>0</v>
      </c>
      <c r="V1781" t="s">
        <v>98</v>
      </c>
      <c r="W1781" s="1">
        <v>44216.373333333337</v>
      </c>
      <c r="X1781">
        <v>3414</v>
      </c>
      <c r="Y1781">
        <v>210</v>
      </c>
      <c r="Z1781">
        <v>0</v>
      </c>
      <c r="AA1781">
        <v>210</v>
      </c>
      <c r="AB1781">
        <v>0</v>
      </c>
      <c r="AC1781">
        <v>80</v>
      </c>
      <c r="AD1781">
        <v>64</v>
      </c>
      <c r="AE1781">
        <v>0</v>
      </c>
      <c r="AF1781">
        <v>0</v>
      </c>
      <c r="AG1781">
        <v>0</v>
      </c>
      <c r="AH1781" t="s">
        <v>108</v>
      </c>
      <c r="AI1781" s="1">
        <v>44216.393020833333</v>
      </c>
      <c r="AJ1781">
        <v>1150</v>
      </c>
      <c r="AK1781">
        <v>2</v>
      </c>
      <c r="AL1781">
        <v>0</v>
      </c>
      <c r="AM1781">
        <v>2</v>
      </c>
      <c r="AN1781">
        <v>0</v>
      </c>
      <c r="AO1781">
        <v>1</v>
      </c>
      <c r="AP1781">
        <v>62</v>
      </c>
      <c r="AQ1781">
        <v>0</v>
      </c>
      <c r="AR1781">
        <v>0</v>
      </c>
      <c r="AS1781">
        <v>0</v>
      </c>
      <c r="AT1781" t="s">
        <v>90</v>
      </c>
      <c r="AU1781" s="1">
        <v>44216.427604166667</v>
      </c>
      <c r="AV1781">
        <v>30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62</v>
      </c>
      <c r="BC1781">
        <v>0</v>
      </c>
      <c r="BD1781">
        <v>0</v>
      </c>
      <c r="BE1781">
        <v>0</v>
      </c>
    </row>
    <row r="1782" spans="1:57" x14ac:dyDescent="0.45">
      <c r="A1782" t="s">
        <v>4361</v>
      </c>
      <c r="B1782" t="s">
        <v>79</v>
      </c>
      <c r="C1782" t="s">
        <v>4024</v>
      </c>
      <c r="D1782" t="s">
        <v>81</v>
      </c>
      <c r="E1782" s="2" t="str">
        <f>HYPERLINK("capsilon://?command=openfolder&amp;siteaddress=FAM.docvelocity-na8.net&amp;folderid=FXBF9CB1E8-8033-3F51-56D1-0FA71FD3DCA8","FX20128547")</f>
        <v>FX20128547</v>
      </c>
      <c r="F1782" t="s">
        <v>19</v>
      </c>
      <c r="G1782" t="s">
        <v>19</v>
      </c>
      <c r="H1782" t="s">
        <v>82</v>
      </c>
      <c r="I1782" t="s">
        <v>4362</v>
      </c>
      <c r="J1782">
        <v>66</v>
      </c>
      <c r="K1782" t="s">
        <v>84</v>
      </c>
      <c r="L1782" t="s">
        <v>85</v>
      </c>
      <c r="M1782" t="s">
        <v>86</v>
      </c>
      <c r="N1782">
        <v>3</v>
      </c>
      <c r="O1782" s="1">
        <v>44216.333229166667</v>
      </c>
      <c r="P1782" s="1">
        <v>44216.389317129629</v>
      </c>
      <c r="Q1782">
        <v>3637</v>
      </c>
      <c r="R1782">
        <v>1209</v>
      </c>
      <c r="S1782" t="b">
        <v>0</v>
      </c>
      <c r="T1782" t="s">
        <v>87</v>
      </c>
      <c r="U1782" t="b">
        <v>0</v>
      </c>
      <c r="V1782" t="s">
        <v>419</v>
      </c>
      <c r="W1782" s="1">
        <v>44216.34103009259</v>
      </c>
      <c r="X1782">
        <v>616</v>
      </c>
      <c r="Y1782">
        <v>52</v>
      </c>
      <c r="Z1782">
        <v>0</v>
      </c>
      <c r="AA1782">
        <v>52</v>
      </c>
      <c r="AB1782">
        <v>0</v>
      </c>
      <c r="AC1782">
        <v>21</v>
      </c>
      <c r="AD1782">
        <v>14</v>
      </c>
      <c r="AE1782">
        <v>0</v>
      </c>
      <c r="AF1782">
        <v>0</v>
      </c>
      <c r="AG1782">
        <v>0</v>
      </c>
      <c r="AH1782" t="s">
        <v>89</v>
      </c>
      <c r="AI1782" s="1">
        <v>44216.360115740739</v>
      </c>
      <c r="AJ1782">
        <v>550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14</v>
      </c>
      <c r="AQ1782">
        <v>0</v>
      </c>
      <c r="AR1782">
        <v>0</v>
      </c>
      <c r="AS1782">
        <v>0</v>
      </c>
      <c r="AT1782" t="s">
        <v>90</v>
      </c>
      <c r="AU1782" s="1">
        <v>44216.389317129629</v>
      </c>
      <c r="AV1782">
        <v>11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14</v>
      </c>
      <c r="BC1782">
        <v>0</v>
      </c>
      <c r="BD1782">
        <v>0</v>
      </c>
      <c r="BE1782">
        <v>0</v>
      </c>
    </row>
    <row r="1783" spans="1:57" x14ac:dyDescent="0.45">
      <c r="A1783" t="s">
        <v>4363</v>
      </c>
      <c r="B1783" t="s">
        <v>79</v>
      </c>
      <c r="C1783" t="s">
        <v>4364</v>
      </c>
      <c r="D1783" t="s">
        <v>81</v>
      </c>
      <c r="E1783" s="2" t="str">
        <f>HYPERLINK("capsilon://?command=openfolder&amp;siteaddress=FAM.docvelocity-na8.net&amp;folderid=FXCDA2C0F8-F31A-3B65-F410-64DEDF0366CB","FX210110746")</f>
        <v>FX210110746</v>
      </c>
      <c r="F1783" t="s">
        <v>19</v>
      </c>
      <c r="G1783" t="s">
        <v>19</v>
      </c>
      <c r="H1783" t="s">
        <v>82</v>
      </c>
      <c r="I1783" t="s">
        <v>4365</v>
      </c>
      <c r="J1783">
        <v>157</v>
      </c>
      <c r="K1783" t="s">
        <v>84</v>
      </c>
      <c r="L1783" t="s">
        <v>85</v>
      </c>
      <c r="M1783" t="s">
        <v>86</v>
      </c>
      <c r="N1783">
        <v>3</v>
      </c>
      <c r="O1783" s="1">
        <v>44216.335636574076</v>
      </c>
      <c r="P1783" s="1">
        <v>44216.427858796298</v>
      </c>
      <c r="Q1783">
        <v>3422</v>
      </c>
      <c r="R1783">
        <v>4546</v>
      </c>
      <c r="S1783" t="b">
        <v>0</v>
      </c>
      <c r="T1783" t="s">
        <v>87</v>
      </c>
      <c r="U1783" t="b">
        <v>0</v>
      </c>
      <c r="V1783" t="s">
        <v>919</v>
      </c>
      <c r="W1783" s="1">
        <v>44216.361354166664</v>
      </c>
      <c r="X1783">
        <v>2200</v>
      </c>
      <c r="Y1783">
        <v>139</v>
      </c>
      <c r="Z1783">
        <v>0</v>
      </c>
      <c r="AA1783">
        <v>139</v>
      </c>
      <c r="AB1783">
        <v>0</v>
      </c>
      <c r="AC1783">
        <v>47</v>
      </c>
      <c r="AD1783">
        <v>18</v>
      </c>
      <c r="AE1783">
        <v>0</v>
      </c>
      <c r="AF1783">
        <v>0</v>
      </c>
      <c r="AG1783">
        <v>0</v>
      </c>
      <c r="AH1783" t="s">
        <v>89</v>
      </c>
      <c r="AI1783" s="1">
        <v>44216.398599537039</v>
      </c>
      <c r="AJ1783">
        <v>2319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18</v>
      </c>
      <c r="AQ1783">
        <v>0</v>
      </c>
      <c r="AR1783">
        <v>0</v>
      </c>
      <c r="AS1783">
        <v>0</v>
      </c>
      <c r="AT1783" t="s">
        <v>90</v>
      </c>
      <c r="AU1783" s="1">
        <v>44216.427858796298</v>
      </c>
      <c r="AV1783">
        <v>21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18</v>
      </c>
      <c r="BC1783">
        <v>0</v>
      </c>
      <c r="BD1783">
        <v>0</v>
      </c>
      <c r="BE1783">
        <v>0</v>
      </c>
    </row>
    <row r="1784" spans="1:57" hidden="1" x14ac:dyDescent="0.45">
      <c r="A1784" t="s">
        <v>4366</v>
      </c>
      <c r="B1784" t="s">
        <v>79</v>
      </c>
      <c r="C1784" t="s">
        <v>3318</v>
      </c>
      <c r="D1784" t="s">
        <v>81</v>
      </c>
      <c r="E1784" s="2" t="str">
        <f>HYPERLINK("capsilon://?command=openfolder&amp;siteaddress=FAM.docvelocity-na8.net&amp;folderid=FX3F0A7BF5-6F4A-854E-0D3E-213156B1247C","FX20127074")</f>
        <v>FX20127074</v>
      </c>
      <c r="F1784" t="s">
        <v>19</v>
      </c>
      <c r="G1784" t="s">
        <v>19</v>
      </c>
      <c r="H1784" t="s">
        <v>82</v>
      </c>
      <c r="I1784" t="s">
        <v>4367</v>
      </c>
      <c r="J1784">
        <v>66</v>
      </c>
      <c r="K1784" t="s">
        <v>84</v>
      </c>
      <c r="L1784" t="s">
        <v>85</v>
      </c>
      <c r="M1784" t="s">
        <v>86</v>
      </c>
      <c r="N1784">
        <v>3</v>
      </c>
      <c r="O1784" s="1">
        <v>44216.345821759256</v>
      </c>
      <c r="P1784" s="1">
        <v>44216.389351851853</v>
      </c>
      <c r="Q1784">
        <v>3550</v>
      </c>
      <c r="R1784">
        <v>211</v>
      </c>
      <c r="S1784" t="b">
        <v>0</v>
      </c>
      <c r="T1784" t="s">
        <v>87</v>
      </c>
      <c r="U1784" t="b">
        <v>0</v>
      </c>
      <c r="V1784" t="s">
        <v>112</v>
      </c>
      <c r="W1784" s="1">
        <v>44216.349618055552</v>
      </c>
      <c r="X1784">
        <v>114</v>
      </c>
      <c r="Y1784">
        <v>0</v>
      </c>
      <c r="Z1784">
        <v>0</v>
      </c>
      <c r="AA1784">
        <v>0</v>
      </c>
      <c r="AB1784">
        <v>52</v>
      </c>
      <c r="AC1784">
        <v>0</v>
      </c>
      <c r="AD1784">
        <v>66</v>
      </c>
      <c r="AE1784">
        <v>0</v>
      </c>
      <c r="AF1784">
        <v>0</v>
      </c>
      <c r="AG1784">
        <v>0</v>
      </c>
      <c r="AH1784" t="s">
        <v>89</v>
      </c>
      <c r="AI1784" s="1">
        <v>44216.361226851855</v>
      </c>
      <c r="AJ1784">
        <v>95</v>
      </c>
      <c r="AK1784">
        <v>0</v>
      </c>
      <c r="AL1784">
        <v>0</v>
      </c>
      <c r="AM1784">
        <v>0</v>
      </c>
      <c r="AN1784">
        <v>52</v>
      </c>
      <c r="AO1784">
        <v>0</v>
      </c>
      <c r="AP1784">
        <v>66</v>
      </c>
      <c r="AQ1784">
        <v>0</v>
      </c>
      <c r="AR1784">
        <v>0</v>
      </c>
      <c r="AS1784">
        <v>0</v>
      </c>
      <c r="AT1784" t="s">
        <v>90</v>
      </c>
      <c r="AU1784" s="1">
        <v>44216.389351851853</v>
      </c>
      <c r="AV1784">
        <v>2</v>
      </c>
      <c r="AW1784">
        <v>0</v>
      </c>
      <c r="AX1784">
        <v>0</v>
      </c>
      <c r="AY1784">
        <v>0</v>
      </c>
      <c r="AZ1784">
        <v>52</v>
      </c>
      <c r="BA1784">
        <v>0</v>
      </c>
      <c r="BB1784">
        <v>66</v>
      </c>
      <c r="BC1784">
        <v>0</v>
      </c>
      <c r="BD1784">
        <v>0</v>
      </c>
      <c r="BE1784">
        <v>0</v>
      </c>
    </row>
    <row r="1785" spans="1:57" hidden="1" x14ac:dyDescent="0.45">
      <c r="A1785" t="s">
        <v>4368</v>
      </c>
      <c r="B1785" t="s">
        <v>79</v>
      </c>
      <c r="C1785" t="s">
        <v>1100</v>
      </c>
      <c r="D1785" t="s">
        <v>81</v>
      </c>
      <c r="E1785" s="2" t="str">
        <f>HYPERLINK("capsilon://?command=openfolder&amp;siteaddress=FAM.docvelocity-na8.net&amp;folderid=FXFB46CCD4-BB22-CE2D-65E8-EA5BF717963A","FX20126408")</f>
        <v>FX20126408</v>
      </c>
      <c r="F1785" t="s">
        <v>19</v>
      </c>
      <c r="G1785" t="s">
        <v>19</v>
      </c>
      <c r="H1785" t="s">
        <v>82</v>
      </c>
      <c r="I1785" t="s">
        <v>4369</v>
      </c>
      <c r="J1785">
        <v>66</v>
      </c>
      <c r="K1785" t="s">
        <v>84</v>
      </c>
      <c r="L1785" t="s">
        <v>85</v>
      </c>
      <c r="M1785" t="s">
        <v>86</v>
      </c>
      <c r="N1785">
        <v>3</v>
      </c>
      <c r="O1785" s="1">
        <v>44216.351493055554</v>
      </c>
      <c r="P1785" s="1">
        <v>44216.389398148145</v>
      </c>
      <c r="Q1785">
        <v>2791</v>
      </c>
      <c r="R1785">
        <v>484</v>
      </c>
      <c r="S1785" t="b">
        <v>0</v>
      </c>
      <c r="T1785" t="s">
        <v>87</v>
      </c>
      <c r="U1785" t="b">
        <v>0</v>
      </c>
      <c r="V1785" t="s">
        <v>112</v>
      </c>
      <c r="W1785" s="1">
        <v>44216.35597222222</v>
      </c>
      <c r="X1785">
        <v>293</v>
      </c>
      <c r="Y1785">
        <v>0</v>
      </c>
      <c r="Z1785">
        <v>0</v>
      </c>
      <c r="AA1785">
        <v>0</v>
      </c>
      <c r="AB1785">
        <v>52</v>
      </c>
      <c r="AC1785">
        <v>0</v>
      </c>
      <c r="AD1785">
        <v>66</v>
      </c>
      <c r="AE1785">
        <v>0</v>
      </c>
      <c r="AF1785">
        <v>0</v>
      </c>
      <c r="AG1785">
        <v>0</v>
      </c>
      <c r="AH1785" t="s">
        <v>89</v>
      </c>
      <c r="AI1785" s="1">
        <v>44216.363217592596</v>
      </c>
      <c r="AJ1785">
        <v>171</v>
      </c>
      <c r="AK1785">
        <v>0</v>
      </c>
      <c r="AL1785">
        <v>0</v>
      </c>
      <c r="AM1785">
        <v>0</v>
      </c>
      <c r="AN1785">
        <v>52</v>
      </c>
      <c r="AO1785">
        <v>0</v>
      </c>
      <c r="AP1785">
        <v>66</v>
      </c>
      <c r="AQ1785">
        <v>0</v>
      </c>
      <c r="AR1785">
        <v>0</v>
      </c>
      <c r="AS1785">
        <v>0</v>
      </c>
      <c r="AT1785" t="s">
        <v>90</v>
      </c>
      <c r="AU1785" s="1">
        <v>44216.389398148145</v>
      </c>
      <c r="AV1785">
        <v>3</v>
      </c>
      <c r="AW1785">
        <v>0</v>
      </c>
      <c r="AX1785">
        <v>0</v>
      </c>
      <c r="AY1785">
        <v>0</v>
      </c>
      <c r="AZ1785">
        <v>52</v>
      </c>
      <c r="BA1785">
        <v>0</v>
      </c>
      <c r="BB1785">
        <v>66</v>
      </c>
      <c r="BC1785">
        <v>0</v>
      </c>
      <c r="BD1785">
        <v>0</v>
      </c>
      <c r="BE1785">
        <v>0</v>
      </c>
    </row>
    <row r="1786" spans="1:57" x14ac:dyDescent="0.45">
      <c r="A1786" t="s">
        <v>4370</v>
      </c>
      <c r="B1786" t="s">
        <v>79</v>
      </c>
      <c r="C1786" t="s">
        <v>4371</v>
      </c>
      <c r="D1786" t="s">
        <v>81</v>
      </c>
      <c r="E1786" s="2" t="str">
        <f>HYPERLINK("capsilon://?command=openfolder&amp;siteaddress=FAM.docvelocity-na8.net&amp;folderid=FXB6E47E1D-8FFF-B9D0-5DF7-E192C2D2CAE3","FX21018786")</f>
        <v>FX21018786</v>
      </c>
      <c r="F1786" t="s">
        <v>19</v>
      </c>
      <c r="G1786" t="s">
        <v>19</v>
      </c>
      <c r="H1786" t="s">
        <v>82</v>
      </c>
      <c r="I1786" t="s">
        <v>4372</v>
      </c>
      <c r="J1786">
        <v>221</v>
      </c>
      <c r="K1786" t="s">
        <v>84</v>
      </c>
      <c r="L1786" t="s">
        <v>85</v>
      </c>
      <c r="M1786" t="s">
        <v>86</v>
      </c>
      <c r="N1786">
        <v>3</v>
      </c>
      <c r="O1786" s="1">
        <v>44216.352037037039</v>
      </c>
      <c r="P1786" s="1">
        <v>44216.475023148145</v>
      </c>
      <c r="Q1786">
        <v>2187</v>
      </c>
      <c r="R1786">
        <v>8439</v>
      </c>
      <c r="S1786" t="b">
        <v>0</v>
      </c>
      <c r="T1786" t="s">
        <v>87</v>
      </c>
      <c r="U1786" t="b">
        <v>0</v>
      </c>
      <c r="V1786" t="s">
        <v>105</v>
      </c>
      <c r="W1786" s="1">
        <v>44216.412488425929</v>
      </c>
      <c r="X1786">
        <v>5167</v>
      </c>
      <c r="Y1786">
        <v>285</v>
      </c>
      <c r="Z1786">
        <v>0</v>
      </c>
      <c r="AA1786">
        <v>285</v>
      </c>
      <c r="AB1786">
        <v>0</v>
      </c>
      <c r="AC1786">
        <v>194</v>
      </c>
      <c r="AD1786">
        <v>-64</v>
      </c>
      <c r="AE1786">
        <v>0</v>
      </c>
      <c r="AF1786">
        <v>0</v>
      </c>
      <c r="AG1786">
        <v>0</v>
      </c>
      <c r="AH1786" t="s">
        <v>108</v>
      </c>
      <c r="AI1786" s="1">
        <v>44216.454050925924</v>
      </c>
      <c r="AJ1786">
        <v>2948</v>
      </c>
      <c r="AK1786">
        <v>31</v>
      </c>
      <c r="AL1786">
        <v>0</v>
      </c>
      <c r="AM1786">
        <v>31</v>
      </c>
      <c r="AN1786">
        <v>0</v>
      </c>
      <c r="AO1786">
        <v>30</v>
      </c>
      <c r="AP1786">
        <v>-95</v>
      </c>
      <c r="AQ1786">
        <v>0</v>
      </c>
      <c r="AR1786">
        <v>0</v>
      </c>
      <c r="AS1786">
        <v>0</v>
      </c>
      <c r="AT1786" t="s">
        <v>90</v>
      </c>
      <c r="AU1786" s="1">
        <v>44216.475023148145</v>
      </c>
      <c r="AV1786">
        <v>31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-95</v>
      </c>
      <c r="BC1786">
        <v>0</v>
      </c>
      <c r="BD1786">
        <v>0</v>
      </c>
      <c r="BE1786">
        <v>0</v>
      </c>
    </row>
    <row r="1787" spans="1:57" x14ac:dyDescent="0.45">
      <c r="A1787" t="s">
        <v>4373</v>
      </c>
      <c r="B1787" t="s">
        <v>79</v>
      </c>
      <c r="C1787" t="s">
        <v>4374</v>
      </c>
      <c r="D1787" t="s">
        <v>81</v>
      </c>
      <c r="E1787" s="2" t="str">
        <f>HYPERLINK("capsilon://?command=openfolder&amp;siteaddress=FAM.docvelocity-na8.net&amp;folderid=FXFDD65535-4811-F47E-339D-F10F3E00BDC2","FX21012924")</f>
        <v>FX21012924</v>
      </c>
      <c r="F1787" t="s">
        <v>19</v>
      </c>
      <c r="G1787" t="s">
        <v>19</v>
      </c>
      <c r="H1787" t="s">
        <v>82</v>
      </c>
      <c r="I1787" t="s">
        <v>4375</v>
      </c>
      <c r="J1787">
        <v>251</v>
      </c>
      <c r="K1787" t="s">
        <v>84</v>
      </c>
      <c r="L1787" t="s">
        <v>85</v>
      </c>
      <c r="M1787" t="s">
        <v>86</v>
      </c>
      <c r="N1787">
        <v>3</v>
      </c>
      <c r="O1787" s="1">
        <v>44216.359340277777</v>
      </c>
      <c r="P1787" s="1">
        <v>44216.428067129629</v>
      </c>
      <c r="Q1787">
        <v>2234</v>
      </c>
      <c r="R1787">
        <v>3704</v>
      </c>
      <c r="S1787" t="b">
        <v>0</v>
      </c>
      <c r="T1787" t="s">
        <v>87</v>
      </c>
      <c r="U1787" t="b">
        <v>0</v>
      </c>
      <c r="V1787" t="s">
        <v>112</v>
      </c>
      <c r="W1787" s="1">
        <v>44216.393506944441</v>
      </c>
      <c r="X1787">
        <v>2929</v>
      </c>
      <c r="Y1787">
        <v>161</v>
      </c>
      <c r="Z1787">
        <v>0</v>
      </c>
      <c r="AA1787">
        <v>161</v>
      </c>
      <c r="AB1787">
        <v>42</v>
      </c>
      <c r="AC1787">
        <v>84</v>
      </c>
      <c r="AD1787">
        <v>90</v>
      </c>
      <c r="AE1787">
        <v>0</v>
      </c>
      <c r="AF1787">
        <v>0</v>
      </c>
      <c r="AG1787">
        <v>0</v>
      </c>
      <c r="AH1787" t="s">
        <v>108</v>
      </c>
      <c r="AI1787" s="1">
        <v>44216.419918981483</v>
      </c>
      <c r="AJ1787">
        <v>683</v>
      </c>
      <c r="AK1787">
        <v>2</v>
      </c>
      <c r="AL1787">
        <v>0</v>
      </c>
      <c r="AM1787">
        <v>2</v>
      </c>
      <c r="AN1787">
        <v>42</v>
      </c>
      <c r="AO1787">
        <v>0</v>
      </c>
      <c r="AP1787">
        <v>88</v>
      </c>
      <c r="AQ1787">
        <v>0</v>
      </c>
      <c r="AR1787">
        <v>0</v>
      </c>
      <c r="AS1787">
        <v>0</v>
      </c>
      <c r="AT1787" t="s">
        <v>90</v>
      </c>
      <c r="AU1787" s="1">
        <v>44216.428067129629</v>
      </c>
      <c r="AV1787">
        <v>18</v>
      </c>
      <c r="AW1787">
        <v>0</v>
      </c>
      <c r="AX1787">
        <v>0</v>
      </c>
      <c r="AY1787">
        <v>0</v>
      </c>
      <c r="AZ1787">
        <v>42</v>
      </c>
      <c r="BA1787">
        <v>0</v>
      </c>
      <c r="BB1787">
        <v>88</v>
      </c>
      <c r="BC1787">
        <v>0</v>
      </c>
      <c r="BD1787">
        <v>0</v>
      </c>
      <c r="BE1787">
        <v>0</v>
      </c>
    </row>
    <row r="1788" spans="1:57" hidden="1" x14ac:dyDescent="0.45">
      <c r="A1788" t="s">
        <v>4376</v>
      </c>
      <c r="B1788" t="s">
        <v>79</v>
      </c>
      <c r="C1788" t="s">
        <v>4377</v>
      </c>
      <c r="D1788" t="s">
        <v>81</v>
      </c>
      <c r="E1788" s="2" t="str">
        <f>HYPERLINK("capsilon://?command=openfolder&amp;siteaddress=FAM.docvelocity-na8.net&amp;folderid=FX84B69C56-5ADE-63AB-C2BE-31FDC97982C8","FX201223323")</f>
        <v>FX201223323</v>
      </c>
      <c r="F1788" t="s">
        <v>19</v>
      </c>
      <c r="G1788" t="s">
        <v>19</v>
      </c>
      <c r="H1788" t="s">
        <v>82</v>
      </c>
      <c r="I1788" t="s">
        <v>4378</v>
      </c>
      <c r="J1788">
        <v>132</v>
      </c>
      <c r="K1788" t="s">
        <v>84</v>
      </c>
      <c r="L1788" t="s">
        <v>85</v>
      </c>
      <c r="M1788" t="s">
        <v>86</v>
      </c>
      <c r="N1788">
        <v>1</v>
      </c>
      <c r="O1788" s="1">
        <v>44216.365081018521</v>
      </c>
      <c r="P1788" s="1">
        <v>44216.383553240739</v>
      </c>
      <c r="Q1788">
        <v>231</v>
      </c>
      <c r="R1788">
        <v>1365</v>
      </c>
      <c r="S1788" t="b">
        <v>0</v>
      </c>
      <c r="T1788" t="s">
        <v>87</v>
      </c>
      <c r="U1788" t="b">
        <v>0</v>
      </c>
      <c r="V1788" t="s">
        <v>98</v>
      </c>
      <c r="W1788" s="1">
        <v>44216.383553240739</v>
      </c>
      <c r="X1788">
        <v>882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132</v>
      </c>
      <c r="AE1788">
        <v>104</v>
      </c>
      <c r="AF1788">
        <v>0</v>
      </c>
      <c r="AG1788">
        <v>2</v>
      </c>
      <c r="AH1788" t="s">
        <v>87</v>
      </c>
      <c r="AI1788" t="s">
        <v>87</v>
      </c>
      <c r="AJ1788" t="s">
        <v>87</v>
      </c>
      <c r="AK1788" t="s">
        <v>87</v>
      </c>
      <c r="AL1788" t="s">
        <v>87</v>
      </c>
      <c r="AM1788" t="s">
        <v>87</v>
      </c>
      <c r="AN1788" t="s">
        <v>87</v>
      </c>
      <c r="AO1788" t="s">
        <v>87</v>
      </c>
      <c r="AP1788" t="s">
        <v>87</v>
      </c>
      <c r="AQ1788" t="s">
        <v>87</v>
      </c>
      <c r="AR1788" t="s">
        <v>87</v>
      </c>
      <c r="AS1788" t="s">
        <v>87</v>
      </c>
      <c r="AT1788" t="s">
        <v>87</v>
      </c>
      <c r="AU1788" t="s">
        <v>87</v>
      </c>
      <c r="AV1788" t="s">
        <v>87</v>
      </c>
      <c r="AW1788" t="s">
        <v>87</v>
      </c>
      <c r="AX1788" t="s">
        <v>87</v>
      </c>
      <c r="AY1788" t="s">
        <v>87</v>
      </c>
      <c r="AZ1788" t="s">
        <v>87</v>
      </c>
      <c r="BA1788" t="s">
        <v>87</v>
      </c>
      <c r="BB1788" t="s">
        <v>87</v>
      </c>
      <c r="BC1788" t="s">
        <v>87</v>
      </c>
      <c r="BD1788" t="s">
        <v>87</v>
      </c>
      <c r="BE1788" t="s">
        <v>87</v>
      </c>
    </row>
    <row r="1789" spans="1:57" x14ac:dyDescent="0.45">
      <c r="A1789" t="s">
        <v>4379</v>
      </c>
      <c r="B1789" t="s">
        <v>79</v>
      </c>
      <c r="C1789" t="s">
        <v>341</v>
      </c>
      <c r="D1789" t="s">
        <v>81</v>
      </c>
      <c r="E1789" s="2" t="str">
        <f>HYPERLINK("capsilon://?command=openfolder&amp;siteaddress=FAM.docvelocity-na8.net&amp;folderid=FX3786D0CE-A0A4-9E49-250B-D73DB6FEC6DC","FX20122432")</f>
        <v>FX20122432</v>
      </c>
      <c r="F1789" t="s">
        <v>19</v>
      </c>
      <c r="G1789" t="s">
        <v>19</v>
      </c>
      <c r="H1789" t="s">
        <v>82</v>
      </c>
      <c r="I1789" t="s">
        <v>4380</v>
      </c>
      <c r="J1789">
        <v>66</v>
      </c>
      <c r="K1789" t="s">
        <v>84</v>
      </c>
      <c r="L1789" t="s">
        <v>85</v>
      </c>
      <c r="M1789" t="s">
        <v>86</v>
      </c>
      <c r="N1789">
        <v>3</v>
      </c>
      <c r="O1789" s="1">
        <v>44216.368043981478</v>
      </c>
      <c r="P1789" s="1">
        <v>44216.451585648145</v>
      </c>
      <c r="Q1789">
        <v>4027</v>
      </c>
      <c r="R1789">
        <v>3191</v>
      </c>
      <c r="S1789" t="b">
        <v>0</v>
      </c>
      <c r="T1789" t="s">
        <v>87</v>
      </c>
      <c r="U1789" t="b">
        <v>0</v>
      </c>
      <c r="V1789" t="s">
        <v>88</v>
      </c>
      <c r="W1789" s="1">
        <v>44216.410138888888</v>
      </c>
      <c r="X1789">
        <v>2440</v>
      </c>
      <c r="Y1789">
        <v>52</v>
      </c>
      <c r="Z1789">
        <v>0</v>
      </c>
      <c r="AA1789">
        <v>52</v>
      </c>
      <c r="AB1789">
        <v>0</v>
      </c>
      <c r="AC1789">
        <v>29</v>
      </c>
      <c r="AD1789">
        <v>14</v>
      </c>
      <c r="AE1789">
        <v>0</v>
      </c>
      <c r="AF1789">
        <v>0</v>
      </c>
      <c r="AG1789">
        <v>0</v>
      </c>
      <c r="AH1789" t="s">
        <v>89</v>
      </c>
      <c r="AI1789" s="1">
        <v>44216.432106481479</v>
      </c>
      <c r="AJ1789">
        <v>308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14</v>
      </c>
      <c r="AQ1789">
        <v>0</v>
      </c>
      <c r="AR1789">
        <v>0</v>
      </c>
      <c r="AS1789">
        <v>0</v>
      </c>
      <c r="AT1789" t="s">
        <v>90</v>
      </c>
      <c r="AU1789" s="1">
        <v>44216.451585648145</v>
      </c>
      <c r="AV1789">
        <v>113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14</v>
      </c>
      <c r="BC1789">
        <v>0</v>
      </c>
      <c r="BD1789">
        <v>0</v>
      </c>
      <c r="BE1789">
        <v>0</v>
      </c>
    </row>
    <row r="1790" spans="1:57" hidden="1" x14ac:dyDescent="0.45">
      <c r="A1790" t="s">
        <v>4381</v>
      </c>
      <c r="B1790" t="s">
        <v>79</v>
      </c>
      <c r="C1790" t="s">
        <v>4382</v>
      </c>
      <c r="D1790" t="s">
        <v>81</v>
      </c>
      <c r="E1790" s="2" t="str">
        <f>HYPERLINK("capsilon://?command=openfolder&amp;siteaddress=FAM.docvelocity-na8.net&amp;folderid=FXBC8B8FFB-607C-66B7-B2F5-4C6E62061EFF","FX21019161")</f>
        <v>FX21019161</v>
      </c>
      <c r="F1790" t="s">
        <v>19</v>
      </c>
      <c r="G1790" t="s">
        <v>19</v>
      </c>
      <c r="H1790" t="s">
        <v>82</v>
      </c>
      <c r="I1790" t="s">
        <v>4383</v>
      </c>
      <c r="J1790">
        <v>510</v>
      </c>
      <c r="K1790" t="s">
        <v>84</v>
      </c>
      <c r="L1790" t="s">
        <v>85</v>
      </c>
      <c r="M1790" t="s">
        <v>86</v>
      </c>
      <c r="N1790">
        <v>1</v>
      </c>
      <c r="O1790" s="1">
        <v>44216.370057870372</v>
      </c>
      <c r="P1790" s="1">
        <v>44216.411932870367</v>
      </c>
      <c r="Q1790">
        <v>808</v>
      </c>
      <c r="R1790">
        <v>2810</v>
      </c>
      <c r="S1790" t="b">
        <v>0</v>
      </c>
      <c r="T1790" t="s">
        <v>87</v>
      </c>
      <c r="U1790" t="b">
        <v>0</v>
      </c>
      <c r="V1790" t="s">
        <v>98</v>
      </c>
      <c r="W1790" s="1">
        <v>44216.411932870367</v>
      </c>
      <c r="X1790">
        <v>2110</v>
      </c>
      <c r="Y1790">
        <v>440</v>
      </c>
      <c r="Z1790">
        <v>0</v>
      </c>
      <c r="AA1790">
        <v>440</v>
      </c>
      <c r="AB1790">
        <v>0</v>
      </c>
      <c r="AC1790">
        <v>0</v>
      </c>
      <c r="AD1790">
        <v>70</v>
      </c>
      <c r="AE1790">
        <v>21</v>
      </c>
      <c r="AF1790">
        <v>0</v>
      </c>
      <c r="AG1790">
        <v>2</v>
      </c>
      <c r="AH1790" t="s">
        <v>87</v>
      </c>
      <c r="AI1790" t="s">
        <v>87</v>
      </c>
      <c r="AJ1790" t="s">
        <v>87</v>
      </c>
      <c r="AK1790" t="s">
        <v>87</v>
      </c>
      <c r="AL1790" t="s">
        <v>87</v>
      </c>
      <c r="AM1790" t="s">
        <v>87</v>
      </c>
      <c r="AN1790" t="s">
        <v>87</v>
      </c>
      <c r="AO1790" t="s">
        <v>87</v>
      </c>
      <c r="AP1790" t="s">
        <v>87</v>
      </c>
      <c r="AQ1790" t="s">
        <v>87</v>
      </c>
      <c r="AR1790" t="s">
        <v>87</v>
      </c>
      <c r="AS1790" t="s">
        <v>87</v>
      </c>
      <c r="AT1790" t="s">
        <v>87</v>
      </c>
      <c r="AU1790" t="s">
        <v>87</v>
      </c>
      <c r="AV1790" t="s">
        <v>87</v>
      </c>
      <c r="AW1790" t="s">
        <v>87</v>
      </c>
      <c r="AX1790" t="s">
        <v>87</v>
      </c>
      <c r="AY1790" t="s">
        <v>87</v>
      </c>
      <c r="AZ1790" t="s">
        <v>87</v>
      </c>
      <c r="BA1790" t="s">
        <v>87</v>
      </c>
      <c r="BB1790" t="s">
        <v>87</v>
      </c>
      <c r="BC1790" t="s">
        <v>87</v>
      </c>
      <c r="BD1790" t="s">
        <v>87</v>
      </c>
      <c r="BE1790" t="s">
        <v>87</v>
      </c>
    </row>
    <row r="1791" spans="1:57" x14ac:dyDescent="0.45">
      <c r="A1791" t="s">
        <v>4384</v>
      </c>
      <c r="B1791" t="s">
        <v>79</v>
      </c>
      <c r="C1791" t="s">
        <v>4385</v>
      </c>
      <c r="D1791" t="s">
        <v>81</v>
      </c>
      <c r="E1791" s="2" t="str">
        <f>HYPERLINK("capsilon://?command=openfolder&amp;siteaddress=FAM.docvelocity-na8.net&amp;folderid=FX4DD6A1B1-CF7B-759F-96BE-80282737CF56","FX201116819")</f>
        <v>FX201116819</v>
      </c>
      <c r="F1791" t="s">
        <v>19</v>
      </c>
      <c r="G1791" t="s">
        <v>19</v>
      </c>
      <c r="H1791" t="s">
        <v>82</v>
      </c>
      <c r="I1791" t="s">
        <v>4386</v>
      </c>
      <c r="J1791">
        <v>79</v>
      </c>
      <c r="K1791" t="s">
        <v>84</v>
      </c>
      <c r="L1791" t="s">
        <v>85</v>
      </c>
      <c r="M1791" t="s">
        <v>86</v>
      </c>
      <c r="N1791">
        <v>3</v>
      </c>
      <c r="O1791" s="1">
        <v>44216.374849537038</v>
      </c>
      <c r="P1791" s="1">
        <v>44216.452928240738</v>
      </c>
      <c r="Q1791">
        <v>5492</v>
      </c>
      <c r="R1791">
        <v>1254</v>
      </c>
      <c r="S1791" t="b">
        <v>0</v>
      </c>
      <c r="T1791" t="s">
        <v>87</v>
      </c>
      <c r="U1791" t="b">
        <v>0</v>
      </c>
      <c r="V1791" t="s">
        <v>98</v>
      </c>
      <c r="W1791" s="1">
        <v>44216.387499999997</v>
      </c>
      <c r="X1791">
        <v>340</v>
      </c>
      <c r="Y1791">
        <v>51</v>
      </c>
      <c r="Z1791">
        <v>0</v>
      </c>
      <c r="AA1791">
        <v>51</v>
      </c>
      <c r="AB1791">
        <v>0</v>
      </c>
      <c r="AC1791">
        <v>4</v>
      </c>
      <c r="AD1791">
        <v>28</v>
      </c>
      <c r="AE1791">
        <v>0</v>
      </c>
      <c r="AF1791">
        <v>0</v>
      </c>
      <c r="AG1791">
        <v>0</v>
      </c>
      <c r="AH1791" t="s">
        <v>94</v>
      </c>
      <c r="AI1791" s="1">
        <v>44216.440208333333</v>
      </c>
      <c r="AJ1791">
        <v>799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28</v>
      </c>
      <c r="AQ1791">
        <v>0</v>
      </c>
      <c r="AR1791">
        <v>0</v>
      </c>
      <c r="AS1791">
        <v>0</v>
      </c>
      <c r="AT1791" t="s">
        <v>90</v>
      </c>
      <c r="AU1791" s="1">
        <v>44216.452928240738</v>
      </c>
      <c r="AV1791">
        <v>115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28</v>
      </c>
      <c r="BC1791">
        <v>0</v>
      </c>
      <c r="BD1791">
        <v>0</v>
      </c>
      <c r="BE1791">
        <v>0</v>
      </c>
    </row>
    <row r="1792" spans="1:57" x14ac:dyDescent="0.45">
      <c r="A1792" t="s">
        <v>4387</v>
      </c>
      <c r="B1792" t="s">
        <v>79</v>
      </c>
      <c r="C1792" t="s">
        <v>4385</v>
      </c>
      <c r="D1792" t="s">
        <v>81</v>
      </c>
      <c r="E1792" s="2" t="str">
        <f>HYPERLINK("capsilon://?command=openfolder&amp;siteaddress=FAM.docvelocity-na8.net&amp;folderid=FX4DD6A1B1-CF7B-759F-96BE-80282737CF56","FX201116819")</f>
        <v>FX201116819</v>
      </c>
      <c r="F1792" t="s">
        <v>19</v>
      </c>
      <c r="G1792" t="s">
        <v>19</v>
      </c>
      <c r="H1792" t="s">
        <v>82</v>
      </c>
      <c r="I1792" t="s">
        <v>4388</v>
      </c>
      <c r="J1792">
        <v>79</v>
      </c>
      <c r="K1792" t="s">
        <v>84</v>
      </c>
      <c r="L1792" t="s">
        <v>85</v>
      </c>
      <c r="M1792" t="s">
        <v>86</v>
      </c>
      <c r="N1792">
        <v>3</v>
      </c>
      <c r="O1792" s="1">
        <v>44216.37605324074</v>
      </c>
      <c r="P1792" s="1">
        <v>44216.452986111108</v>
      </c>
      <c r="Q1792">
        <v>5619</v>
      </c>
      <c r="R1792">
        <v>1028</v>
      </c>
      <c r="S1792" t="b">
        <v>0</v>
      </c>
      <c r="T1792" t="s">
        <v>87</v>
      </c>
      <c r="U1792" t="b">
        <v>0</v>
      </c>
      <c r="V1792" t="s">
        <v>919</v>
      </c>
      <c r="W1792" s="1">
        <v>44216.396689814814</v>
      </c>
      <c r="X1792">
        <v>798</v>
      </c>
      <c r="Y1792">
        <v>51</v>
      </c>
      <c r="Z1792">
        <v>0</v>
      </c>
      <c r="AA1792">
        <v>51</v>
      </c>
      <c r="AB1792">
        <v>0</v>
      </c>
      <c r="AC1792">
        <v>2</v>
      </c>
      <c r="AD1792">
        <v>28</v>
      </c>
      <c r="AE1792">
        <v>0</v>
      </c>
      <c r="AF1792">
        <v>0</v>
      </c>
      <c r="AG1792">
        <v>0</v>
      </c>
      <c r="AH1792" t="s">
        <v>94</v>
      </c>
      <c r="AI1792" s="1">
        <v>44216.442615740743</v>
      </c>
      <c r="AJ1792">
        <v>207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28</v>
      </c>
      <c r="AQ1792">
        <v>0</v>
      </c>
      <c r="AR1792">
        <v>0</v>
      </c>
      <c r="AS1792">
        <v>0</v>
      </c>
      <c r="AT1792" t="s">
        <v>90</v>
      </c>
      <c r="AU1792" s="1">
        <v>44216.452986111108</v>
      </c>
      <c r="AV1792">
        <v>5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28</v>
      </c>
      <c r="BC1792">
        <v>0</v>
      </c>
      <c r="BD1792">
        <v>0</v>
      </c>
      <c r="BE1792">
        <v>0</v>
      </c>
    </row>
    <row r="1793" spans="1:57" x14ac:dyDescent="0.45">
      <c r="A1793" t="s">
        <v>4389</v>
      </c>
      <c r="B1793" t="s">
        <v>79</v>
      </c>
      <c r="C1793" t="s">
        <v>3318</v>
      </c>
      <c r="D1793" t="s">
        <v>81</v>
      </c>
      <c r="E1793" s="2" t="str">
        <f>HYPERLINK("capsilon://?command=openfolder&amp;siteaddress=FAM.docvelocity-na8.net&amp;folderid=FX3F0A7BF5-6F4A-854E-0D3E-213156B1247C","FX20127074")</f>
        <v>FX20127074</v>
      </c>
      <c r="F1793" t="s">
        <v>19</v>
      </c>
      <c r="G1793" t="s">
        <v>19</v>
      </c>
      <c r="H1793" t="s">
        <v>82</v>
      </c>
      <c r="I1793" t="s">
        <v>4390</v>
      </c>
      <c r="J1793">
        <v>76</v>
      </c>
      <c r="K1793" t="s">
        <v>84</v>
      </c>
      <c r="L1793" t="s">
        <v>85</v>
      </c>
      <c r="M1793" t="s">
        <v>86</v>
      </c>
      <c r="N1793">
        <v>3</v>
      </c>
      <c r="O1793" s="1">
        <v>44216.376446759263</v>
      </c>
      <c r="P1793" s="1">
        <v>44216.475138888891</v>
      </c>
      <c r="Q1793">
        <v>6021</v>
      </c>
      <c r="R1793">
        <v>2506</v>
      </c>
      <c r="S1793" t="b">
        <v>0</v>
      </c>
      <c r="T1793" t="s">
        <v>87</v>
      </c>
      <c r="U1793" t="b">
        <v>0</v>
      </c>
      <c r="V1793" t="s">
        <v>112</v>
      </c>
      <c r="W1793" s="1">
        <v>44216.414965277778</v>
      </c>
      <c r="X1793">
        <v>1853</v>
      </c>
      <c r="Y1793">
        <v>84</v>
      </c>
      <c r="Z1793">
        <v>0</v>
      </c>
      <c r="AA1793">
        <v>84</v>
      </c>
      <c r="AB1793">
        <v>0</v>
      </c>
      <c r="AC1793">
        <v>72</v>
      </c>
      <c r="AD1793">
        <v>-8</v>
      </c>
      <c r="AE1793">
        <v>0</v>
      </c>
      <c r="AF1793">
        <v>0</v>
      </c>
      <c r="AG1793">
        <v>0</v>
      </c>
      <c r="AH1793" t="s">
        <v>89</v>
      </c>
      <c r="AI1793" s="1">
        <v>44216.47378472222</v>
      </c>
      <c r="AJ1793">
        <v>599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-8</v>
      </c>
      <c r="AQ1793">
        <v>0</v>
      </c>
      <c r="AR1793">
        <v>0</v>
      </c>
      <c r="AS1793">
        <v>0</v>
      </c>
      <c r="AT1793" t="s">
        <v>90</v>
      </c>
      <c r="AU1793" s="1">
        <v>44216.475138888891</v>
      </c>
      <c r="AV1793">
        <v>10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-8</v>
      </c>
      <c r="BC1793">
        <v>0</v>
      </c>
      <c r="BD1793">
        <v>0</v>
      </c>
      <c r="BE1793">
        <v>0</v>
      </c>
    </row>
    <row r="1794" spans="1:57" x14ac:dyDescent="0.45">
      <c r="A1794" t="s">
        <v>4391</v>
      </c>
      <c r="B1794" t="s">
        <v>79</v>
      </c>
      <c r="C1794" t="s">
        <v>4385</v>
      </c>
      <c r="D1794" t="s">
        <v>81</v>
      </c>
      <c r="E1794" s="2" t="str">
        <f>HYPERLINK("capsilon://?command=openfolder&amp;siteaddress=FAM.docvelocity-na8.net&amp;folderid=FX4DD6A1B1-CF7B-759F-96BE-80282737CF56","FX201116819")</f>
        <v>FX201116819</v>
      </c>
      <c r="F1794" t="s">
        <v>19</v>
      </c>
      <c r="G1794" t="s">
        <v>19</v>
      </c>
      <c r="H1794" t="s">
        <v>82</v>
      </c>
      <c r="I1794" t="s">
        <v>4392</v>
      </c>
      <c r="J1794">
        <v>64</v>
      </c>
      <c r="K1794" t="s">
        <v>84</v>
      </c>
      <c r="L1794" t="s">
        <v>85</v>
      </c>
      <c r="M1794" t="s">
        <v>86</v>
      </c>
      <c r="N1794">
        <v>3</v>
      </c>
      <c r="O1794" s="1">
        <v>44216.377222222225</v>
      </c>
      <c r="P1794" s="1">
        <v>44216.494641203702</v>
      </c>
      <c r="Q1794">
        <v>8610</v>
      </c>
      <c r="R1794">
        <v>1535</v>
      </c>
      <c r="S1794" t="b">
        <v>0</v>
      </c>
      <c r="T1794" t="s">
        <v>87</v>
      </c>
      <c r="U1794" t="b">
        <v>0</v>
      </c>
      <c r="V1794" t="s">
        <v>919</v>
      </c>
      <c r="W1794" s="1">
        <v>44216.405115740738</v>
      </c>
      <c r="X1794">
        <v>727</v>
      </c>
      <c r="Y1794">
        <v>36</v>
      </c>
      <c r="Z1794">
        <v>0</v>
      </c>
      <c r="AA1794">
        <v>36</v>
      </c>
      <c r="AB1794">
        <v>0</v>
      </c>
      <c r="AC1794">
        <v>1</v>
      </c>
      <c r="AD1794">
        <v>28</v>
      </c>
      <c r="AE1794">
        <v>0</v>
      </c>
      <c r="AF1794">
        <v>0</v>
      </c>
      <c r="AG1794">
        <v>0</v>
      </c>
      <c r="AH1794" t="s">
        <v>89</v>
      </c>
      <c r="AI1794" s="1">
        <v>44216.482824074075</v>
      </c>
      <c r="AJ1794">
        <v>780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28</v>
      </c>
      <c r="AQ1794">
        <v>0</v>
      </c>
      <c r="AR1794">
        <v>0</v>
      </c>
      <c r="AS1794">
        <v>0</v>
      </c>
      <c r="AT1794" t="s">
        <v>90</v>
      </c>
      <c r="AU1794" s="1">
        <v>44216.494641203702</v>
      </c>
      <c r="AV1794">
        <v>28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28</v>
      </c>
      <c r="BC1794">
        <v>0</v>
      </c>
      <c r="BD1794">
        <v>0</v>
      </c>
      <c r="BE1794">
        <v>0</v>
      </c>
    </row>
    <row r="1795" spans="1:57" x14ac:dyDescent="0.45">
      <c r="A1795" t="s">
        <v>4393</v>
      </c>
      <c r="B1795" t="s">
        <v>79</v>
      </c>
      <c r="C1795" t="s">
        <v>4394</v>
      </c>
      <c r="D1795" t="s">
        <v>81</v>
      </c>
      <c r="E1795" s="2" t="str">
        <f>HYPERLINK("capsilon://?command=openfolder&amp;siteaddress=FAM.docvelocity-na8.net&amp;folderid=FXDC6E45BA-4A37-9E20-F4E0-6C40B64AB2D8","FX201116534")</f>
        <v>FX201116534</v>
      </c>
      <c r="F1795" t="s">
        <v>19</v>
      </c>
      <c r="G1795" t="s">
        <v>19</v>
      </c>
      <c r="H1795" t="s">
        <v>82</v>
      </c>
      <c r="I1795" t="s">
        <v>4395</v>
      </c>
      <c r="J1795">
        <v>519</v>
      </c>
      <c r="K1795" t="s">
        <v>84</v>
      </c>
      <c r="L1795" t="s">
        <v>85</v>
      </c>
      <c r="M1795" t="s">
        <v>86</v>
      </c>
      <c r="N1795">
        <v>3</v>
      </c>
      <c r="O1795" s="1">
        <v>44201.020405092589</v>
      </c>
      <c r="P1795" s="1">
        <v>44201.448958333334</v>
      </c>
      <c r="Q1795">
        <v>36849</v>
      </c>
      <c r="R1795">
        <v>178</v>
      </c>
      <c r="S1795" t="b">
        <v>0</v>
      </c>
      <c r="T1795" t="s">
        <v>87</v>
      </c>
      <c r="U1795" t="b">
        <v>0</v>
      </c>
      <c r="V1795" t="s">
        <v>88</v>
      </c>
      <c r="W1795" s="1">
        <v>44201.230543981481</v>
      </c>
      <c r="X1795">
        <v>103</v>
      </c>
      <c r="Y1795">
        <v>98</v>
      </c>
      <c r="Z1795">
        <v>0</v>
      </c>
      <c r="AA1795">
        <v>98</v>
      </c>
      <c r="AB1795">
        <v>0</v>
      </c>
      <c r="AC1795">
        <v>0</v>
      </c>
      <c r="AD1795">
        <v>421</v>
      </c>
      <c r="AE1795">
        <v>0</v>
      </c>
      <c r="AF1795">
        <v>0</v>
      </c>
      <c r="AG1795">
        <v>0</v>
      </c>
      <c r="AH1795" t="s">
        <v>94</v>
      </c>
      <c r="AI1795" s="1">
        <v>44201.340729166666</v>
      </c>
      <c r="AJ1795">
        <v>62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421</v>
      </c>
      <c r="AQ1795">
        <v>0</v>
      </c>
      <c r="AR1795">
        <v>0</v>
      </c>
      <c r="AS1795">
        <v>0</v>
      </c>
      <c r="AT1795" t="s">
        <v>90</v>
      </c>
      <c r="AU1795" s="1">
        <v>44201.448958333334</v>
      </c>
      <c r="AV1795">
        <v>13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421</v>
      </c>
      <c r="BC1795">
        <v>0</v>
      </c>
      <c r="BD1795">
        <v>0</v>
      </c>
      <c r="BE1795">
        <v>0</v>
      </c>
    </row>
    <row r="1796" spans="1:57" x14ac:dyDescent="0.45">
      <c r="A1796" t="s">
        <v>4396</v>
      </c>
      <c r="B1796" t="s">
        <v>79</v>
      </c>
      <c r="C1796" t="s">
        <v>4397</v>
      </c>
      <c r="D1796" t="s">
        <v>81</v>
      </c>
      <c r="E1796" s="2" t="str">
        <f>HYPERLINK("capsilon://?command=openfolder&amp;siteaddress=FAM.docvelocity-na8.net&amp;folderid=FX54E9990D-39FF-3BFC-3F96-A42AFB86E155","FX21018371")</f>
        <v>FX21018371</v>
      </c>
      <c r="F1796" t="s">
        <v>19</v>
      </c>
      <c r="G1796" t="s">
        <v>19</v>
      </c>
      <c r="H1796" t="s">
        <v>82</v>
      </c>
      <c r="I1796" t="s">
        <v>4398</v>
      </c>
      <c r="J1796">
        <v>97</v>
      </c>
      <c r="K1796" t="s">
        <v>84</v>
      </c>
      <c r="L1796" t="s">
        <v>85</v>
      </c>
      <c r="M1796" t="s">
        <v>86</v>
      </c>
      <c r="N1796">
        <v>3</v>
      </c>
      <c r="O1796" s="1">
        <v>44216.381620370368</v>
      </c>
      <c r="P1796" s="1">
        <v>44216.481099537035</v>
      </c>
      <c r="Q1796">
        <v>6790</v>
      </c>
      <c r="R1796">
        <v>1805</v>
      </c>
      <c r="S1796" t="b">
        <v>0</v>
      </c>
      <c r="T1796" t="s">
        <v>87</v>
      </c>
      <c r="U1796" t="b">
        <v>0</v>
      </c>
      <c r="V1796" t="s">
        <v>919</v>
      </c>
      <c r="W1796" s="1">
        <v>44216.422638888886</v>
      </c>
      <c r="X1796">
        <v>1513</v>
      </c>
      <c r="Y1796">
        <v>81</v>
      </c>
      <c r="Z1796">
        <v>0</v>
      </c>
      <c r="AA1796">
        <v>81</v>
      </c>
      <c r="AB1796">
        <v>0</v>
      </c>
      <c r="AC1796">
        <v>45</v>
      </c>
      <c r="AD1796">
        <v>16</v>
      </c>
      <c r="AE1796">
        <v>0</v>
      </c>
      <c r="AF1796">
        <v>0</v>
      </c>
      <c r="AG1796">
        <v>0</v>
      </c>
      <c r="AH1796" t="s">
        <v>132</v>
      </c>
      <c r="AI1796" s="1">
        <v>44216.477696759262</v>
      </c>
      <c r="AJ1796">
        <v>212</v>
      </c>
      <c r="AK1796">
        <v>2</v>
      </c>
      <c r="AL1796">
        <v>0</v>
      </c>
      <c r="AM1796">
        <v>2</v>
      </c>
      <c r="AN1796">
        <v>0</v>
      </c>
      <c r="AO1796">
        <v>1</v>
      </c>
      <c r="AP1796">
        <v>14</v>
      </c>
      <c r="AQ1796">
        <v>0</v>
      </c>
      <c r="AR1796">
        <v>0</v>
      </c>
      <c r="AS1796">
        <v>0</v>
      </c>
      <c r="AT1796" t="s">
        <v>90</v>
      </c>
      <c r="AU1796" s="1">
        <v>44216.481099537035</v>
      </c>
      <c r="AV1796">
        <v>80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14</v>
      </c>
      <c r="BC1796">
        <v>0</v>
      </c>
      <c r="BD1796">
        <v>0</v>
      </c>
      <c r="BE1796">
        <v>0</v>
      </c>
    </row>
    <row r="1797" spans="1:57" x14ac:dyDescent="0.45">
      <c r="A1797" t="s">
        <v>4399</v>
      </c>
      <c r="B1797" t="s">
        <v>79</v>
      </c>
      <c r="C1797" t="s">
        <v>4377</v>
      </c>
      <c r="D1797" t="s">
        <v>81</v>
      </c>
      <c r="E1797" s="2" t="str">
        <f>HYPERLINK("capsilon://?command=openfolder&amp;siteaddress=FAM.docvelocity-na8.net&amp;folderid=FX84B69C56-5ADE-63AB-C2BE-31FDC97982C8","FX201223323")</f>
        <v>FX201223323</v>
      </c>
      <c r="F1797" t="s">
        <v>19</v>
      </c>
      <c r="G1797" t="s">
        <v>19</v>
      </c>
      <c r="H1797" t="s">
        <v>82</v>
      </c>
      <c r="I1797" t="s">
        <v>4378</v>
      </c>
      <c r="J1797">
        <v>76</v>
      </c>
      <c r="K1797" t="s">
        <v>84</v>
      </c>
      <c r="L1797" t="s">
        <v>85</v>
      </c>
      <c r="M1797" t="s">
        <v>86</v>
      </c>
      <c r="N1797">
        <v>3</v>
      </c>
      <c r="O1797" s="1">
        <v>44216.383877314816</v>
      </c>
      <c r="P1797" s="1">
        <v>44216.427245370367</v>
      </c>
      <c r="Q1797">
        <v>1379</v>
      </c>
      <c r="R1797">
        <v>2368</v>
      </c>
      <c r="S1797" t="b">
        <v>0</v>
      </c>
      <c r="T1797" t="s">
        <v>87</v>
      </c>
      <c r="U1797" t="b">
        <v>1</v>
      </c>
      <c r="V1797" t="s">
        <v>419</v>
      </c>
      <c r="W1797" s="1">
        <v>44216.405300925922</v>
      </c>
      <c r="X1797">
        <v>1825</v>
      </c>
      <c r="Y1797">
        <v>74</v>
      </c>
      <c r="Z1797">
        <v>0</v>
      </c>
      <c r="AA1797">
        <v>74</v>
      </c>
      <c r="AB1797">
        <v>0</v>
      </c>
      <c r="AC1797">
        <v>69</v>
      </c>
      <c r="AD1797">
        <v>2</v>
      </c>
      <c r="AE1797">
        <v>0</v>
      </c>
      <c r="AF1797">
        <v>0</v>
      </c>
      <c r="AG1797">
        <v>0</v>
      </c>
      <c r="AH1797" t="s">
        <v>108</v>
      </c>
      <c r="AI1797" s="1">
        <v>44216.412002314813</v>
      </c>
      <c r="AJ1797">
        <v>536</v>
      </c>
      <c r="AK1797">
        <v>5</v>
      </c>
      <c r="AL1797">
        <v>0</v>
      </c>
      <c r="AM1797">
        <v>5</v>
      </c>
      <c r="AN1797">
        <v>0</v>
      </c>
      <c r="AO1797">
        <v>2</v>
      </c>
      <c r="AP1797">
        <v>-3</v>
      </c>
      <c r="AQ1797">
        <v>0</v>
      </c>
      <c r="AR1797">
        <v>0</v>
      </c>
      <c r="AS1797">
        <v>0</v>
      </c>
      <c r="AT1797" t="s">
        <v>90</v>
      </c>
      <c r="AU1797" s="1">
        <v>44216.427245370367</v>
      </c>
      <c r="AV1797">
        <v>7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-3</v>
      </c>
      <c r="BC1797">
        <v>0</v>
      </c>
      <c r="BD1797">
        <v>0</v>
      </c>
      <c r="BE1797">
        <v>0</v>
      </c>
    </row>
    <row r="1798" spans="1:57" hidden="1" x14ac:dyDescent="0.45">
      <c r="A1798" t="s">
        <v>4400</v>
      </c>
      <c r="B1798" t="s">
        <v>79</v>
      </c>
      <c r="C1798" t="s">
        <v>1694</v>
      </c>
      <c r="D1798" t="s">
        <v>81</v>
      </c>
      <c r="E1798" s="2" t="str">
        <f>HYPERLINK("capsilon://?command=openfolder&amp;siteaddress=FAM.docvelocity-na8.net&amp;folderid=FXD80F3E95-85DC-A3C1-8B94-2C365488A410","FX20111599")</f>
        <v>FX20111599</v>
      </c>
      <c r="F1798" t="s">
        <v>19</v>
      </c>
      <c r="G1798" t="s">
        <v>19</v>
      </c>
      <c r="H1798" t="s">
        <v>82</v>
      </c>
      <c r="I1798" t="s">
        <v>4401</v>
      </c>
      <c r="J1798">
        <v>66</v>
      </c>
      <c r="K1798" t="s">
        <v>84</v>
      </c>
      <c r="L1798" t="s">
        <v>85</v>
      </c>
      <c r="M1798" t="s">
        <v>86</v>
      </c>
      <c r="N1798">
        <v>3</v>
      </c>
      <c r="O1798" s="1">
        <v>44216.387974537036</v>
      </c>
      <c r="P1798" s="1">
        <v>44216.481134259258</v>
      </c>
      <c r="Q1798">
        <v>7911</v>
      </c>
      <c r="R1798">
        <v>138</v>
      </c>
      <c r="S1798" t="b">
        <v>0</v>
      </c>
      <c r="T1798" t="s">
        <v>87</v>
      </c>
      <c r="U1798" t="b">
        <v>0</v>
      </c>
      <c r="V1798" t="s">
        <v>419</v>
      </c>
      <c r="W1798" s="1">
        <v>44216.4062037037</v>
      </c>
      <c r="X1798">
        <v>77</v>
      </c>
      <c r="Y1798">
        <v>0</v>
      </c>
      <c r="Z1798">
        <v>0</v>
      </c>
      <c r="AA1798">
        <v>0</v>
      </c>
      <c r="AB1798">
        <v>52</v>
      </c>
      <c r="AC1798">
        <v>0</v>
      </c>
      <c r="AD1798">
        <v>66</v>
      </c>
      <c r="AE1798">
        <v>0</v>
      </c>
      <c r="AF1798">
        <v>0</v>
      </c>
      <c r="AG1798">
        <v>0</v>
      </c>
      <c r="AH1798" t="s">
        <v>108</v>
      </c>
      <c r="AI1798" s="1">
        <v>44216.476099537038</v>
      </c>
      <c r="AJ1798">
        <v>58</v>
      </c>
      <c r="AK1798">
        <v>0</v>
      </c>
      <c r="AL1798">
        <v>0</v>
      </c>
      <c r="AM1798">
        <v>0</v>
      </c>
      <c r="AN1798">
        <v>52</v>
      </c>
      <c r="AO1798">
        <v>0</v>
      </c>
      <c r="AP1798">
        <v>66</v>
      </c>
      <c r="AQ1798">
        <v>0</v>
      </c>
      <c r="AR1798">
        <v>0</v>
      </c>
      <c r="AS1798">
        <v>0</v>
      </c>
      <c r="AT1798" t="s">
        <v>90</v>
      </c>
      <c r="AU1798" s="1">
        <v>44216.481134259258</v>
      </c>
      <c r="AV1798">
        <v>3</v>
      </c>
      <c r="AW1798">
        <v>0</v>
      </c>
      <c r="AX1798">
        <v>0</v>
      </c>
      <c r="AY1798">
        <v>0</v>
      </c>
      <c r="AZ1798">
        <v>52</v>
      </c>
      <c r="BA1798">
        <v>0</v>
      </c>
      <c r="BB1798">
        <v>66</v>
      </c>
      <c r="BC1798">
        <v>0</v>
      </c>
      <c r="BD1798">
        <v>0</v>
      </c>
      <c r="BE1798">
        <v>0</v>
      </c>
    </row>
    <row r="1799" spans="1:57" x14ac:dyDescent="0.45">
      <c r="A1799" t="s">
        <v>4402</v>
      </c>
      <c r="B1799" t="s">
        <v>79</v>
      </c>
      <c r="C1799" t="s">
        <v>4403</v>
      </c>
      <c r="D1799" t="s">
        <v>81</v>
      </c>
      <c r="E1799" s="2" t="str">
        <f>HYPERLINK("capsilon://?command=openfolder&amp;siteaddress=FAM.docvelocity-na8.net&amp;folderid=FXD260A872-5D78-531F-D2B9-CDBF493A7F87","FX210110221")</f>
        <v>FX210110221</v>
      </c>
      <c r="F1799" t="s">
        <v>19</v>
      </c>
      <c r="G1799" t="s">
        <v>19</v>
      </c>
      <c r="H1799" t="s">
        <v>82</v>
      </c>
      <c r="I1799" t="s">
        <v>4404</v>
      </c>
      <c r="J1799">
        <v>386</v>
      </c>
      <c r="K1799" t="s">
        <v>84</v>
      </c>
      <c r="L1799" t="s">
        <v>85</v>
      </c>
      <c r="M1799" t="s">
        <v>86</v>
      </c>
      <c r="N1799">
        <v>3</v>
      </c>
      <c r="O1799" s="1">
        <v>44216.391296296293</v>
      </c>
      <c r="P1799" s="1">
        <v>44216.557905092595</v>
      </c>
      <c r="Q1799">
        <v>3186</v>
      </c>
      <c r="R1799">
        <v>11209</v>
      </c>
      <c r="S1799" t="b">
        <v>0</v>
      </c>
      <c r="T1799" t="s">
        <v>87</v>
      </c>
      <c r="U1799" t="b">
        <v>0</v>
      </c>
      <c r="V1799" t="s">
        <v>419</v>
      </c>
      <c r="W1799" s="1">
        <v>44216.506597222222</v>
      </c>
      <c r="X1799">
        <v>8673</v>
      </c>
      <c r="Y1799">
        <v>520</v>
      </c>
      <c r="Z1799">
        <v>0</v>
      </c>
      <c r="AA1799">
        <v>520</v>
      </c>
      <c r="AB1799">
        <v>0</v>
      </c>
      <c r="AC1799">
        <v>337</v>
      </c>
      <c r="AD1799">
        <v>-134</v>
      </c>
      <c r="AE1799">
        <v>0</v>
      </c>
      <c r="AF1799">
        <v>0</v>
      </c>
      <c r="AG1799">
        <v>0</v>
      </c>
      <c r="AH1799" t="s">
        <v>128</v>
      </c>
      <c r="AI1799" s="1">
        <v>44216.539988425924</v>
      </c>
      <c r="AJ1799">
        <v>2233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-134</v>
      </c>
      <c r="AQ1799">
        <v>0</v>
      </c>
      <c r="AR1799">
        <v>0</v>
      </c>
      <c r="AS1799">
        <v>0</v>
      </c>
      <c r="AT1799" t="s">
        <v>90</v>
      </c>
      <c r="AU1799" s="1">
        <v>44216.557905092595</v>
      </c>
      <c r="AV1799">
        <v>54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-134</v>
      </c>
      <c r="BC1799">
        <v>0</v>
      </c>
      <c r="BD1799">
        <v>0</v>
      </c>
      <c r="BE1799">
        <v>0</v>
      </c>
    </row>
    <row r="1800" spans="1:57" x14ac:dyDescent="0.45">
      <c r="A1800" t="s">
        <v>4405</v>
      </c>
      <c r="B1800" t="s">
        <v>79</v>
      </c>
      <c r="C1800" t="s">
        <v>4406</v>
      </c>
      <c r="D1800" t="s">
        <v>81</v>
      </c>
      <c r="E1800" s="2" t="str">
        <f>HYPERLINK("capsilon://?command=openfolder&amp;siteaddress=FAM.docvelocity-na8.net&amp;folderid=FX6F66A7A3-DC2E-EED7-B951-E989D78AF492","FX201113367")</f>
        <v>FX201113367</v>
      </c>
      <c r="F1800" t="s">
        <v>19</v>
      </c>
      <c r="G1800" t="s">
        <v>19</v>
      </c>
      <c r="H1800" t="s">
        <v>82</v>
      </c>
      <c r="I1800" t="s">
        <v>4407</v>
      </c>
      <c r="J1800">
        <v>43</v>
      </c>
      <c r="K1800" t="s">
        <v>84</v>
      </c>
      <c r="L1800" t="s">
        <v>85</v>
      </c>
      <c r="M1800" t="s">
        <v>86</v>
      </c>
      <c r="N1800">
        <v>3</v>
      </c>
      <c r="O1800" s="1">
        <v>44216.39398148148</v>
      </c>
      <c r="P1800" s="1">
        <v>44216.481423611112</v>
      </c>
      <c r="Q1800">
        <v>6397</v>
      </c>
      <c r="R1800">
        <v>1158</v>
      </c>
      <c r="S1800" t="b">
        <v>0</v>
      </c>
      <c r="T1800" t="s">
        <v>87</v>
      </c>
      <c r="U1800" t="b">
        <v>0</v>
      </c>
      <c r="V1800" t="s">
        <v>88</v>
      </c>
      <c r="W1800" s="1">
        <v>44216.420995370368</v>
      </c>
      <c r="X1800">
        <v>937</v>
      </c>
      <c r="Y1800">
        <v>36</v>
      </c>
      <c r="Z1800">
        <v>0</v>
      </c>
      <c r="AA1800">
        <v>36</v>
      </c>
      <c r="AB1800">
        <v>0</v>
      </c>
      <c r="AC1800">
        <v>18</v>
      </c>
      <c r="AD1800">
        <v>7</v>
      </c>
      <c r="AE1800">
        <v>0</v>
      </c>
      <c r="AF1800">
        <v>0</v>
      </c>
      <c r="AG1800">
        <v>0</v>
      </c>
      <c r="AH1800" t="s">
        <v>108</v>
      </c>
      <c r="AI1800" s="1">
        <v>44216.478391203702</v>
      </c>
      <c r="AJ1800">
        <v>197</v>
      </c>
      <c r="AK1800">
        <v>2</v>
      </c>
      <c r="AL1800">
        <v>0</v>
      </c>
      <c r="AM1800">
        <v>2</v>
      </c>
      <c r="AN1800">
        <v>0</v>
      </c>
      <c r="AO1800">
        <v>1</v>
      </c>
      <c r="AP1800">
        <v>5</v>
      </c>
      <c r="AQ1800">
        <v>0</v>
      </c>
      <c r="AR1800">
        <v>0</v>
      </c>
      <c r="AS1800">
        <v>0</v>
      </c>
      <c r="AT1800" t="s">
        <v>90</v>
      </c>
      <c r="AU1800" s="1">
        <v>44216.481423611112</v>
      </c>
      <c r="AV1800">
        <v>24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5</v>
      </c>
      <c r="BC1800">
        <v>0</v>
      </c>
      <c r="BD1800">
        <v>0</v>
      </c>
      <c r="BE1800">
        <v>0</v>
      </c>
    </row>
    <row r="1801" spans="1:57" x14ac:dyDescent="0.45">
      <c r="A1801" t="s">
        <v>4408</v>
      </c>
      <c r="B1801" t="s">
        <v>79</v>
      </c>
      <c r="C1801" t="s">
        <v>4048</v>
      </c>
      <c r="D1801" t="s">
        <v>81</v>
      </c>
      <c r="E1801" s="2" t="str">
        <f>HYPERLINK("capsilon://?command=openfolder&amp;siteaddress=FAM.docvelocity-na8.net&amp;folderid=FXB50E4B2D-72FE-FFBA-F361-E796086FBF96","FX21013801")</f>
        <v>FX21013801</v>
      </c>
      <c r="F1801" t="s">
        <v>19</v>
      </c>
      <c r="G1801" t="s">
        <v>19</v>
      </c>
      <c r="H1801" t="s">
        <v>82</v>
      </c>
      <c r="I1801" t="s">
        <v>4409</v>
      </c>
      <c r="J1801">
        <v>66</v>
      </c>
      <c r="K1801" t="s">
        <v>84</v>
      </c>
      <c r="L1801" t="s">
        <v>85</v>
      </c>
      <c r="M1801" t="s">
        <v>86</v>
      </c>
      <c r="N1801">
        <v>3</v>
      </c>
      <c r="O1801" s="1">
        <v>44216.398553240739</v>
      </c>
      <c r="P1801" s="1">
        <v>44216.49523148148</v>
      </c>
      <c r="Q1801">
        <v>6623</v>
      </c>
      <c r="R1801">
        <v>1730</v>
      </c>
      <c r="S1801" t="b">
        <v>0</v>
      </c>
      <c r="T1801" t="s">
        <v>87</v>
      </c>
      <c r="U1801" t="b">
        <v>0</v>
      </c>
      <c r="V1801" t="s">
        <v>98</v>
      </c>
      <c r="W1801" s="1">
        <v>44216.430266203701</v>
      </c>
      <c r="X1801">
        <v>1583</v>
      </c>
      <c r="Y1801">
        <v>52</v>
      </c>
      <c r="Z1801">
        <v>0</v>
      </c>
      <c r="AA1801">
        <v>52</v>
      </c>
      <c r="AB1801">
        <v>0</v>
      </c>
      <c r="AC1801">
        <v>30</v>
      </c>
      <c r="AD1801">
        <v>14</v>
      </c>
      <c r="AE1801">
        <v>0</v>
      </c>
      <c r="AF1801">
        <v>0</v>
      </c>
      <c r="AG1801">
        <v>0</v>
      </c>
      <c r="AH1801" t="s">
        <v>132</v>
      </c>
      <c r="AI1801" s="1">
        <v>44216.478900462964</v>
      </c>
      <c r="AJ1801">
        <v>103</v>
      </c>
      <c r="AK1801">
        <v>2</v>
      </c>
      <c r="AL1801">
        <v>0</v>
      </c>
      <c r="AM1801">
        <v>2</v>
      </c>
      <c r="AN1801">
        <v>0</v>
      </c>
      <c r="AO1801">
        <v>1</v>
      </c>
      <c r="AP1801">
        <v>12</v>
      </c>
      <c r="AQ1801">
        <v>0</v>
      </c>
      <c r="AR1801">
        <v>0</v>
      </c>
      <c r="AS1801">
        <v>0</v>
      </c>
      <c r="AT1801" t="s">
        <v>90</v>
      </c>
      <c r="AU1801" s="1">
        <v>44216.49523148148</v>
      </c>
      <c r="AV1801">
        <v>39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12</v>
      </c>
      <c r="BC1801">
        <v>0</v>
      </c>
      <c r="BD1801">
        <v>0</v>
      </c>
      <c r="BE1801">
        <v>0</v>
      </c>
    </row>
    <row r="1802" spans="1:57" x14ac:dyDescent="0.45">
      <c r="A1802" t="s">
        <v>4410</v>
      </c>
      <c r="B1802" t="s">
        <v>79</v>
      </c>
      <c r="C1802" t="s">
        <v>3946</v>
      </c>
      <c r="D1802" t="s">
        <v>81</v>
      </c>
      <c r="E1802" s="2" t="str">
        <f>HYPERLINK("capsilon://?command=openfolder&amp;siteaddress=FAM.docvelocity-na8.net&amp;folderid=FX7C7C4641-9638-0AF4-2CE4-C09E4BC9F241","FX21017969")</f>
        <v>FX21017969</v>
      </c>
      <c r="F1802" t="s">
        <v>19</v>
      </c>
      <c r="G1802" t="s">
        <v>19</v>
      </c>
      <c r="H1802" t="s">
        <v>82</v>
      </c>
      <c r="I1802" t="s">
        <v>4411</v>
      </c>
      <c r="J1802">
        <v>66</v>
      </c>
      <c r="K1802" t="s">
        <v>84</v>
      </c>
      <c r="L1802" t="s">
        <v>85</v>
      </c>
      <c r="M1802" t="s">
        <v>86</v>
      </c>
      <c r="N1802">
        <v>3</v>
      </c>
      <c r="O1802" s="1">
        <v>44216.401759259257</v>
      </c>
      <c r="P1802" s="1">
        <v>44216.496134259258</v>
      </c>
      <c r="Q1802">
        <v>7184</v>
      </c>
      <c r="R1802">
        <v>970</v>
      </c>
      <c r="S1802" t="b">
        <v>0</v>
      </c>
      <c r="T1802" t="s">
        <v>87</v>
      </c>
      <c r="U1802" t="b">
        <v>0</v>
      </c>
      <c r="V1802" t="s">
        <v>88</v>
      </c>
      <c r="W1802" s="1">
        <v>44216.429166666669</v>
      </c>
      <c r="X1802">
        <v>705</v>
      </c>
      <c r="Y1802">
        <v>52</v>
      </c>
      <c r="Z1802">
        <v>0</v>
      </c>
      <c r="AA1802">
        <v>52</v>
      </c>
      <c r="AB1802">
        <v>0</v>
      </c>
      <c r="AC1802">
        <v>39</v>
      </c>
      <c r="AD1802">
        <v>14</v>
      </c>
      <c r="AE1802">
        <v>0</v>
      </c>
      <c r="AF1802">
        <v>0</v>
      </c>
      <c r="AG1802">
        <v>0</v>
      </c>
      <c r="AH1802" t="s">
        <v>108</v>
      </c>
      <c r="AI1802" s="1">
        <v>44216.480578703704</v>
      </c>
      <c r="AJ1802">
        <v>188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13</v>
      </c>
      <c r="AQ1802">
        <v>0</v>
      </c>
      <c r="AR1802">
        <v>0</v>
      </c>
      <c r="AS1802">
        <v>0</v>
      </c>
      <c r="AT1802" t="s">
        <v>90</v>
      </c>
      <c r="AU1802" s="1">
        <v>44216.496134259258</v>
      </c>
      <c r="AV1802">
        <v>77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13</v>
      </c>
      <c r="BC1802">
        <v>0</v>
      </c>
      <c r="BD1802">
        <v>0</v>
      </c>
      <c r="BE1802">
        <v>0</v>
      </c>
    </row>
    <row r="1803" spans="1:57" x14ac:dyDescent="0.45">
      <c r="A1803" t="s">
        <v>4412</v>
      </c>
      <c r="B1803" t="s">
        <v>79</v>
      </c>
      <c r="C1803" t="s">
        <v>4413</v>
      </c>
      <c r="D1803" t="s">
        <v>81</v>
      </c>
      <c r="E1803" s="2" t="str">
        <f>HYPERLINK("capsilon://?command=openfolder&amp;siteaddress=FAM.docvelocity-na8.net&amp;folderid=FX3B3167A8-EA67-9D92-C62F-8272FF194524","FX21019419")</f>
        <v>FX21019419</v>
      </c>
      <c r="F1803" t="s">
        <v>19</v>
      </c>
      <c r="G1803" t="s">
        <v>19</v>
      </c>
      <c r="H1803" t="s">
        <v>82</v>
      </c>
      <c r="I1803" t="s">
        <v>4414</v>
      </c>
      <c r="J1803">
        <v>455</v>
      </c>
      <c r="K1803" t="s">
        <v>84</v>
      </c>
      <c r="L1803" t="s">
        <v>85</v>
      </c>
      <c r="M1803" t="s">
        <v>86</v>
      </c>
      <c r="N1803">
        <v>3</v>
      </c>
      <c r="O1803" s="1">
        <v>44216.403761574074</v>
      </c>
      <c r="P1803" s="1">
        <v>44216.559259259258</v>
      </c>
      <c r="Q1803">
        <v>4896</v>
      </c>
      <c r="R1803">
        <v>8539</v>
      </c>
      <c r="S1803" t="b">
        <v>0</v>
      </c>
      <c r="T1803" t="s">
        <v>87</v>
      </c>
      <c r="U1803" t="b">
        <v>0</v>
      </c>
      <c r="V1803" t="s">
        <v>98</v>
      </c>
      <c r="W1803" s="1">
        <v>44216.518148148149</v>
      </c>
      <c r="X1803">
        <v>7592</v>
      </c>
      <c r="Y1803">
        <v>398</v>
      </c>
      <c r="Z1803">
        <v>0</v>
      </c>
      <c r="AA1803">
        <v>398</v>
      </c>
      <c r="AB1803">
        <v>74</v>
      </c>
      <c r="AC1803">
        <v>290</v>
      </c>
      <c r="AD1803">
        <v>57</v>
      </c>
      <c r="AE1803">
        <v>0</v>
      </c>
      <c r="AF1803">
        <v>0</v>
      </c>
      <c r="AG1803">
        <v>0</v>
      </c>
      <c r="AH1803" t="s">
        <v>132</v>
      </c>
      <c r="AI1803" s="1">
        <v>44216.547326388885</v>
      </c>
      <c r="AJ1803">
        <v>699</v>
      </c>
      <c r="AK1803">
        <v>5</v>
      </c>
      <c r="AL1803">
        <v>0</v>
      </c>
      <c r="AM1803">
        <v>5</v>
      </c>
      <c r="AN1803">
        <v>74</v>
      </c>
      <c r="AO1803">
        <v>4</v>
      </c>
      <c r="AP1803">
        <v>52</v>
      </c>
      <c r="AQ1803">
        <v>0</v>
      </c>
      <c r="AR1803">
        <v>0</v>
      </c>
      <c r="AS1803">
        <v>0</v>
      </c>
      <c r="AT1803" t="s">
        <v>90</v>
      </c>
      <c r="AU1803" s="1">
        <v>44216.559259259258</v>
      </c>
      <c r="AV1803">
        <v>116</v>
      </c>
      <c r="AW1803">
        <v>2</v>
      </c>
      <c r="AX1803">
        <v>0</v>
      </c>
      <c r="AY1803">
        <v>2</v>
      </c>
      <c r="AZ1803">
        <v>155</v>
      </c>
      <c r="BA1803">
        <v>3</v>
      </c>
      <c r="BB1803">
        <v>50</v>
      </c>
      <c r="BC1803">
        <v>0</v>
      </c>
      <c r="BD1803">
        <v>0</v>
      </c>
      <c r="BE1803">
        <v>0</v>
      </c>
    </row>
    <row r="1804" spans="1:57" x14ac:dyDescent="0.45">
      <c r="A1804" t="s">
        <v>4415</v>
      </c>
      <c r="B1804" t="s">
        <v>79</v>
      </c>
      <c r="C1804" t="s">
        <v>4037</v>
      </c>
      <c r="D1804" t="s">
        <v>81</v>
      </c>
      <c r="E1804" s="2" t="str">
        <f>HYPERLINK("capsilon://?command=openfolder&amp;siteaddress=FAM.docvelocity-na8.net&amp;folderid=FX3B1BE12A-3CED-0E67-14B1-76A8129689AE","FX210110340")</f>
        <v>FX210110340</v>
      </c>
      <c r="F1804" t="s">
        <v>19</v>
      </c>
      <c r="G1804" t="s">
        <v>19</v>
      </c>
      <c r="H1804" t="s">
        <v>82</v>
      </c>
      <c r="I1804" t="s">
        <v>4416</v>
      </c>
      <c r="J1804">
        <v>66</v>
      </c>
      <c r="K1804" t="s">
        <v>84</v>
      </c>
      <c r="L1804" t="s">
        <v>85</v>
      </c>
      <c r="M1804" t="s">
        <v>86</v>
      </c>
      <c r="N1804">
        <v>3</v>
      </c>
      <c r="O1804" s="1">
        <v>44216.405497685184</v>
      </c>
      <c r="P1804" s="1">
        <v>44216.49695601852</v>
      </c>
      <c r="Q1804">
        <v>6961</v>
      </c>
      <c r="R1804">
        <v>941</v>
      </c>
      <c r="S1804" t="b">
        <v>0</v>
      </c>
      <c r="T1804" t="s">
        <v>87</v>
      </c>
      <c r="U1804" t="b">
        <v>0</v>
      </c>
      <c r="V1804" t="s">
        <v>919</v>
      </c>
      <c r="W1804" s="1">
        <v>44216.44195601852</v>
      </c>
      <c r="X1804">
        <v>768</v>
      </c>
      <c r="Y1804">
        <v>52</v>
      </c>
      <c r="Z1804">
        <v>0</v>
      </c>
      <c r="AA1804">
        <v>52</v>
      </c>
      <c r="AB1804">
        <v>0</v>
      </c>
      <c r="AC1804">
        <v>28</v>
      </c>
      <c r="AD1804">
        <v>14</v>
      </c>
      <c r="AE1804">
        <v>0</v>
      </c>
      <c r="AF1804">
        <v>0</v>
      </c>
      <c r="AG1804">
        <v>0</v>
      </c>
      <c r="AH1804" t="s">
        <v>132</v>
      </c>
      <c r="AI1804" s="1">
        <v>44216.480104166665</v>
      </c>
      <c r="AJ1804">
        <v>103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14</v>
      </c>
      <c r="AQ1804">
        <v>0</v>
      </c>
      <c r="AR1804">
        <v>0</v>
      </c>
      <c r="AS1804">
        <v>0</v>
      </c>
      <c r="AT1804" t="s">
        <v>90</v>
      </c>
      <c r="AU1804" s="1">
        <v>44216.49695601852</v>
      </c>
      <c r="AV1804">
        <v>70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14</v>
      </c>
      <c r="BC1804">
        <v>0</v>
      </c>
      <c r="BD1804">
        <v>0</v>
      </c>
      <c r="BE1804">
        <v>0</v>
      </c>
    </row>
    <row r="1805" spans="1:57" x14ac:dyDescent="0.45">
      <c r="A1805" t="s">
        <v>4417</v>
      </c>
      <c r="B1805" t="s">
        <v>79</v>
      </c>
      <c r="C1805" t="s">
        <v>4101</v>
      </c>
      <c r="D1805" t="s">
        <v>81</v>
      </c>
      <c r="E1805" s="2" t="str">
        <f>HYPERLINK("capsilon://?command=openfolder&amp;siteaddress=FAM.docvelocity-na8.net&amp;folderid=FX0ED10B40-220E-BE96-19E8-72CF177782F7","FX210110513")</f>
        <v>FX210110513</v>
      </c>
      <c r="F1805" t="s">
        <v>19</v>
      </c>
      <c r="G1805" t="s">
        <v>19</v>
      </c>
      <c r="H1805" t="s">
        <v>82</v>
      </c>
      <c r="I1805" t="s">
        <v>4418</v>
      </c>
      <c r="J1805">
        <v>66</v>
      </c>
      <c r="K1805" t="s">
        <v>84</v>
      </c>
      <c r="L1805" t="s">
        <v>85</v>
      </c>
      <c r="M1805" t="s">
        <v>86</v>
      </c>
      <c r="N1805">
        <v>3</v>
      </c>
      <c r="O1805" s="1">
        <v>44216.406076388892</v>
      </c>
      <c r="P1805" s="1">
        <v>44216.49800925926</v>
      </c>
      <c r="Q1805">
        <v>7209</v>
      </c>
      <c r="R1805">
        <v>734</v>
      </c>
      <c r="S1805" t="b">
        <v>0</v>
      </c>
      <c r="T1805" t="s">
        <v>87</v>
      </c>
      <c r="U1805" t="b">
        <v>0</v>
      </c>
      <c r="V1805" t="s">
        <v>105</v>
      </c>
      <c r="W1805" s="1">
        <v>44216.44332175926</v>
      </c>
      <c r="X1805">
        <v>537</v>
      </c>
      <c r="Y1805">
        <v>52</v>
      </c>
      <c r="Z1805">
        <v>0</v>
      </c>
      <c r="AA1805">
        <v>52</v>
      </c>
      <c r="AB1805">
        <v>0</v>
      </c>
      <c r="AC1805">
        <v>31</v>
      </c>
      <c r="AD1805">
        <v>14</v>
      </c>
      <c r="AE1805">
        <v>0</v>
      </c>
      <c r="AF1805">
        <v>0</v>
      </c>
      <c r="AG1805">
        <v>0</v>
      </c>
      <c r="AH1805" t="s">
        <v>132</v>
      </c>
      <c r="AI1805" s="1">
        <v>44216.481342592589</v>
      </c>
      <c r="AJ1805">
        <v>106</v>
      </c>
      <c r="AK1805">
        <v>2</v>
      </c>
      <c r="AL1805">
        <v>0</v>
      </c>
      <c r="AM1805">
        <v>2</v>
      </c>
      <c r="AN1805">
        <v>0</v>
      </c>
      <c r="AO1805">
        <v>1</v>
      </c>
      <c r="AP1805">
        <v>12</v>
      </c>
      <c r="AQ1805">
        <v>0</v>
      </c>
      <c r="AR1805">
        <v>0</v>
      </c>
      <c r="AS1805">
        <v>0</v>
      </c>
      <c r="AT1805" t="s">
        <v>90</v>
      </c>
      <c r="AU1805" s="1">
        <v>44216.49800925926</v>
      </c>
      <c r="AV1805">
        <v>91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12</v>
      </c>
      <c r="BC1805">
        <v>0</v>
      </c>
      <c r="BD1805">
        <v>0</v>
      </c>
      <c r="BE1805">
        <v>0</v>
      </c>
    </row>
    <row r="1806" spans="1:57" x14ac:dyDescent="0.45">
      <c r="A1806" t="s">
        <v>4419</v>
      </c>
      <c r="B1806" t="s">
        <v>79</v>
      </c>
      <c r="C1806" t="s">
        <v>1948</v>
      </c>
      <c r="D1806" t="s">
        <v>81</v>
      </c>
      <c r="E1806" s="2" t="str">
        <f>HYPERLINK("capsilon://?command=openfolder&amp;siteaddress=FAM.docvelocity-na8.net&amp;folderid=FXF02C7A7F-4FA2-98B4-EF3A-809CE385FD68","FX21012980")</f>
        <v>FX21012980</v>
      </c>
      <c r="F1806" t="s">
        <v>19</v>
      </c>
      <c r="G1806" t="s">
        <v>19</v>
      </c>
      <c r="H1806" t="s">
        <v>82</v>
      </c>
      <c r="I1806" t="s">
        <v>4420</v>
      </c>
      <c r="J1806">
        <v>66</v>
      </c>
      <c r="K1806" t="s">
        <v>84</v>
      </c>
      <c r="L1806" t="s">
        <v>85</v>
      </c>
      <c r="M1806" t="s">
        <v>86</v>
      </c>
      <c r="N1806">
        <v>3</v>
      </c>
      <c r="O1806" s="1">
        <v>44216.40761574074</v>
      </c>
      <c r="P1806" s="1">
        <v>44216.498148148145</v>
      </c>
      <c r="Q1806">
        <v>6872</v>
      </c>
      <c r="R1806">
        <v>950</v>
      </c>
      <c r="S1806" t="b">
        <v>0</v>
      </c>
      <c r="T1806" t="s">
        <v>87</v>
      </c>
      <c r="U1806" t="b">
        <v>0</v>
      </c>
      <c r="V1806" t="s">
        <v>919</v>
      </c>
      <c r="W1806" s="1">
        <v>44216.450590277775</v>
      </c>
      <c r="X1806">
        <v>745</v>
      </c>
      <c r="Y1806">
        <v>52</v>
      </c>
      <c r="Z1806">
        <v>0</v>
      </c>
      <c r="AA1806">
        <v>52</v>
      </c>
      <c r="AB1806">
        <v>0</v>
      </c>
      <c r="AC1806">
        <v>24</v>
      </c>
      <c r="AD1806">
        <v>14</v>
      </c>
      <c r="AE1806">
        <v>0</v>
      </c>
      <c r="AF1806">
        <v>0</v>
      </c>
      <c r="AG1806">
        <v>0</v>
      </c>
      <c r="AH1806" t="s">
        <v>132</v>
      </c>
      <c r="AI1806" s="1">
        <v>44216.483599537038</v>
      </c>
      <c r="AJ1806">
        <v>194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14</v>
      </c>
      <c r="AQ1806">
        <v>0</v>
      </c>
      <c r="AR1806">
        <v>0</v>
      </c>
      <c r="AS1806">
        <v>0</v>
      </c>
      <c r="AT1806" t="s">
        <v>90</v>
      </c>
      <c r="AU1806" s="1">
        <v>44216.498148148145</v>
      </c>
      <c r="AV1806">
        <v>11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14</v>
      </c>
      <c r="BC1806">
        <v>0</v>
      </c>
      <c r="BD1806">
        <v>0</v>
      </c>
      <c r="BE1806">
        <v>0</v>
      </c>
    </row>
    <row r="1807" spans="1:57" x14ac:dyDescent="0.45">
      <c r="A1807" t="s">
        <v>4421</v>
      </c>
      <c r="B1807" t="s">
        <v>79</v>
      </c>
      <c r="C1807" t="s">
        <v>4226</v>
      </c>
      <c r="D1807" t="s">
        <v>81</v>
      </c>
      <c r="E1807" s="2" t="str">
        <f>HYPERLINK("capsilon://?command=openfolder&amp;siteaddress=FAM.docvelocity-na8.net&amp;folderid=FX61018A86-366A-3FFD-9A18-B65CE1C10912","FX21019591")</f>
        <v>FX21019591</v>
      </c>
      <c r="F1807" t="s">
        <v>19</v>
      </c>
      <c r="G1807" t="s">
        <v>19</v>
      </c>
      <c r="H1807" t="s">
        <v>82</v>
      </c>
      <c r="I1807" t="s">
        <v>4422</v>
      </c>
      <c r="J1807">
        <v>66</v>
      </c>
      <c r="K1807" t="s">
        <v>84</v>
      </c>
      <c r="L1807" t="s">
        <v>85</v>
      </c>
      <c r="M1807" t="s">
        <v>86</v>
      </c>
      <c r="N1807">
        <v>3</v>
      </c>
      <c r="O1807" s="1">
        <v>44216.409351851849</v>
      </c>
      <c r="P1807" s="1">
        <v>44216.498217592591</v>
      </c>
      <c r="Q1807">
        <v>6032</v>
      </c>
      <c r="R1807">
        <v>1646</v>
      </c>
      <c r="S1807" t="b">
        <v>0</v>
      </c>
      <c r="T1807" t="s">
        <v>87</v>
      </c>
      <c r="U1807" t="b">
        <v>0</v>
      </c>
      <c r="V1807" t="s">
        <v>105</v>
      </c>
      <c r="W1807" s="1">
        <v>44216.45108796296</v>
      </c>
      <c r="X1807">
        <v>670</v>
      </c>
      <c r="Y1807">
        <v>52</v>
      </c>
      <c r="Z1807">
        <v>0</v>
      </c>
      <c r="AA1807">
        <v>52</v>
      </c>
      <c r="AB1807">
        <v>0</v>
      </c>
      <c r="AC1807">
        <v>34</v>
      </c>
      <c r="AD1807">
        <v>14</v>
      </c>
      <c r="AE1807">
        <v>0</v>
      </c>
      <c r="AF1807">
        <v>0</v>
      </c>
      <c r="AG1807">
        <v>0</v>
      </c>
      <c r="AH1807" t="s">
        <v>89</v>
      </c>
      <c r="AI1807" s="1">
        <v>44216.494062500002</v>
      </c>
      <c r="AJ1807">
        <v>970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14</v>
      </c>
      <c r="AQ1807">
        <v>0</v>
      </c>
      <c r="AR1807">
        <v>0</v>
      </c>
      <c r="AS1807">
        <v>0</v>
      </c>
      <c r="AT1807" t="s">
        <v>90</v>
      </c>
      <c r="AU1807" s="1">
        <v>44216.498217592591</v>
      </c>
      <c r="AV1807">
        <v>6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14</v>
      </c>
      <c r="BC1807">
        <v>0</v>
      </c>
      <c r="BD1807">
        <v>0</v>
      </c>
      <c r="BE1807">
        <v>0</v>
      </c>
    </row>
    <row r="1808" spans="1:57" hidden="1" x14ac:dyDescent="0.45">
      <c r="A1808" t="s">
        <v>4423</v>
      </c>
      <c r="B1808" t="s">
        <v>79</v>
      </c>
      <c r="C1808" t="s">
        <v>3573</v>
      </c>
      <c r="D1808" t="s">
        <v>81</v>
      </c>
      <c r="E1808" s="2" t="str">
        <f>HYPERLINK("capsilon://?command=openfolder&amp;siteaddress=FAM.docvelocity-na8.net&amp;folderid=FX38E10120-C777-4B7C-2164-7240F288BB46","FX21012498")</f>
        <v>FX21012498</v>
      </c>
      <c r="F1808" t="s">
        <v>19</v>
      </c>
      <c r="G1808" t="s">
        <v>19</v>
      </c>
      <c r="H1808" t="s">
        <v>82</v>
      </c>
      <c r="I1808" t="s">
        <v>4424</v>
      </c>
      <c r="J1808">
        <v>66</v>
      </c>
      <c r="K1808" t="s">
        <v>84</v>
      </c>
      <c r="L1808" t="s">
        <v>85</v>
      </c>
      <c r="M1808" t="s">
        <v>86</v>
      </c>
      <c r="N1808">
        <v>1</v>
      </c>
      <c r="O1808" s="1">
        <v>44216.409733796296</v>
      </c>
      <c r="P1808" s="1">
        <v>44216.456331018519</v>
      </c>
      <c r="Q1808">
        <v>3531</v>
      </c>
      <c r="R1808">
        <v>495</v>
      </c>
      <c r="S1808" t="b">
        <v>0</v>
      </c>
      <c r="T1808" t="s">
        <v>87</v>
      </c>
      <c r="U1808" t="b">
        <v>0</v>
      </c>
      <c r="V1808" t="s">
        <v>919</v>
      </c>
      <c r="W1808" s="1">
        <v>44216.456331018519</v>
      </c>
      <c r="X1808">
        <v>495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66</v>
      </c>
      <c r="AE1808">
        <v>52</v>
      </c>
      <c r="AF1808">
        <v>0</v>
      </c>
      <c r="AG1808">
        <v>1</v>
      </c>
      <c r="AH1808" t="s">
        <v>87</v>
      </c>
      <c r="AI1808" t="s">
        <v>87</v>
      </c>
      <c r="AJ1808" t="s">
        <v>87</v>
      </c>
      <c r="AK1808" t="s">
        <v>87</v>
      </c>
      <c r="AL1808" t="s">
        <v>87</v>
      </c>
      <c r="AM1808" t="s">
        <v>87</v>
      </c>
      <c r="AN1808" t="s">
        <v>87</v>
      </c>
      <c r="AO1808" t="s">
        <v>87</v>
      </c>
      <c r="AP1808" t="s">
        <v>87</v>
      </c>
      <c r="AQ1808" t="s">
        <v>87</v>
      </c>
      <c r="AR1808" t="s">
        <v>87</v>
      </c>
      <c r="AS1808" t="s">
        <v>87</v>
      </c>
      <c r="AT1808" t="s">
        <v>87</v>
      </c>
      <c r="AU1808" t="s">
        <v>87</v>
      </c>
      <c r="AV1808" t="s">
        <v>87</v>
      </c>
      <c r="AW1808" t="s">
        <v>87</v>
      </c>
      <c r="AX1808" t="s">
        <v>87</v>
      </c>
      <c r="AY1808" t="s">
        <v>87</v>
      </c>
      <c r="AZ1808" t="s">
        <v>87</v>
      </c>
      <c r="BA1808" t="s">
        <v>87</v>
      </c>
      <c r="BB1808" t="s">
        <v>87</v>
      </c>
      <c r="BC1808" t="s">
        <v>87</v>
      </c>
      <c r="BD1808" t="s">
        <v>87</v>
      </c>
      <c r="BE1808" t="s">
        <v>87</v>
      </c>
    </row>
    <row r="1809" spans="1:57" x14ac:dyDescent="0.45">
      <c r="A1809" t="s">
        <v>4425</v>
      </c>
      <c r="B1809" t="s">
        <v>79</v>
      </c>
      <c r="C1809" t="s">
        <v>3162</v>
      </c>
      <c r="D1809" t="s">
        <v>81</v>
      </c>
      <c r="E1809" s="2" t="str">
        <f>HYPERLINK("capsilon://?command=openfolder&amp;siteaddress=FAM.docvelocity-na8.net&amp;folderid=FXA7CD1609-3F26-26FF-C2E3-9B944D443898","FX20124612")</f>
        <v>FX20124612</v>
      </c>
      <c r="F1809" t="s">
        <v>19</v>
      </c>
      <c r="G1809" t="s">
        <v>19</v>
      </c>
      <c r="H1809" t="s">
        <v>82</v>
      </c>
      <c r="I1809" t="s">
        <v>4426</v>
      </c>
      <c r="J1809">
        <v>66</v>
      </c>
      <c r="K1809" t="s">
        <v>84</v>
      </c>
      <c r="L1809" t="s">
        <v>85</v>
      </c>
      <c r="M1809" t="s">
        <v>86</v>
      </c>
      <c r="N1809">
        <v>3</v>
      </c>
      <c r="O1809" s="1">
        <v>44216.411898148152</v>
      </c>
      <c r="P1809" s="1">
        <v>44216.49863425926</v>
      </c>
      <c r="Q1809">
        <v>6139</v>
      </c>
      <c r="R1809">
        <v>1355</v>
      </c>
      <c r="S1809" t="b">
        <v>0</v>
      </c>
      <c r="T1809" t="s">
        <v>87</v>
      </c>
      <c r="U1809" t="b">
        <v>0</v>
      </c>
      <c r="V1809" t="s">
        <v>105</v>
      </c>
      <c r="W1809" s="1">
        <v>44216.465277777781</v>
      </c>
      <c r="X1809">
        <v>1225</v>
      </c>
      <c r="Y1809">
        <v>52</v>
      </c>
      <c r="Z1809">
        <v>0</v>
      </c>
      <c r="AA1809">
        <v>52</v>
      </c>
      <c r="AB1809">
        <v>0</v>
      </c>
      <c r="AC1809">
        <v>39</v>
      </c>
      <c r="AD1809">
        <v>14</v>
      </c>
      <c r="AE1809">
        <v>0</v>
      </c>
      <c r="AF1809">
        <v>0</v>
      </c>
      <c r="AG1809">
        <v>0</v>
      </c>
      <c r="AH1809" t="s">
        <v>132</v>
      </c>
      <c r="AI1809" s="1">
        <v>44216.484710648147</v>
      </c>
      <c r="AJ1809">
        <v>95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14</v>
      </c>
      <c r="AQ1809">
        <v>0</v>
      </c>
      <c r="AR1809">
        <v>0</v>
      </c>
      <c r="AS1809">
        <v>0</v>
      </c>
      <c r="AT1809" t="s">
        <v>90</v>
      </c>
      <c r="AU1809" s="1">
        <v>44216.49863425926</v>
      </c>
      <c r="AV1809">
        <v>35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14</v>
      </c>
      <c r="BC1809">
        <v>0</v>
      </c>
      <c r="BD1809">
        <v>0</v>
      </c>
      <c r="BE1809">
        <v>0</v>
      </c>
    </row>
    <row r="1810" spans="1:57" x14ac:dyDescent="0.45">
      <c r="A1810" t="s">
        <v>4427</v>
      </c>
      <c r="B1810" t="s">
        <v>79</v>
      </c>
      <c r="C1810" t="s">
        <v>4382</v>
      </c>
      <c r="D1810" t="s">
        <v>81</v>
      </c>
      <c r="E1810" s="2" t="str">
        <f>HYPERLINK("capsilon://?command=openfolder&amp;siteaddress=FAM.docvelocity-na8.net&amp;folderid=FXBC8B8FFB-607C-66B7-B2F5-4C6E62061EFF","FX21019161")</f>
        <v>FX21019161</v>
      </c>
      <c r="F1810" t="s">
        <v>19</v>
      </c>
      <c r="G1810" t="s">
        <v>19</v>
      </c>
      <c r="H1810" t="s">
        <v>82</v>
      </c>
      <c r="I1810" t="s">
        <v>4383</v>
      </c>
      <c r="J1810">
        <v>52</v>
      </c>
      <c r="K1810" t="s">
        <v>84</v>
      </c>
      <c r="L1810" t="s">
        <v>85</v>
      </c>
      <c r="M1810" t="s">
        <v>86</v>
      </c>
      <c r="N1810">
        <v>3</v>
      </c>
      <c r="O1810" s="1">
        <v>44216.412268518521</v>
      </c>
      <c r="P1810" s="1">
        <v>44216.555844907409</v>
      </c>
      <c r="Q1810">
        <v>1755</v>
      </c>
      <c r="R1810">
        <v>10650</v>
      </c>
      <c r="S1810" t="b">
        <v>0</v>
      </c>
      <c r="T1810" t="s">
        <v>87</v>
      </c>
      <c r="U1810" t="b">
        <v>1</v>
      </c>
      <c r="V1810" t="s">
        <v>112</v>
      </c>
      <c r="W1810" s="1">
        <v>44216.510451388887</v>
      </c>
      <c r="X1810">
        <v>8249</v>
      </c>
      <c r="Y1810">
        <v>280</v>
      </c>
      <c r="Z1810">
        <v>0</v>
      </c>
      <c r="AA1810">
        <v>280</v>
      </c>
      <c r="AB1810">
        <v>37</v>
      </c>
      <c r="AC1810">
        <v>254</v>
      </c>
      <c r="AD1810">
        <v>-228</v>
      </c>
      <c r="AE1810">
        <v>0</v>
      </c>
      <c r="AF1810">
        <v>0</v>
      </c>
      <c r="AG1810">
        <v>0</v>
      </c>
      <c r="AH1810" t="s">
        <v>132</v>
      </c>
      <c r="AI1810" s="1">
        <v>44216.537488425929</v>
      </c>
      <c r="AJ1810">
        <v>2260</v>
      </c>
      <c r="AK1810">
        <v>31</v>
      </c>
      <c r="AL1810">
        <v>0</v>
      </c>
      <c r="AM1810">
        <v>31</v>
      </c>
      <c r="AN1810">
        <v>37</v>
      </c>
      <c r="AO1810">
        <v>30</v>
      </c>
      <c r="AP1810">
        <v>-259</v>
      </c>
      <c r="AQ1810">
        <v>0</v>
      </c>
      <c r="AR1810">
        <v>0</v>
      </c>
      <c r="AS1810">
        <v>0</v>
      </c>
      <c r="AT1810" t="s">
        <v>90</v>
      </c>
      <c r="AU1810" s="1">
        <v>44216.555844907409</v>
      </c>
      <c r="AV1810">
        <v>127</v>
      </c>
      <c r="AW1810">
        <v>5</v>
      </c>
      <c r="AX1810">
        <v>0</v>
      </c>
      <c r="AY1810">
        <v>5</v>
      </c>
      <c r="AZ1810">
        <v>37</v>
      </c>
      <c r="BA1810">
        <v>5</v>
      </c>
      <c r="BB1810">
        <v>-264</v>
      </c>
      <c r="BC1810">
        <v>0</v>
      </c>
      <c r="BD1810">
        <v>0</v>
      </c>
      <c r="BE1810">
        <v>0</v>
      </c>
    </row>
    <row r="1811" spans="1:57" x14ac:dyDescent="0.45">
      <c r="A1811" t="s">
        <v>4428</v>
      </c>
      <c r="B1811" t="s">
        <v>79</v>
      </c>
      <c r="C1811" t="s">
        <v>4377</v>
      </c>
      <c r="D1811" t="s">
        <v>81</v>
      </c>
      <c r="E1811" s="2" t="str">
        <f>HYPERLINK("capsilon://?command=openfolder&amp;siteaddress=FAM.docvelocity-na8.net&amp;folderid=FX84B69C56-5ADE-63AB-C2BE-31FDC97982C8","FX201223323")</f>
        <v>FX201223323</v>
      </c>
      <c r="F1811" t="s">
        <v>19</v>
      </c>
      <c r="G1811" t="s">
        <v>19</v>
      </c>
      <c r="H1811" t="s">
        <v>82</v>
      </c>
      <c r="I1811" t="s">
        <v>4429</v>
      </c>
      <c r="J1811">
        <v>89</v>
      </c>
      <c r="K1811" t="s">
        <v>84</v>
      </c>
      <c r="L1811" t="s">
        <v>85</v>
      </c>
      <c r="M1811" t="s">
        <v>86</v>
      </c>
      <c r="N1811">
        <v>3</v>
      </c>
      <c r="O1811" s="1">
        <v>44216.419456018521</v>
      </c>
      <c r="P1811" s="1">
        <v>44216.500358796293</v>
      </c>
      <c r="Q1811">
        <v>3433</v>
      </c>
      <c r="R1811">
        <v>3557</v>
      </c>
      <c r="S1811" t="b">
        <v>0</v>
      </c>
      <c r="T1811" t="s">
        <v>87</v>
      </c>
      <c r="U1811" t="b">
        <v>0</v>
      </c>
      <c r="V1811" t="s">
        <v>160</v>
      </c>
      <c r="W1811" s="1">
        <v>44216.488668981481</v>
      </c>
      <c r="X1811">
        <v>2578</v>
      </c>
      <c r="Y1811">
        <v>102</v>
      </c>
      <c r="Z1811">
        <v>0</v>
      </c>
      <c r="AA1811">
        <v>102</v>
      </c>
      <c r="AB1811">
        <v>0</v>
      </c>
      <c r="AC1811">
        <v>98</v>
      </c>
      <c r="AD1811">
        <v>-13</v>
      </c>
      <c r="AE1811">
        <v>0</v>
      </c>
      <c r="AF1811">
        <v>0</v>
      </c>
      <c r="AG1811">
        <v>0</v>
      </c>
      <c r="AH1811" t="s">
        <v>132</v>
      </c>
      <c r="AI1811" s="1">
        <v>44216.499722222223</v>
      </c>
      <c r="AJ1811">
        <v>916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-13</v>
      </c>
      <c r="AQ1811">
        <v>0</v>
      </c>
      <c r="AR1811">
        <v>0</v>
      </c>
      <c r="AS1811">
        <v>0</v>
      </c>
      <c r="AT1811" t="s">
        <v>90</v>
      </c>
      <c r="AU1811" s="1">
        <v>44216.500358796293</v>
      </c>
      <c r="AV1811">
        <v>27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-13</v>
      </c>
      <c r="BC1811">
        <v>0</v>
      </c>
      <c r="BD1811">
        <v>0</v>
      </c>
      <c r="BE1811">
        <v>0</v>
      </c>
    </row>
    <row r="1812" spans="1:57" x14ac:dyDescent="0.45">
      <c r="A1812" t="s">
        <v>4430</v>
      </c>
      <c r="B1812" t="s">
        <v>79</v>
      </c>
      <c r="C1812" t="s">
        <v>4431</v>
      </c>
      <c r="D1812" t="s">
        <v>81</v>
      </c>
      <c r="E1812" s="2" t="str">
        <f>HYPERLINK("capsilon://?command=openfolder&amp;siteaddress=FAM.docvelocity-na8.net&amp;folderid=FX15A114AC-AFAF-C20A-78A9-04824B1EE070","FX210110608")</f>
        <v>FX210110608</v>
      </c>
      <c r="F1812" t="s">
        <v>19</v>
      </c>
      <c r="G1812" t="s">
        <v>19</v>
      </c>
      <c r="H1812" t="s">
        <v>82</v>
      </c>
      <c r="I1812" t="s">
        <v>4432</v>
      </c>
      <c r="J1812">
        <v>429</v>
      </c>
      <c r="K1812" t="s">
        <v>84</v>
      </c>
      <c r="L1812" t="s">
        <v>85</v>
      </c>
      <c r="M1812" t="s">
        <v>86</v>
      </c>
      <c r="N1812">
        <v>3</v>
      </c>
      <c r="O1812" s="1">
        <v>44216.42019675926</v>
      </c>
      <c r="P1812" s="1">
        <v>44216.560196759259</v>
      </c>
      <c r="Q1812">
        <v>5962</v>
      </c>
      <c r="R1812">
        <v>6134</v>
      </c>
      <c r="S1812" t="b">
        <v>0</v>
      </c>
      <c r="T1812" t="s">
        <v>87</v>
      </c>
      <c r="U1812" t="b">
        <v>0</v>
      </c>
      <c r="V1812" t="s">
        <v>168</v>
      </c>
      <c r="W1812" s="1">
        <v>44216.51630787037</v>
      </c>
      <c r="X1812">
        <v>4952</v>
      </c>
      <c r="Y1812">
        <v>381</v>
      </c>
      <c r="Z1812">
        <v>0</v>
      </c>
      <c r="AA1812">
        <v>381</v>
      </c>
      <c r="AB1812">
        <v>37</v>
      </c>
      <c r="AC1812">
        <v>225</v>
      </c>
      <c r="AD1812">
        <v>48</v>
      </c>
      <c r="AE1812">
        <v>0</v>
      </c>
      <c r="AF1812">
        <v>0</v>
      </c>
      <c r="AG1812">
        <v>0</v>
      </c>
      <c r="AH1812" t="s">
        <v>128</v>
      </c>
      <c r="AI1812" s="1">
        <v>44216.552754629629</v>
      </c>
      <c r="AJ1812">
        <v>1102</v>
      </c>
      <c r="AK1812">
        <v>0</v>
      </c>
      <c r="AL1812">
        <v>0</v>
      </c>
      <c r="AM1812">
        <v>0</v>
      </c>
      <c r="AN1812">
        <v>37</v>
      </c>
      <c r="AO1812">
        <v>0</v>
      </c>
      <c r="AP1812">
        <v>48</v>
      </c>
      <c r="AQ1812">
        <v>0</v>
      </c>
      <c r="AR1812">
        <v>0</v>
      </c>
      <c r="AS1812">
        <v>0</v>
      </c>
      <c r="AT1812" t="s">
        <v>90</v>
      </c>
      <c r="AU1812" s="1">
        <v>44216.560196759259</v>
      </c>
      <c r="AV1812">
        <v>80</v>
      </c>
      <c r="AW1812">
        <v>0</v>
      </c>
      <c r="AX1812">
        <v>0</v>
      </c>
      <c r="AY1812">
        <v>0</v>
      </c>
      <c r="AZ1812">
        <v>37</v>
      </c>
      <c r="BA1812">
        <v>0</v>
      </c>
      <c r="BB1812">
        <v>48</v>
      </c>
      <c r="BC1812">
        <v>0</v>
      </c>
      <c r="BD1812">
        <v>0</v>
      </c>
      <c r="BE1812">
        <v>0</v>
      </c>
    </row>
    <row r="1813" spans="1:57" hidden="1" x14ac:dyDescent="0.45">
      <c r="A1813" t="s">
        <v>4433</v>
      </c>
      <c r="B1813" t="s">
        <v>79</v>
      </c>
      <c r="C1813" t="s">
        <v>4434</v>
      </c>
      <c r="D1813" t="s">
        <v>81</v>
      </c>
      <c r="E1813" s="2" t="str">
        <f>HYPERLINK("capsilon://?command=openfolder&amp;siteaddress=FAM.docvelocity-na8.net&amp;folderid=FX6D053364-A5C8-D12F-E18E-A66DB9F77593","FX21013494")</f>
        <v>FX21013494</v>
      </c>
      <c r="F1813" t="s">
        <v>19</v>
      </c>
      <c r="G1813" t="s">
        <v>19</v>
      </c>
      <c r="H1813" t="s">
        <v>82</v>
      </c>
      <c r="I1813" t="s">
        <v>4435</v>
      </c>
      <c r="J1813">
        <v>64</v>
      </c>
      <c r="K1813" t="s">
        <v>84</v>
      </c>
      <c r="L1813" t="s">
        <v>85</v>
      </c>
      <c r="M1813" t="s">
        <v>86</v>
      </c>
      <c r="N1813">
        <v>1</v>
      </c>
      <c r="O1813" s="1">
        <v>44216.427627314813</v>
      </c>
      <c r="P1813" s="1">
        <v>44216.480104166665</v>
      </c>
      <c r="Q1813">
        <v>2719</v>
      </c>
      <c r="R1813">
        <v>1815</v>
      </c>
      <c r="S1813" t="b">
        <v>0</v>
      </c>
      <c r="T1813" t="s">
        <v>87</v>
      </c>
      <c r="U1813" t="b">
        <v>0</v>
      </c>
      <c r="V1813" t="s">
        <v>179</v>
      </c>
      <c r="W1813" s="1">
        <v>44216.480104166665</v>
      </c>
      <c r="X1813">
        <v>1815</v>
      </c>
      <c r="Y1813">
        <v>58</v>
      </c>
      <c r="Z1813">
        <v>0</v>
      </c>
      <c r="AA1813">
        <v>58</v>
      </c>
      <c r="AB1813">
        <v>0</v>
      </c>
      <c r="AC1813">
        <v>43</v>
      </c>
      <c r="AD1813">
        <v>6</v>
      </c>
      <c r="AE1813">
        <v>21</v>
      </c>
      <c r="AF1813">
        <v>0</v>
      </c>
      <c r="AG1813">
        <v>2</v>
      </c>
      <c r="AH1813" t="s">
        <v>87</v>
      </c>
      <c r="AI1813" t="s">
        <v>87</v>
      </c>
      <c r="AJ1813" t="s">
        <v>87</v>
      </c>
      <c r="AK1813" t="s">
        <v>87</v>
      </c>
      <c r="AL1813" t="s">
        <v>87</v>
      </c>
      <c r="AM1813" t="s">
        <v>87</v>
      </c>
      <c r="AN1813" t="s">
        <v>87</v>
      </c>
      <c r="AO1813" t="s">
        <v>87</v>
      </c>
      <c r="AP1813" t="s">
        <v>87</v>
      </c>
      <c r="AQ1813" t="s">
        <v>87</v>
      </c>
      <c r="AR1813" t="s">
        <v>87</v>
      </c>
      <c r="AS1813" t="s">
        <v>87</v>
      </c>
      <c r="AT1813" t="s">
        <v>87</v>
      </c>
      <c r="AU1813" t="s">
        <v>87</v>
      </c>
      <c r="AV1813" t="s">
        <v>87</v>
      </c>
      <c r="AW1813" t="s">
        <v>87</v>
      </c>
      <c r="AX1813" t="s">
        <v>87</v>
      </c>
      <c r="AY1813" t="s">
        <v>87</v>
      </c>
      <c r="AZ1813" t="s">
        <v>87</v>
      </c>
      <c r="BA1813" t="s">
        <v>87</v>
      </c>
      <c r="BB1813" t="s">
        <v>87</v>
      </c>
      <c r="BC1813" t="s">
        <v>87</v>
      </c>
      <c r="BD1813" t="s">
        <v>87</v>
      </c>
      <c r="BE1813" t="s">
        <v>87</v>
      </c>
    </row>
    <row r="1814" spans="1:57" x14ac:dyDescent="0.45">
      <c r="A1814" t="s">
        <v>4436</v>
      </c>
      <c r="B1814" t="s">
        <v>79</v>
      </c>
      <c r="C1814" t="s">
        <v>4437</v>
      </c>
      <c r="D1814" t="s">
        <v>81</v>
      </c>
      <c r="E1814" s="2" t="str">
        <f>HYPERLINK("capsilon://?command=openfolder&amp;siteaddress=FAM.docvelocity-na8.net&amp;folderid=FX1E89FD3B-2420-2320-9483-B8571A64B42E","FX21017978")</f>
        <v>FX21017978</v>
      </c>
      <c r="F1814" t="s">
        <v>19</v>
      </c>
      <c r="G1814" t="s">
        <v>19</v>
      </c>
      <c r="H1814" t="s">
        <v>82</v>
      </c>
      <c r="I1814" t="s">
        <v>4438</v>
      </c>
      <c r="J1814">
        <v>200</v>
      </c>
      <c r="K1814" t="s">
        <v>84</v>
      </c>
      <c r="L1814" t="s">
        <v>85</v>
      </c>
      <c r="M1814" t="s">
        <v>86</v>
      </c>
      <c r="N1814">
        <v>3</v>
      </c>
      <c r="O1814" s="1">
        <v>44216.43136574074</v>
      </c>
      <c r="P1814" s="1">
        <v>44216.499571759261</v>
      </c>
      <c r="Q1814">
        <v>3287</v>
      </c>
      <c r="R1814">
        <v>2606</v>
      </c>
      <c r="S1814" t="b">
        <v>0</v>
      </c>
      <c r="T1814" t="s">
        <v>87</v>
      </c>
      <c r="U1814" t="b">
        <v>0</v>
      </c>
      <c r="V1814" t="s">
        <v>171</v>
      </c>
      <c r="W1814" s="1">
        <v>44216.483761574076</v>
      </c>
      <c r="X1814">
        <v>1967</v>
      </c>
      <c r="Y1814">
        <v>119</v>
      </c>
      <c r="Z1814">
        <v>0</v>
      </c>
      <c r="AA1814">
        <v>119</v>
      </c>
      <c r="AB1814">
        <v>37</v>
      </c>
      <c r="AC1814">
        <v>62</v>
      </c>
      <c r="AD1814">
        <v>81</v>
      </c>
      <c r="AE1814">
        <v>0</v>
      </c>
      <c r="AF1814">
        <v>0</v>
      </c>
      <c r="AG1814">
        <v>0</v>
      </c>
      <c r="AH1814" t="s">
        <v>108</v>
      </c>
      <c r="AI1814" s="1">
        <v>44216.49050925926</v>
      </c>
      <c r="AJ1814">
        <v>558</v>
      </c>
      <c r="AK1814">
        <v>2</v>
      </c>
      <c r="AL1814">
        <v>0</v>
      </c>
      <c r="AM1814">
        <v>2</v>
      </c>
      <c r="AN1814">
        <v>37</v>
      </c>
      <c r="AO1814">
        <v>1</v>
      </c>
      <c r="AP1814">
        <v>79</v>
      </c>
      <c r="AQ1814">
        <v>0</v>
      </c>
      <c r="AR1814">
        <v>0</v>
      </c>
      <c r="AS1814">
        <v>0</v>
      </c>
      <c r="AT1814" t="s">
        <v>90</v>
      </c>
      <c r="AU1814" s="1">
        <v>44216.499571759261</v>
      </c>
      <c r="AV1814">
        <v>81</v>
      </c>
      <c r="AW1814">
        <v>0</v>
      </c>
      <c r="AX1814">
        <v>0</v>
      </c>
      <c r="AY1814">
        <v>0</v>
      </c>
      <c r="AZ1814">
        <v>37</v>
      </c>
      <c r="BA1814">
        <v>0</v>
      </c>
      <c r="BB1814">
        <v>79</v>
      </c>
      <c r="BC1814">
        <v>0</v>
      </c>
      <c r="BD1814">
        <v>0</v>
      </c>
      <c r="BE1814">
        <v>0</v>
      </c>
    </row>
    <row r="1815" spans="1:57" x14ac:dyDescent="0.45">
      <c r="A1815" t="s">
        <v>4439</v>
      </c>
      <c r="B1815" t="s">
        <v>79</v>
      </c>
      <c r="C1815" t="s">
        <v>4440</v>
      </c>
      <c r="D1815" t="s">
        <v>81</v>
      </c>
      <c r="E1815" s="2" t="str">
        <f>HYPERLINK("capsilon://?command=openfolder&amp;siteaddress=FAM.docvelocity-na8.net&amp;folderid=FX1BD8C454-EEC1-9701-BC9F-BBD614ABE03D","FX210110176")</f>
        <v>FX210110176</v>
      </c>
      <c r="F1815" t="s">
        <v>19</v>
      </c>
      <c r="G1815" t="s">
        <v>19</v>
      </c>
      <c r="H1815" t="s">
        <v>82</v>
      </c>
      <c r="I1815" t="s">
        <v>4441</v>
      </c>
      <c r="J1815">
        <v>180</v>
      </c>
      <c r="K1815" t="s">
        <v>84</v>
      </c>
      <c r="L1815" t="s">
        <v>85</v>
      </c>
      <c r="M1815" t="s">
        <v>86</v>
      </c>
      <c r="N1815">
        <v>3</v>
      </c>
      <c r="O1815" s="1">
        <v>44216.432835648149</v>
      </c>
      <c r="P1815" s="1">
        <v>44216.560486111113</v>
      </c>
      <c r="Q1815">
        <v>7078</v>
      </c>
      <c r="R1815">
        <v>3951</v>
      </c>
      <c r="S1815" t="b">
        <v>0</v>
      </c>
      <c r="T1815" t="s">
        <v>87</v>
      </c>
      <c r="U1815" t="b">
        <v>0</v>
      </c>
      <c r="V1815" t="s">
        <v>146</v>
      </c>
      <c r="W1815" s="1">
        <v>44216.503391203703</v>
      </c>
      <c r="X1815">
        <v>3414</v>
      </c>
      <c r="Y1815">
        <v>170</v>
      </c>
      <c r="Z1815">
        <v>0</v>
      </c>
      <c r="AA1815">
        <v>170</v>
      </c>
      <c r="AB1815">
        <v>0</v>
      </c>
      <c r="AC1815">
        <v>119</v>
      </c>
      <c r="AD1815">
        <v>10</v>
      </c>
      <c r="AE1815">
        <v>0</v>
      </c>
      <c r="AF1815">
        <v>0</v>
      </c>
      <c r="AG1815">
        <v>0</v>
      </c>
      <c r="AH1815" t="s">
        <v>132</v>
      </c>
      <c r="AI1815" s="1">
        <v>44216.511319444442</v>
      </c>
      <c r="AJ1815">
        <v>512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10</v>
      </c>
      <c r="AQ1815">
        <v>0</v>
      </c>
      <c r="AR1815">
        <v>0</v>
      </c>
      <c r="AS1815">
        <v>0</v>
      </c>
      <c r="AT1815" t="s">
        <v>90</v>
      </c>
      <c r="AU1815" s="1">
        <v>44216.560486111113</v>
      </c>
      <c r="AV1815">
        <v>25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10</v>
      </c>
      <c r="BC1815">
        <v>0</v>
      </c>
      <c r="BD1815">
        <v>0</v>
      </c>
      <c r="BE1815">
        <v>0</v>
      </c>
    </row>
    <row r="1816" spans="1:57" x14ac:dyDescent="0.45">
      <c r="A1816" t="s">
        <v>4442</v>
      </c>
      <c r="B1816" t="s">
        <v>79</v>
      </c>
      <c r="C1816" t="s">
        <v>4406</v>
      </c>
      <c r="D1816" t="s">
        <v>81</v>
      </c>
      <c r="E1816" s="2" t="str">
        <f>HYPERLINK("capsilon://?command=openfolder&amp;siteaddress=FAM.docvelocity-na8.net&amp;folderid=FX6F66A7A3-DC2E-EED7-B951-E989D78AF492","FX201113367")</f>
        <v>FX201113367</v>
      </c>
      <c r="F1816" t="s">
        <v>19</v>
      </c>
      <c r="G1816" t="s">
        <v>19</v>
      </c>
      <c r="H1816" t="s">
        <v>82</v>
      </c>
      <c r="I1816" t="s">
        <v>4443</v>
      </c>
      <c r="J1816">
        <v>48</v>
      </c>
      <c r="K1816" t="s">
        <v>84</v>
      </c>
      <c r="L1816" t="s">
        <v>85</v>
      </c>
      <c r="M1816" t="s">
        <v>86</v>
      </c>
      <c r="N1816">
        <v>3</v>
      </c>
      <c r="O1816" s="1">
        <v>44216.435833333337</v>
      </c>
      <c r="P1816" s="1">
        <v>44216.500034722223</v>
      </c>
      <c r="Q1816">
        <v>4388</v>
      </c>
      <c r="R1816">
        <v>1159</v>
      </c>
      <c r="S1816" t="b">
        <v>0</v>
      </c>
      <c r="T1816" t="s">
        <v>87</v>
      </c>
      <c r="U1816" t="b">
        <v>0</v>
      </c>
      <c r="V1816" t="s">
        <v>105</v>
      </c>
      <c r="W1816" s="1">
        <v>44216.475972222222</v>
      </c>
      <c r="X1816">
        <v>923</v>
      </c>
      <c r="Y1816">
        <v>41</v>
      </c>
      <c r="Z1816">
        <v>0</v>
      </c>
      <c r="AA1816">
        <v>41</v>
      </c>
      <c r="AB1816">
        <v>0</v>
      </c>
      <c r="AC1816">
        <v>14</v>
      </c>
      <c r="AD1816">
        <v>7</v>
      </c>
      <c r="AE1816">
        <v>0</v>
      </c>
      <c r="AF1816">
        <v>0</v>
      </c>
      <c r="AG1816">
        <v>0</v>
      </c>
      <c r="AH1816" t="s">
        <v>132</v>
      </c>
      <c r="AI1816" s="1">
        <v>44216.487002314818</v>
      </c>
      <c r="AJ1816">
        <v>197</v>
      </c>
      <c r="AK1816">
        <v>2</v>
      </c>
      <c r="AL1816">
        <v>0</v>
      </c>
      <c r="AM1816">
        <v>2</v>
      </c>
      <c r="AN1816">
        <v>0</v>
      </c>
      <c r="AO1816">
        <v>1</v>
      </c>
      <c r="AP1816">
        <v>5</v>
      </c>
      <c r="AQ1816">
        <v>0</v>
      </c>
      <c r="AR1816">
        <v>0</v>
      </c>
      <c r="AS1816">
        <v>0</v>
      </c>
      <c r="AT1816" t="s">
        <v>90</v>
      </c>
      <c r="AU1816" s="1">
        <v>44216.500034722223</v>
      </c>
      <c r="AV1816">
        <v>39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5</v>
      </c>
      <c r="BC1816">
        <v>0</v>
      </c>
      <c r="BD1816">
        <v>0</v>
      </c>
      <c r="BE1816">
        <v>0</v>
      </c>
    </row>
    <row r="1817" spans="1:57" x14ac:dyDescent="0.45">
      <c r="A1817" t="s">
        <v>4444</v>
      </c>
      <c r="B1817" t="s">
        <v>79</v>
      </c>
      <c r="C1817" t="s">
        <v>4445</v>
      </c>
      <c r="D1817" t="s">
        <v>81</v>
      </c>
      <c r="E1817" s="2" t="str">
        <f>HYPERLINK("capsilon://?command=openfolder&amp;siteaddress=FAM.docvelocity-na8.net&amp;folderid=FX4078E3AC-BFEB-472D-4184-BDD690E7E15A","FX210112107")</f>
        <v>FX210112107</v>
      </c>
      <c r="F1817" t="s">
        <v>19</v>
      </c>
      <c r="G1817" t="s">
        <v>19</v>
      </c>
      <c r="H1817" t="s">
        <v>82</v>
      </c>
      <c r="I1817" t="s">
        <v>4446</v>
      </c>
      <c r="J1817">
        <v>178</v>
      </c>
      <c r="K1817" t="s">
        <v>84</v>
      </c>
      <c r="L1817" t="s">
        <v>85</v>
      </c>
      <c r="M1817" t="s">
        <v>86</v>
      </c>
      <c r="N1817">
        <v>3</v>
      </c>
      <c r="O1817" s="1">
        <v>44216.443680555552</v>
      </c>
      <c r="P1817" s="1">
        <v>44216.561226851853</v>
      </c>
      <c r="Q1817">
        <v>5031</v>
      </c>
      <c r="R1817">
        <v>5125</v>
      </c>
      <c r="S1817" t="b">
        <v>0</v>
      </c>
      <c r="T1817" t="s">
        <v>87</v>
      </c>
      <c r="U1817" t="b">
        <v>0</v>
      </c>
      <c r="V1817" t="s">
        <v>255</v>
      </c>
      <c r="W1817" s="1">
        <v>44216.490127314813</v>
      </c>
      <c r="X1817">
        <v>1753</v>
      </c>
      <c r="Y1817">
        <v>179</v>
      </c>
      <c r="Z1817">
        <v>0</v>
      </c>
      <c r="AA1817">
        <v>179</v>
      </c>
      <c r="AB1817">
        <v>0</v>
      </c>
      <c r="AC1817">
        <v>132</v>
      </c>
      <c r="AD1817">
        <v>-1</v>
      </c>
      <c r="AE1817">
        <v>0</v>
      </c>
      <c r="AF1817">
        <v>0</v>
      </c>
      <c r="AG1817">
        <v>0</v>
      </c>
      <c r="AH1817" t="s">
        <v>89</v>
      </c>
      <c r="AI1817" s="1">
        <v>44216.531990740739</v>
      </c>
      <c r="AJ1817">
        <v>3276</v>
      </c>
      <c r="AK1817">
        <v>3</v>
      </c>
      <c r="AL1817">
        <v>0</v>
      </c>
      <c r="AM1817">
        <v>3</v>
      </c>
      <c r="AN1817">
        <v>0</v>
      </c>
      <c r="AO1817">
        <v>3</v>
      </c>
      <c r="AP1817">
        <v>-4</v>
      </c>
      <c r="AQ1817">
        <v>0</v>
      </c>
      <c r="AR1817">
        <v>0</v>
      </c>
      <c r="AS1817">
        <v>0</v>
      </c>
      <c r="AT1817" t="s">
        <v>90</v>
      </c>
      <c r="AU1817" s="1">
        <v>44216.561226851853</v>
      </c>
      <c r="AV1817">
        <v>63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-4</v>
      </c>
      <c r="BC1817">
        <v>0</v>
      </c>
      <c r="BD1817">
        <v>0</v>
      </c>
      <c r="BE1817">
        <v>0</v>
      </c>
    </row>
    <row r="1818" spans="1:57" x14ac:dyDescent="0.45">
      <c r="A1818" t="s">
        <v>4447</v>
      </c>
      <c r="B1818" t="s">
        <v>79</v>
      </c>
      <c r="C1818" t="s">
        <v>190</v>
      </c>
      <c r="D1818" t="s">
        <v>81</v>
      </c>
      <c r="E1818" s="2" t="str">
        <f>HYPERLINK("capsilon://?command=openfolder&amp;siteaddress=FAM.docvelocity-na8.net&amp;folderid=FX90F33575-1B15-74B6-5FAE-D91E1ADB7F21","FX20121938")</f>
        <v>FX20121938</v>
      </c>
      <c r="F1818" t="s">
        <v>19</v>
      </c>
      <c r="G1818" t="s">
        <v>19</v>
      </c>
      <c r="H1818" t="s">
        <v>82</v>
      </c>
      <c r="I1818" t="s">
        <v>4448</v>
      </c>
      <c r="J1818">
        <v>66</v>
      </c>
      <c r="K1818" t="s">
        <v>84</v>
      </c>
      <c r="L1818" t="s">
        <v>85</v>
      </c>
      <c r="M1818" t="s">
        <v>86</v>
      </c>
      <c r="N1818">
        <v>3</v>
      </c>
      <c r="O1818" s="1">
        <v>44216.447615740741</v>
      </c>
      <c r="P1818" s="1">
        <v>44216.500451388885</v>
      </c>
      <c r="Q1818">
        <v>3372</v>
      </c>
      <c r="R1818">
        <v>1193</v>
      </c>
      <c r="S1818" t="b">
        <v>0</v>
      </c>
      <c r="T1818" t="s">
        <v>87</v>
      </c>
      <c r="U1818" t="b">
        <v>0</v>
      </c>
      <c r="V1818" t="s">
        <v>88</v>
      </c>
      <c r="W1818" s="1">
        <v>44216.484490740739</v>
      </c>
      <c r="X1818">
        <v>1090</v>
      </c>
      <c r="Y1818">
        <v>52</v>
      </c>
      <c r="Z1818">
        <v>0</v>
      </c>
      <c r="AA1818">
        <v>52</v>
      </c>
      <c r="AB1818">
        <v>0</v>
      </c>
      <c r="AC1818">
        <v>43</v>
      </c>
      <c r="AD1818">
        <v>14</v>
      </c>
      <c r="AE1818">
        <v>0</v>
      </c>
      <c r="AF1818">
        <v>0</v>
      </c>
      <c r="AG1818">
        <v>0</v>
      </c>
      <c r="AH1818" t="s">
        <v>132</v>
      </c>
      <c r="AI1818" s="1">
        <v>44216.488125000003</v>
      </c>
      <c r="AJ1818">
        <v>96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14</v>
      </c>
      <c r="AQ1818">
        <v>0</v>
      </c>
      <c r="AR1818">
        <v>0</v>
      </c>
      <c r="AS1818">
        <v>0</v>
      </c>
      <c r="AT1818" t="s">
        <v>90</v>
      </c>
      <c r="AU1818" s="1">
        <v>44216.500451388885</v>
      </c>
      <c r="AV1818">
        <v>7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14</v>
      </c>
      <c r="BC1818">
        <v>0</v>
      </c>
      <c r="BD1818">
        <v>0</v>
      </c>
      <c r="BE1818">
        <v>0</v>
      </c>
    </row>
    <row r="1819" spans="1:57" x14ac:dyDescent="0.45">
      <c r="A1819" t="s">
        <v>4449</v>
      </c>
      <c r="B1819" t="s">
        <v>79</v>
      </c>
      <c r="C1819" t="s">
        <v>4450</v>
      </c>
      <c r="D1819" t="s">
        <v>81</v>
      </c>
      <c r="E1819" s="2" t="str">
        <f>HYPERLINK("capsilon://?command=openfolder&amp;siteaddress=FAM.docvelocity-na8.net&amp;folderid=FXD249C052-E314-EE76-1DED-5A0CD1C5C825","FX210110953")</f>
        <v>FX210110953</v>
      </c>
      <c r="F1819" t="s">
        <v>19</v>
      </c>
      <c r="G1819" t="s">
        <v>19</v>
      </c>
      <c r="H1819" t="s">
        <v>82</v>
      </c>
      <c r="I1819" t="s">
        <v>4451</v>
      </c>
      <c r="J1819">
        <v>38</v>
      </c>
      <c r="K1819" t="s">
        <v>84</v>
      </c>
      <c r="L1819" t="s">
        <v>85</v>
      </c>
      <c r="M1819" t="s">
        <v>86</v>
      </c>
      <c r="N1819">
        <v>3</v>
      </c>
      <c r="O1819" s="1">
        <v>44216.448750000003</v>
      </c>
      <c r="P1819" s="1">
        <v>44216.500532407408</v>
      </c>
      <c r="Q1819">
        <v>4079</v>
      </c>
      <c r="R1819">
        <v>395</v>
      </c>
      <c r="S1819" t="b">
        <v>0</v>
      </c>
      <c r="T1819" t="s">
        <v>87</v>
      </c>
      <c r="U1819" t="b">
        <v>0</v>
      </c>
      <c r="V1819" t="s">
        <v>242</v>
      </c>
      <c r="W1819" s="1">
        <v>44216.477696759262</v>
      </c>
      <c r="X1819">
        <v>305</v>
      </c>
      <c r="Y1819">
        <v>37</v>
      </c>
      <c r="Z1819">
        <v>0</v>
      </c>
      <c r="AA1819">
        <v>37</v>
      </c>
      <c r="AB1819">
        <v>0</v>
      </c>
      <c r="AC1819">
        <v>15</v>
      </c>
      <c r="AD1819">
        <v>1</v>
      </c>
      <c r="AE1819">
        <v>0</v>
      </c>
      <c r="AF1819">
        <v>0</v>
      </c>
      <c r="AG1819">
        <v>0</v>
      </c>
      <c r="AH1819" t="s">
        <v>132</v>
      </c>
      <c r="AI1819" s="1">
        <v>44216.489108796297</v>
      </c>
      <c r="AJ1819">
        <v>84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 t="s">
        <v>90</v>
      </c>
      <c r="AU1819" s="1">
        <v>44216.500532407408</v>
      </c>
      <c r="AV1819">
        <v>6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</row>
    <row r="1820" spans="1:57" x14ac:dyDescent="0.45">
      <c r="A1820" t="s">
        <v>4452</v>
      </c>
      <c r="B1820" t="s">
        <v>79</v>
      </c>
      <c r="C1820" t="s">
        <v>4453</v>
      </c>
      <c r="D1820" t="s">
        <v>81</v>
      </c>
      <c r="E1820" s="2" t="str">
        <f>HYPERLINK("capsilon://?command=openfolder&amp;siteaddress=FAM.docvelocity-na8.net&amp;folderid=FXD808B47D-A8C7-600B-16F9-C3643A90015F","FX210111052")</f>
        <v>FX210111052</v>
      </c>
      <c r="F1820" t="s">
        <v>19</v>
      </c>
      <c r="G1820" t="s">
        <v>19</v>
      </c>
      <c r="H1820" t="s">
        <v>82</v>
      </c>
      <c r="I1820" t="s">
        <v>4454</v>
      </c>
      <c r="J1820">
        <v>38</v>
      </c>
      <c r="K1820" t="s">
        <v>84</v>
      </c>
      <c r="L1820" t="s">
        <v>85</v>
      </c>
      <c r="M1820" t="s">
        <v>86</v>
      </c>
      <c r="N1820">
        <v>3</v>
      </c>
      <c r="O1820" s="1">
        <v>44216.450370370374</v>
      </c>
      <c r="P1820" s="1">
        <v>44216.500625000001</v>
      </c>
      <c r="Q1820">
        <v>3711</v>
      </c>
      <c r="R1820">
        <v>631</v>
      </c>
      <c r="S1820" t="b">
        <v>0</v>
      </c>
      <c r="T1820" t="s">
        <v>87</v>
      </c>
      <c r="U1820" t="b">
        <v>0</v>
      </c>
      <c r="V1820" t="s">
        <v>259</v>
      </c>
      <c r="W1820" s="1">
        <v>44216.480150462965</v>
      </c>
      <c r="X1820">
        <v>473</v>
      </c>
      <c r="Y1820">
        <v>37</v>
      </c>
      <c r="Z1820">
        <v>0</v>
      </c>
      <c r="AA1820">
        <v>37</v>
      </c>
      <c r="AB1820">
        <v>0</v>
      </c>
      <c r="AC1820">
        <v>17</v>
      </c>
      <c r="AD1820">
        <v>1</v>
      </c>
      <c r="AE1820">
        <v>0</v>
      </c>
      <c r="AF1820">
        <v>0</v>
      </c>
      <c r="AG1820">
        <v>0</v>
      </c>
      <c r="AH1820" t="s">
        <v>94</v>
      </c>
      <c r="AI1820" s="1">
        <v>44216.495879629627</v>
      </c>
      <c r="AJ1820">
        <v>151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 t="s">
        <v>90</v>
      </c>
      <c r="AU1820" s="1">
        <v>44216.500625000001</v>
      </c>
      <c r="AV1820">
        <v>7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>
        <v>0</v>
      </c>
    </row>
    <row r="1821" spans="1:57" hidden="1" x14ac:dyDescent="0.45">
      <c r="A1821" t="s">
        <v>4455</v>
      </c>
      <c r="B1821" t="s">
        <v>79</v>
      </c>
      <c r="C1821" t="s">
        <v>503</v>
      </c>
      <c r="D1821" t="s">
        <v>81</v>
      </c>
      <c r="E1821" s="2" t="str">
        <f>HYPERLINK("capsilon://?command=openfolder&amp;siteaddress=FAM.docvelocity-na8.net&amp;folderid=FX1430ADC3-C304-74A7-B1C3-355A029814EB","FX201112557")</f>
        <v>FX201112557</v>
      </c>
      <c r="F1821" t="s">
        <v>19</v>
      </c>
      <c r="G1821" t="s">
        <v>19</v>
      </c>
      <c r="H1821" t="s">
        <v>82</v>
      </c>
      <c r="I1821" t="s">
        <v>4456</v>
      </c>
      <c r="J1821">
        <v>66</v>
      </c>
      <c r="K1821" t="s">
        <v>84</v>
      </c>
      <c r="L1821" t="s">
        <v>85</v>
      </c>
      <c r="M1821" t="s">
        <v>86</v>
      </c>
      <c r="N1821">
        <v>3</v>
      </c>
      <c r="O1821" s="1">
        <v>44216.450636574074</v>
      </c>
      <c r="P1821" s="1">
        <v>44216.500659722224</v>
      </c>
      <c r="Q1821">
        <v>3962</v>
      </c>
      <c r="R1821">
        <v>360</v>
      </c>
      <c r="S1821" t="b">
        <v>0</v>
      </c>
      <c r="T1821" t="s">
        <v>87</v>
      </c>
      <c r="U1821" t="b">
        <v>0</v>
      </c>
      <c r="V1821" t="s">
        <v>179</v>
      </c>
      <c r="W1821" s="1">
        <v>44216.481631944444</v>
      </c>
      <c r="X1821">
        <v>94</v>
      </c>
      <c r="Y1821">
        <v>0</v>
      </c>
      <c r="Z1821">
        <v>0</v>
      </c>
      <c r="AA1821">
        <v>0</v>
      </c>
      <c r="AB1821">
        <v>52</v>
      </c>
      <c r="AC1821">
        <v>0</v>
      </c>
      <c r="AD1821">
        <v>66</v>
      </c>
      <c r="AE1821">
        <v>0</v>
      </c>
      <c r="AF1821">
        <v>0</v>
      </c>
      <c r="AG1821">
        <v>0</v>
      </c>
      <c r="AH1821" t="s">
        <v>108</v>
      </c>
      <c r="AI1821" s="1">
        <v>44216.495196759257</v>
      </c>
      <c r="AJ1821">
        <v>73</v>
      </c>
      <c r="AK1821">
        <v>0</v>
      </c>
      <c r="AL1821">
        <v>0</v>
      </c>
      <c r="AM1821">
        <v>0</v>
      </c>
      <c r="AN1821">
        <v>52</v>
      </c>
      <c r="AO1821">
        <v>0</v>
      </c>
      <c r="AP1821">
        <v>66</v>
      </c>
      <c r="AQ1821">
        <v>0</v>
      </c>
      <c r="AR1821">
        <v>0</v>
      </c>
      <c r="AS1821">
        <v>0</v>
      </c>
      <c r="AT1821" t="s">
        <v>90</v>
      </c>
      <c r="AU1821" s="1">
        <v>44216.500659722224</v>
      </c>
      <c r="AV1821">
        <v>3</v>
      </c>
      <c r="AW1821">
        <v>0</v>
      </c>
      <c r="AX1821">
        <v>0</v>
      </c>
      <c r="AY1821">
        <v>0</v>
      </c>
      <c r="AZ1821">
        <v>52</v>
      </c>
      <c r="BA1821">
        <v>0</v>
      </c>
      <c r="BB1821">
        <v>66</v>
      </c>
      <c r="BC1821">
        <v>0</v>
      </c>
      <c r="BD1821">
        <v>0</v>
      </c>
      <c r="BE1821">
        <v>0</v>
      </c>
    </row>
    <row r="1822" spans="1:57" x14ac:dyDescent="0.45">
      <c r="A1822" t="s">
        <v>4457</v>
      </c>
      <c r="B1822" t="s">
        <v>79</v>
      </c>
      <c r="C1822" t="s">
        <v>4458</v>
      </c>
      <c r="D1822" t="s">
        <v>81</v>
      </c>
      <c r="E1822" s="2" t="str">
        <f>HYPERLINK("capsilon://?command=openfolder&amp;siteaddress=FAM.docvelocity-na8.net&amp;folderid=FX258A3D45-E132-8876-4A16-BEEA183B9E97","FX21016744")</f>
        <v>FX21016744</v>
      </c>
      <c r="F1822" t="s">
        <v>19</v>
      </c>
      <c r="G1822" t="s">
        <v>19</v>
      </c>
      <c r="H1822" t="s">
        <v>82</v>
      </c>
      <c r="I1822" t="s">
        <v>4459</v>
      </c>
      <c r="J1822">
        <v>145</v>
      </c>
      <c r="K1822" t="s">
        <v>84</v>
      </c>
      <c r="L1822" t="s">
        <v>85</v>
      </c>
      <c r="M1822" t="s">
        <v>86</v>
      </c>
      <c r="N1822">
        <v>3</v>
      </c>
      <c r="O1822" s="1">
        <v>44216.452210648145</v>
      </c>
      <c r="P1822" s="1">
        <v>44216.561516203707</v>
      </c>
      <c r="Q1822">
        <v>6168</v>
      </c>
      <c r="R1822">
        <v>3276</v>
      </c>
      <c r="S1822" t="b">
        <v>0</v>
      </c>
      <c r="T1822" t="s">
        <v>87</v>
      </c>
      <c r="U1822" t="b">
        <v>0</v>
      </c>
      <c r="V1822" t="s">
        <v>105</v>
      </c>
      <c r="W1822" s="1">
        <v>44216.510324074072</v>
      </c>
      <c r="X1822">
        <v>2968</v>
      </c>
      <c r="Y1822">
        <v>159</v>
      </c>
      <c r="Z1822">
        <v>0</v>
      </c>
      <c r="AA1822">
        <v>159</v>
      </c>
      <c r="AB1822">
        <v>0</v>
      </c>
      <c r="AC1822">
        <v>85</v>
      </c>
      <c r="AD1822">
        <v>-14</v>
      </c>
      <c r="AE1822">
        <v>0</v>
      </c>
      <c r="AF1822">
        <v>0</v>
      </c>
      <c r="AG1822">
        <v>0</v>
      </c>
      <c r="AH1822" t="s">
        <v>132</v>
      </c>
      <c r="AI1822" s="1">
        <v>44216.550625000003</v>
      </c>
      <c r="AJ1822">
        <v>284</v>
      </c>
      <c r="AK1822">
        <v>5</v>
      </c>
      <c r="AL1822">
        <v>0</v>
      </c>
      <c r="AM1822">
        <v>5</v>
      </c>
      <c r="AN1822">
        <v>0</v>
      </c>
      <c r="AO1822">
        <v>7</v>
      </c>
      <c r="AP1822">
        <v>-19</v>
      </c>
      <c r="AQ1822">
        <v>0</v>
      </c>
      <c r="AR1822">
        <v>0</v>
      </c>
      <c r="AS1822">
        <v>0</v>
      </c>
      <c r="AT1822" t="s">
        <v>90</v>
      </c>
      <c r="AU1822" s="1">
        <v>44216.561516203707</v>
      </c>
      <c r="AV1822">
        <v>24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-19</v>
      </c>
      <c r="BC1822">
        <v>0</v>
      </c>
      <c r="BD1822">
        <v>0</v>
      </c>
      <c r="BE1822">
        <v>0</v>
      </c>
    </row>
    <row r="1823" spans="1:57" x14ac:dyDescent="0.45">
      <c r="A1823" t="s">
        <v>4460</v>
      </c>
      <c r="B1823" t="s">
        <v>79</v>
      </c>
      <c r="C1823" t="s">
        <v>4461</v>
      </c>
      <c r="D1823" t="s">
        <v>81</v>
      </c>
      <c r="E1823" s="2" t="str">
        <f>HYPERLINK("capsilon://?command=openfolder&amp;siteaddress=FAM.docvelocity-na8.net&amp;folderid=FX65F48658-5849-B329-52C1-D5DC4DDA78EE","FX201111331")</f>
        <v>FX201111331</v>
      </c>
      <c r="F1823" t="s">
        <v>19</v>
      </c>
      <c r="G1823" t="s">
        <v>19</v>
      </c>
      <c r="H1823" t="s">
        <v>82</v>
      </c>
      <c r="I1823" t="s">
        <v>4462</v>
      </c>
      <c r="J1823">
        <v>188</v>
      </c>
      <c r="K1823" t="s">
        <v>84</v>
      </c>
      <c r="L1823" t="s">
        <v>85</v>
      </c>
      <c r="M1823" t="s">
        <v>86</v>
      </c>
      <c r="N1823">
        <v>3</v>
      </c>
      <c r="O1823" s="1">
        <v>44216.452557870369</v>
      </c>
      <c r="P1823" s="1">
        <v>44216.562210648146</v>
      </c>
      <c r="Q1823">
        <v>6966</v>
      </c>
      <c r="R1823">
        <v>2508</v>
      </c>
      <c r="S1823" t="b">
        <v>0</v>
      </c>
      <c r="T1823" t="s">
        <v>87</v>
      </c>
      <c r="U1823" t="b">
        <v>0</v>
      </c>
      <c r="V1823" t="s">
        <v>142</v>
      </c>
      <c r="W1823" s="1">
        <v>44216.496307870373</v>
      </c>
      <c r="X1823">
        <v>1624</v>
      </c>
      <c r="Y1823">
        <v>153</v>
      </c>
      <c r="Z1823">
        <v>0</v>
      </c>
      <c r="AA1823">
        <v>153</v>
      </c>
      <c r="AB1823">
        <v>0</v>
      </c>
      <c r="AC1823">
        <v>61</v>
      </c>
      <c r="AD1823">
        <v>35</v>
      </c>
      <c r="AE1823">
        <v>0</v>
      </c>
      <c r="AF1823">
        <v>0</v>
      </c>
      <c r="AG1823">
        <v>0</v>
      </c>
      <c r="AH1823" t="s">
        <v>128</v>
      </c>
      <c r="AI1823" s="1">
        <v>44216.508101851854</v>
      </c>
      <c r="AJ1823">
        <v>728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35</v>
      </c>
      <c r="AQ1823">
        <v>0</v>
      </c>
      <c r="AR1823">
        <v>0</v>
      </c>
      <c r="AS1823">
        <v>0</v>
      </c>
      <c r="AT1823" t="s">
        <v>90</v>
      </c>
      <c r="AU1823" s="1">
        <v>44216.562210648146</v>
      </c>
      <c r="AV1823">
        <v>59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35</v>
      </c>
      <c r="BC1823">
        <v>0</v>
      </c>
      <c r="BD1823">
        <v>0</v>
      </c>
      <c r="BE1823">
        <v>0</v>
      </c>
    </row>
    <row r="1824" spans="1:57" x14ac:dyDescent="0.45">
      <c r="A1824" t="s">
        <v>4463</v>
      </c>
      <c r="B1824" t="s">
        <v>79</v>
      </c>
      <c r="C1824" t="s">
        <v>4464</v>
      </c>
      <c r="D1824" t="s">
        <v>81</v>
      </c>
      <c r="E1824" s="2" t="str">
        <f>HYPERLINK("capsilon://?command=openfolder&amp;siteaddress=FAM.docvelocity-na8.net&amp;folderid=FX752E41AB-53AD-A64A-C103-F16240A5B5FE","FX21018675")</f>
        <v>FX21018675</v>
      </c>
      <c r="F1824" t="s">
        <v>19</v>
      </c>
      <c r="G1824" t="s">
        <v>19</v>
      </c>
      <c r="H1824" t="s">
        <v>82</v>
      </c>
      <c r="I1824" t="s">
        <v>4465</v>
      </c>
      <c r="J1824">
        <v>341</v>
      </c>
      <c r="K1824" t="s">
        <v>84</v>
      </c>
      <c r="L1824" t="s">
        <v>85</v>
      </c>
      <c r="M1824" t="s">
        <v>86</v>
      </c>
      <c r="N1824">
        <v>3</v>
      </c>
      <c r="O1824" s="1">
        <v>44216.455810185187</v>
      </c>
      <c r="P1824" s="1">
        <v>44216.562488425923</v>
      </c>
      <c r="Q1824">
        <v>4717</v>
      </c>
      <c r="R1824">
        <v>4500</v>
      </c>
      <c r="S1824" t="b">
        <v>0</v>
      </c>
      <c r="T1824" t="s">
        <v>87</v>
      </c>
      <c r="U1824" t="b">
        <v>0</v>
      </c>
      <c r="V1824" t="s">
        <v>242</v>
      </c>
      <c r="W1824" s="1">
        <v>44216.52553240741</v>
      </c>
      <c r="X1824">
        <v>4132</v>
      </c>
      <c r="Y1824">
        <v>291</v>
      </c>
      <c r="Z1824">
        <v>0</v>
      </c>
      <c r="AA1824">
        <v>291</v>
      </c>
      <c r="AB1824">
        <v>0</v>
      </c>
      <c r="AC1824">
        <v>99</v>
      </c>
      <c r="AD1824">
        <v>50</v>
      </c>
      <c r="AE1824">
        <v>0</v>
      </c>
      <c r="AF1824">
        <v>0</v>
      </c>
      <c r="AG1824">
        <v>0</v>
      </c>
      <c r="AH1824" t="s">
        <v>132</v>
      </c>
      <c r="AI1824" s="1">
        <v>44216.554629629631</v>
      </c>
      <c r="AJ1824">
        <v>345</v>
      </c>
      <c r="AK1824">
        <v>4</v>
      </c>
      <c r="AL1824">
        <v>0</v>
      </c>
      <c r="AM1824">
        <v>4</v>
      </c>
      <c r="AN1824">
        <v>0</v>
      </c>
      <c r="AO1824">
        <v>3</v>
      </c>
      <c r="AP1824">
        <v>46</v>
      </c>
      <c r="AQ1824">
        <v>0</v>
      </c>
      <c r="AR1824">
        <v>0</v>
      </c>
      <c r="AS1824">
        <v>0</v>
      </c>
      <c r="AT1824" t="s">
        <v>90</v>
      </c>
      <c r="AU1824" s="1">
        <v>44216.562488425923</v>
      </c>
      <c r="AV1824">
        <v>23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46</v>
      </c>
      <c r="BC1824">
        <v>0</v>
      </c>
      <c r="BD1824">
        <v>0</v>
      </c>
      <c r="BE1824">
        <v>0</v>
      </c>
    </row>
    <row r="1825" spans="1:57" x14ac:dyDescent="0.45">
      <c r="A1825" t="s">
        <v>4466</v>
      </c>
      <c r="B1825" t="s">
        <v>79</v>
      </c>
      <c r="C1825" t="s">
        <v>3573</v>
      </c>
      <c r="D1825" t="s">
        <v>81</v>
      </c>
      <c r="E1825" s="2" t="str">
        <f>HYPERLINK("capsilon://?command=openfolder&amp;siteaddress=FAM.docvelocity-na8.net&amp;folderid=FX38E10120-C777-4B7C-2164-7240F288BB46","FX21012498")</f>
        <v>FX21012498</v>
      </c>
      <c r="F1825" t="s">
        <v>19</v>
      </c>
      <c r="G1825" t="s">
        <v>19</v>
      </c>
      <c r="H1825" t="s">
        <v>82</v>
      </c>
      <c r="I1825" t="s">
        <v>4424</v>
      </c>
      <c r="J1825">
        <v>66</v>
      </c>
      <c r="K1825" t="s">
        <v>84</v>
      </c>
      <c r="L1825" t="s">
        <v>85</v>
      </c>
      <c r="M1825" t="s">
        <v>86</v>
      </c>
      <c r="N1825">
        <v>3</v>
      </c>
      <c r="O1825" s="1">
        <v>44216.456886574073</v>
      </c>
      <c r="P1825" s="1">
        <v>44216.494317129633</v>
      </c>
      <c r="Q1825">
        <v>874</v>
      </c>
      <c r="R1825">
        <v>2360</v>
      </c>
      <c r="S1825" t="b">
        <v>0</v>
      </c>
      <c r="T1825" t="s">
        <v>87</v>
      </c>
      <c r="U1825" t="b">
        <v>1</v>
      </c>
      <c r="V1825" t="s">
        <v>919</v>
      </c>
      <c r="W1825" s="1">
        <v>44216.480347222219</v>
      </c>
      <c r="X1825">
        <v>2010</v>
      </c>
      <c r="Y1825">
        <v>52</v>
      </c>
      <c r="Z1825">
        <v>0</v>
      </c>
      <c r="AA1825">
        <v>52</v>
      </c>
      <c r="AB1825">
        <v>0</v>
      </c>
      <c r="AC1825">
        <v>38</v>
      </c>
      <c r="AD1825">
        <v>14</v>
      </c>
      <c r="AE1825">
        <v>0</v>
      </c>
      <c r="AF1825">
        <v>0</v>
      </c>
      <c r="AG1825">
        <v>0</v>
      </c>
      <c r="AH1825" t="s">
        <v>108</v>
      </c>
      <c r="AI1825" s="1">
        <v>44216.484039351853</v>
      </c>
      <c r="AJ1825">
        <v>299</v>
      </c>
      <c r="AK1825">
        <v>2</v>
      </c>
      <c r="AL1825">
        <v>0</v>
      </c>
      <c r="AM1825">
        <v>2</v>
      </c>
      <c r="AN1825">
        <v>0</v>
      </c>
      <c r="AO1825">
        <v>0</v>
      </c>
      <c r="AP1825">
        <v>12</v>
      </c>
      <c r="AQ1825">
        <v>0</v>
      </c>
      <c r="AR1825">
        <v>0</v>
      </c>
      <c r="AS1825">
        <v>0</v>
      </c>
      <c r="AT1825" t="s">
        <v>90</v>
      </c>
      <c r="AU1825" s="1">
        <v>44216.494317129633</v>
      </c>
      <c r="AV1825">
        <v>51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12</v>
      </c>
      <c r="BC1825">
        <v>0</v>
      </c>
      <c r="BD1825">
        <v>0</v>
      </c>
      <c r="BE1825">
        <v>0</v>
      </c>
    </row>
    <row r="1826" spans="1:57" hidden="1" x14ac:dyDescent="0.45">
      <c r="A1826" t="s">
        <v>4467</v>
      </c>
      <c r="B1826" t="s">
        <v>79</v>
      </c>
      <c r="C1826" t="s">
        <v>1100</v>
      </c>
      <c r="D1826" t="s">
        <v>81</v>
      </c>
      <c r="E1826" s="2" t="str">
        <f>HYPERLINK("capsilon://?command=openfolder&amp;siteaddress=FAM.docvelocity-na8.net&amp;folderid=FXFB46CCD4-BB22-CE2D-65E8-EA5BF717963A","FX20126408")</f>
        <v>FX20126408</v>
      </c>
      <c r="F1826" t="s">
        <v>19</v>
      </c>
      <c r="G1826" t="s">
        <v>19</v>
      </c>
      <c r="H1826" t="s">
        <v>82</v>
      </c>
      <c r="I1826" t="s">
        <v>4468</v>
      </c>
      <c r="J1826">
        <v>66</v>
      </c>
      <c r="K1826" t="s">
        <v>84</v>
      </c>
      <c r="L1826" t="s">
        <v>85</v>
      </c>
      <c r="M1826" t="s">
        <v>86</v>
      </c>
      <c r="N1826">
        <v>3</v>
      </c>
      <c r="O1826" s="1">
        <v>44216.459201388891</v>
      </c>
      <c r="P1826" s="1">
        <v>44216.500706018516</v>
      </c>
      <c r="Q1826">
        <v>3381</v>
      </c>
      <c r="R1826">
        <v>205</v>
      </c>
      <c r="S1826" t="b">
        <v>0</v>
      </c>
      <c r="T1826" t="s">
        <v>87</v>
      </c>
      <c r="U1826" t="b">
        <v>0</v>
      </c>
      <c r="V1826" t="s">
        <v>259</v>
      </c>
      <c r="W1826" s="1">
        <v>44216.481180555558</v>
      </c>
      <c r="X1826">
        <v>88</v>
      </c>
      <c r="Y1826">
        <v>0</v>
      </c>
      <c r="Z1826">
        <v>0</v>
      </c>
      <c r="AA1826">
        <v>0</v>
      </c>
      <c r="AB1826">
        <v>52</v>
      </c>
      <c r="AC1826">
        <v>0</v>
      </c>
      <c r="AD1826">
        <v>66</v>
      </c>
      <c r="AE1826">
        <v>0</v>
      </c>
      <c r="AF1826">
        <v>0</v>
      </c>
      <c r="AG1826">
        <v>0</v>
      </c>
      <c r="AH1826" t="s">
        <v>128</v>
      </c>
      <c r="AI1826" s="1">
        <v>44216.495983796296</v>
      </c>
      <c r="AJ1826">
        <v>101</v>
      </c>
      <c r="AK1826">
        <v>0</v>
      </c>
      <c r="AL1826">
        <v>0</v>
      </c>
      <c r="AM1826">
        <v>0</v>
      </c>
      <c r="AN1826">
        <v>52</v>
      </c>
      <c r="AO1826">
        <v>0</v>
      </c>
      <c r="AP1826">
        <v>66</v>
      </c>
      <c r="AQ1826">
        <v>0</v>
      </c>
      <c r="AR1826">
        <v>0</v>
      </c>
      <c r="AS1826">
        <v>0</v>
      </c>
      <c r="AT1826" t="s">
        <v>90</v>
      </c>
      <c r="AU1826" s="1">
        <v>44216.500706018516</v>
      </c>
      <c r="AV1826">
        <v>3</v>
      </c>
      <c r="AW1826">
        <v>0</v>
      </c>
      <c r="AX1826">
        <v>0</v>
      </c>
      <c r="AY1826">
        <v>0</v>
      </c>
      <c r="AZ1826">
        <v>52</v>
      </c>
      <c r="BA1826">
        <v>0</v>
      </c>
      <c r="BB1826">
        <v>66</v>
      </c>
      <c r="BC1826">
        <v>0</v>
      </c>
      <c r="BD1826">
        <v>0</v>
      </c>
      <c r="BE1826">
        <v>0</v>
      </c>
    </row>
    <row r="1827" spans="1:57" x14ac:dyDescent="0.45">
      <c r="A1827" t="s">
        <v>4469</v>
      </c>
      <c r="B1827" t="s">
        <v>79</v>
      </c>
      <c r="C1827" t="s">
        <v>1687</v>
      </c>
      <c r="D1827" t="s">
        <v>81</v>
      </c>
      <c r="E1827" s="2" t="str">
        <f>HYPERLINK("capsilon://?command=openfolder&amp;siteaddress=FAM.docvelocity-na8.net&amp;folderid=FX9D0E6379-6899-2BC5-C232-0029D35A94A4","FX20127757")</f>
        <v>FX20127757</v>
      </c>
      <c r="F1827" t="s">
        <v>19</v>
      </c>
      <c r="G1827" t="s">
        <v>19</v>
      </c>
      <c r="H1827" t="s">
        <v>82</v>
      </c>
      <c r="I1827" t="s">
        <v>4470</v>
      </c>
      <c r="J1827">
        <v>38</v>
      </c>
      <c r="K1827" t="s">
        <v>84</v>
      </c>
      <c r="L1827" t="s">
        <v>85</v>
      </c>
      <c r="M1827" t="s">
        <v>86</v>
      </c>
      <c r="N1827">
        <v>3</v>
      </c>
      <c r="O1827" s="1">
        <v>44216.461585648147</v>
      </c>
      <c r="P1827" s="1">
        <v>44216.501932870371</v>
      </c>
      <c r="Q1827">
        <v>2252</v>
      </c>
      <c r="R1827">
        <v>1234</v>
      </c>
      <c r="S1827" t="b">
        <v>0</v>
      </c>
      <c r="T1827" t="s">
        <v>87</v>
      </c>
      <c r="U1827" t="b">
        <v>0</v>
      </c>
      <c r="V1827" t="s">
        <v>343</v>
      </c>
      <c r="W1827" s="1">
        <v>44216.489212962966</v>
      </c>
      <c r="X1827">
        <v>978</v>
      </c>
      <c r="Y1827">
        <v>37</v>
      </c>
      <c r="Z1827">
        <v>0</v>
      </c>
      <c r="AA1827">
        <v>37</v>
      </c>
      <c r="AB1827">
        <v>0</v>
      </c>
      <c r="AC1827">
        <v>32</v>
      </c>
      <c r="AD1827">
        <v>1</v>
      </c>
      <c r="AE1827">
        <v>0</v>
      </c>
      <c r="AF1827">
        <v>0</v>
      </c>
      <c r="AG1827">
        <v>0</v>
      </c>
      <c r="AH1827" t="s">
        <v>108</v>
      </c>
      <c r="AI1827" s="1">
        <v>44216.49695601852</v>
      </c>
      <c r="AJ1827">
        <v>151</v>
      </c>
      <c r="AK1827">
        <v>2</v>
      </c>
      <c r="AL1827">
        <v>0</v>
      </c>
      <c r="AM1827">
        <v>2</v>
      </c>
      <c r="AN1827">
        <v>0</v>
      </c>
      <c r="AO1827">
        <v>1</v>
      </c>
      <c r="AP1827">
        <v>-1</v>
      </c>
      <c r="AQ1827">
        <v>0</v>
      </c>
      <c r="AR1827">
        <v>0</v>
      </c>
      <c r="AS1827">
        <v>0</v>
      </c>
      <c r="AT1827" t="s">
        <v>90</v>
      </c>
      <c r="AU1827" s="1">
        <v>44216.501932870371</v>
      </c>
      <c r="AV1827">
        <v>105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-1</v>
      </c>
      <c r="BC1827">
        <v>0</v>
      </c>
      <c r="BD1827">
        <v>0</v>
      </c>
      <c r="BE1827">
        <v>0</v>
      </c>
    </row>
    <row r="1828" spans="1:57" x14ac:dyDescent="0.45">
      <c r="A1828" t="s">
        <v>4471</v>
      </c>
      <c r="B1828" t="s">
        <v>79</v>
      </c>
      <c r="C1828" t="s">
        <v>4472</v>
      </c>
      <c r="D1828" t="s">
        <v>81</v>
      </c>
      <c r="E1828" s="2" t="str">
        <f>HYPERLINK("capsilon://?command=openfolder&amp;siteaddress=FAM.docvelocity-na8.net&amp;folderid=FX6AF13467-405E-CC9A-4EA7-B309F38F1E7A","FX201221446")</f>
        <v>FX201221446</v>
      </c>
      <c r="F1828" t="s">
        <v>19</v>
      </c>
      <c r="G1828" t="s">
        <v>19</v>
      </c>
      <c r="H1828" t="s">
        <v>82</v>
      </c>
      <c r="I1828" t="s">
        <v>4473</v>
      </c>
      <c r="J1828">
        <v>113</v>
      </c>
      <c r="K1828" t="s">
        <v>84</v>
      </c>
      <c r="L1828" t="s">
        <v>85</v>
      </c>
      <c r="M1828" t="s">
        <v>86</v>
      </c>
      <c r="N1828">
        <v>3</v>
      </c>
      <c r="O1828" s="1">
        <v>44216.465451388889</v>
      </c>
      <c r="P1828" s="1">
        <v>44216.564270833333</v>
      </c>
      <c r="Q1828">
        <v>5448</v>
      </c>
      <c r="R1828">
        <v>3090</v>
      </c>
      <c r="S1828" t="b">
        <v>0</v>
      </c>
      <c r="T1828" t="s">
        <v>87</v>
      </c>
      <c r="U1828" t="b">
        <v>0</v>
      </c>
      <c r="V1828" t="s">
        <v>919</v>
      </c>
      <c r="W1828" s="1">
        <v>44216.509027777778</v>
      </c>
      <c r="X1828">
        <v>2478</v>
      </c>
      <c r="Y1828">
        <v>135</v>
      </c>
      <c r="Z1828">
        <v>0</v>
      </c>
      <c r="AA1828">
        <v>135</v>
      </c>
      <c r="AB1828">
        <v>0</v>
      </c>
      <c r="AC1828">
        <v>68</v>
      </c>
      <c r="AD1828">
        <v>-22</v>
      </c>
      <c r="AE1828">
        <v>0</v>
      </c>
      <c r="AF1828">
        <v>0</v>
      </c>
      <c r="AG1828">
        <v>0</v>
      </c>
      <c r="AH1828" t="s">
        <v>128</v>
      </c>
      <c r="AI1828" s="1">
        <v>44216.558078703703</v>
      </c>
      <c r="AJ1828">
        <v>459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-22</v>
      </c>
      <c r="AQ1828">
        <v>0</v>
      </c>
      <c r="AR1828">
        <v>0</v>
      </c>
      <c r="AS1828">
        <v>0</v>
      </c>
      <c r="AT1828" t="s">
        <v>90</v>
      </c>
      <c r="AU1828" s="1">
        <v>44216.564270833333</v>
      </c>
      <c r="AV1828">
        <v>153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-22</v>
      </c>
      <c r="BC1828">
        <v>0</v>
      </c>
      <c r="BD1828">
        <v>0</v>
      </c>
      <c r="BE1828">
        <v>0</v>
      </c>
    </row>
    <row r="1829" spans="1:57" x14ac:dyDescent="0.45">
      <c r="A1829" t="s">
        <v>4474</v>
      </c>
      <c r="B1829" t="s">
        <v>79</v>
      </c>
      <c r="C1829" t="s">
        <v>4475</v>
      </c>
      <c r="D1829" t="s">
        <v>81</v>
      </c>
      <c r="E1829" s="2" t="str">
        <f>HYPERLINK("capsilon://?command=openfolder&amp;siteaddress=FAM.docvelocity-na8.net&amp;folderid=FX3DAAFD83-03AD-4B37-CD11-CC17C05832F0","FX21019521")</f>
        <v>FX21019521</v>
      </c>
      <c r="F1829" t="s">
        <v>19</v>
      </c>
      <c r="G1829" t="s">
        <v>19</v>
      </c>
      <c r="H1829" t="s">
        <v>82</v>
      </c>
      <c r="I1829" t="s">
        <v>4476</v>
      </c>
      <c r="J1829">
        <v>246</v>
      </c>
      <c r="K1829" t="s">
        <v>84</v>
      </c>
      <c r="L1829" t="s">
        <v>85</v>
      </c>
      <c r="M1829" t="s">
        <v>86</v>
      </c>
      <c r="N1829">
        <v>3</v>
      </c>
      <c r="O1829" s="1">
        <v>44216.466851851852</v>
      </c>
      <c r="P1829" s="1">
        <v>44216.56459490741</v>
      </c>
      <c r="Q1829">
        <v>5168</v>
      </c>
      <c r="R1829">
        <v>3277</v>
      </c>
      <c r="S1829" t="b">
        <v>0</v>
      </c>
      <c r="T1829" t="s">
        <v>87</v>
      </c>
      <c r="U1829" t="b">
        <v>0</v>
      </c>
      <c r="V1829" t="s">
        <v>179</v>
      </c>
      <c r="W1829" s="1">
        <v>44216.512858796297</v>
      </c>
      <c r="X1829">
        <v>2697</v>
      </c>
      <c r="Y1829">
        <v>196</v>
      </c>
      <c r="Z1829">
        <v>0</v>
      </c>
      <c r="AA1829">
        <v>196</v>
      </c>
      <c r="AB1829">
        <v>0</v>
      </c>
      <c r="AC1829">
        <v>74</v>
      </c>
      <c r="AD1829">
        <v>50</v>
      </c>
      <c r="AE1829">
        <v>0</v>
      </c>
      <c r="AF1829">
        <v>0</v>
      </c>
      <c r="AG1829">
        <v>0</v>
      </c>
      <c r="AH1829" t="s">
        <v>132</v>
      </c>
      <c r="AI1829" s="1">
        <v>44216.561041666668</v>
      </c>
      <c r="AJ1829">
        <v>553</v>
      </c>
      <c r="AK1829">
        <v>0</v>
      </c>
      <c r="AL1829">
        <v>0</v>
      </c>
      <c r="AM1829">
        <v>0</v>
      </c>
      <c r="AN1829">
        <v>0</v>
      </c>
      <c r="AO1829">
        <v>2</v>
      </c>
      <c r="AP1829">
        <v>50</v>
      </c>
      <c r="AQ1829">
        <v>0</v>
      </c>
      <c r="AR1829">
        <v>0</v>
      </c>
      <c r="AS1829">
        <v>0</v>
      </c>
      <c r="AT1829" t="s">
        <v>90</v>
      </c>
      <c r="AU1829" s="1">
        <v>44216.56459490741</v>
      </c>
      <c r="AV1829">
        <v>27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50</v>
      </c>
      <c r="BC1829">
        <v>0</v>
      </c>
      <c r="BD1829">
        <v>0</v>
      </c>
      <c r="BE1829">
        <v>0</v>
      </c>
    </row>
    <row r="1830" spans="1:57" hidden="1" x14ac:dyDescent="0.45">
      <c r="A1830" t="s">
        <v>4477</v>
      </c>
      <c r="B1830" t="s">
        <v>79</v>
      </c>
      <c r="C1830" t="s">
        <v>1226</v>
      </c>
      <c r="D1830" t="s">
        <v>81</v>
      </c>
      <c r="E1830" s="2" t="str">
        <f>HYPERLINK("capsilon://?command=openfolder&amp;siteaddress=FAM.docvelocity-na8.net&amp;folderid=FX20638E3F-DC65-E459-B4A6-8522D3961AA9","FX20126938")</f>
        <v>FX20126938</v>
      </c>
      <c r="F1830" t="s">
        <v>19</v>
      </c>
      <c r="G1830" t="s">
        <v>19</v>
      </c>
      <c r="H1830" t="s">
        <v>82</v>
      </c>
      <c r="I1830" t="s">
        <v>4478</v>
      </c>
      <c r="J1830">
        <v>66</v>
      </c>
      <c r="K1830" t="s">
        <v>84</v>
      </c>
      <c r="L1830" t="s">
        <v>85</v>
      </c>
      <c r="M1830" t="s">
        <v>86</v>
      </c>
      <c r="N1830">
        <v>1</v>
      </c>
      <c r="O1830" s="1">
        <v>44216.467962962961</v>
      </c>
      <c r="P1830" s="1">
        <v>44216.487569444442</v>
      </c>
      <c r="Q1830">
        <v>1366</v>
      </c>
      <c r="R1830">
        <v>328</v>
      </c>
      <c r="S1830" t="b">
        <v>0</v>
      </c>
      <c r="T1830" t="s">
        <v>87</v>
      </c>
      <c r="U1830" t="b">
        <v>0</v>
      </c>
      <c r="V1830" t="s">
        <v>171</v>
      </c>
      <c r="W1830" s="1">
        <v>44216.487569444442</v>
      </c>
      <c r="X1830">
        <v>328</v>
      </c>
      <c r="Y1830">
        <v>0</v>
      </c>
      <c r="Z1830">
        <v>0</v>
      </c>
      <c r="AA1830">
        <v>0</v>
      </c>
      <c r="AB1830">
        <v>0</v>
      </c>
      <c r="AC1830">
        <v>5</v>
      </c>
      <c r="AD1830">
        <v>66</v>
      </c>
      <c r="AE1830">
        <v>52</v>
      </c>
      <c r="AF1830">
        <v>0</v>
      </c>
      <c r="AG1830">
        <v>1</v>
      </c>
      <c r="AH1830" t="s">
        <v>87</v>
      </c>
      <c r="AI1830" t="s">
        <v>87</v>
      </c>
      <c r="AJ1830" t="s">
        <v>87</v>
      </c>
      <c r="AK1830" t="s">
        <v>87</v>
      </c>
      <c r="AL1830" t="s">
        <v>87</v>
      </c>
      <c r="AM1830" t="s">
        <v>87</v>
      </c>
      <c r="AN1830" t="s">
        <v>87</v>
      </c>
      <c r="AO1830" t="s">
        <v>87</v>
      </c>
      <c r="AP1830" t="s">
        <v>87</v>
      </c>
      <c r="AQ1830" t="s">
        <v>87</v>
      </c>
      <c r="AR1830" t="s">
        <v>87</v>
      </c>
      <c r="AS1830" t="s">
        <v>87</v>
      </c>
      <c r="AT1830" t="s">
        <v>87</v>
      </c>
      <c r="AU1830" t="s">
        <v>87</v>
      </c>
      <c r="AV1830" t="s">
        <v>87</v>
      </c>
      <c r="AW1830" t="s">
        <v>87</v>
      </c>
      <c r="AX1830" t="s">
        <v>87</v>
      </c>
      <c r="AY1830" t="s">
        <v>87</v>
      </c>
      <c r="AZ1830" t="s">
        <v>87</v>
      </c>
      <c r="BA1830" t="s">
        <v>87</v>
      </c>
      <c r="BB1830" t="s">
        <v>87</v>
      </c>
      <c r="BC1830" t="s">
        <v>87</v>
      </c>
      <c r="BD1830" t="s">
        <v>87</v>
      </c>
      <c r="BE1830" t="s">
        <v>87</v>
      </c>
    </row>
    <row r="1831" spans="1:57" x14ac:dyDescent="0.45">
      <c r="A1831" t="s">
        <v>4479</v>
      </c>
      <c r="B1831" t="s">
        <v>79</v>
      </c>
      <c r="C1831" t="s">
        <v>4480</v>
      </c>
      <c r="D1831" t="s">
        <v>81</v>
      </c>
      <c r="E1831" s="2" t="str">
        <f>HYPERLINK("capsilon://?command=openfolder&amp;siteaddress=FAM.docvelocity-na8.net&amp;folderid=FX37580FA8-9AD6-26F0-FB09-56932DCFF16D","FX210110282")</f>
        <v>FX210110282</v>
      </c>
      <c r="F1831" t="s">
        <v>19</v>
      </c>
      <c r="G1831" t="s">
        <v>19</v>
      </c>
      <c r="H1831" t="s">
        <v>82</v>
      </c>
      <c r="I1831" t="s">
        <v>4481</v>
      </c>
      <c r="J1831">
        <v>560</v>
      </c>
      <c r="K1831" t="s">
        <v>84</v>
      </c>
      <c r="L1831" t="s">
        <v>85</v>
      </c>
      <c r="M1831" t="s">
        <v>86</v>
      </c>
      <c r="N1831">
        <v>3</v>
      </c>
      <c r="O1831" s="1">
        <v>44216.468171296299</v>
      </c>
      <c r="P1831" s="1">
        <v>44216.571898148148</v>
      </c>
      <c r="Q1831">
        <v>5124</v>
      </c>
      <c r="R1831">
        <v>3838</v>
      </c>
      <c r="S1831" t="b">
        <v>0</v>
      </c>
      <c r="T1831" t="s">
        <v>87</v>
      </c>
      <c r="U1831" t="b">
        <v>0</v>
      </c>
      <c r="V1831" t="s">
        <v>88</v>
      </c>
      <c r="W1831" s="1">
        <v>44216.516562500001</v>
      </c>
      <c r="X1831">
        <v>2771</v>
      </c>
      <c r="Y1831">
        <v>386</v>
      </c>
      <c r="Z1831">
        <v>0</v>
      </c>
      <c r="AA1831">
        <v>386</v>
      </c>
      <c r="AB1831">
        <v>0</v>
      </c>
      <c r="AC1831">
        <v>172</v>
      </c>
      <c r="AD1831">
        <v>174</v>
      </c>
      <c r="AE1831">
        <v>0</v>
      </c>
      <c r="AF1831">
        <v>0</v>
      </c>
      <c r="AG1831">
        <v>0</v>
      </c>
      <c r="AH1831" t="s">
        <v>128</v>
      </c>
      <c r="AI1831" s="1">
        <v>44216.569965277777</v>
      </c>
      <c r="AJ1831">
        <v>1026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174</v>
      </c>
      <c r="AQ1831">
        <v>0</v>
      </c>
      <c r="AR1831">
        <v>0</v>
      </c>
      <c r="AS1831">
        <v>0</v>
      </c>
      <c r="AT1831" t="s">
        <v>90</v>
      </c>
      <c r="AU1831" s="1">
        <v>44216.571898148148</v>
      </c>
      <c r="AV1831">
        <v>41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174</v>
      </c>
      <c r="BC1831">
        <v>0</v>
      </c>
      <c r="BD1831">
        <v>0</v>
      </c>
      <c r="BE1831">
        <v>0</v>
      </c>
    </row>
    <row r="1832" spans="1:57" x14ac:dyDescent="0.45">
      <c r="A1832" t="s">
        <v>4482</v>
      </c>
      <c r="B1832" t="s">
        <v>79</v>
      </c>
      <c r="C1832" t="s">
        <v>4483</v>
      </c>
      <c r="D1832" t="s">
        <v>81</v>
      </c>
      <c r="E1832" s="2" t="str">
        <f>HYPERLINK("capsilon://?command=openfolder&amp;siteaddress=FAM.docvelocity-na8.net&amp;folderid=FX81888599-E4D0-6D08-652E-093C0A0098F7","FX21017313")</f>
        <v>FX21017313</v>
      </c>
      <c r="F1832" t="s">
        <v>19</v>
      </c>
      <c r="G1832" t="s">
        <v>19</v>
      </c>
      <c r="H1832" t="s">
        <v>82</v>
      </c>
      <c r="I1832" t="s">
        <v>4484</v>
      </c>
      <c r="J1832">
        <v>331</v>
      </c>
      <c r="K1832" t="s">
        <v>84</v>
      </c>
      <c r="L1832" t="s">
        <v>85</v>
      </c>
      <c r="M1832" t="s">
        <v>86</v>
      </c>
      <c r="N1832">
        <v>3</v>
      </c>
      <c r="O1832" s="1">
        <v>44216.472824074073</v>
      </c>
      <c r="P1832" s="1">
        <v>44216.572268518517</v>
      </c>
      <c r="Q1832">
        <v>4048</v>
      </c>
      <c r="R1832">
        <v>4544</v>
      </c>
      <c r="S1832" t="b">
        <v>0</v>
      </c>
      <c r="T1832" t="s">
        <v>87</v>
      </c>
      <c r="U1832" t="b">
        <v>0</v>
      </c>
      <c r="V1832" t="s">
        <v>262</v>
      </c>
      <c r="W1832" s="1">
        <v>44216.532361111109</v>
      </c>
      <c r="X1832">
        <v>4126</v>
      </c>
      <c r="Y1832">
        <v>292</v>
      </c>
      <c r="Z1832">
        <v>0</v>
      </c>
      <c r="AA1832">
        <v>292</v>
      </c>
      <c r="AB1832">
        <v>0</v>
      </c>
      <c r="AC1832">
        <v>112</v>
      </c>
      <c r="AD1832">
        <v>39</v>
      </c>
      <c r="AE1832">
        <v>0</v>
      </c>
      <c r="AF1832">
        <v>0</v>
      </c>
      <c r="AG1832">
        <v>0</v>
      </c>
      <c r="AH1832" t="s">
        <v>132</v>
      </c>
      <c r="AI1832" s="1">
        <v>44216.565532407411</v>
      </c>
      <c r="AJ1832">
        <v>387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39</v>
      </c>
      <c r="AQ1832">
        <v>0</v>
      </c>
      <c r="AR1832">
        <v>0</v>
      </c>
      <c r="AS1832">
        <v>0</v>
      </c>
      <c r="AT1832" t="s">
        <v>90</v>
      </c>
      <c r="AU1832" s="1">
        <v>44216.572268518517</v>
      </c>
      <c r="AV1832">
        <v>31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39</v>
      </c>
      <c r="BC1832">
        <v>0</v>
      </c>
      <c r="BD1832">
        <v>0</v>
      </c>
      <c r="BE1832">
        <v>0</v>
      </c>
    </row>
    <row r="1833" spans="1:57" x14ac:dyDescent="0.45">
      <c r="A1833" t="s">
        <v>4485</v>
      </c>
      <c r="B1833" t="s">
        <v>79</v>
      </c>
      <c r="C1833" t="s">
        <v>4475</v>
      </c>
      <c r="D1833" t="s">
        <v>81</v>
      </c>
      <c r="E1833" s="2" t="str">
        <f>HYPERLINK("capsilon://?command=openfolder&amp;siteaddress=FAM.docvelocity-na8.net&amp;folderid=FX3DAAFD83-03AD-4B37-CD11-CC17C05832F0","FX21019521")</f>
        <v>FX21019521</v>
      </c>
      <c r="F1833" t="s">
        <v>19</v>
      </c>
      <c r="G1833" t="s">
        <v>19</v>
      </c>
      <c r="H1833" t="s">
        <v>82</v>
      </c>
      <c r="I1833" t="s">
        <v>4486</v>
      </c>
      <c r="J1833">
        <v>38</v>
      </c>
      <c r="K1833" t="s">
        <v>84</v>
      </c>
      <c r="L1833" t="s">
        <v>85</v>
      </c>
      <c r="M1833" t="s">
        <v>86</v>
      </c>
      <c r="N1833">
        <v>3</v>
      </c>
      <c r="O1833" s="1">
        <v>44216.478877314818</v>
      </c>
      <c r="P1833" s="1">
        <v>44216.502060185187</v>
      </c>
      <c r="Q1833">
        <v>1278</v>
      </c>
      <c r="R1833">
        <v>725</v>
      </c>
      <c r="S1833" t="b">
        <v>0</v>
      </c>
      <c r="T1833" t="s">
        <v>87</v>
      </c>
      <c r="U1833" t="b">
        <v>0</v>
      </c>
      <c r="V1833" t="s">
        <v>160</v>
      </c>
      <c r="W1833" s="1">
        <v>44216.494537037041</v>
      </c>
      <c r="X1833">
        <v>506</v>
      </c>
      <c r="Y1833">
        <v>37</v>
      </c>
      <c r="Z1833">
        <v>0</v>
      </c>
      <c r="AA1833">
        <v>37</v>
      </c>
      <c r="AB1833">
        <v>0</v>
      </c>
      <c r="AC1833">
        <v>35</v>
      </c>
      <c r="AD1833">
        <v>1</v>
      </c>
      <c r="AE1833">
        <v>0</v>
      </c>
      <c r="AF1833">
        <v>0</v>
      </c>
      <c r="AG1833">
        <v>0</v>
      </c>
      <c r="AH1833" t="s">
        <v>94</v>
      </c>
      <c r="AI1833" s="1">
        <v>44216.497662037036</v>
      </c>
      <c r="AJ1833">
        <v>154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 t="s">
        <v>90</v>
      </c>
      <c r="AU1833" s="1">
        <v>44216.502060185187</v>
      </c>
      <c r="AV1833">
        <v>4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</row>
    <row r="1834" spans="1:57" x14ac:dyDescent="0.45">
      <c r="A1834" t="s">
        <v>4487</v>
      </c>
      <c r="B1834" t="s">
        <v>79</v>
      </c>
      <c r="C1834" t="s">
        <v>2040</v>
      </c>
      <c r="D1834" t="s">
        <v>81</v>
      </c>
      <c r="E1834" s="2" t="str">
        <f>HYPERLINK("capsilon://?command=openfolder&amp;siteaddress=FAM.docvelocity-na8.net&amp;folderid=FX39D827B5-F92D-B70D-8212-FA4358BA496E","FX21011728")</f>
        <v>FX21011728</v>
      </c>
      <c r="F1834" t="s">
        <v>19</v>
      </c>
      <c r="G1834" t="s">
        <v>19</v>
      </c>
      <c r="H1834" t="s">
        <v>82</v>
      </c>
      <c r="I1834" t="s">
        <v>4488</v>
      </c>
      <c r="J1834">
        <v>38</v>
      </c>
      <c r="K1834" t="s">
        <v>84</v>
      </c>
      <c r="L1834" t="s">
        <v>85</v>
      </c>
      <c r="M1834" t="s">
        <v>86</v>
      </c>
      <c r="N1834">
        <v>3</v>
      </c>
      <c r="O1834" s="1">
        <v>44216.479108796295</v>
      </c>
      <c r="P1834" s="1">
        <v>44216.503425925926</v>
      </c>
      <c r="Q1834">
        <v>1247</v>
      </c>
      <c r="R1834">
        <v>854</v>
      </c>
      <c r="S1834" t="b">
        <v>0</v>
      </c>
      <c r="T1834" t="s">
        <v>87</v>
      </c>
      <c r="U1834" t="b">
        <v>0</v>
      </c>
      <c r="V1834" t="s">
        <v>343</v>
      </c>
      <c r="W1834" s="1">
        <v>44216.497430555559</v>
      </c>
      <c r="X1834">
        <v>709</v>
      </c>
      <c r="Y1834">
        <v>37</v>
      </c>
      <c r="Z1834">
        <v>0</v>
      </c>
      <c r="AA1834">
        <v>37</v>
      </c>
      <c r="AB1834">
        <v>0</v>
      </c>
      <c r="AC1834">
        <v>35</v>
      </c>
      <c r="AD1834">
        <v>1</v>
      </c>
      <c r="AE1834">
        <v>0</v>
      </c>
      <c r="AF1834">
        <v>0</v>
      </c>
      <c r="AG1834">
        <v>0</v>
      </c>
      <c r="AH1834" t="s">
        <v>132</v>
      </c>
      <c r="AI1834" s="1">
        <v>44216.502222222225</v>
      </c>
      <c r="AJ1834">
        <v>111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 t="s">
        <v>90</v>
      </c>
      <c r="AU1834" s="1">
        <v>44216.503425925926</v>
      </c>
      <c r="AV1834">
        <v>6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</row>
    <row r="1835" spans="1:57" x14ac:dyDescent="0.45">
      <c r="A1835" t="s">
        <v>4489</v>
      </c>
      <c r="B1835" t="s">
        <v>79</v>
      </c>
      <c r="C1835" t="s">
        <v>4434</v>
      </c>
      <c r="D1835" t="s">
        <v>81</v>
      </c>
      <c r="E1835" s="2" t="str">
        <f>HYPERLINK("capsilon://?command=openfolder&amp;siteaddress=FAM.docvelocity-na8.net&amp;folderid=FX6D053364-A5C8-D12F-E18E-A66DB9F77593","FX21013494")</f>
        <v>FX21013494</v>
      </c>
      <c r="F1835" t="s">
        <v>19</v>
      </c>
      <c r="G1835" t="s">
        <v>19</v>
      </c>
      <c r="H1835" t="s">
        <v>82</v>
      </c>
      <c r="I1835" t="s">
        <v>4435</v>
      </c>
      <c r="J1835">
        <v>52</v>
      </c>
      <c r="K1835" t="s">
        <v>84</v>
      </c>
      <c r="L1835" t="s">
        <v>85</v>
      </c>
      <c r="M1835" t="s">
        <v>86</v>
      </c>
      <c r="N1835">
        <v>3</v>
      </c>
      <c r="O1835" s="1">
        <v>44216.48060185185</v>
      </c>
      <c r="P1835" s="1">
        <v>44216.494768518518</v>
      </c>
      <c r="Q1835">
        <v>163</v>
      </c>
      <c r="R1835">
        <v>1061</v>
      </c>
      <c r="S1835" t="b">
        <v>0</v>
      </c>
      <c r="T1835" t="s">
        <v>87</v>
      </c>
      <c r="U1835" t="b">
        <v>1</v>
      </c>
      <c r="V1835" t="s">
        <v>259</v>
      </c>
      <c r="W1835" s="1">
        <v>44216.48951388889</v>
      </c>
      <c r="X1835">
        <v>720</v>
      </c>
      <c r="Y1835">
        <v>58</v>
      </c>
      <c r="Z1835">
        <v>0</v>
      </c>
      <c r="AA1835">
        <v>58</v>
      </c>
      <c r="AB1835">
        <v>0</v>
      </c>
      <c r="AC1835">
        <v>29</v>
      </c>
      <c r="AD1835">
        <v>-6</v>
      </c>
      <c r="AE1835">
        <v>0</v>
      </c>
      <c r="AF1835">
        <v>0</v>
      </c>
      <c r="AG1835">
        <v>0</v>
      </c>
      <c r="AH1835" t="s">
        <v>108</v>
      </c>
      <c r="AI1835" s="1">
        <v>44216.494340277779</v>
      </c>
      <c r="AJ1835">
        <v>330</v>
      </c>
      <c r="AK1835">
        <v>3</v>
      </c>
      <c r="AL1835">
        <v>0</v>
      </c>
      <c r="AM1835">
        <v>3</v>
      </c>
      <c r="AN1835">
        <v>0</v>
      </c>
      <c r="AO1835">
        <v>1</v>
      </c>
      <c r="AP1835">
        <v>-9</v>
      </c>
      <c r="AQ1835">
        <v>0</v>
      </c>
      <c r="AR1835">
        <v>0</v>
      </c>
      <c r="AS1835">
        <v>0</v>
      </c>
      <c r="AT1835" t="s">
        <v>90</v>
      </c>
      <c r="AU1835" s="1">
        <v>44216.494768518518</v>
      </c>
      <c r="AV1835">
        <v>11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-9</v>
      </c>
      <c r="BC1835">
        <v>0</v>
      </c>
      <c r="BD1835">
        <v>0</v>
      </c>
      <c r="BE1835">
        <v>0</v>
      </c>
    </row>
    <row r="1836" spans="1:57" hidden="1" x14ac:dyDescent="0.45">
      <c r="A1836" t="s">
        <v>4490</v>
      </c>
      <c r="B1836" t="s">
        <v>79</v>
      </c>
      <c r="C1836" t="s">
        <v>4491</v>
      </c>
      <c r="D1836" t="s">
        <v>81</v>
      </c>
      <c r="E1836" s="2" t="str">
        <f>HYPERLINK("capsilon://?command=openfolder&amp;siteaddress=FAM.docvelocity-na8.net&amp;folderid=FX26AA27CB-A08A-B1FB-84A7-B86E6A829060","FX201116253")</f>
        <v>FX201116253</v>
      </c>
      <c r="F1836" t="s">
        <v>19</v>
      </c>
      <c r="G1836" t="s">
        <v>19</v>
      </c>
      <c r="H1836" t="s">
        <v>82</v>
      </c>
      <c r="I1836" t="s">
        <v>4492</v>
      </c>
      <c r="J1836">
        <v>10</v>
      </c>
      <c r="K1836" t="s">
        <v>84</v>
      </c>
      <c r="L1836" t="s">
        <v>85</v>
      </c>
      <c r="M1836" t="s">
        <v>81</v>
      </c>
      <c r="N1836">
        <v>1</v>
      </c>
      <c r="O1836" s="1">
        <v>44216.482268518521</v>
      </c>
      <c r="P1836" s="1">
        <v>44216.484965277778</v>
      </c>
      <c r="Q1836">
        <v>211</v>
      </c>
      <c r="R1836">
        <v>22</v>
      </c>
      <c r="S1836" t="b">
        <v>0</v>
      </c>
      <c r="T1836" t="s">
        <v>2779</v>
      </c>
      <c r="U1836" t="b">
        <v>0</v>
      </c>
      <c r="V1836" t="s">
        <v>2779</v>
      </c>
      <c r="W1836" s="1">
        <v>44216.484965277778</v>
      </c>
      <c r="X1836">
        <v>22</v>
      </c>
      <c r="Y1836">
        <v>6</v>
      </c>
      <c r="Z1836">
        <v>0</v>
      </c>
      <c r="AA1836">
        <v>6</v>
      </c>
      <c r="AB1836">
        <v>0</v>
      </c>
      <c r="AC1836">
        <v>0</v>
      </c>
      <c r="AD1836">
        <v>4</v>
      </c>
      <c r="AE1836">
        <v>0</v>
      </c>
      <c r="AF1836">
        <v>0</v>
      </c>
      <c r="AG1836">
        <v>0</v>
      </c>
      <c r="AH1836" t="s">
        <v>87</v>
      </c>
      <c r="AI1836" t="s">
        <v>87</v>
      </c>
      <c r="AJ1836" t="s">
        <v>87</v>
      </c>
      <c r="AK1836" t="s">
        <v>87</v>
      </c>
      <c r="AL1836" t="s">
        <v>87</v>
      </c>
      <c r="AM1836" t="s">
        <v>87</v>
      </c>
      <c r="AN1836" t="s">
        <v>87</v>
      </c>
      <c r="AO1836" t="s">
        <v>87</v>
      </c>
      <c r="AP1836" t="s">
        <v>87</v>
      </c>
      <c r="AQ1836" t="s">
        <v>87</v>
      </c>
      <c r="AR1836" t="s">
        <v>87</v>
      </c>
      <c r="AS1836" t="s">
        <v>87</v>
      </c>
      <c r="AT1836" t="s">
        <v>87</v>
      </c>
      <c r="AU1836" t="s">
        <v>87</v>
      </c>
      <c r="AV1836" t="s">
        <v>87</v>
      </c>
      <c r="AW1836" t="s">
        <v>87</v>
      </c>
      <c r="AX1836" t="s">
        <v>87</v>
      </c>
      <c r="AY1836" t="s">
        <v>87</v>
      </c>
      <c r="AZ1836" t="s">
        <v>87</v>
      </c>
      <c r="BA1836" t="s">
        <v>87</v>
      </c>
      <c r="BB1836" t="s">
        <v>87</v>
      </c>
      <c r="BC1836" t="s">
        <v>87</v>
      </c>
      <c r="BD1836" t="s">
        <v>87</v>
      </c>
      <c r="BE1836" t="s">
        <v>87</v>
      </c>
    </row>
    <row r="1837" spans="1:57" x14ac:dyDescent="0.45">
      <c r="A1837" t="s">
        <v>4493</v>
      </c>
      <c r="B1837" t="s">
        <v>79</v>
      </c>
      <c r="C1837" t="s">
        <v>4494</v>
      </c>
      <c r="D1837" t="s">
        <v>81</v>
      </c>
      <c r="E1837" s="2" t="str">
        <f>HYPERLINK("capsilon://?command=openfolder&amp;siteaddress=FAM.docvelocity-na8.net&amp;folderid=FX7C40104C-3611-761D-0D29-39B74924549C","FX21013588")</f>
        <v>FX21013588</v>
      </c>
      <c r="F1837" t="s">
        <v>19</v>
      </c>
      <c r="G1837" t="s">
        <v>19</v>
      </c>
      <c r="H1837" t="s">
        <v>82</v>
      </c>
      <c r="I1837" t="s">
        <v>4495</v>
      </c>
      <c r="J1837">
        <v>158</v>
      </c>
      <c r="K1837" t="s">
        <v>84</v>
      </c>
      <c r="L1837" t="s">
        <v>85</v>
      </c>
      <c r="M1837" t="s">
        <v>86</v>
      </c>
      <c r="N1837">
        <v>3</v>
      </c>
      <c r="O1837" s="1">
        <v>44216.486793981479</v>
      </c>
      <c r="P1837" s="1">
        <v>44216.573946759258</v>
      </c>
      <c r="Q1837">
        <v>4998</v>
      </c>
      <c r="R1837">
        <v>2532</v>
      </c>
      <c r="S1837" t="b">
        <v>0</v>
      </c>
      <c r="T1837" t="s">
        <v>87</v>
      </c>
      <c r="U1837" t="b">
        <v>0</v>
      </c>
      <c r="V1837" t="s">
        <v>259</v>
      </c>
      <c r="W1837" s="1">
        <v>44216.51394675926</v>
      </c>
      <c r="X1837">
        <v>2110</v>
      </c>
      <c r="Y1837">
        <v>163</v>
      </c>
      <c r="Z1837">
        <v>0</v>
      </c>
      <c r="AA1837">
        <v>163</v>
      </c>
      <c r="AB1837">
        <v>0</v>
      </c>
      <c r="AC1837">
        <v>74</v>
      </c>
      <c r="AD1837">
        <v>-5</v>
      </c>
      <c r="AE1837">
        <v>0</v>
      </c>
      <c r="AF1837">
        <v>0</v>
      </c>
      <c r="AG1837">
        <v>0</v>
      </c>
      <c r="AH1837" t="s">
        <v>132</v>
      </c>
      <c r="AI1837" s="1">
        <v>44216.568761574075</v>
      </c>
      <c r="AJ1837">
        <v>278</v>
      </c>
      <c r="AK1837">
        <v>2</v>
      </c>
      <c r="AL1837">
        <v>0</v>
      </c>
      <c r="AM1837">
        <v>2</v>
      </c>
      <c r="AN1837">
        <v>0</v>
      </c>
      <c r="AO1837">
        <v>1</v>
      </c>
      <c r="AP1837">
        <v>-7</v>
      </c>
      <c r="AQ1837">
        <v>0</v>
      </c>
      <c r="AR1837">
        <v>0</v>
      </c>
      <c r="AS1837">
        <v>0</v>
      </c>
      <c r="AT1837" t="s">
        <v>90</v>
      </c>
      <c r="AU1837" s="1">
        <v>44216.573946759258</v>
      </c>
      <c r="AV1837">
        <v>144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-7</v>
      </c>
      <c r="BC1837">
        <v>0</v>
      </c>
      <c r="BD1837">
        <v>0</v>
      </c>
      <c r="BE1837">
        <v>0</v>
      </c>
    </row>
    <row r="1838" spans="1:57" x14ac:dyDescent="0.45">
      <c r="A1838" t="s">
        <v>4496</v>
      </c>
      <c r="B1838" t="s">
        <v>79</v>
      </c>
      <c r="C1838" t="s">
        <v>1226</v>
      </c>
      <c r="D1838" t="s">
        <v>81</v>
      </c>
      <c r="E1838" s="2" t="str">
        <f>HYPERLINK("capsilon://?command=openfolder&amp;siteaddress=FAM.docvelocity-na8.net&amp;folderid=FX20638E3F-DC65-E459-B4A6-8522D3961AA9","FX20126938")</f>
        <v>FX20126938</v>
      </c>
      <c r="F1838" t="s">
        <v>19</v>
      </c>
      <c r="G1838" t="s">
        <v>19</v>
      </c>
      <c r="H1838" t="s">
        <v>82</v>
      </c>
      <c r="I1838" t="s">
        <v>4478</v>
      </c>
      <c r="J1838">
        <v>38</v>
      </c>
      <c r="K1838" t="s">
        <v>84</v>
      </c>
      <c r="L1838" t="s">
        <v>85</v>
      </c>
      <c r="M1838" t="s">
        <v>86</v>
      </c>
      <c r="N1838">
        <v>3</v>
      </c>
      <c r="O1838" s="1">
        <v>44216.487847222219</v>
      </c>
      <c r="P1838" s="1">
        <v>44216.502013888887</v>
      </c>
      <c r="Q1838">
        <v>151</v>
      </c>
      <c r="R1838">
        <v>1073</v>
      </c>
      <c r="S1838" t="b">
        <v>0</v>
      </c>
      <c r="T1838" t="s">
        <v>87</v>
      </c>
      <c r="U1838" t="b">
        <v>1</v>
      </c>
      <c r="V1838" t="s">
        <v>171</v>
      </c>
      <c r="W1838" s="1">
        <v>44216.499710648146</v>
      </c>
      <c r="X1838">
        <v>963</v>
      </c>
      <c r="Y1838">
        <v>37</v>
      </c>
      <c r="Z1838">
        <v>0</v>
      </c>
      <c r="AA1838">
        <v>37</v>
      </c>
      <c r="AB1838">
        <v>0</v>
      </c>
      <c r="AC1838">
        <v>29</v>
      </c>
      <c r="AD1838">
        <v>1</v>
      </c>
      <c r="AE1838">
        <v>0</v>
      </c>
      <c r="AF1838">
        <v>0</v>
      </c>
      <c r="AG1838">
        <v>0</v>
      </c>
      <c r="AH1838" t="s">
        <v>132</v>
      </c>
      <c r="AI1838" s="1">
        <v>44216.500937500001</v>
      </c>
      <c r="AJ1838">
        <v>104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 t="s">
        <v>90</v>
      </c>
      <c r="AU1838" s="1">
        <v>44216.502013888887</v>
      </c>
      <c r="AV1838">
        <v>6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</row>
    <row r="1839" spans="1:57" x14ac:dyDescent="0.45">
      <c r="A1839" t="s">
        <v>4497</v>
      </c>
      <c r="B1839" t="s">
        <v>79</v>
      </c>
      <c r="C1839" t="s">
        <v>4498</v>
      </c>
      <c r="D1839" t="s">
        <v>81</v>
      </c>
      <c r="E1839" s="2" t="str">
        <f>HYPERLINK("capsilon://?command=openfolder&amp;siteaddress=FAM.docvelocity-na8.net&amp;folderid=FX97DFC2B1-F535-C1FE-DA27-22A3C7DEBEC5","FX201228541")</f>
        <v>FX201228541</v>
      </c>
      <c r="F1839" t="s">
        <v>19</v>
      </c>
      <c r="G1839" t="s">
        <v>19</v>
      </c>
      <c r="H1839" t="s">
        <v>82</v>
      </c>
      <c r="I1839" t="s">
        <v>4499</v>
      </c>
      <c r="J1839">
        <v>210</v>
      </c>
      <c r="K1839" t="s">
        <v>84</v>
      </c>
      <c r="L1839" t="s">
        <v>85</v>
      </c>
      <c r="M1839" t="s">
        <v>86</v>
      </c>
      <c r="N1839">
        <v>3</v>
      </c>
      <c r="O1839" s="1">
        <v>44216.492708333331</v>
      </c>
      <c r="P1839" s="1">
        <v>44216.574340277781</v>
      </c>
      <c r="Q1839">
        <v>3577</v>
      </c>
      <c r="R1839">
        <v>3476</v>
      </c>
      <c r="S1839" t="b">
        <v>0</v>
      </c>
      <c r="T1839" t="s">
        <v>87</v>
      </c>
      <c r="U1839" t="b">
        <v>0</v>
      </c>
      <c r="V1839" t="s">
        <v>160</v>
      </c>
      <c r="W1839" s="1">
        <v>44216.531423611108</v>
      </c>
      <c r="X1839">
        <v>3186</v>
      </c>
      <c r="Y1839">
        <v>185</v>
      </c>
      <c r="Z1839">
        <v>0</v>
      </c>
      <c r="AA1839">
        <v>185</v>
      </c>
      <c r="AB1839">
        <v>0</v>
      </c>
      <c r="AC1839">
        <v>161</v>
      </c>
      <c r="AD1839">
        <v>25</v>
      </c>
      <c r="AE1839">
        <v>0</v>
      </c>
      <c r="AF1839">
        <v>0</v>
      </c>
      <c r="AG1839">
        <v>0</v>
      </c>
      <c r="AH1839" t="s">
        <v>132</v>
      </c>
      <c r="AI1839" s="1">
        <v>44216.572534722225</v>
      </c>
      <c r="AJ1839">
        <v>262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25</v>
      </c>
      <c r="AQ1839">
        <v>0</v>
      </c>
      <c r="AR1839">
        <v>0</v>
      </c>
      <c r="AS1839">
        <v>0</v>
      </c>
      <c r="AT1839" t="s">
        <v>90</v>
      </c>
      <c r="AU1839" s="1">
        <v>44216.574340277781</v>
      </c>
      <c r="AV1839">
        <v>28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25</v>
      </c>
      <c r="BC1839">
        <v>0</v>
      </c>
      <c r="BD1839">
        <v>0</v>
      </c>
      <c r="BE1839">
        <v>0</v>
      </c>
    </row>
    <row r="1840" spans="1:57" x14ac:dyDescent="0.45">
      <c r="A1840" t="s">
        <v>4500</v>
      </c>
      <c r="B1840" t="s">
        <v>79</v>
      </c>
      <c r="C1840" t="s">
        <v>4501</v>
      </c>
      <c r="D1840" t="s">
        <v>81</v>
      </c>
      <c r="E1840" s="2" t="str">
        <f>HYPERLINK("capsilon://?command=openfolder&amp;siteaddress=FAM.docvelocity-na8.net&amp;folderid=FX0DDACFF4-BABD-164C-B637-C1F211024B5A","FX21019621")</f>
        <v>FX21019621</v>
      </c>
      <c r="F1840" t="s">
        <v>19</v>
      </c>
      <c r="G1840" t="s">
        <v>19</v>
      </c>
      <c r="H1840" t="s">
        <v>82</v>
      </c>
      <c r="I1840" t="s">
        <v>4502</v>
      </c>
      <c r="J1840">
        <v>182</v>
      </c>
      <c r="K1840" t="s">
        <v>84</v>
      </c>
      <c r="L1840" t="s">
        <v>85</v>
      </c>
      <c r="M1840" t="s">
        <v>86</v>
      </c>
      <c r="N1840">
        <v>3</v>
      </c>
      <c r="O1840" s="1">
        <v>44216.492986111109</v>
      </c>
      <c r="P1840" s="1">
        <v>44216.565115740741</v>
      </c>
      <c r="Q1840">
        <v>5388</v>
      </c>
      <c r="R1840">
        <v>844</v>
      </c>
      <c r="S1840" t="b">
        <v>0</v>
      </c>
      <c r="T1840" t="s">
        <v>87</v>
      </c>
      <c r="U1840" t="b">
        <v>0</v>
      </c>
      <c r="V1840" t="s">
        <v>255</v>
      </c>
      <c r="W1840" s="1">
        <v>44216.502546296295</v>
      </c>
      <c r="X1840">
        <v>590</v>
      </c>
      <c r="Y1840">
        <v>109</v>
      </c>
      <c r="Z1840">
        <v>0</v>
      </c>
      <c r="AA1840">
        <v>109</v>
      </c>
      <c r="AB1840">
        <v>0</v>
      </c>
      <c r="AC1840">
        <v>38</v>
      </c>
      <c r="AD1840">
        <v>73</v>
      </c>
      <c r="AE1840">
        <v>0</v>
      </c>
      <c r="AF1840">
        <v>0</v>
      </c>
      <c r="AG1840">
        <v>0</v>
      </c>
      <c r="AH1840" t="s">
        <v>132</v>
      </c>
      <c r="AI1840" s="1">
        <v>44216.505381944444</v>
      </c>
      <c r="AJ1840">
        <v>210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73</v>
      </c>
      <c r="AQ1840">
        <v>0</v>
      </c>
      <c r="AR1840">
        <v>0</v>
      </c>
      <c r="AS1840">
        <v>0</v>
      </c>
      <c r="AT1840" t="s">
        <v>90</v>
      </c>
      <c r="AU1840" s="1">
        <v>44216.565115740741</v>
      </c>
      <c r="AV1840">
        <v>44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73</v>
      </c>
      <c r="BC1840">
        <v>0</v>
      </c>
      <c r="BD1840">
        <v>0</v>
      </c>
      <c r="BE1840">
        <v>0</v>
      </c>
    </row>
    <row r="1841" spans="1:57" x14ac:dyDescent="0.45">
      <c r="A1841" t="s">
        <v>4503</v>
      </c>
      <c r="B1841" t="s">
        <v>79</v>
      </c>
      <c r="C1841" t="s">
        <v>3859</v>
      </c>
      <c r="D1841" t="s">
        <v>81</v>
      </c>
      <c r="E1841" s="2" t="str">
        <f>HYPERLINK("capsilon://?command=openfolder&amp;siteaddress=FAM.docvelocity-na8.net&amp;folderid=FX78A64F53-0B80-3EF4-1A71-C8B346D95072","FX20117538")</f>
        <v>FX20117538</v>
      </c>
      <c r="F1841" t="s">
        <v>19</v>
      </c>
      <c r="G1841" t="s">
        <v>19</v>
      </c>
      <c r="H1841" t="s">
        <v>82</v>
      </c>
      <c r="I1841" t="s">
        <v>4504</v>
      </c>
      <c r="J1841">
        <v>38</v>
      </c>
      <c r="K1841" t="s">
        <v>84</v>
      </c>
      <c r="L1841" t="s">
        <v>85</v>
      </c>
      <c r="M1841" t="s">
        <v>86</v>
      </c>
      <c r="N1841">
        <v>3</v>
      </c>
      <c r="O1841" s="1">
        <v>44216.49454861111</v>
      </c>
      <c r="P1841" s="1">
        <v>44216.503530092596</v>
      </c>
      <c r="Q1841">
        <v>325</v>
      </c>
      <c r="R1841">
        <v>451</v>
      </c>
      <c r="S1841" t="b">
        <v>0</v>
      </c>
      <c r="T1841" t="s">
        <v>87</v>
      </c>
      <c r="U1841" t="b">
        <v>0</v>
      </c>
      <c r="V1841" t="s">
        <v>142</v>
      </c>
      <c r="W1841" s="1">
        <v>44216.50072916667</v>
      </c>
      <c r="X1841">
        <v>381</v>
      </c>
      <c r="Y1841">
        <v>37</v>
      </c>
      <c r="Z1841">
        <v>0</v>
      </c>
      <c r="AA1841">
        <v>37</v>
      </c>
      <c r="AB1841">
        <v>0</v>
      </c>
      <c r="AC1841">
        <v>34</v>
      </c>
      <c r="AD1841">
        <v>1</v>
      </c>
      <c r="AE1841">
        <v>0</v>
      </c>
      <c r="AF1841">
        <v>0</v>
      </c>
      <c r="AG1841">
        <v>0</v>
      </c>
      <c r="AH1841" t="s">
        <v>132</v>
      </c>
      <c r="AI1841" s="1">
        <v>44216.502939814818</v>
      </c>
      <c r="AJ1841">
        <v>61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 t="s">
        <v>90</v>
      </c>
      <c r="AU1841" s="1">
        <v>44216.503530092596</v>
      </c>
      <c r="AV1841">
        <v>9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</row>
    <row r="1842" spans="1:57" hidden="1" x14ac:dyDescent="0.45">
      <c r="A1842" t="s">
        <v>4505</v>
      </c>
      <c r="B1842" t="s">
        <v>79</v>
      </c>
      <c r="C1842" t="s">
        <v>158</v>
      </c>
      <c r="D1842" t="s">
        <v>81</v>
      </c>
      <c r="E1842" s="2" t="str">
        <f>HYPERLINK("capsilon://?command=openfolder&amp;siteaddress=FAM.docvelocity-na8.net&amp;folderid=FX6FA9FCCE-362C-8980-40F6-04E6E85EF25B","FX201222187")</f>
        <v>FX201222187</v>
      </c>
      <c r="F1842" t="s">
        <v>19</v>
      </c>
      <c r="G1842" t="s">
        <v>19</v>
      </c>
      <c r="H1842" t="s">
        <v>82</v>
      </c>
      <c r="I1842" t="s">
        <v>4506</v>
      </c>
      <c r="J1842">
        <v>66</v>
      </c>
      <c r="K1842" t="s">
        <v>84</v>
      </c>
      <c r="L1842" t="s">
        <v>85</v>
      </c>
      <c r="M1842" t="s">
        <v>86</v>
      </c>
      <c r="N1842">
        <v>1</v>
      </c>
      <c r="O1842" s="1">
        <v>44216.499421296299</v>
      </c>
      <c r="P1842" s="1">
        <v>44216.500902777778</v>
      </c>
      <c r="Q1842">
        <v>25</v>
      </c>
      <c r="R1842">
        <v>103</v>
      </c>
      <c r="S1842" t="b">
        <v>0</v>
      </c>
      <c r="T1842" t="s">
        <v>87</v>
      </c>
      <c r="U1842" t="b">
        <v>0</v>
      </c>
      <c r="V1842" t="s">
        <v>171</v>
      </c>
      <c r="W1842" s="1">
        <v>44216.500902777778</v>
      </c>
      <c r="X1842">
        <v>103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66</v>
      </c>
      <c r="AE1842">
        <v>52</v>
      </c>
      <c r="AF1842">
        <v>0</v>
      </c>
      <c r="AG1842">
        <v>1</v>
      </c>
      <c r="AH1842" t="s">
        <v>87</v>
      </c>
      <c r="AI1842" t="s">
        <v>87</v>
      </c>
      <c r="AJ1842" t="s">
        <v>87</v>
      </c>
      <c r="AK1842" t="s">
        <v>87</v>
      </c>
      <c r="AL1842" t="s">
        <v>87</v>
      </c>
      <c r="AM1842" t="s">
        <v>87</v>
      </c>
      <c r="AN1842" t="s">
        <v>87</v>
      </c>
      <c r="AO1842" t="s">
        <v>87</v>
      </c>
      <c r="AP1842" t="s">
        <v>87</v>
      </c>
      <c r="AQ1842" t="s">
        <v>87</v>
      </c>
      <c r="AR1842" t="s">
        <v>87</v>
      </c>
      <c r="AS1842" t="s">
        <v>87</v>
      </c>
      <c r="AT1842" t="s">
        <v>87</v>
      </c>
      <c r="AU1842" t="s">
        <v>87</v>
      </c>
      <c r="AV1842" t="s">
        <v>87</v>
      </c>
      <c r="AW1842" t="s">
        <v>87</v>
      </c>
      <c r="AX1842" t="s">
        <v>87</v>
      </c>
      <c r="AY1842" t="s">
        <v>87</v>
      </c>
      <c r="AZ1842" t="s">
        <v>87</v>
      </c>
      <c r="BA1842" t="s">
        <v>87</v>
      </c>
      <c r="BB1842" t="s">
        <v>87</v>
      </c>
      <c r="BC1842" t="s">
        <v>87</v>
      </c>
      <c r="BD1842" t="s">
        <v>87</v>
      </c>
      <c r="BE1842" t="s">
        <v>87</v>
      </c>
    </row>
    <row r="1843" spans="1:57" x14ac:dyDescent="0.45">
      <c r="A1843" t="s">
        <v>4507</v>
      </c>
      <c r="B1843" t="s">
        <v>79</v>
      </c>
      <c r="C1843" t="s">
        <v>158</v>
      </c>
      <c r="D1843" t="s">
        <v>81</v>
      </c>
      <c r="E1843" s="2" t="str">
        <f>HYPERLINK("capsilon://?command=openfolder&amp;siteaddress=FAM.docvelocity-na8.net&amp;folderid=FX6FA9FCCE-362C-8980-40F6-04E6E85EF25B","FX201222187")</f>
        <v>FX201222187</v>
      </c>
      <c r="F1843" t="s">
        <v>19</v>
      </c>
      <c r="G1843" t="s">
        <v>19</v>
      </c>
      <c r="H1843" t="s">
        <v>82</v>
      </c>
      <c r="I1843" t="s">
        <v>4506</v>
      </c>
      <c r="J1843">
        <v>38</v>
      </c>
      <c r="K1843" t="s">
        <v>84</v>
      </c>
      <c r="L1843" t="s">
        <v>85</v>
      </c>
      <c r="M1843" t="s">
        <v>86</v>
      </c>
      <c r="N1843">
        <v>3</v>
      </c>
      <c r="O1843" s="1">
        <v>44216.501215277778</v>
      </c>
      <c r="P1843" s="1">
        <v>44216.555925925924</v>
      </c>
      <c r="Q1843">
        <v>3234</v>
      </c>
      <c r="R1843">
        <v>1493</v>
      </c>
      <c r="S1843" t="b">
        <v>0</v>
      </c>
      <c r="T1843" t="s">
        <v>87</v>
      </c>
      <c r="U1843" t="b">
        <v>1</v>
      </c>
      <c r="V1843" t="s">
        <v>171</v>
      </c>
      <c r="W1843" s="1">
        <v>44216.516099537039</v>
      </c>
      <c r="X1843">
        <v>1285</v>
      </c>
      <c r="Y1843">
        <v>37</v>
      </c>
      <c r="Z1843">
        <v>0</v>
      </c>
      <c r="AA1843">
        <v>37</v>
      </c>
      <c r="AB1843">
        <v>0</v>
      </c>
      <c r="AC1843">
        <v>34</v>
      </c>
      <c r="AD1843">
        <v>1</v>
      </c>
      <c r="AE1843">
        <v>0</v>
      </c>
      <c r="AF1843">
        <v>0</v>
      </c>
      <c r="AG1843">
        <v>0</v>
      </c>
      <c r="AH1843" t="s">
        <v>94</v>
      </c>
      <c r="AI1843" s="1">
        <v>44216.519363425927</v>
      </c>
      <c r="AJ1843">
        <v>201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 t="s">
        <v>90</v>
      </c>
      <c r="AU1843" s="1">
        <v>44216.555925925924</v>
      </c>
      <c r="AV1843">
        <v>7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</row>
    <row r="1844" spans="1:57" hidden="1" x14ac:dyDescent="0.45">
      <c r="A1844" t="s">
        <v>4508</v>
      </c>
      <c r="B1844" t="s">
        <v>79</v>
      </c>
      <c r="C1844" t="s">
        <v>4509</v>
      </c>
      <c r="D1844" t="s">
        <v>81</v>
      </c>
      <c r="E1844" s="2" t="str">
        <f>HYPERLINK("capsilon://?command=openfolder&amp;siteaddress=FAM.docvelocity-na8.net&amp;folderid=FXE84E678E-CFD9-B28F-6ABD-403948E7C7A0","FX210110661")</f>
        <v>FX210110661</v>
      </c>
      <c r="F1844" t="s">
        <v>19</v>
      </c>
      <c r="G1844" t="s">
        <v>19</v>
      </c>
      <c r="H1844" t="s">
        <v>82</v>
      </c>
      <c r="I1844" t="s">
        <v>4510</v>
      </c>
      <c r="J1844">
        <v>72</v>
      </c>
      <c r="K1844" t="s">
        <v>84</v>
      </c>
      <c r="L1844" t="s">
        <v>85</v>
      </c>
      <c r="M1844" t="s">
        <v>86</v>
      </c>
      <c r="N1844">
        <v>1</v>
      </c>
      <c r="O1844" s="1">
        <v>44216.506018518521</v>
      </c>
      <c r="P1844" s="1">
        <v>44216.507453703707</v>
      </c>
      <c r="Q1844">
        <v>18</v>
      </c>
      <c r="R1844">
        <v>106</v>
      </c>
      <c r="S1844" t="b">
        <v>0</v>
      </c>
      <c r="T1844" t="s">
        <v>87</v>
      </c>
      <c r="U1844" t="b">
        <v>0</v>
      </c>
      <c r="V1844" t="s">
        <v>255</v>
      </c>
      <c r="W1844" s="1">
        <v>44216.507453703707</v>
      </c>
      <c r="X1844">
        <v>106</v>
      </c>
      <c r="Y1844">
        <v>42</v>
      </c>
      <c r="Z1844">
        <v>0</v>
      </c>
      <c r="AA1844">
        <v>42</v>
      </c>
      <c r="AB1844">
        <v>0</v>
      </c>
      <c r="AC1844">
        <v>0</v>
      </c>
      <c r="AD1844">
        <v>30</v>
      </c>
      <c r="AE1844">
        <v>21</v>
      </c>
      <c r="AF1844">
        <v>0</v>
      </c>
      <c r="AG1844">
        <v>1</v>
      </c>
      <c r="AH1844" t="s">
        <v>87</v>
      </c>
      <c r="AI1844" t="s">
        <v>87</v>
      </c>
      <c r="AJ1844" t="s">
        <v>87</v>
      </c>
      <c r="AK1844" t="s">
        <v>87</v>
      </c>
      <c r="AL1844" t="s">
        <v>87</v>
      </c>
      <c r="AM1844" t="s">
        <v>87</v>
      </c>
      <c r="AN1844" t="s">
        <v>87</v>
      </c>
      <c r="AO1844" t="s">
        <v>87</v>
      </c>
      <c r="AP1844" t="s">
        <v>87</v>
      </c>
      <c r="AQ1844" t="s">
        <v>87</v>
      </c>
      <c r="AR1844" t="s">
        <v>87</v>
      </c>
      <c r="AS1844" t="s">
        <v>87</v>
      </c>
      <c r="AT1844" t="s">
        <v>87</v>
      </c>
      <c r="AU1844" t="s">
        <v>87</v>
      </c>
      <c r="AV1844" t="s">
        <v>87</v>
      </c>
      <c r="AW1844" t="s">
        <v>87</v>
      </c>
      <c r="AX1844" t="s">
        <v>87</v>
      </c>
      <c r="AY1844" t="s">
        <v>87</v>
      </c>
      <c r="AZ1844" t="s">
        <v>87</v>
      </c>
      <c r="BA1844" t="s">
        <v>87</v>
      </c>
      <c r="BB1844" t="s">
        <v>87</v>
      </c>
      <c r="BC1844" t="s">
        <v>87</v>
      </c>
      <c r="BD1844" t="s">
        <v>87</v>
      </c>
      <c r="BE1844" t="s">
        <v>87</v>
      </c>
    </row>
    <row r="1845" spans="1:57" x14ac:dyDescent="0.45">
      <c r="A1845" t="s">
        <v>4511</v>
      </c>
      <c r="B1845" t="s">
        <v>79</v>
      </c>
      <c r="C1845" t="s">
        <v>4512</v>
      </c>
      <c r="D1845" t="s">
        <v>81</v>
      </c>
      <c r="E1845" s="2" t="str">
        <f>HYPERLINK("capsilon://?command=openfolder&amp;siteaddress=FAM.docvelocity-na8.net&amp;folderid=FX6875B3BD-BF01-97BD-5B2D-ECBDD9FE3AFE","FX210111553")</f>
        <v>FX210111553</v>
      </c>
      <c r="F1845" t="s">
        <v>19</v>
      </c>
      <c r="G1845" t="s">
        <v>19</v>
      </c>
      <c r="H1845" t="s">
        <v>82</v>
      </c>
      <c r="I1845" t="s">
        <v>4513</v>
      </c>
      <c r="J1845">
        <v>267</v>
      </c>
      <c r="K1845" t="s">
        <v>84</v>
      </c>
      <c r="L1845" t="s">
        <v>85</v>
      </c>
      <c r="M1845" t="s">
        <v>86</v>
      </c>
      <c r="N1845">
        <v>3</v>
      </c>
      <c r="O1845" s="1">
        <v>44216.506122685183</v>
      </c>
      <c r="P1845" s="1">
        <v>44216.608171296299</v>
      </c>
      <c r="Q1845">
        <v>4725</v>
      </c>
      <c r="R1845">
        <v>4092</v>
      </c>
      <c r="S1845" t="b">
        <v>0</v>
      </c>
      <c r="T1845" t="s">
        <v>87</v>
      </c>
      <c r="U1845" t="b">
        <v>0</v>
      </c>
      <c r="V1845" t="s">
        <v>343</v>
      </c>
      <c r="W1845" s="1">
        <v>44216.548935185187</v>
      </c>
      <c r="X1845">
        <v>3663</v>
      </c>
      <c r="Y1845">
        <v>238</v>
      </c>
      <c r="Z1845">
        <v>0</v>
      </c>
      <c r="AA1845">
        <v>238</v>
      </c>
      <c r="AB1845">
        <v>0</v>
      </c>
      <c r="AC1845">
        <v>124</v>
      </c>
      <c r="AD1845">
        <v>29</v>
      </c>
      <c r="AE1845">
        <v>0</v>
      </c>
      <c r="AF1845">
        <v>0</v>
      </c>
      <c r="AG1845">
        <v>0</v>
      </c>
      <c r="AH1845" t="s">
        <v>132</v>
      </c>
      <c r="AI1845" s="1">
        <v>44216.576898148145</v>
      </c>
      <c r="AJ1845">
        <v>373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29</v>
      </c>
      <c r="AQ1845">
        <v>0</v>
      </c>
      <c r="AR1845">
        <v>0</v>
      </c>
      <c r="AS1845">
        <v>0</v>
      </c>
      <c r="AT1845" t="s">
        <v>90</v>
      </c>
      <c r="AU1845" s="1">
        <v>44216.608171296299</v>
      </c>
      <c r="AV1845">
        <v>50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29</v>
      </c>
      <c r="BC1845">
        <v>0</v>
      </c>
      <c r="BD1845">
        <v>0</v>
      </c>
      <c r="BE1845">
        <v>0</v>
      </c>
    </row>
    <row r="1846" spans="1:57" x14ac:dyDescent="0.45">
      <c r="A1846" t="s">
        <v>4514</v>
      </c>
      <c r="B1846" t="s">
        <v>79</v>
      </c>
      <c r="C1846" t="s">
        <v>4509</v>
      </c>
      <c r="D1846" t="s">
        <v>81</v>
      </c>
      <c r="E1846" s="2" t="str">
        <f>HYPERLINK("capsilon://?command=openfolder&amp;siteaddress=FAM.docvelocity-na8.net&amp;folderid=FXE84E678E-CFD9-B28F-6ABD-403948E7C7A0","FX210110661")</f>
        <v>FX210110661</v>
      </c>
      <c r="F1846" t="s">
        <v>19</v>
      </c>
      <c r="G1846" t="s">
        <v>19</v>
      </c>
      <c r="H1846" t="s">
        <v>82</v>
      </c>
      <c r="I1846" t="s">
        <v>4510</v>
      </c>
      <c r="J1846">
        <v>26</v>
      </c>
      <c r="K1846" t="s">
        <v>84</v>
      </c>
      <c r="L1846" t="s">
        <v>85</v>
      </c>
      <c r="M1846" t="s">
        <v>86</v>
      </c>
      <c r="N1846">
        <v>3</v>
      </c>
      <c r="O1846" s="1">
        <v>44216.507708333331</v>
      </c>
      <c r="P1846" s="1">
        <v>44216.557268518518</v>
      </c>
      <c r="Q1846">
        <v>2541</v>
      </c>
      <c r="R1846">
        <v>1741</v>
      </c>
      <c r="S1846" t="b">
        <v>0</v>
      </c>
      <c r="T1846" t="s">
        <v>87</v>
      </c>
      <c r="U1846" t="b">
        <v>1</v>
      </c>
      <c r="V1846" t="s">
        <v>919</v>
      </c>
      <c r="W1846" s="1">
        <v>44216.524872685186</v>
      </c>
      <c r="X1846">
        <v>1368</v>
      </c>
      <c r="Y1846">
        <v>40</v>
      </c>
      <c r="Z1846">
        <v>0</v>
      </c>
      <c r="AA1846">
        <v>40</v>
      </c>
      <c r="AB1846">
        <v>0</v>
      </c>
      <c r="AC1846">
        <v>21</v>
      </c>
      <c r="AD1846">
        <v>-14</v>
      </c>
      <c r="AE1846">
        <v>0</v>
      </c>
      <c r="AF1846">
        <v>0</v>
      </c>
      <c r="AG1846">
        <v>0</v>
      </c>
      <c r="AH1846" t="s">
        <v>132</v>
      </c>
      <c r="AI1846" s="1">
        <v>44216.539224537039</v>
      </c>
      <c r="AJ1846">
        <v>149</v>
      </c>
      <c r="AK1846">
        <v>2</v>
      </c>
      <c r="AL1846">
        <v>0</v>
      </c>
      <c r="AM1846">
        <v>2</v>
      </c>
      <c r="AN1846">
        <v>0</v>
      </c>
      <c r="AO1846">
        <v>0</v>
      </c>
      <c r="AP1846">
        <v>-16</v>
      </c>
      <c r="AQ1846">
        <v>0</v>
      </c>
      <c r="AR1846">
        <v>0</v>
      </c>
      <c r="AS1846">
        <v>0</v>
      </c>
      <c r="AT1846" t="s">
        <v>90</v>
      </c>
      <c r="AU1846" s="1">
        <v>44216.557268518518</v>
      </c>
      <c r="AV1846">
        <v>116</v>
      </c>
      <c r="AW1846">
        <v>1</v>
      </c>
      <c r="AX1846">
        <v>0</v>
      </c>
      <c r="AY1846">
        <v>1</v>
      </c>
      <c r="AZ1846">
        <v>0</v>
      </c>
      <c r="BA1846">
        <v>1</v>
      </c>
      <c r="BB1846">
        <v>-17</v>
      </c>
      <c r="BC1846">
        <v>0</v>
      </c>
      <c r="BD1846">
        <v>0</v>
      </c>
      <c r="BE1846">
        <v>0</v>
      </c>
    </row>
    <row r="1847" spans="1:57" x14ac:dyDescent="0.45">
      <c r="A1847" t="s">
        <v>4515</v>
      </c>
      <c r="B1847" t="s">
        <v>79</v>
      </c>
      <c r="C1847" t="s">
        <v>4516</v>
      </c>
      <c r="D1847" t="s">
        <v>81</v>
      </c>
      <c r="E1847" s="2" t="str">
        <f>HYPERLINK("capsilon://?command=openfolder&amp;siteaddress=FAM.docvelocity-na8.net&amp;folderid=FXED730497-7C86-7054-0521-A2BD0B21F1E0","FX21018982")</f>
        <v>FX21018982</v>
      </c>
      <c r="F1847" t="s">
        <v>19</v>
      </c>
      <c r="G1847" t="s">
        <v>19</v>
      </c>
      <c r="H1847" t="s">
        <v>82</v>
      </c>
      <c r="I1847" t="s">
        <v>4517</v>
      </c>
      <c r="J1847">
        <v>312</v>
      </c>
      <c r="K1847" t="s">
        <v>84</v>
      </c>
      <c r="L1847" t="s">
        <v>85</v>
      </c>
      <c r="M1847" t="s">
        <v>86</v>
      </c>
      <c r="N1847">
        <v>3</v>
      </c>
      <c r="O1847" s="1">
        <v>44216.512152777781</v>
      </c>
      <c r="P1847" s="1">
        <v>44216.608576388891</v>
      </c>
      <c r="Q1847">
        <v>6201</v>
      </c>
      <c r="R1847">
        <v>2130</v>
      </c>
      <c r="S1847" t="b">
        <v>0</v>
      </c>
      <c r="T1847" t="s">
        <v>87</v>
      </c>
      <c r="U1847" t="b">
        <v>0</v>
      </c>
      <c r="V1847" t="s">
        <v>259</v>
      </c>
      <c r="W1847" s="1">
        <v>44216.531597222223</v>
      </c>
      <c r="X1847">
        <v>1524</v>
      </c>
      <c r="Y1847">
        <v>262</v>
      </c>
      <c r="Z1847">
        <v>0</v>
      </c>
      <c r="AA1847">
        <v>262</v>
      </c>
      <c r="AB1847">
        <v>0</v>
      </c>
      <c r="AC1847">
        <v>76</v>
      </c>
      <c r="AD1847">
        <v>50</v>
      </c>
      <c r="AE1847">
        <v>0</v>
      </c>
      <c r="AF1847">
        <v>0</v>
      </c>
      <c r="AG1847">
        <v>0</v>
      </c>
      <c r="AH1847" t="s">
        <v>128</v>
      </c>
      <c r="AI1847" s="1">
        <v>44216.579039351855</v>
      </c>
      <c r="AJ1847">
        <v>557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50</v>
      </c>
      <c r="AQ1847">
        <v>0</v>
      </c>
      <c r="AR1847">
        <v>0</v>
      </c>
      <c r="AS1847">
        <v>0</v>
      </c>
      <c r="AT1847" t="s">
        <v>90</v>
      </c>
      <c r="AU1847" s="1">
        <v>44216.608576388891</v>
      </c>
      <c r="AV1847">
        <v>34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50</v>
      </c>
      <c r="BC1847">
        <v>0</v>
      </c>
      <c r="BD1847">
        <v>0</v>
      </c>
      <c r="BE1847">
        <v>0</v>
      </c>
    </row>
    <row r="1848" spans="1:57" x14ac:dyDescent="0.45">
      <c r="A1848" t="s">
        <v>4518</v>
      </c>
      <c r="B1848" t="s">
        <v>79</v>
      </c>
      <c r="C1848" t="s">
        <v>4519</v>
      </c>
      <c r="D1848" t="s">
        <v>81</v>
      </c>
      <c r="E1848" s="2" t="str">
        <f>HYPERLINK("capsilon://?command=openfolder&amp;siteaddress=FAM.docvelocity-na8.net&amp;folderid=FXC485F9AD-F3E9-83E8-0D78-24D2E3A77ADF","FX210111404")</f>
        <v>FX210111404</v>
      </c>
      <c r="F1848" t="s">
        <v>19</v>
      </c>
      <c r="G1848" t="s">
        <v>19</v>
      </c>
      <c r="H1848" t="s">
        <v>82</v>
      </c>
      <c r="I1848" t="s">
        <v>4520</v>
      </c>
      <c r="J1848">
        <v>169</v>
      </c>
      <c r="K1848" t="s">
        <v>84</v>
      </c>
      <c r="L1848" t="s">
        <v>85</v>
      </c>
      <c r="M1848" t="s">
        <v>86</v>
      </c>
      <c r="N1848">
        <v>3</v>
      </c>
      <c r="O1848" s="1">
        <v>44216.515428240738</v>
      </c>
      <c r="P1848" s="1">
        <v>44216.609756944446</v>
      </c>
      <c r="Q1848">
        <v>6062</v>
      </c>
      <c r="R1848">
        <v>2088</v>
      </c>
      <c r="S1848" t="b">
        <v>0</v>
      </c>
      <c r="T1848" t="s">
        <v>87</v>
      </c>
      <c r="U1848" t="b">
        <v>0</v>
      </c>
      <c r="V1848" t="s">
        <v>146</v>
      </c>
      <c r="W1848" s="1">
        <v>44216.543124999997</v>
      </c>
      <c r="X1848">
        <v>1751</v>
      </c>
      <c r="Y1848">
        <v>132</v>
      </c>
      <c r="Z1848">
        <v>0</v>
      </c>
      <c r="AA1848">
        <v>132</v>
      </c>
      <c r="AB1848">
        <v>0</v>
      </c>
      <c r="AC1848">
        <v>52</v>
      </c>
      <c r="AD1848">
        <v>37</v>
      </c>
      <c r="AE1848">
        <v>0</v>
      </c>
      <c r="AF1848">
        <v>0</v>
      </c>
      <c r="AG1848">
        <v>0</v>
      </c>
      <c r="AH1848" t="s">
        <v>132</v>
      </c>
      <c r="AI1848" s="1">
        <v>44216.579189814816</v>
      </c>
      <c r="AJ1848">
        <v>197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37</v>
      </c>
      <c r="AQ1848">
        <v>0</v>
      </c>
      <c r="AR1848">
        <v>0</v>
      </c>
      <c r="AS1848">
        <v>0</v>
      </c>
      <c r="AT1848" t="s">
        <v>90</v>
      </c>
      <c r="AU1848" s="1">
        <v>44216.609756944446</v>
      </c>
      <c r="AV1848">
        <v>102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37</v>
      </c>
      <c r="BC1848">
        <v>0</v>
      </c>
      <c r="BD1848">
        <v>0</v>
      </c>
      <c r="BE1848">
        <v>0</v>
      </c>
    </row>
    <row r="1849" spans="1:57" x14ac:dyDescent="0.45">
      <c r="A1849" t="s">
        <v>4521</v>
      </c>
      <c r="B1849" t="s">
        <v>79</v>
      </c>
      <c r="C1849" t="s">
        <v>4522</v>
      </c>
      <c r="D1849" t="s">
        <v>81</v>
      </c>
      <c r="E1849" s="2" t="str">
        <f>HYPERLINK("capsilon://?command=openfolder&amp;siteaddress=FAM.docvelocity-na8.net&amp;folderid=FX0114594A-DCC1-3483-6AD4-FC8EF7BFE753","FX201221942")</f>
        <v>FX201221942</v>
      </c>
      <c r="F1849" t="s">
        <v>19</v>
      </c>
      <c r="G1849" t="s">
        <v>19</v>
      </c>
      <c r="H1849" t="s">
        <v>82</v>
      </c>
      <c r="I1849" t="s">
        <v>4523</v>
      </c>
      <c r="J1849">
        <v>26</v>
      </c>
      <c r="K1849" t="s">
        <v>84</v>
      </c>
      <c r="L1849" t="s">
        <v>85</v>
      </c>
      <c r="M1849" t="s">
        <v>86</v>
      </c>
      <c r="N1849">
        <v>3</v>
      </c>
      <c r="O1849" s="1">
        <v>44216.515856481485</v>
      </c>
      <c r="P1849" s="1">
        <v>44216.609791666669</v>
      </c>
      <c r="Q1849">
        <v>7754</v>
      </c>
      <c r="R1849">
        <v>362</v>
      </c>
      <c r="S1849" t="b">
        <v>0</v>
      </c>
      <c r="T1849" t="s">
        <v>87</v>
      </c>
      <c r="U1849" t="b">
        <v>0</v>
      </c>
      <c r="V1849" t="s">
        <v>242</v>
      </c>
      <c r="W1849" s="1">
        <v>44216.528101851851</v>
      </c>
      <c r="X1849">
        <v>221</v>
      </c>
      <c r="Y1849">
        <v>21</v>
      </c>
      <c r="Z1849">
        <v>0</v>
      </c>
      <c r="AA1849">
        <v>21</v>
      </c>
      <c r="AB1849">
        <v>0</v>
      </c>
      <c r="AC1849">
        <v>6</v>
      </c>
      <c r="AD1849">
        <v>5</v>
      </c>
      <c r="AE1849">
        <v>0</v>
      </c>
      <c r="AF1849">
        <v>0</v>
      </c>
      <c r="AG1849">
        <v>0</v>
      </c>
      <c r="AH1849" t="s">
        <v>128</v>
      </c>
      <c r="AI1849" s="1">
        <v>44216.580555555556</v>
      </c>
      <c r="AJ1849">
        <v>130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5</v>
      </c>
      <c r="AQ1849">
        <v>0</v>
      </c>
      <c r="AR1849">
        <v>0</v>
      </c>
      <c r="AS1849">
        <v>0</v>
      </c>
      <c r="AT1849" t="s">
        <v>90</v>
      </c>
      <c r="AU1849" s="1">
        <v>44216.609791666669</v>
      </c>
      <c r="AV1849">
        <v>3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5</v>
      </c>
      <c r="BC1849">
        <v>0</v>
      </c>
      <c r="BD1849">
        <v>0</v>
      </c>
      <c r="BE1849">
        <v>0</v>
      </c>
    </row>
    <row r="1850" spans="1:57" x14ac:dyDescent="0.45">
      <c r="A1850" t="s">
        <v>4524</v>
      </c>
      <c r="B1850" t="s">
        <v>79</v>
      </c>
      <c r="C1850" t="s">
        <v>4522</v>
      </c>
      <c r="D1850" t="s">
        <v>81</v>
      </c>
      <c r="E1850" s="2" t="str">
        <f>HYPERLINK("capsilon://?command=openfolder&amp;siteaddress=FAM.docvelocity-na8.net&amp;folderid=FX0114594A-DCC1-3483-6AD4-FC8EF7BFE753","FX201221942")</f>
        <v>FX201221942</v>
      </c>
      <c r="F1850" t="s">
        <v>19</v>
      </c>
      <c r="G1850" t="s">
        <v>19</v>
      </c>
      <c r="H1850" t="s">
        <v>82</v>
      </c>
      <c r="I1850" t="s">
        <v>4525</v>
      </c>
      <c r="J1850">
        <v>40</v>
      </c>
      <c r="K1850" t="s">
        <v>84</v>
      </c>
      <c r="L1850" t="s">
        <v>85</v>
      </c>
      <c r="M1850" t="s">
        <v>86</v>
      </c>
      <c r="N1850">
        <v>3</v>
      </c>
      <c r="O1850" s="1">
        <v>44216.517187500001</v>
      </c>
      <c r="P1850" s="1">
        <v>44216.61</v>
      </c>
      <c r="Q1850">
        <v>7497</v>
      </c>
      <c r="R1850">
        <v>522</v>
      </c>
      <c r="S1850" t="b">
        <v>0</v>
      </c>
      <c r="T1850" t="s">
        <v>87</v>
      </c>
      <c r="U1850" t="b">
        <v>0</v>
      </c>
      <c r="V1850" t="s">
        <v>142</v>
      </c>
      <c r="W1850" s="1">
        <v>44216.530543981484</v>
      </c>
      <c r="X1850">
        <v>414</v>
      </c>
      <c r="Y1850">
        <v>41</v>
      </c>
      <c r="Z1850">
        <v>0</v>
      </c>
      <c r="AA1850">
        <v>41</v>
      </c>
      <c r="AB1850">
        <v>0</v>
      </c>
      <c r="AC1850">
        <v>12</v>
      </c>
      <c r="AD1850">
        <v>-1</v>
      </c>
      <c r="AE1850">
        <v>0</v>
      </c>
      <c r="AF1850">
        <v>0</v>
      </c>
      <c r="AG1850">
        <v>0</v>
      </c>
      <c r="AH1850" t="s">
        <v>132</v>
      </c>
      <c r="AI1850" s="1">
        <v>44216.580254629633</v>
      </c>
      <c r="AJ1850">
        <v>91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-1</v>
      </c>
      <c r="AQ1850">
        <v>0</v>
      </c>
      <c r="AR1850">
        <v>0</v>
      </c>
      <c r="AS1850">
        <v>0</v>
      </c>
      <c r="AT1850" t="s">
        <v>90</v>
      </c>
      <c r="AU1850" s="1">
        <v>44216.61</v>
      </c>
      <c r="AV1850">
        <v>17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-1</v>
      </c>
      <c r="BC1850">
        <v>0</v>
      </c>
      <c r="BD1850">
        <v>0</v>
      </c>
      <c r="BE1850">
        <v>0</v>
      </c>
    </row>
    <row r="1851" spans="1:57" x14ac:dyDescent="0.45">
      <c r="A1851" t="s">
        <v>4526</v>
      </c>
      <c r="B1851" t="s">
        <v>79</v>
      </c>
      <c r="C1851" t="s">
        <v>4522</v>
      </c>
      <c r="D1851" t="s">
        <v>81</v>
      </c>
      <c r="E1851" s="2" t="str">
        <f>HYPERLINK("capsilon://?command=openfolder&amp;siteaddress=FAM.docvelocity-na8.net&amp;folderid=FX0114594A-DCC1-3483-6AD4-FC8EF7BFE753","FX201221942")</f>
        <v>FX201221942</v>
      </c>
      <c r="F1851" t="s">
        <v>19</v>
      </c>
      <c r="G1851" t="s">
        <v>19</v>
      </c>
      <c r="H1851" t="s">
        <v>82</v>
      </c>
      <c r="I1851" t="s">
        <v>4527</v>
      </c>
      <c r="J1851">
        <v>40</v>
      </c>
      <c r="K1851" t="s">
        <v>84</v>
      </c>
      <c r="L1851" t="s">
        <v>85</v>
      </c>
      <c r="M1851" t="s">
        <v>86</v>
      </c>
      <c r="N1851">
        <v>3</v>
      </c>
      <c r="O1851" s="1">
        <v>44216.517280092594</v>
      </c>
      <c r="P1851" s="1">
        <v>44216.610069444447</v>
      </c>
      <c r="Q1851">
        <v>7673</v>
      </c>
      <c r="R1851">
        <v>344</v>
      </c>
      <c r="S1851" t="b">
        <v>0</v>
      </c>
      <c r="T1851" t="s">
        <v>87</v>
      </c>
      <c r="U1851" t="b">
        <v>0</v>
      </c>
      <c r="V1851" t="s">
        <v>255</v>
      </c>
      <c r="W1851" s="1">
        <v>44216.529409722221</v>
      </c>
      <c r="X1851">
        <v>275</v>
      </c>
      <c r="Y1851">
        <v>36</v>
      </c>
      <c r="Z1851">
        <v>0</v>
      </c>
      <c r="AA1851">
        <v>36</v>
      </c>
      <c r="AB1851">
        <v>0</v>
      </c>
      <c r="AC1851">
        <v>9</v>
      </c>
      <c r="AD1851">
        <v>4</v>
      </c>
      <c r="AE1851">
        <v>0</v>
      </c>
      <c r="AF1851">
        <v>0</v>
      </c>
      <c r="AG1851">
        <v>0</v>
      </c>
      <c r="AH1851" t="s">
        <v>132</v>
      </c>
      <c r="AI1851" s="1">
        <v>44216.581006944441</v>
      </c>
      <c r="AJ1851">
        <v>64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4</v>
      </c>
      <c r="AQ1851">
        <v>0</v>
      </c>
      <c r="AR1851">
        <v>0</v>
      </c>
      <c r="AS1851">
        <v>0</v>
      </c>
      <c r="AT1851" t="s">
        <v>90</v>
      </c>
      <c r="AU1851" s="1">
        <v>44216.610069444447</v>
      </c>
      <c r="AV1851">
        <v>5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4</v>
      </c>
      <c r="BC1851">
        <v>0</v>
      </c>
      <c r="BD1851">
        <v>0</v>
      </c>
      <c r="BE1851">
        <v>0</v>
      </c>
    </row>
    <row r="1852" spans="1:57" x14ac:dyDescent="0.45">
      <c r="A1852" t="s">
        <v>4528</v>
      </c>
      <c r="B1852" t="s">
        <v>79</v>
      </c>
      <c r="C1852" t="s">
        <v>4522</v>
      </c>
      <c r="D1852" t="s">
        <v>81</v>
      </c>
      <c r="E1852" s="2" t="str">
        <f>HYPERLINK("capsilon://?command=openfolder&amp;siteaddress=FAM.docvelocity-na8.net&amp;folderid=FX0114594A-DCC1-3483-6AD4-FC8EF7BFE753","FX201221942")</f>
        <v>FX201221942</v>
      </c>
      <c r="F1852" t="s">
        <v>19</v>
      </c>
      <c r="G1852" t="s">
        <v>19</v>
      </c>
      <c r="H1852" t="s">
        <v>82</v>
      </c>
      <c r="I1852" t="s">
        <v>4529</v>
      </c>
      <c r="J1852">
        <v>26</v>
      </c>
      <c r="K1852" t="s">
        <v>84</v>
      </c>
      <c r="L1852" t="s">
        <v>85</v>
      </c>
      <c r="M1852" t="s">
        <v>86</v>
      </c>
      <c r="N1852">
        <v>3</v>
      </c>
      <c r="O1852" s="1">
        <v>44216.517627314817</v>
      </c>
      <c r="P1852" s="1">
        <v>44216.610358796293</v>
      </c>
      <c r="Q1852">
        <v>7656</v>
      </c>
      <c r="R1852">
        <v>356</v>
      </c>
      <c r="S1852" t="b">
        <v>0</v>
      </c>
      <c r="T1852" t="s">
        <v>87</v>
      </c>
      <c r="U1852" t="b">
        <v>0</v>
      </c>
      <c r="V1852" t="s">
        <v>242</v>
      </c>
      <c r="W1852" s="1">
        <v>44216.530902777777</v>
      </c>
      <c r="X1852">
        <v>241</v>
      </c>
      <c r="Y1852">
        <v>21</v>
      </c>
      <c r="Z1852">
        <v>0</v>
      </c>
      <c r="AA1852">
        <v>21</v>
      </c>
      <c r="AB1852">
        <v>0</v>
      </c>
      <c r="AC1852">
        <v>7</v>
      </c>
      <c r="AD1852">
        <v>5</v>
      </c>
      <c r="AE1852">
        <v>0</v>
      </c>
      <c r="AF1852">
        <v>0</v>
      </c>
      <c r="AG1852">
        <v>0</v>
      </c>
      <c r="AH1852" t="s">
        <v>128</v>
      </c>
      <c r="AI1852" s="1">
        <v>44216.581620370373</v>
      </c>
      <c r="AJ1852">
        <v>91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5</v>
      </c>
      <c r="AQ1852">
        <v>0</v>
      </c>
      <c r="AR1852">
        <v>0</v>
      </c>
      <c r="AS1852">
        <v>0</v>
      </c>
      <c r="AT1852" t="s">
        <v>90</v>
      </c>
      <c r="AU1852" s="1">
        <v>44216.610358796293</v>
      </c>
      <c r="AV1852">
        <v>24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5</v>
      </c>
      <c r="BC1852">
        <v>0</v>
      </c>
      <c r="BD1852">
        <v>0</v>
      </c>
      <c r="BE1852">
        <v>0</v>
      </c>
    </row>
    <row r="1853" spans="1:57" x14ac:dyDescent="0.45">
      <c r="A1853" t="s">
        <v>4530</v>
      </c>
      <c r="B1853" t="s">
        <v>79</v>
      </c>
      <c r="C1853" t="s">
        <v>4522</v>
      </c>
      <c r="D1853" t="s">
        <v>81</v>
      </c>
      <c r="E1853" s="2" t="str">
        <f>HYPERLINK("capsilon://?command=openfolder&amp;siteaddress=FAM.docvelocity-na8.net&amp;folderid=FX0114594A-DCC1-3483-6AD4-FC8EF7BFE753","FX201221942")</f>
        <v>FX201221942</v>
      </c>
      <c r="F1853" t="s">
        <v>19</v>
      </c>
      <c r="G1853" t="s">
        <v>19</v>
      </c>
      <c r="H1853" t="s">
        <v>82</v>
      </c>
      <c r="I1853" t="s">
        <v>4531</v>
      </c>
      <c r="J1853">
        <v>26</v>
      </c>
      <c r="K1853" t="s">
        <v>84</v>
      </c>
      <c r="L1853" t="s">
        <v>85</v>
      </c>
      <c r="M1853" t="s">
        <v>86</v>
      </c>
      <c r="N1853">
        <v>3</v>
      </c>
      <c r="O1853" s="1">
        <v>44216.517789351848</v>
      </c>
      <c r="P1853" s="1">
        <v>44216.61041666667</v>
      </c>
      <c r="Q1853">
        <v>7814</v>
      </c>
      <c r="R1853">
        <v>189</v>
      </c>
      <c r="S1853" t="b">
        <v>0</v>
      </c>
      <c r="T1853" t="s">
        <v>87</v>
      </c>
      <c r="U1853" t="b">
        <v>0</v>
      </c>
      <c r="V1853" t="s">
        <v>255</v>
      </c>
      <c r="W1853" s="1">
        <v>44216.530902777777</v>
      </c>
      <c r="X1853">
        <v>128</v>
      </c>
      <c r="Y1853">
        <v>21</v>
      </c>
      <c r="Z1853">
        <v>0</v>
      </c>
      <c r="AA1853">
        <v>21</v>
      </c>
      <c r="AB1853">
        <v>0</v>
      </c>
      <c r="AC1853">
        <v>6</v>
      </c>
      <c r="AD1853">
        <v>5</v>
      </c>
      <c r="AE1853">
        <v>0</v>
      </c>
      <c r="AF1853">
        <v>0</v>
      </c>
      <c r="AG1853">
        <v>0</v>
      </c>
      <c r="AH1853" t="s">
        <v>132</v>
      </c>
      <c r="AI1853" s="1">
        <v>44216.581678240742</v>
      </c>
      <c r="AJ1853">
        <v>57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5</v>
      </c>
      <c r="AQ1853">
        <v>0</v>
      </c>
      <c r="AR1853">
        <v>0</v>
      </c>
      <c r="AS1853">
        <v>0</v>
      </c>
      <c r="AT1853" t="s">
        <v>90</v>
      </c>
      <c r="AU1853" s="1">
        <v>44216.61041666667</v>
      </c>
      <c r="AV1853">
        <v>4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5</v>
      </c>
      <c r="BC1853">
        <v>0</v>
      </c>
      <c r="BD1853">
        <v>0</v>
      </c>
      <c r="BE1853">
        <v>0</v>
      </c>
    </row>
    <row r="1854" spans="1:57" hidden="1" x14ac:dyDescent="0.45">
      <c r="A1854" t="s">
        <v>4532</v>
      </c>
      <c r="B1854" t="s">
        <v>79</v>
      </c>
      <c r="C1854" t="s">
        <v>4533</v>
      </c>
      <c r="D1854" t="s">
        <v>81</v>
      </c>
      <c r="E1854" s="2" t="str">
        <f>HYPERLINK("capsilon://?command=openfolder&amp;siteaddress=FAM.docvelocity-na8.net&amp;folderid=FX4C7EF56B-6E11-6908-7B90-0B7CB87C2712","FX201225477")</f>
        <v>FX201225477</v>
      </c>
      <c r="F1854" t="s">
        <v>19</v>
      </c>
      <c r="G1854" t="s">
        <v>19</v>
      </c>
      <c r="H1854" t="s">
        <v>82</v>
      </c>
      <c r="I1854" t="s">
        <v>4534</v>
      </c>
      <c r="J1854">
        <v>66</v>
      </c>
      <c r="K1854" t="s">
        <v>84</v>
      </c>
      <c r="L1854" t="s">
        <v>85</v>
      </c>
      <c r="M1854" t="s">
        <v>86</v>
      </c>
      <c r="N1854">
        <v>3</v>
      </c>
      <c r="O1854" s="1">
        <v>44216.521979166668</v>
      </c>
      <c r="P1854" s="1">
        <v>44216.610462962963</v>
      </c>
      <c r="Q1854">
        <v>7552</v>
      </c>
      <c r="R1854">
        <v>93</v>
      </c>
      <c r="S1854" t="b">
        <v>0</v>
      </c>
      <c r="T1854" t="s">
        <v>87</v>
      </c>
      <c r="U1854" t="b">
        <v>0</v>
      </c>
      <c r="V1854" t="s">
        <v>142</v>
      </c>
      <c r="W1854" s="1">
        <v>44216.531145833331</v>
      </c>
      <c r="X1854">
        <v>51</v>
      </c>
      <c r="Y1854">
        <v>0</v>
      </c>
      <c r="Z1854">
        <v>0</v>
      </c>
      <c r="AA1854">
        <v>0</v>
      </c>
      <c r="AB1854">
        <v>52</v>
      </c>
      <c r="AC1854">
        <v>0</v>
      </c>
      <c r="AD1854">
        <v>66</v>
      </c>
      <c r="AE1854">
        <v>0</v>
      </c>
      <c r="AF1854">
        <v>0</v>
      </c>
      <c r="AG1854">
        <v>0</v>
      </c>
      <c r="AH1854" t="s">
        <v>128</v>
      </c>
      <c r="AI1854" s="1">
        <v>44216.582071759258</v>
      </c>
      <c r="AJ1854">
        <v>38</v>
      </c>
      <c r="AK1854">
        <v>0</v>
      </c>
      <c r="AL1854">
        <v>0</v>
      </c>
      <c r="AM1854">
        <v>0</v>
      </c>
      <c r="AN1854">
        <v>52</v>
      </c>
      <c r="AO1854">
        <v>0</v>
      </c>
      <c r="AP1854">
        <v>66</v>
      </c>
      <c r="AQ1854">
        <v>0</v>
      </c>
      <c r="AR1854">
        <v>0</v>
      </c>
      <c r="AS1854">
        <v>0</v>
      </c>
      <c r="AT1854" t="s">
        <v>90</v>
      </c>
      <c r="AU1854" s="1">
        <v>44216.610462962963</v>
      </c>
      <c r="AV1854">
        <v>4</v>
      </c>
      <c r="AW1854">
        <v>0</v>
      </c>
      <c r="AX1854">
        <v>0</v>
      </c>
      <c r="AY1854">
        <v>0</v>
      </c>
      <c r="AZ1854">
        <v>52</v>
      </c>
      <c r="BA1854">
        <v>0</v>
      </c>
      <c r="BB1854">
        <v>66</v>
      </c>
      <c r="BC1854">
        <v>0</v>
      </c>
      <c r="BD1854">
        <v>0</v>
      </c>
      <c r="BE1854">
        <v>0</v>
      </c>
    </row>
    <row r="1855" spans="1:57" x14ac:dyDescent="0.45">
      <c r="A1855" t="s">
        <v>4535</v>
      </c>
      <c r="B1855" t="s">
        <v>79</v>
      </c>
      <c r="C1855" t="s">
        <v>4536</v>
      </c>
      <c r="D1855" t="s">
        <v>81</v>
      </c>
      <c r="E1855" s="2" t="str">
        <f>HYPERLINK("capsilon://?command=openfolder&amp;siteaddress=FAM.docvelocity-na8.net&amp;folderid=FX9000F184-E353-64E6-BA23-F5AFC4A4F10D","FX20125986")</f>
        <v>FX20125986</v>
      </c>
      <c r="F1855" t="s">
        <v>19</v>
      </c>
      <c r="G1855" t="s">
        <v>19</v>
      </c>
      <c r="H1855" t="s">
        <v>82</v>
      </c>
      <c r="I1855" t="s">
        <v>4537</v>
      </c>
      <c r="J1855">
        <v>31</v>
      </c>
      <c r="K1855" t="s">
        <v>84</v>
      </c>
      <c r="L1855" t="s">
        <v>85</v>
      </c>
      <c r="M1855" t="s">
        <v>86</v>
      </c>
      <c r="N1855">
        <v>3</v>
      </c>
      <c r="O1855" s="1">
        <v>44216.524976851855</v>
      </c>
      <c r="P1855" s="1">
        <v>44216.612881944442</v>
      </c>
      <c r="Q1855">
        <v>6761</v>
      </c>
      <c r="R1855">
        <v>834</v>
      </c>
      <c r="S1855" t="b">
        <v>0</v>
      </c>
      <c r="T1855" t="s">
        <v>87</v>
      </c>
      <c r="U1855" t="b">
        <v>0</v>
      </c>
      <c r="V1855" t="s">
        <v>242</v>
      </c>
      <c r="W1855" s="1">
        <v>44216.53733796296</v>
      </c>
      <c r="X1855">
        <v>555</v>
      </c>
      <c r="Y1855">
        <v>33</v>
      </c>
      <c r="Z1855">
        <v>0</v>
      </c>
      <c r="AA1855">
        <v>33</v>
      </c>
      <c r="AB1855">
        <v>0</v>
      </c>
      <c r="AC1855">
        <v>26</v>
      </c>
      <c r="AD1855">
        <v>-2</v>
      </c>
      <c r="AE1855">
        <v>0</v>
      </c>
      <c r="AF1855">
        <v>0</v>
      </c>
      <c r="AG1855">
        <v>0</v>
      </c>
      <c r="AH1855" t="s">
        <v>132</v>
      </c>
      <c r="AI1855" s="1">
        <v>44216.582511574074</v>
      </c>
      <c r="AJ1855">
        <v>71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-2</v>
      </c>
      <c r="AQ1855">
        <v>0</v>
      </c>
      <c r="AR1855">
        <v>0</v>
      </c>
      <c r="AS1855">
        <v>0</v>
      </c>
      <c r="AT1855" t="s">
        <v>90</v>
      </c>
      <c r="AU1855" s="1">
        <v>44216.612881944442</v>
      </c>
      <c r="AV1855">
        <v>208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-2</v>
      </c>
      <c r="BC1855">
        <v>0</v>
      </c>
      <c r="BD1855">
        <v>0</v>
      </c>
      <c r="BE1855">
        <v>0</v>
      </c>
    </row>
    <row r="1856" spans="1:57" x14ac:dyDescent="0.45">
      <c r="A1856" t="s">
        <v>4538</v>
      </c>
      <c r="B1856" t="s">
        <v>79</v>
      </c>
      <c r="C1856" t="s">
        <v>4539</v>
      </c>
      <c r="D1856" t="s">
        <v>81</v>
      </c>
      <c r="E1856" s="2" t="str">
        <f>HYPERLINK("capsilon://?command=openfolder&amp;siteaddress=FAM.docvelocity-na8.net&amp;folderid=FX613397EC-1246-B2C3-AD4C-7056D2A564CD","FX210111126")</f>
        <v>FX210111126</v>
      </c>
      <c r="F1856" t="s">
        <v>19</v>
      </c>
      <c r="G1856" t="s">
        <v>19</v>
      </c>
      <c r="H1856" t="s">
        <v>82</v>
      </c>
      <c r="I1856" t="s">
        <v>4540</v>
      </c>
      <c r="J1856">
        <v>425</v>
      </c>
      <c r="K1856" t="s">
        <v>84</v>
      </c>
      <c r="L1856" t="s">
        <v>85</v>
      </c>
      <c r="M1856" t="s">
        <v>86</v>
      </c>
      <c r="N1856">
        <v>3</v>
      </c>
      <c r="O1856" s="1">
        <v>44216.526782407411</v>
      </c>
      <c r="P1856" s="1">
        <v>44216.613240740742</v>
      </c>
      <c r="Q1856">
        <v>3443</v>
      </c>
      <c r="R1856">
        <v>4027</v>
      </c>
      <c r="S1856" t="b">
        <v>0</v>
      </c>
      <c r="T1856" t="s">
        <v>87</v>
      </c>
      <c r="U1856" t="b">
        <v>0</v>
      </c>
      <c r="V1856" t="s">
        <v>255</v>
      </c>
      <c r="W1856" s="1">
        <v>44216.563125000001</v>
      </c>
      <c r="X1856">
        <v>2783</v>
      </c>
      <c r="Y1856">
        <v>484</v>
      </c>
      <c r="Z1856">
        <v>0</v>
      </c>
      <c r="AA1856">
        <v>484</v>
      </c>
      <c r="AB1856">
        <v>94</v>
      </c>
      <c r="AC1856">
        <v>216</v>
      </c>
      <c r="AD1856">
        <v>-59</v>
      </c>
      <c r="AE1856">
        <v>0</v>
      </c>
      <c r="AF1856">
        <v>0</v>
      </c>
      <c r="AG1856">
        <v>0</v>
      </c>
      <c r="AH1856" t="s">
        <v>128</v>
      </c>
      <c r="AI1856" s="1">
        <v>44216.596134259256</v>
      </c>
      <c r="AJ1856">
        <v>1214</v>
      </c>
      <c r="AK1856">
        <v>1</v>
      </c>
      <c r="AL1856">
        <v>0</v>
      </c>
      <c r="AM1856">
        <v>1</v>
      </c>
      <c r="AN1856">
        <v>94</v>
      </c>
      <c r="AO1856">
        <v>1</v>
      </c>
      <c r="AP1856">
        <v>-60</v>
      </c>
      <c r="AQ1856">
        <v>0</v>
      </c>
      <c r="AR1856">
        <v>0</v>
      </c>
      <c r="AS1856">
        <v>0</v>
      </c>
      <c r="AT1856" t="s">
        <v>90</v>
      </c>
      <c r="AU1856" s="1">
        <v>44216.613240740742</v>
      </c>
      <c r="AV1856">
        <v>30</v>
      </c>
      <c r="AW1856">
        <v>0</v>
      </c>
      <c r="AX1856">
        <v>0</v>
      </c>
      <c r="AY1856">
        <v>0</v>
      </c>
      <c r="AZ1856">
        <v>94</v>
      </c>
      <c r="BA1856">
        <v>0</v>
      </c>
      <c r="BB1856">
        <v>-60</v>
      </c>
      <c r="BC1856">
        <v>0</v>
      </c>
      <c r="BD1856">
        <v>0</v>
      </c>
      <c r="BE1856">
        <v>0</v>
      </c>
    </row>
    <row r="1857" spans="1:57" hidden="1" x14ac:dyDescent="0.45">
      <c r="A1857" t="s">
        <v>4541</v>
      </c>
      <c r="B1857" t="s">
        <v>79</v>
      </c>
      <c r="C1857" t="s">
        <v>4542</v>
      </c>
      <c r="D1857" t="s">
        <v>81</v>
      </c>
      <c r="E1857" s="2" t="str">
        <f>HYPERLINK("capsilon://?command=openfolder&amp;siteaddress=FAM.docvelocity-na8.net&amp;folderid=FX0460F6C8-E1CA-BC50-BFC6-316FC0D95C18","FX201222277")</f>
        <v>FX201222277</v>
      </c>
      <c r="F1857" t="s">
        <v>19</v>
      </c>
      <c r="G1857" t="s">
        <v>19</v>
      </c>
      <c r="H1857" t="s">
        <v>82</v>
      </c>
      <c r="I1857" t="s">
        <v>4543</v>
      </c>
      <c r="J1857">
        <v>132</v>
      </c>
      <c r="K1857" t="s">
        <v>84</v>
      </c>
      <c r="L1857" t="s">
        <v>85</v>
      </c>
      <c r="M1857" t="s">
        <v>86</v>
      </c>
      <c r="N1857">
        <v>1</v>
      </c>
      <c r="O1857" s="1">
        <v>44216.52988425926</v>
      </c>
      <c r="P1857" s="1">
        <v>44216.536435185182</v>
      </c>
      <c r="Q1857">
        <v>535</v>
      </c>
      <c r="R1857">
        <v>31</v>
      </c>
      <c r="S1857" t="b">
        <v>0</v>
      </c>
      <c r="T1857" t="s">
        <v>87</v>
      </c>
      <c r="U1857" t="b">
        <v>0</v>
      </c>
      <c r="V1857" t="s">
        <v>142</v>
      </c>
      <c r="W1857" s="1">
        <v>44216.536435185182</v>
      </c>
      <c r="X1857">
        <v>10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132</v>
      </c>
      <c r="AE1857">
        <v>0</v>
      </c>
      <c r="AF1857">
        <v>0</v>
      </c>
      <c r="AG1857">
        <v>2</v>
      </c>
      <c r="AH1857" t="s">
        <v>87</v>
      </c>
      <c r="AI1857" t="s">
        <v>87</v>
      </c>
      <c r="AJ1857" t="s">
        <v>87</v>
      </c>
      <c r="AK1857" t="s">
        <v>87</v>
      </c>
      <c r="AL1857" t="s">
        <v>87</v>
      </c>
      <c r="AM1857" t="s">
        <v>87</v>
      </c>
      <c r="AN1857" t="s">
        <v>87</v>
      </c>
      <c r="AO1857" t="s">
        <v>87</v>
      </c>
      <c r="AP1857" t="s">
        <v>87</v>
      </c>
      <c r="AQ1857" t="s">
        <v>87</v>
      </c>
      <c r="AR1857" t="s">
        <v>87</v>
      </c>
      <c r="AS1857" t="s">
        <v>87</v>
      </c>
      <c r="AT1857" t="s">
        <v>87</v>
      </c>
      <c r="AU1857" t="s">
        <v>87</v>
      </c>
      <c r="AV1857" t="s">
        <v>87</v>
      </c>
      <c r="AW1857" t="s">
        <v>87</v>
      </c>
      <c r="AX1857" t="s">
        <v>87</v>
      </c>
      <c r="AY1857" t="s">
        <v>87</v>
      </c>
      <c r="AZ1857" t="s">
        <v>87</v>
      </c>
      <c r="BA1857" t="s">
        <v>87</v>
      </c>
      <c r="BB1857" t="s">
        <v>87</v>
      </c>
      <c r="BC1857" t="s">
        <v>87</v>
      </c>
      <c r="BD1857" t="s">
        <v>87</v>
      </c>
      <c r="BE1857" t="s">
        <v>87</v>
      </c>
    </row>
    <row r="1858" spans="1:57" x14ac:dyDescent="0.45">
      <c r="A1858" t="s">
        <v>4544</v>
      </c>
      <c r="B1858" t="s">
        <v>79</v>
      </c>
      <c r="C1858" t="s">
        <v>4542</v>
      </c>
      <c r="D1858" t="s">
        <v>81</v>
      </c>
      <c r="E1858" s="2" t="str">
        <f>HYPERLINK("capsilon://?command=openfolder&amp;siteaddress=FAM.docvelocity-na8.net&amp;folderid=FX0460F6C8-E1CA-BC50-BFC6-316FC0D95C18","FX201222277")</f>
        <v>FX201222277</v>
      </c>
      <c r="F1858" t="s">
        <v>19</v>
      </c>
      <c r="G1858" t="s">
        <v>19</v>
      </c>
      <c r="H1858" t="s">
        <v>82</v>
      </c>
      <c r="I1858" t="s">
        <v>4543</v>
      </c>
      <c r="J1858">
        <v>76</v>
      </c>
      <c r="K1858" t="s">
        <v>84</v>
      </c>
      <c r="L1858" t="s">
        <v>85</v>
      </c>
      <c r="M1858" t="s">
        <v>86</v>
      </c>
      <c r="N1858">
        <v>3</v>
      </c>
      <c r="O1858" s="1">
        <v>44216.536990740744</v>
      </c>
      <c r="P1858" s="1">
        <v>44216.574016203704</v>
      </c>
      <c r="Q1858">
        <v>146</v>
      </c>
      <c r="R1858">
        <v>3053</v>
      </c>
      <c r="S1858" t="b">
        <v>0</v>
      </c>
      <c r="T1858" t="s">
        <v>87</v>
      </c>
      <c r="U1858" t="b">
        <v>1</v>
      </c>
      <c r="V1858" t="s">
        <v>171</v>
      </c>
      <c r="W1858" s="1">
        <v>44216.569652777776</v>
      </c>
      <c r="X1858">
        <v>2821</v>
      </c>
      <c r="Y1858">
        <v>74</v>
      </c>
      <c r="Z1858">
        <v>0</v>
      </c>
      <c r="AA1858">
        <v>74</v>
      </c>
      <c r="AB1858">
        <v>0</v>
      </c>
      <c r="AC1858">
        <v>68</v>
      </c>
      <c r="AD1858">
        <v>2</v>
      </c>
      <c r="AE1858">
        <v>0</v>
      </c>
      <c r="AF1858">
        <v>0</v>
      </c>
      <c r="AG1858">
        <v>0</v>
      </c>
      <c r="AH1858" t="s">
        <v>128</v>
      </c>
      <c r="AI1858" s="1">
        <v>44216.572592592594</v>
      </c>
      <c r="AJ1858">
        <v>226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2</v>
      </c>
      <c r="AQ1858">
        <v>0</v>
      </c>
      <c r="AR1858">
        <v>0</v>
      </c>
      <c r="AS1858">
        <v>0</v>
      </c>
      <c r="AT1858" t="s">
        <v>90</v>
      </c>
      <c r="AU1858" s="1">
        <v>44216.574016203704</v>
      </c>
      <c r="AV1858">
        <v>6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2</v>
      </c>
      <c r="BC1858">
        <v>0</v>
      </c>
      <c r="BD1858">
        <v>0</v>
      </c>
      <c r="BE1858">
        <v>0</v>
      </c>
    </row>
    <row r="1859" spans="1:57" x14ac:dyDescent="0.45">
      <c r="A1859" t="s">
        <v>4545</v>
      </c>
      <c r="B1859" t="s">
        <v>79</v>
      </c>
      <c r="C1859" t="s">
        <v>2797</v>
      </c>
      <c r="D1859" t="s">
        <v>81</v>
      </c>
      <c r="E1859" s="2" t="str">
        <f>HYPERLINK("capsilon://?command=openfolder&amp;siteaddress=FAM.docvelocity-na8.net&amp;folderid=FXCEEF3435-8536-C34A-C25F-9FBC17CFEC95","FX201226078")</f>
        <v>FX201226078</v>
      </c>
      <c r="F1859" t="s">
        <v>19</v>
      </c>
      <c r="G1859" t="s">
        <v>19</v>
      </c>
      <c r="H1859" t="s">
        <v>82</v>
      </c>
      <c r="I1859" t="s">
        <v>4281</v>
      </c>
      <c r="J1859">
        <v>491</v>
      </c>
      <c r="K1859" t="s">
        <v>84</v>
      </c>
      <c r="L1859" t="s">
        <v>85</v>
      </c>
      <c r="M1859" t="s">
        <v>86</v>
      </c>
      <c r="N1859">
        <v>3</v>
      </c>
      <c r="O1859" s="1">
        <v>44201.174699074072</v>
      </c>
      <c r="P1859" s="1">
        <v>44201.346412037034</v>
      </c>
      <c r="Q1859">
        <v>7525</v>
      </c>
      <c r="R1859">
        <v>7311</v>
      </c>
      <c r="S1859" t="b">
        <v>0</v>
      </c>
      <c r="T1859" t="s">
        <v>87</v>
      </c>
      <c r="U1859" t="b">
        <v>1</v>
      </c>
      <c r="V1859" t="s">
        <v>736</v>
      </c>
      <c r="W1859" s="1">
        <v>44201.256527777776</v>
      </c>
      <c r="X1859">
        <v>5462</v>
      </c>
      <c r="Y1859">
        <v>589</v>
      </c>
      <c r="Z1859">
        <v>0</v>
      </c>
      <c r="AA1859">
        <v>589</v>
      </c>
      <c r="AB1859">
        <v>0</v>
      </c>
      <c r="AC1859">
        <v>357</v>
      </c>
      <c r="AD1859">
        <v>-98</v>
      </c>
      <c r="AE1859">
        <v>0</v>
      </c>
      <c r="AF1859">
        <v>0</v>
      </c>
      <c r="AG1859">
        <v>0</v>
      </c>
      <c r="AH1859" t="s">
        <v>94</v>
      </c>
      <c r="AI1859" s="1">
        <v>44201.298518518517</v>
      </c>
      <c r="AJ1859">
        <v>1601</v>
      </c>
      <c r="AK1859">
        <v>1</v>
      </c>
      <c r="AL1859">
        <v>0</v>
      </c>
      <c r="AM1859">
        <v>1</v>
      </c>
      <c r="AN1859">
        <v>0</v>
      </c>
      <c r="AO1859">
        <v>1</v>
      </c>
      <c r="AP1859">
        <v>-99</v>
      </c>
      <c r="AQ1859">
        <v>0</v>
      </c>
      <c r="AR1859">
        <v>0</v>
      </c>
      <c r="AS1859">
        <v>0</v>
      </c>
      <c r="AT1859" t="s">
        <v>90</v>
      </c>
      <c r="AU1859" s="1">
        <v>44201.346412037034</v>
      </c>
      <c r="AV1859">
        <v>74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-99</v>
      </c>
      <c r="BC1859">
        <v>0</v>
      </c>
      <c r="BD1859">
        <v>0</v>
      </c>
      <c r="BE1859">
        <v>0</v>
      </c>
    </row>
    <row r="1860" spans="1:57" x14ac:dyDescent="0.45">
      <c r="A1860" t="s">
        <v>4546</v>
      </c>
      <c r="B1860" t="s">
        <v>79</v>
      </c>
      <c r="C1860" t="s">
        <v>3364</v>
      </c>
      <c r="D1860" t="s">
        <v>81</v>
      </c>
      <c r="E1860" s="2" t="str">
        <f>HYPERLINK("capsilon://?command=openfolder&amp;siteaddress=FAM.docvelocity-na8.net&amp;folderid=FXCB50852C-CFC1-0FCE-3740-2BF26F45E418","FX20122163")</f>
        <v>FX20122163</v>
      </c>
      <c r="F1860" t="s">
        <v>19</v>
      </c>
      <c r="G1860" t="s">
        <v>19</v>
      </c>
      <c r="H1860" t="s">
        <v>82</v>
      </c>
      <c r="I1860" t="s">
        <v>4547</v>
      </c>
      <c r="J1860">
        <v>66</v>
      </c>
      <c r="K1860" t="s">
        <v>84</v>
      </c>
      <c r="L1860" t="s">
        <v>85</v>
      </c>
      <c r="M1860" t="s">
        <v>86</v>
      </c>
      <c r="N1860">
        <v>3</v>
      </c>
      <c r="O1860" s="1">
        <v>44216.549409722225</v>
      </c>
      <c r="P1860" s="1">
        <v>44216.613564814812</v>
      </c>
      <c r="Q1860">
        <v>3282</v>
      </c>
      <c r="R1860">
        <v>2261</v>
      </c>
      <c r="S1860" t="b">
        <v>0</v>
      </c>
      <c r="T1860" t="s">
        <v>87</v>
      </c>
      <c r="U1860" t="b">
        <v>0</v>
      </c>
      <c r="V1860" t="s">
        <v>179</v>
      </c>
      <c r="W1860" s="1">
        <v>44216.573912037034</v>
      </c>
      <c r="X1860">
        <v>2116</v>
      </c>
      <c r="Y1860">
        <v>52</v>
      </c>
      <c r="Z1860">
        <v>0</v>
      </c>
      <c r="AA1860">
        <v>52</v>
      </c>
      <c r="AB1860">
        <v>0</v>
      </c>
      <c r="AC1860">
        <v>29</v>
      </c>
      <c r="AD1860">
        <v>14</v>
      </c>
      <c r="AE1860">
        <v>0</v>
      </c>
      <c r="AF1860">
        <v>0</v>
      </c>
      <c r="AG1860">
        <v>0</v>
      </c>
      <c r="AH1860" t="s">
        <v>132</v>
      </c>
      <c r="AI1860" s="1">
        <v>44216.583877314813</v>
      </c>
      <c r="AJ1860">
        <v>118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14</v>
      </c>
      <c r="AQ1860">
        <v>0</v>
      </c>
      <c r="AR1860">
        <v>0</v>
      </c>
      <c r="AS1860">
        <v>0</v>
      </c>
      <c r="AT1860" t="s">
        <v>90</v>
      </c>
      <c r="AU1860" s="1">
        <v>44216.613564814812</v>
      </c>
      <c r="AV1860">
        <v>27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14</v>
      </c>
      <c r="BC1860">
        <v>0</v>
      </c>
      <c r="BD1860">
        <v>0</v>
      </c>
      <c r="BE1860">
        <v>0</v>
      </c>
    </row>
    <row r="1861" spans="1:57" hidden="1" x14ac:dyDescent="0.45">
      <c r="A1861" t="s">
        <v>4548</v>
      </c>
      <c r="B1861" t="s">
        <v>79</v>
      </c>
      <c r="C1861" t="s">
        <v>4549</v>
      </c>
      <c r="D1861" t="s">
        <v>81</v>
      </c>
      <c r="E1861" s="2" t="str">
        <f>HYPERLINK("capsilon://?command=openfolder&amp;siteaddress=FAM.docvelocity-na8.net&amp;folderid=FX0B6A10F0-0AE7-F00F-3092-11A7DF897953","FX20114907")</f>
        <v>FX20114907</v>
      </c>
      <c r="F1861" t="s">
        <v>19</v>
      </c>
      <c r="G1861" t="s">
        <v>19</v>
      </c>
      <c r="H1861" t="s">
        <v>82</v>
      </c>
      <c r="I1861" t="s">
        <v>4550</v>
      </c>
      <c r="J1861">
        <v>31</v>
      </c>
      <c r="K1861" t="s">
        <v>84</v>
      </c>
      <c r="L1861" t="s">
        <v>85</v>
      </c>
      <c r="M1861" t="s">
        <v>86</v>
      </c>
      <c r="N1861">
        <v>1</v>
      </c>
      <c r="O1861" s="1">
        <v>44216.549571759257</v>
      </c>
      <c r="P1861" s="1">
        <v>44216.557557870372</v>
      </c>
      <c r="Q1861">
        <v>1</v>
      </c>
      <c r="R1861">
        <v>689</v>
      </c>
      <c r="S1861" t="b">
        <v>0</v>
      </c>
      <c r="T1861" t="s">
        <v>87</v>
      </c>
      <c r="U1861" t="b">
        <v>0</v>
      </c>
      <c r="V1861" t="s">
        <v>168</v>
      </c>
      <c r="W1861" s="1">
        <v>44216.557557870372</v>
      </c>
      <c r="X1861">
        <v>689</v>
      </c>
      <c r="Y1861">
        <v>38</v>
      </c>
      <c r="Z1861">
        <v>0</v>
      </c>
      <c r="AA1861">
        <v>38</v>
      </c>
      <c r="AB1861">
        <v>0</v>
      </c>
      <c r="AC1861">
        <v>30</v>
      </c>
      <c r="AD1861">
        <v>-7</v>
      </c>
      <c r="AE1861">
        <v>38</v>
      </c>
      <c r="AF1861">
        <v>0</v>
      </c>
      <c r="AG1861">
        <v>2</v>
      </c>
      <c r="AH1861" t="s">
        <v>87</v>
      </c>
      <c r="AI1861" t="s">
        <v>87</v>
      </c>
      <c r="AJ1861" t="s">
        <v>87</v>
      </c>
      <c r="AK1861" t="s">
        <v>87</v>
      </c>
      <c r="AL1861" t="s">
        <v>87</v>
      </c>
      <c r="AM1861" t="s">
        <v>87</v>
      </c>
      <c r="AN1861" t="s">
        <v>87</v>
      </c>
      <c r="AO1861" t="s">
        <v>87</v>
      </c>
      <c r="AP1861" t="s">
        <v>87</v>
      </c>
      <c r="AQ1861" t="s">
        <v>87</v>
      </c>
      <c r="AR1861" t="s">
        <v>87</v>
      </c>
      <c r="AS1861" t="s">
        <v>87</v>
      </c>
      <c r="AT1861" t="s">
        <v>87</v>
      </c>
      <c r="AU1861" t="s">
        <v>87</v>
      </c>
      <c r="AV1861" t="s">
        <v>87</v>
      </c>
      <c r="AW1861" t="s">
        <v>87</v>
      </c>
      <c r="AX1861" t="s">
        <v>87</v>
      </c>
      <c r="AY1861" t="s">
        <v>87</v>
      </c>
      <c r="AZ1861" t="s">
        <v>87</v>
      </c>
      <c r="BA1861" t="s">
        <v>87</v>
      </c>
      <c r="BB1861" t="s">
        <v>87</v>
      </c>
      <c r="BC1861" t="s">
        <v>87</v>
      </c>
      <c r="BD1861" t="s">
        <v>87</v>
      </c>
      <c r="BE1861" t="s">
        <v>87</v>
      </c>
    </row>
    <row r="1862" spans="1:57" x14ac:dyDescent="0.45">
      <c r="A1862" t="s">
        <v>4551</v>
      </c>
      <c r="B1862" t="s">
        <v>79</v>
      </c>
      <c r="C1862" t="s">
        <v>4552</v>
      </c>
      <c r="D1862" t="s">
        <v>81</v>
      </c>
      <c r="E1862" s="2" t="str">
        <f>HYPERLINK("capsilon://?command=openfolder&amp;siteaddress=FAM.docvelocity-na8.net&amp;folderid=FX049C1F2A-1E19-6273-CAED-3F419CC2A70D","FX210110924")</f>
        <v>FX210110924</v>
      </c>
      <c r="F1862" t="s">
        <v>19</v>
      </c>
      <c r="G1862" t="s">
        <v>19</v>
      </c>
      <c r="H1862" t="s">
        <v>82</v>
      </c>
      <c r="I1862" t="s">
        <v>4553</v>
      </c>
      <c r="J1862">
        <v>162</v>
      </c>
      <c r="K1862" t="s">
        <v>84</v>
      </c>
      <c r="L1862" t="s">
        <v>85</v>
      </c>
      <c r="M1862" t="s">
        <v>86</v>
      </c>
      <c r="N1862">
        <v>3</v>
      </c>
      <c r="O1862" s="1">
        <v>44216.551226851851</v>
      </c>
      <c r="P1862" s="1">
        <v>44216.614745370367</v>
      </c>
      <c r="Q1862">
        <v>1932</v>
      </c>
      <c r="R1862">
        <v>3556</v>
      </c>
      <c r="S1862" t="b">
        <v>0</v>
      </c>
      <c r="T1862" t="s">
        <v>87</v>
      </c>
      <c r="U1862" t="b">
        <v>0</v>
      </c>
      <c r="V1862" t="s">
        <v>142</v>
      </c>
      <c r="W1862" s="1">
        <v>44216.587002314816</v>
      </c>
      <c r="X1862">
        <v>3080</v>
      </c>
      <c r="Y1862">
        <v>206</v>
      </c>
      <c r="Z1862">
        <v>0</v>
      </c>
      <c r="AA1862">
        <v>206</v>
      </c>
      <c r="AB1862">
        <v>0</v>
      </c>
      <c r="AC1862">
        <v>163</v>
      </c>
      <c r="AD1862">
        <v>-44</v>
      </c>
      <c r="AE1862">
        <v>0</v>
      </c>
      <c r="AF1862">
        <v>0</v>
      </c>
      <c r="AG1862">
        <v>0</v>
      </c>
      <c r="AH1862" t="s">
        <v>132</v>
      </c>
      <c r="AI1862" s="1">
        <v>44216.600798611114</v>
      </c>
      <c r="AJ1862">
        <v>375</v>
      </c>
      <c r="AK1862">
        <v>3</v>
      </c>
      <c r="AL1862">
        <v>0</v>
      </c>
      <c r="AM1862">
        <v>3</v>
      </c>
      <c r="AN1862">
        <v>0</v>
      </c>
      <c r="AO1862">
        <v>2</v>
      </c>
      <c r="AP1862">
        <v>-47</v>
      </c>
      <c r="AQ1862">
        <v>0</v>
      </c>
      <c r="AR1862">
        <v>0</v>
      </c>
      <c r="AS1862">
        <v>0</v>
      </c>
      <c r="AT1862" t="s">
        <v>90</v>
      </c>
      <c r="AU1862" s="1">
        <v>44216.614745370367</v>
      </c>
      <c r="AV1862">
        <v>101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-47</v>
      </c>
      <c r="BC1862">
        <v>0</v>
      </c>
      <c r="BD1862">
        <v>0</v>
      </c>
      <c r="BE1862">
        <v>0</v>
      </c>
    </row>
    <row r="1863" spans="1:57" x14ac:dyDescent="0.45">
      <c r="A1863" t="s">
        <v>4554</v>
      </c>
      <c r="B1863" t="s">
        <v>79</v>
      </c>
      <c r="C1863" t="s">
        <v>2199</v>
      </c>
      <c r="D1863" t="s">
        <v>81</v>
      </c>
      <c r="E1863" s="2" t="str">
        <f>HYPERLINK("capsilon://?command=openfolder&amp;siteaddress=FAM.docvelocity-na8.net&amp;folderid=FX3E508EA4-D795-A5DE-8974-97DB8256FC06","FX201223829")</f>
        <v>FX201223829</v>
      </c>
      <c r="F1863" t="s">
        <v>19</v>
      </c>
      <c r="G1863" t="s">
        <v>19</v>
      </c>
      <c r="H1863" t="s">
        <v>82</v>
      </c>
      <c r="I1863" t="s">
        <v>4555</v>
      </c>
      <c r="J1863">
        <v>66</v>
      </c>
      <c r="K1863" t="s">
        <v>84</v>
      </c>
      <c r="L1863" t="s">
        <v>85</v>
      </c>
      <c r="M1863" t="s">
        <v>86</v>
      </c>
      <c r="N1863">
        <v>3</v>
      </c>
      <c r="O1863" s="1">
        <v>44201.223310185182</v>
      </c>
      <c r="P1863" s="1">
        <v>44201.44908564815</v>
      </c>
      <c r="Q1863">
        <v>18316</v>
      </c>
      <c r="R1863">
        <v>1191</v>
      </c>
      <c r="S1863" t="b">
        <v>0</v>
      </c>
      <c r="T1863" t="s">
        <v>87</v>
      </c>
      <c r="U1863" t="b">
        <v>0</v>
      </c>
      <c r="V1863" t="s">
        <v>88</v>
      </c>
      <c r="W1863" s="1">
        <v>44201.244502314818</v>
      </c>
      <c r="X1863">
        <v>767</v>
      </c>
      <c r="Y1863">
        <v>52</v>
      </c>
      <c r="Z1863">
        <v>0</v>
      </c>
      <c r="AA1863">
        <v>52</v>
      </c>
      <c r="AB1863">
        <v>0</v>
      </c>
      <c r="AC1863">
        <v>34</v>
      </c>
      <c r="AD1863">
        <v>14</v>
      </c>
      <c r="AE1863">
        <v>0</v>
      </c>
      <c r="AF1863">
        <v>0</v>
      </c>
      <c r="AG1863">
        <v>0</v>
      </c>
      <c r="AH1863" t="s">
        <v>94</v>
      </c>
      <c r="AI1863" s="1">
        <v>44201.345520833333</v>
      </c>
      <c r="AJ1863">
        <v>413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14</v>
      </c>
      <c r="AQ1863">
        <v>0</v>
      </c>
      <c r="AR1863">
        <v>0</v>
      </c>
      <c r="AS1863">
        <v>0</v>
      </c>
      <c r="AT1863" t="s">
        <v>90</v>
      </c>
      <c r="AU1863" s="1">
        <v>44201.44908564815</v>
      </c>
      <c r="AV1863">
        <v>11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14</v>
      </c>
      <c r="BC1863">
        <v>0</v>
      </c>
      <c r="BD1863">
        <v>0</v>
      </c>
      <c r="BE1863">
        <v>0</v>
      </c>
    </row>
    <row r="1864" spans="1:57" x14ac:dyDescent="0.45">
      <c r="A1864" t="s">
        <v>4556</v>
      </c>
      <c r="B1864" t="s">
        <v>79</v>
      </c>
      <c r="C1864" t="s">
        <v>2757</v>
      </c>
      <c r="D1864" t="s">
        <v>81</v>
      </c>
      <c r="E1864" s="2" t="str">
        <f>HYPERLINK("capsilon://?command=openfolder&amp;siteaddress=FAM.docvelocity-na8.net&amp;folderid=FX1E64DCAB-55F9-2156-A733-F203019180AD","FX20126308")</f>
        <v>FX20126308</v>
      </c>
      <c r="F1864" t="s">
        <v>19</v>
      </c>
      <c r="G1864" t="s">
        <v>19</v>
      </c>
      <c r="H1864" t="s">
        <v>82</v>
      </c>
      <c r="I1864" t="s">
        <v>4350</v>
      </c>
      <c r="J1864">
        <v>38</v>
      </c>
      <c r="K1864" t="s">
        <v>84</v>
      </c>
      <c r="L1864" t="s">
        <v>85</v>
      </c>
      <c r="M1864" t="s">
        <v>86</v>
      </c>
      <c r="N1864">
        <v>3</v>
      </c>
      <c r="O1864" s="1">
        <v>44201.229675925926</v>
      </c>
      <c r="P1864" s="1">
        <v>44201.34648148148</v>
      </c>
      <c r="Q1864">
        <v>8345</v>
      </c>
      <c r="R1864">
        <v>1747</v>
      </c>
      <c r="S1864" t="b">
        <v>0</v>
      </c>
      <c r="T1864" t="s">
        <v>87</v>
      </c>
      <c r="U1864" t="b">
        <v>1</v>
      </c>
      <c r="V1864" t="s">
        <v>88</v>
      </c>
      <c r="W1864" s="1">
        <v>44201.235613425924</v>
      </c>
      <c r="X1864">
        <v>437</v>
      </c>
      <c r="Y1864">
        <v>37</v>
      </c>
      <c r="Z1864">
        <v>0</v>
      </c>
      <c r="AA1864">
        <v>37</v>
      </c>
      <c r="AB1864">
        <v>0</v>
      </c>
      <c r="AC1864">
        <v>15</v>
      </c>
      <c r="AD1864">
        <v>1</v>
      </c>
      <c r="AE1864">
        <v>0</v>
      </c>
      <c r="AF1864">
        <v>0</v>
      </c>
      <c r="AG1864">
        <v>0</v>
      </c>
      <c r="AH1864" t="s">
        <v>94</v>
      </c>
      <c r="AI1864" s="1">
        <v>44201.263865740744</v>
      </c>
      <c r="AJ1864">
        <v>1305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 t="s">
        <v>90</v>
      </c>
      <c r="AU1864" s="1">
        <v>44201.34648148148</v>
      </c>
      <c r="AV1864">
        <v>5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</row>
    <row r="1865" spans="1:57" x14ac:dyDescent="0.45">
      <c r="A1865" t="s">
        <v>4557</v>
      </c>
      <c r="B1865" t="s">
        <v>79</v>
      </c>
      <c r="C1865" t="s">
        <v>4558</v>
      </c>
      <c r="D1865" t="s">
        <v>81</v>
      </c>
      <c r="E1865" s="2" t="str">
        <f>HYPERLINK("capsilon://?command=openfolder&amp;siteaddress=FAM.docvelocity-na8.net&amp;folderid=FXB6953BC1-A179-3658-3D94-FC7A83A88109","FX201222502")</f>
        <v>FX201222502</v>
      </c>
      <c r="F1865" t="s">
        <v>19</v>
      </c>
      <c r="G1865" t="s">
        <v>19</v>
      </c>
      <c r="H1865" t="s">
        <v>82</v>
      </c>
      <c r="I1865" t="s">
        <v>4559</v>
      </c>
      <c r="J1865">
        <v>38</v>
      </c>
      <c r="K1865" t="s">
        <v>84</v>
      </c>
      <c r="L1865" t="s">
        <v>85</v>
      </c>
      <c r="M1865" t="s">
        <v>86</v>
      </c>
      <c r="N1865">
        <v>3</v>
      </c>
      <c r="O1865" s="1">
        <v>44216.554722222223</v>
      </c>
      <c r="P1865" s="1">
        <v>44216.614884259259</v>
      </c>
      <c r="Q1865">
        <v>3733</v>
      </c>
      <c r="R1865">
        <v>1465</v>
      </c>
      <c r="S1865" t="b">
        <v>0</v>
      </c>
      <c r="T1865" t="s">
        <v>87</v>
      </c>
      <c r="U1865" t="b">
        <v>0</v>
      </c>
      <c r="V1865" t="s">
        <v>146</v>
      </c>
      <c r="W1865" s="1">
        <v>44216.571180555555</v>
      </c>
      <c r="X1865">
        <v>1397</v>
      </c>
      <c r="Y1865">
        <v>37</v>
      </c>
      <c r="Z1865">
        <v>0</v>
      </c>
      <c r="AA1865">
        <v>37</v>
      </c>
      <c r="AB1865">
        <v>0</v>
      </c>
      <c r="AC1865">
        <v>35</v>
      </c>
      <c r="AD1865">
        <v>1</v>
      </c>
      <c r="AE1865">
        <v>0</v>
      </c>
      <c r="AF1865">
        <v>0</v>
      </c>
      <c r="AG1865">
        <v>0</v>
      </c>
      <c r="AH1865" t="s">
        <v>132</v>
      </c>
      <c r="AI1865" s="1">
        <v>44216.584537037037</v>
      </c>
      <c r="AJ1865">
        <v>56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 t="s">
        <v>90</v>
      </c>
      <c r="AU1865" s="1">
        <v>44216.614884259259</v>
      </c>
      <c r="AV1865">
        <v>12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</row>
    <row r="1866" spans="1:57" hidden="1" x14ac:dyDescent="0.45">
      <c r="A1866" t="s">
        <v>4560</v>
      </c>
      <c r="B1866" t="s">
        <v>79</v>
      </c>
      <c r="C1866" t="s">
        <v>4077</v>
      </c>
      <c r="D1866" t="s">
        <v>81</v>
      </c>
      <c r="E1866" s="2" t="str">
        <f>HYPERLINK("capsilon://?command=openfolder&amp;siteaddress=FAM.docvelocity-na8.net&amp;folderid=FX455AF7F1-6D61-8552-1985-1BFEF3B6C9B2","FX201111288")</f>
        <v>FX201111288</v>
      </c>
      <c r="F1866" t="s">
        <v>19</v>
      </c>
      <c r="G1866" t="s">
        <v>19</v>
      </c>
      <c r="H1866" t="s">
        <v>82</v>
      </c>
      <c r="I1866" t="s">
        <v>4561</v>
      </c>
      <c r="J1866">
        <v>66</v>
      </c>
      <c r="K1866" t="s">
        <v>84</v>
      </c>
      <c r="L1866" t="s">
        <v>85</v>
      </c>
      <c r="M1866" t="s">
        <v>86</v>
      </c>
      <c r="N1866">
        <v>1</v>
      </c>
      <c r="O1866" s="1">
        <v>44216.555162037039</v>
      </c>
      <c r="P1866" s="1">
        <v>44216.557557870372</v>
      </c>
      <c r="Q1866">
        <v>115</v>
      </c>
      <c r="R1866">
        <v>92</v>
      </c>
      <c r="S1866" t="b">
        <v>0</v>
      </c>
      <c r="T1866" t="s">
        <v>87</v>
      </c>
      <c r="U1866" t="b">
        <v>0</v>
      </c>
      <c r="V1866" t="s">
        <v>343</v>
      </c>
      <c r="W1866" s="1">
        <v>44216.557557870372</v>
      </c>
      <c r="X1866">
        <v>92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66</v>
      </c>
      <c r="AE1866">
        <v>52</v>
      </c>
      <c r="AF1866">
        <v>0</v>
      </c>
      <c r="AG1866">
        <v>1</v>
      </c>
      <c r="AH1866" t="s">
        <v>87</v>
      </c>
      <c r="AI1866" t="s">
        <v>87</v>
      </c>
      <c r="AJ1866" t="s">
        <v>87</v>
      </c>
      <c r="AK1866" t="s">
        <v>87</v>
      </c>
      <c r="AL1866" t="s">
        <v>87</v>
      </c>
      <c r="AM1866" t="s">
        <v>87</v>
      </c>
      <c r="AN1866" t="s">
        <v>87</v>
      </c>
      <c r="AO1866" t="s">
        <v>87</v>
      </c>
      <c r="AP1866" t="s">
        <v>87</v>
      </c>
      <c r="AQ1866" t="s">
        <v>87</v>
      </c>
      <c r="AR1866" t="s">
        <v>87</v>
      </c>
      <c r="AS1866" t="s">
        <v>87</v>
      </c>
      <c r="AT1866" t="s">
        <v>87</v>
      </c>
      <c r="AU1866" t="s">
        <v>87</v>
      </c>
      <c r="AV1866" t="s">
        <v>87</v>
      </c>
      <c r="AW1866" t="s">
        <v>87</v>
      </c>
      <c r="AX1866" t="s">
        <v>87</v>
      </c>
      <c r="AY1866" t="s">
        <v>87</v>
      </c>
      <c r="AZ1866" t="s">
        <v>87</v>
      </c>
      <c r="BA1866" t="s">
        <v>87</v>
      </c>
      <c r="BB1866" t="s">
        <v>87</v>
      </c>
      <c r="BC1866" t="s">
        <v>87</v>
      </c>
      <c r="BD1866" t="s">
        <v>87</v>
      </c>
      <c r="BE1866" t="s">
        <v>87</v>
      </c>
    </row>
    <row r="1867" spans="1:57" x14ac:dyDescent="0.45">
      <c r="A1867" t="s">
        <v>4562</v>
      </c>
      <c r="B1867" t="s">
        <v>79</v>
      </c>
      <c r="C1867" t="s">
        <v>4563</v>
      </c>
      <c r="D1867" t="s">
        <v>81</v>
      </c>
      <c r="E1867" s="2" t="str">
        <f>HYPERLINK("capsilon://?command=openfolder&amp;siteaddress=FAM.docvelocity-na8.net&amp;folderid=FXDB32D2DB-C9E4-37AB-7F6A-CA6CA1D5C295","FX21019472")</f>
        <v>FX21019472</v>
      </c>
      <c r="F1867" t="s">
        <v>19</v>
      </c>
      <c r="G1867" t="s">
        <v>19</v>
      </c>
      <c r="H1867" t="s">
        <v>82</v>
      </c>
      <c r="I1867" t="s">
        <v>4564</v>
      </c>
      <c r="J1867">
        <v>201</v>
      </c>
      <c r="K1867" t="s">
        <v>84</v>
      </c>
      <c r="L1867" t="s">
        <v>85</v>
      </c>
      <c r="M1867" t="s">
        <v>86</v>
      </c>
      <c r="N1867">
        <v>3</v>
      </c>
      <c r="O1867" s="1">
        <v>44216.557083333333</v>
      </c>
      <c r="P1867" s="1">
        <v>44216.615358796298</v>
      </c>
      <c r="Q1867">
        <v>2964</v>
      </c>
      <c r="R1867">
        <v>2071</v>
      </c>
      <c r="S1867" t="b">
        <v>0</v>
      </c>
      <c r="T1867" t="s">
        <v>87</v>
      </c>
      <c r="U1867" t="b">
        <v>0</v>
      </c>
      <c r="V1867" t="s">
        <v>160</v>
      </c>
      <c r="W1867" s="1">
        <v>44216.57916666667</v>
      </c>
      <c r="X1867">
        <v>1690</v>
      </c>
      <c r="Y1867">
        <v>128</v>
      </c>
      <c r="Z1867">
        <v>0</v>
      </c>
      <c r="AA1867">
        <v>128</v>
      </c>
      <c r="AB1867">
        <v>37</v>
      </c>
      <c r="AC1867">
        <v>102</v>
      </c>
      <c r="AD1867">
        <v>73</v>
      </c>
      <c r="AE1867">
        <v>0</v>
      </c>
      <c r="AF1867">
        <v>0</v>
      </c>
      <c r="AG1867">
        <v>0</v>
      </c>
      <c r="AH1867" t="s">
        <v>132</v>
      </c>
      <c r="AI1867" s="1">
        <v>44216.588090277779</v>
      </c>
      <c r="AJ1867">
        <v>306</v>
      </c>
      <c r="AK1867">
        <v>10</v>
      </c>
      <c r="AL1867">
        <v>0</v>
      </c>
      <c r="AM1867">
        <v>10</v>
      </c>
      <c r="AN1867">
        <v>37</v>
      </c>
      <c r="AO1867">
        <v>9</v>
      </c>
      <c r="AP1867">
        <v>63</v>
      </c>
      <c r="AQ1867">
        <v>0</v>
      </c>
      <c r="AR1867">
        <v>0</v>
      </c>
      <c r="AS1867">
        <v>0</v>
      </c>
      <c r="AT1867" t="s">
        <v>90</v>
      </c>
      <c r="AU1867" s="1">
        <v>44216.615358796298</v>
      </c>
      <c r="AV1867">
        <v>40</v>
      </c>
      <c r="AW1867">
        <v>0</v>
      </c>
      <c r="AX1867">
        <v>0</v>
      </c>
      <c r="AY1867">
        <v>0</v>
      </c>
      <c r="AZ1867">
        <v>37</v>
      </c>
      <c r="BA1867">
        <v>0</v>
      </c>
      <c r="BB1867">
        <v>63</v>
      </c>
      <c r="BC1867">
        <v>0</v>
      </c>
      <c r="BD1867">
        <v>0</v>
      </c>
      <c r="BE1867">
        <v>0</v>
      </c>
    </row>
    <row r="1868" spans="1:57" x14ac:dyDescent="0.45">
      <c r="A1868" t="s">
        <v>4565</v>
      </c>
      <c r="B1868" t="s">
        <v>79</v>
      </c>
      <c r="C1868" t="s">
        <v>4077</v>
      </c>
      <c r="D1868" t="s">
        <v>81</v>
      </c>
      <c r="E1868" s="2" t="str">
        <f>HYPERLINK("capsilon://?command=openfolder&amp;siteaddress=FAM.docvelocity-na8.net&amp;folderid=FX455AF7F1-6D61-8552-1985-1BFEF3B6C9B2","FX201111288")</f>
        <v>FX201111288</v>
      </c>
      <c r="F1868" t="s">
        <v>19</v>
      </c>
      <c r="G1868" t="s">
        <v>19</v>
      </c>
      <c r="H1868" t="s">
        <v>82</v>
      </c>
      <c r="I1868" t="s">
        <v>4561</v>
      </c>
      <c r="J1868">
        <v>38</v>
      </c>
      <c r="K1868" t="s">
        <v>84</v>
      </c>
      <c r="L1868" t="s">
        <v>85</v>
      </c>
      <c r="M1868" t="s">
        <v>86</v>
      </c>
      <c r="N1868">
        <v>3</v>
      </c>
      <c r="O1868" s="1">
        <v>44216.557789351849</v>
      </c>
      <c r="P1868" s="1">
        <v>44216.571423611109</v>
      </c>
      <c r="Q1868">
        <v>372</v>
      </c>
      <c r="R1868">
        <v>806</v>
      </c>
      <c r="S1868" t="b">
        <v>0</v>
      </c>
      <c r="T1868" t="s">
        <v>87</v>
      </c>
      <c r="U1868" t="b">
        <v>1</v>
      </c>
      <c r="V1868" t="s">
        <v>343</v>
      </c>
      <c r="W1868" s="1">
        <v>44216.566377314812</v>
      </c>
      <c r="X1868">
        <v>738</v>
      </c>
      <c r="Y1868">
        <v>37</v>
      </c>
      <c r="Z1868">
        <v>0</v>
      </c>
      <c r="AA1868">
        <v>37</v>
      </c>
      <c r="AB1868">
        <v>0</v>
      </c>
      <c r="AC1868">
        <v>24</v>
      </c>
      <c r="AD1868">
        <v>1</v>
      </c>
      <c r="AE1868">
        <v>0</v>
      </c>
      <c r="AF1868">
        <v>0</v>
      </c>
      <c r="AG1868">
        <v>0</v>
      </c>
      <c r="AH1868" t="s">
        <v>132</v>
      </c>
      <c r="AI1868" s="1">
        <v>44216.569490740738</v>
      </c>
      <c r="AJ1868">
        <v>62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 t="s">
        <v>90</v>
      </c>
      <c r="AU1868" s="1">
        <v>44216.571423611109</v>
      </c>
      <c r="AV1868">
        <v>6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</row>
    <row r="1869" spans="1:57" x14ac:dyDescent="0.45">
      <c r="A1869" t="s">
        <v>4566</v>
      </c>
      <c r="B1869" t="s">
        <v>79</v>
      </c>
      <c r="C1869" t="s">
        <v>4567</v>
      </c>
      <c r="D1869" t="s">
        <v>81</v>
      </c>
      <c r="E1869" s="2" t="str">
        <f>HYPERLINK("capsilon://?command=openfolder&amp;siteaddress=FAM.docvelocity-na8.net&amp;folderid=FX1F439205-ED6E-C588-54F6-35A4F7308672","FX201110440")</f>
        <v>FX201110440</v>
      </c>
      <c r="F1869" t="s">
        <v>19</v>
      </c>
      <c r="G1869" t="s">
        <v>19</v>
      </c>
      <c r="H1869" t="s">
        <v>82</v>
      </c>
      <c r="I1869" t="s">
        <v>4568</v>
      </c>
      <c r="J1869">
        <v>441</v>
      </c>
      <c r="K1869" t="s">
        <v>84</v>
      </c>
      <c r="L1869" t="s">
        <v>85</v>
      </c>
      <c r="M1869" t="s">
        <v>81</v>
      </c>
      <c r="N1869">
        <v>3</v>
      </c>
      <c r="O1869" s="1">
        <v>44201.233530092592</v>
      </c>
      <c r="P1869" s="1">
        <v>44201.350717592592</v>
      </c>
      <c r="Q1869">
        <v>9987</v>
      </c>
      <c r="R1869">
        <v>138</v>
      </c>
      <c r="S1869" t="b">
        <v>0</v>
      </c>
      <c r="T1869" t="s">
        <v>2541</v>
      </c>
      <c r="U1869" t="b">
        <v>0</v>
      </c>
      <c r="V1869" t="s">
        <v>88</v>
      </c>
      <c r="W1869" s="1">
        <v>44201.245740740742</v>
      </c>
      <c r="X1869">
        <v>106</v>
      </c>
      <c r="Y1869">
        <v>98</v>
      </c>
      <c r="Z1869">
        <v>0</v>
      </c>
      <c r="AA1869">
        <v>98</v>
      </c>
      <c r="AB1869">
        <v>0</v>
      </c>
      <c r="AC1869">
        <v>0</v>
      </c>
      <c r="AD1869">
        <v>343</v>
      </c>
      <c r="AE1869">
        <v>0</v>
      </c>
      <c r="AF1869">
        <v>0</v>
      </c>
      <c r="AG1869">
        <v>0</v>
      </c>
      <c r="AH1869" t="s">
        <v>94</v>
      </c>
      <c r="AI1869" s="1">
        <v>44201.34584490741</v>
      </c>
      <c r="AJ1869">
        <v>28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343</v>
      </c>
      <c r="AQ1869">
        <v>0</v>
      </c>
      <c r="AR1869">
        <v>0</v>
      </c>
      <c r="AS1869">
        <v>0</v>
      </c>
      <c r="AT1869" t="s">
        <v>2541</v>
      </c>
      <c r="AU1869" s="1">
        <v>44201.350717592592</v>
      </c>
      <c r="AV1869">
        <v>4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343</v>
      </c>
      <c r="BC1869">
        <v>0</v>
      </c>
      <c r="BD1869">
        <v>0</v>
      </c>
      <c r="BE1869">
        <v>0</v>
      </c>
    </row>
    <row r="1870" spans="1:57" x14ac:dyDescent="0.45">
      <c r="A1870" t="s">
        <v>4569</v>
      </c>
      <c r="B1870" t="s">
        <v>79</v>
      </c>
      <c r="C1870" t="s">
        <v>4549</v>
      </c>
      <c r="D1870" t="s">
        <v>81</v>
      </c>
      <c r="E1870" s="2" t="str">
        <f>HYPERLINK("capsilon://?command=openfolder&amp;siteaddress=FAM.docvelocity-na8.net&amp;folderid=FX0B6A10F0-0AE7-F00F-3092-11A7DF897953","FX20114907")</f>
        <v>FX20114907</v>
      </c>
      <c r="F1870" t="s">
        <v>19</v>
      </c>
      <c r="G1870" t="s">
        <v>19</v>
      </c>
      <c r="H1870" t="s">
        <v>82</v>
      </c>
      <c r="I1870" t="s">
        <v>4550</v>
      </c>
      <c r="J1870">
        <v>62</v>
      </c>
      <c r="K1870" t="s">
        <v>84</v>
      </c>
      <c r="L1870" t="s">
        <v>85</v>
      </c>
      <c r="M1870" t="s">
        <v>86</v>
      </c>
      <c r="N1870">
        <v>3</v>
      </c>
      <c r="O1870" s="1">
        <v>44216.558564814812</v>
      </c>
      <c r="P1870" s="1">
        <v>44216.607395833336</v>
      </c>
      <c r="Q1870">
        <v>1106</v>
      </c>
      <c r="R1870">
        <v>3113</v>
      </c>
      <c r="S1870" t="b">
        <v>0</v>
      </c>
      <c r="T1870" t="s">
        <v>87</v>
      </c>
      <c r="U1870" t="b">
        <v>1</v>
      </c>
      <c r="V1870" t="s">
        <v>168</v>
      </c>
      <c r="W1870" s="1">
        <v>44216.585694444446</v>
      </c>
      <c r="X1870">
        <v>2341</v>
      </c>
      <c r="Y1870">
        <v>96</v>
      </c>
      <c r="Z1870">
        <v>0</v>
      </c>
      <c r="AA1870">
        <v>96</v>
      </c>
      <c r="AB1870">
        <v>0</v>
      </c>
      <c r="AC1870">
        <v>79</v>
      </c>
      <c r="AD1870">
        <v>-34</v>
      </c>
      <c r="AE1870">
        <v>0</v>
      </c>
      <c r="AF1870">
        <v>0</v>
      </c>
      <c r="AG1870">
        <v>0</v>
      </c>
      <c r="AH1870" t="s">
        <v>132</v>
      </c>
      <c r="AI1870" s="1">
        <v>44216.596458333333</v>
      </c>
      <c r="AJ1870">
        <v>723</v>
      </c>
      <c r="AK1870">
        <v>2</v>
      </c>
      <c r="AL1870">
        <v>0</v>
      </c>
      <c r="AM1870">
        <v>2</v>
      </c>
      <c r="AN1870">
        <v>0</v>
      </c>
      <c r="AO1870">
        <v>1</v>
      </c>
      <c r="AP1870">
        <v>-36</v>
      </c>
      <c r="AQ1870">
        <v>0</v>
      </c>
      <c r="AR1870">
        <v>0</v>
      </c>
      <c r="AS1870">
        <v>0</v>
      </c>
      <c r="AT1870" t="s">
        <v>90</v>
      </c>
      <c r="AU1870" s="1">
        <v>44216.607395833336</v>
      </c>
      <c r="AV1870">
        <v>49</v>
      </c>
      <c r="AW1870">
        <v>0</v>
      </c>
      <c r="AX1870">
        <v>0</v>
      </c>
      <c r="AY1870">
        <v>0</v>
      </c>
      <c r="AZ1870">
        <v>38</v>
      </c>
      <c r="BA1870">
        <v>0</v>
      </c>
      <c r="BB1870">
        <v>-36</v>
      </c>
      <c r="BC1870">
        <v>0</v>
      </c>
      <c r="BD1870">
        <v>0</v>
      </c>
      <c r="BE1870">
        <v>0</v>
      </c>
    </row>
    <row r="1871" spans="1:57" x14ac:dyDescent="0.45">
      <c r="A1871" t="s">
        <v>4570</v>
      </c>
      <c r="B1871" t="s">
        <v>79</v>
      </c>
      <c r="C1871" t="s">
        <v>680</v>
      </c>
      <c r="D1871" t="s">
        <v>81</v>
      </c>
      <c r="E1871" s="2" t="str">
        <f>HYPERLINK("capsilon://?command=openfolder&amp;siteaddress=FAM.docvelocity-na8.net&amp;folderid=FX7A9ADC13-8450-EE0D-B7B2-8CCC230C24E9","FX20122320")</f>
        <v>FX20122320</v>
      </c>
      <c r="F1871" t="s">
        <v>19</v>
      </c>
      <c r="G1871" t="s">
        <v>19</v>
      </c>
      <c r="H1871" t="s">
        <v>82</v>
      </c>
      <c r="I1871" t="s">
        <v>4571</v>
      </c>
      <c r="J1871">
        <v>38</v>
      </c>
      <c r="K1871" t="s">
        <v>84</v>
      </c>
      <c r="L1871" t="s">
        <v>85</v>
      </c>
      <c r="M1871" t="s">
        <v>86</v>
      </c>
      <c r="N1871">
        <v>3</v>
      </c>
      <c r="O1871" s="1">
        <v>44216.55878472222</v>
      </c>
      <c r="P1871" s="1">
        <v>44216.615416666667</v>
      </c>
      <c r="Q1871">
        <v>4231</v>
      </c>
      <c r="R1871">
        <v>662</v>
      </c>
      <c r="S1871" t="b">
        <v>0</v>
      </c>
      <c r="T1871" t="s">
        <v>87</v>
      </c>
      <c r="U1871" t="b">
        <v>0</v>
      </c>
      <c r="V1871" t="s">
        <v>259</v>
      </c>
      <c r="W1871" s="1">
        <v>44216.566238425927</v>
      </c>
      <c r="X1871">
        <v>419</v>
      </c>
      <c r="Y1871">
        <v>37</v>
      </c>
      <c r="Z1871">
        <v>0</v>
      </c>
      <c r="AA1871">
        <v>37</v>
      </c>
      <c r="AB1871">
        <v>0</v>
      </c>
      <c r="AC1871">
        <v>35</v>
      </c>
      <c r="AD1871">
        <v>1</v>
      </c>
      <c r="AE1871">
        <v>0</v>
      </c>
      <c r="AF1871">
        <v>0</v>
      </c>
      <c r="AG1871">
        <v>0</v>
      </c>
      <c r="AH1871" t="s">
        <v>128</v>
      </c>
      <c r="AI1871" s="1">
        <v>44216.601006944446</v>
      </c>
      <c r="AJ1871">
        <v>238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 t="s">
        <v>90</v>
      </c>
      <c r="AU1871" s="1">
        <v>44216.615416666667</v>
      </c>
      <c r="AV1871">
        <v>5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</row>
    <row r="1872" spans="1:57" x14ac:dyDescent="0.45">
      <c r="A1872" t="s">
        <v>4572</v>
      </c>
      <c r="B1872" t="s">
        <v>79</v>
      </c>
      <c r="C1872" t="s">
        <v>4573</v>
      </c>
      <c r="D1872" t="s">
        <v>81</v>
      </c>
      <c r="E1872" s="2" t="str">
        <f>HYPERLINK("capsilon://?command=openfolder&amp;siteaddress=FAM.docvelocity-na8.net&amp;folderid=FX0BB04FB7-8862-AE41-E2F8-3C54ED46586A","FX20093898")</f>
        <v>FX20093898</v>
      </c>
      <c r="F1872" t="s">
        <v>19</v>
      </c>
      <c r="G1872" t="s">
        <v>19</v>
      </c>
      <c r="H1872" t="s">
        <v>82</v>
      </c>
      <c r="I1872" t="s">
        <v>4574</v>
      </c>
      <c r="J1872">
        <v>882</v>
      </c>
      <c r="K1872" t="s">
        <v>84</v>
      </c>
      <c r="L1872" t="s">
        <v>85</v>
      </c>
      <c r="M1872" t="s">
        <v>81</v>
      </c>
      <c r="N1872">
        <v>3</v>
      </c>
      <c r="O1872" s="1">
        <v>44201.240243055552</v>
      </c>
      <c r="P1872" s="1">
        <v>44201.352881944447</v>
      </c>
      <c r="Q1872">
        <v>9596</v>
      </c>
      <c r="R1872">
        <v>136</v>
      </c>
      <c r="S1872" t="b">
        <v>0</v>
      </c>
      <c r="T1872" t="s">
        <v>2541</v>
      </c>
      <c r="U1872" t="b">
        <v>0</v>
      </c>
      <c r="V1872" t="s">
        <v>419</v>
      </c>
      <c r="W1872" s="1">
        <v>44201.246157407404</v>
      </c>
      <c r="X1872">
        <v>94</v>
      </c>
      <c r="Y1872">
        <v>196</v>
      </c>
      <c r="Z1872">
        <v>0</v>
      </c>
      <c r="AA1872">
        <v>196</v>
      </c>
      <c r="AB1872">
        <v>0</v>
      </c>
      <c r="AC1872">
        <v>0</v>
      </c>
      <c r="AD1872">
        <v>686</v>
      </c>
      <c r="AE1872">
        <v>0</v>
      </c>
      <c r="AF1872">
        <v>0</v>
      </c>
      <c r="AG1872">
        <v>0</v>
      </c>
      <c r="AH1872" t="s">
        <v>94</v>
      </c>
      <c r="AI1872" s="1">
        <v>44201.346250000002</v>
      </c>
      <c r="AJ1872">
        <v>34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686</v>
      </c>
      <c r="AQ1872">
        <v>0</v>
      </c>
      <c r="AR1872">
        <v>0</v>
      </c>
      <c r="AS1872">
        <v>0</v>
      </c>
      <c r="AT1872" t="s">
        <v>2541</v>
      </c>
      <c r="AU1872" s="1">
        <v>44201.352881944447</v>
      </c>
      <c r="AV1872">
        <v>8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686</v>
      </c>
      <c r="BC1872">
        <v>0</v>
      </c>
      <c r="BD1872">
        <v>0</v>
      </c>
      <c r="BE1872">
        <v>0</v>
      </c>
    </row>
    <row r="1873" spans="1:57" x14ac:dyDescent="0.45">
      <c r="A1873" t="s">
        <v>4575</v>
      </c>
      <c r="B1873" t="s">
        <v>79</v>
      </c>
      <c r="C1873" t="s">
        <v>4576</v>
      </c>
      <c r="D1873" t="s">
        <v>81</v>
      </c>
      <c r="E1873" s="2" t="str">
        <f>HYPERLINK("capsilon://?command=openfolder&amp;siteaddress=FAM.docvelocity-na8.net&amp;folderid=FXDD9E33D1-4FC9-C36F-19E6-B3009F24DD09","FX21018005")</f>
        <v>FX21018005</v>
      </c>
      <c r="F1873" t="s">
        <v>19</v>
      </c>
      <c r="G1873" t="s">
        <v>19</v>
      </c>
      <c r="H1873" t="s">
        <v>82</v>
      </c>
      <c r="I1873" t="s">
        <v>4577</v>
      </c>
      <c r="J1873">
        <v>252</v>
      </c>
      <c r="K1873" t="s">
        <v>84</v>
      </c>
      <c r="L1873" t="s">
        <v>85</v>
      </c>
      <c r="M1873" t="s">
        <v>86</v>
      </c>
      <c r="N1873">
        <v>3</v>
      </c>
      <c r="O1873" s="1">
        <v>44216.55914351852</v>
      </c>
      <c r="P1873" s="1">
        <v>44216.616099537037</v>
      </c>
      <c r="Q1873">
        <v>3558</v>
      </c>
      <c r="R1873">
        <v>1363</v>
      </c>
      <c r="S1873" t="b">
        <v>0</v>
      </c>
      <c r="T1873" t="s">
        <v>87</v>
      </c>
      <c r="U1873" t="b">
        <v>0</v>
      </c>
      <c r="V1873" t="s">
        <v>255</v>
      </c>
      <c r="W1873" s="1">
        <v>44216.572326388887</v>
      </c>
      <c r="X1873">
        <v>794</v>
      </c>
      <c r="Y1873">
        <v>252</v>
      </c>
      <c r="Z1873">
        <v>0</v>
      </c>
      <c r="AA1873">
        <v>252</v>
      </c>
      <c r="AB1873">
        <v>0</v>
      </c>
      <c r="AC1873">
        <v>110</v>
      </c>
      <c r="AD1873">
        <v>0</v>
      </c>
      <c r="AE1873">
        <v>0</v>
      </c>
      <c r="AF1873">
        <v>0</v>
      </c>
      <c r="AG1873">
        <v>0</v>
      </c>
      <c r="AH1873" t="s">
        <v>132</v>
      </c>
      <c r="AI1873" s="1">
        <v>44216.606446759259</v>
      </c>
      <c r="AJ1873">
        <v>487</v>
      </c>
      <c r="AK1873">
        <v>2</v>
      </c>
      <c r="AL1873">
        <v>0</v>
      </c>
      <c r="AM1873">
        <v>2</v>
      </c>
      <c r="AN1873">
        <v>0</v>
      </c>
      <c r="AO1873">
        <v>1</v>
      </c>
      <c r="AP1873">
        <v>-2</v>
      </c>
      <c r="AQ1873">
        <v>0</v>
      </c>
      <c r="AR1873">
        <v>0</v>
      </c>
      <c r="AS1873">
        <v>0</v>
      </c>
      <c r="AT1873" t="s">
        <v>90</v>
      </c>
      <c r="AU1873" s="1">
        <v>44216.616099537037</v>
      </c>
      <c r="AV1873">
        <v>59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-2</v>
      </c>
      <c r="BC1873">
        <v>0</v>
      </c>
      <c r="BD1873">
        <v>0</v>
      </c>
      <c r="BE1873">
        <v>0</v>
      </c>
    </row>
    <row r="1874" spans="1:57" x14ac:dyDescent="0.45">
      <c r="A1874" t="s">
        <v>4578</v>
      </c>
      <c r="B1874" t="s">
        <v>79</v>
      </c>
      <c r="C1874" t="s">
        <v>4579</v>
      </c>
      <c r="D1874" t="s">
        <v>81</v>
      </c>
      <c r="E1874" s="2" t="str">
        <f>HYPERLINK("capsilon://?command=openfolder&amp;siteaddress=FAM.docvelocity-na8.net&amp;folderid=FX8A2E5F11-3B11-D9C3-84B2-58512734739C","FX200516907")</f>
        <v>FX200516907</v>
      </c>
      <c r="F1874" t="s">
        <v>19</v>
      </c>
      <c r="G1874" t="s">
        <v>19</v>
      </c>
      <c r="H1874" t="s">
        <v>82</v>
      </c>
      <c r="I1874" t="s">
        <v>4580</v>
      </c>
      <c r="J1874">
        <v>441</v>
      </c>
      <c r="K1874" t="s">
        <v>84</v>
      </c>
      <c r="L1874" t="s">
        <v>85</v>
      </c>
      <c r="M1874" t="s">
        <v>81</v>
      </c>
      <c r="N1874">
        <v>3</v>
      </c>
      <c r="O1874" s="1">
        <v>44201.243402777778</v>
      </c>
      <c r="P1874" s="1">
        <v>44201.353090277778</v>
      </c>
      <c r="Q1874">
        <v>9368</v>
      </c>
      <c r="R1874">
        <v>109</v>
      </c>
      <c r="S1874" t="b">
        <v>0</v>
      </c>
      <c r="T1874" t="s">
        <v>2541</v>
      </c>
      <c r="U1874" t="b">
        <v>0</v>
      </c>
      <c r="V1874" t="s">
        <v>88</v>
      </c>
      <c r="W1874" s="1">
        <v>44201.246701388889</v>
      </c>
      <c r="X1874">
        <v>82</v>
      </c>
      <c r="Y1874">
        <v>98</v>
      </c>
      <c r="Z1874">
        <v>0</v>
      </c>
      <c r="AA1874">
        <v>98</v>
      </c>
      <c r="AB1874">
        <v>0</v>
      </c>
      <c r="AC1874">
        <v>0</v>
      </c>
      <c r="AD1874">
        <v>343</v>
      </c>
      <c r="AE1874">
        <v>0</v>
      </c>
      <c r="AF1874">
        <v>0</v>
      </c>
      <c r="AG1874">
        <v>0</v>
      </c>
      <c r="AH1874" t="s">
        <v>94</v>
      </c>
      <c r="AI1874" s="1">
        <v>44201.34652777778</v>
      </c>
      <c r="AJ1874">
        <v>23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343</v>
      </c>
      <c r="AQ1874">
        <v>0</v>
      </c>
      <c r="AR1874">
        <v>0</v>
      </c>
      <c r="AS1874">
        <v>0</v>
      </c>
      <c r="AT1874" t="s">
        <v>2541</v>
      </c>
      <c r="AU1874" s="1">
        <v>44201.353090277778</v>
      </c>
      <c r="AV1874">
        <v>4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343</v>
      </c>
      <c r="BC1874">
        <v>0</v>
      </c>
      <c r="BD1874">
        <v>0</v>
      </c>
      <c r="BE1874">
        <v>0</v>
      </c>
    </row>
    <row r="1875" spans="1:57" x14ac:dyDescent="0.45">
      <c r="A1875" t="s">
        <v>4581</v>
      </c>
      <c r="B1875" t="s">
        <v>79</v>
      </c>
      <c r="C1875" t="s">
        <v>4582</v>
      </c>
      <c r="D1875" t="s">
        <v>81</v>
      </c>
      <c r="E1875" s="2" t="str">
        <f>HYPERLINK("capsilon://?command=openfolder&amp;siteaddress=FAM.docvelocity-na8.net&amp;folderid=FXA5797793-9B5A-DF19-32FD-D06824C291BF","FX201223738")</f>
        <v>FX201223738</v>
      </c>
      <c r="F1875" t="s">
        <v>19</v>
      </c>
      <c r="G1875" t="s">
        <v>19</v>
      </c>
      <c r="H1875" t="s">
        <v>82</v>
      </c>
      <c r="I1875" t="s">
        <v>4583</v>
      </c>
      <c r="J1875">
        <v>66</v>
      </c>
      <c r="K1875" t="s">
        <v>84</v>
      </c>
      <c r="L1875" t="s">
        <v>85</v>
      </c>
      <c r="M1875" t="s">
        <v>86</v>
      </c>
      <c r="N1875">
        <v>3</v>
      </c>
      <c r="O1875" s="1">
        <v>44201.25677083333</v>
      </c>
      <c r="P1875" s="1">
        <v>44201.449675925927</v>
      </c>
      <c r="Q1875">
        <v>15447</v>
      </c>
      <c r="R1875">
        <v>1220</v>
      </c>
      <c r="S1875" t="b">
        <v>0</v>
      </c>
      <c r="T1875" t="s">
        <v>87</v>
      </c>
      <c r="U1875" t="b">
        <v>0</v>
      </c>
      <c r="V1875" t="s">
        <v>88</v>
      </c>
      <c r="W1875" s="1">
        <v>44201.281238425923</v>
      </c>
      <c r="X1875">
        <v>754</v>
      </c>
      <c r="Y1875">
        <v>52</v>
      </c>
      <c r="Z1875">
        <v>0</v>
      </c>
      <c r="AA1875">
        <v>52</v>
      </c>
      <c r="AB1875">
        <v>0</v>
      </c>
      <c r="AC1875">
        <v>35</v>
      </c>
      <c r="AD1875">
        <v>14</v>
      </c>
      <c r="AE1875">
        <v>0</v>
      </c>
      <c r="AF1875">
        <v>0</v>
      </c>
      <c r="AG1875">
        <v>0</v>
      </c>
      <c r="AH1875" t="s">
        <v>94</v>
      </c>
      <c r="AI1875" s="1">
        <v>44201.351342592592</v>
      </c>
      <c r="AJ1875">
        <v>416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14</v>
      </c>
      <c r="AQ1875">
        <v>0</v>
      </c>
      <c r="AR1875">
        <v>0</v>
      </c>
      <c r="AS1875">
        <v>0</v>
      </c>
      <c r="AT1875" t="s">
        <v>90</v>
      </c>
      <c r="AU1875" s="1">
        <v>44201.449675925927</v>
      </c>
      <c r="AV1875">
        <v>50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14</v>
      </c>
      <c r="BC1875">
        <v>0</v>
      </c>
      <c r="BD1875">
        <v>0</v>
      </c>
      <c r="BE1875">
        <v>0</v>
      </c>
    </row>
    <row r="1876" spans="1:57" x14ac:dyDescent="0.45">
      <c r="A1876" t="s">
        <v>4584</v>
      </c>
      <c r="B1876" t="s">
        <v>79</v>
      </c>
      <c r="C1876" t="s">
        <v>4585</v>
      </c>
      <c r="D1876" t="s">
        <v>81</v>
      </c>
      <c r="E1876" s="2" t="str">
        <f>HYPERLINK("capsilon://?command=openfolder&amp;siteaddress=FAM.docvelocity-na8.net&amp;folderid=FX92CBF811-9CC3-4B54-F951-12EFC2105A51","FX21012831")</f>
        <v>FX21012831</v>
      </c>
      <c r="F1876" t="s">
        <v>19</v>
      </c>
      <c r="G1876" t="s">
        <v>19</v>
      </c>
      <c r="H1876" t="s">
        <v>82</v>
      </c>
      <c r="I1876" t="s">
        <v>4586</v>
      </c>
      <c r="J1876">
        <v>332</v>
      </c>
      <c r="K1876" t="s">
        <v>84</v>
      </c>
      <c r="L1876" t="s">
        <v>85</v>
      </c>
      <c r="M1876" t="s">
        <v>86</v>
      </c>
      <c r="N1876">
        <v>3</v>
      </c>
      <c r="O1876" s="1">
        <v>44216.564062500001</v>
      </c>
      <c r="P1876" s="1">
        <v>44216.617083333331</v>
      </c>
      <c r="Q1876">
        <v>2165</v>
      </c>
      <c r="R1876">
        <v>2416</v>
      </c>
      <c r="S1876" t="b">
        <v>0</v>
      </c>
      <c r="T1876" t="s">
        <v>87</v>
      </c>
      <c r="U1876" t="b">
        <v>0</v>
      </c>
      <c r="V1876" t="s">
        <v>259</v>
      </c>
      <c r="W1876" s="1">
        <v>44216.583680555559</v>
      </c>
      <c r="X1876">
        <v>1506</v>
      </c>
      <c r="Y1876">
        <v>211</v>
      </c>
      <c r="Z1876">
        <v>0</v>
      </c>
      <c r="AA1876">
        <v>211</v>
      </c>
      <c r="AB1876">
        <v>0</v>
      </c>
      <c r="AC1876">
        <v>81</v>
      </c>
      <c r="AD1876">
        <v>121</v>
      </c>
      <c r="AE1876">
        <v>0</v>
      </c>
      <c r="AF1876">
        <v>0</v>
      </c>
      <c r="AG1876">
        <v>0</v>
      </c>
      <c r="AH1876" t="s">
        <v>128</v>
      </c>
      <c r="AI1876" s="1">
        <v>44216.610578703701</v>
      </c>
      <c r="AJ1876">
        <v>826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121</v>
      </c>
      <c r="AQ1876">
        <v>0</v>
      </c>
      <c r="AR1876">
        <v>0</v>
      </c>
      <c r="AS1876">
        <v>0</v>
      </c>
      <c r="AT1876" t="s">
        <v>90</v>
      </c>
      <c r="AU1876" s="1">
        <v>44216.617083333331</v>
      </c>
      <c r="AV1876">
        <v>84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121</v>
      </c>
      <c r="BC1876">
        <v>0</v>
      </c>
      <c r="BD1876">
        <v>0</v>
      </c>
      <c r="BE1876">
        <v>0</v>
      </c>
    </row>
    <row r="1877" spans="1:57" x14ac:dyDescent="0.45">
      <c r="A1877" t="s">
        <v>4587</v>
      </c>
      <c r="B1877" t="s">
        <v>79</v>
      </c>
      <c r="C1877" t="s">
        <v>4588</v>
      </c>
      <c r="D1877" t="s">
        <v>81</v>
      </c>
      <c r="E1877" s="2" t="str">
        <f>HYPERLINK("capsilon://?command=openfolder&amp;siteaddress=FAM.docvelocity-na8.net&amp;folderid=FXDE583A8A-D52A-0B56-98D0-7F2436ED4D45","FX210110593")</f>
        <v>FX210110593</v>
      </c>
      <c r="F1877" t="s">
        <v>19</v>
      </c>
      <c r="G1877" t="s">
        <v>19</v>
      </c>
      <c r="H1877" t="s">
        <v>82</v>
      </c>
      <c r="I1877" t="s">
        <v>4589</v>
      </c>
      <c r="J1877">
        <v>218</v>
      </c>
      <c r="K1877" t="s">
        <v>84</v>
      </c>
      <c r="L1877" t="s">
        <v>85</v>
      </c>
      <c r="M1877" t="s">
        <v>86</v>
      </c>
      <c r="N1877">
        <v>3</v>
      </c>
      <c r="O1877" s="1">
        <v>44216.565578703703</v>
      </c>
      <c r="P1877" s="1">
        <v>44216.617372685185</v>
      </c>
      <c r="Q1877">
        <v>2664</v>
      </c>
      <c r="R1877">
        <v>1811</v>
      </c>
      <c r="S1877" t="b">
        <v>0</v>
      </c>
      <c r="T1877" t="s">
        <v>87</v>
      </c>
      <c r="U1877" t="b">
        <v>0</v>
      </c>
      <c r="V1877" t="s">
        <v>343</v>
      </c>
      <c r="W1877" s="1">
        <v>44216.583668981482</v>
      </c>
      <c r="X1877">
        <v>1493</v>
      </c>
      <c r="Y1877">
        <v>191</v>
      </c>
      <c r="Z1877">
        <v>0</v>
      </c>
      <c r="AA1877">
        <v>191</v>
      </c>
      <c r="AB1877">
        <v>37</v>
      </c>
      <c r="AC1877">
        <v>49</v>
      </c>
      <c r="AD1877">
        <v>27</v>
      </c>
      <c r="AE1877">
        <v>0</v>
      </c>
      <c r="AF1877">
        <v>0</v>
      </c>
      <c r="AG1877">
        <v>0</v>
      </c>
      <c r="AH1877" t="s">
        <v>132</v>
      </c>
      <c r="AI1877" s="1">
        <v>44216.610543981478</v>
      </c>
      <c r="AJ1877">
        <v>294</v>
      </c>
      <c r="AK1877">
        <v>0</v>
      </c>
      <c r="AL1877">
        <v>0</v>
      </c>
      <c r="AM1877">
        <v>0</v>
      </c>
      <c r="AN1877">
        <v>37</v>
      </c>
      <c r="AO1877">
        <v>0</v>
      </c>
      <c r="AP1877">
        <v>27</v>
      </c>
      <c r="AQ1877">
        <v>0</v>
      </c>
      <c r="AR1877">
        <v>0</v>
      </c>
      <c r="AS1877">
        <v>0</v>
      </c>
      <c r="AT1877" t="s">
        <v>90</v>
      </c>
      <c r="AU1877" s="1">
        <v>44216.617372685185</v>
      </c>
      <c r="AV1877">
        <v>24</v>
      </c>
      <c r="AW1877">
        <v>0</v>
      </c>
      <c r="AX1877">
        <v>0</v>
      </c>
      <c r="AY1877">
        <v>0</v>
      </c>
      <c r="AZ1877">
        <v>37</v>
      </c>
      <c r="BA1877">
        <v>0</v>
      </c>
      <c r="BB1877">
        <v>27</v>
      </c>
      <c r="BC1877">
        <v>0</v>
      </c>
      <c r="BD1877">
        <v>0</v>
      </c>
      <c r="BE1877">
        <v>0</v>
      </c>
    </row>
    <row r="1878" spans="1:57" x14ac:dyDescent="0.45">
      <c r="A1878" t="s">
        <v>4590</v>
      </c>
      <c r="B1878" t="s">
        <v>79</v>
      </c>
      <c r="C1878" t="s">
        <v>4591</v>
      </c>
      <c r="D1878" t="s">
        <v>81</v>
      </c>
      <c r="E1878" s="2" t="str">
        <f>HYPERLINK("capsilon://?command=openfolder&amp;siteaddress=FAM.docvelocity-na8.net&amp;folderid=FXDCB54F5D-C012-041A-B85E-47E53785339B","FX201223291")</f>
        <v>FX201223291</v>
      </c>
      <c r="F1878" t="s">
        <v>19</v>
      </c>
      <c r="G1878" t="s">
        <v>19</v>
      </c>
      <c r="H1878" t="s">
        <v>82</v>
      </c>
      <c r="I1878" t="s">
        <v>4592</v>
      </c>
      <c r="J1878">
        <v>354</v>
      </c>
      <c r="K1878" t="s">
        <v>84</v>
      </c>
      <c r="L1878" t="s">
        <v>85</v>
      </c>
      <c r="M1878" t="s">
        <v>86</v>
      </c>
      <c r="N1878">
        <v>3</v>
      </c>
      <c r="O1878" s="1">
        <v>44201.285682870373</v>
      </c>
      <c r="P1878" s="1">
        <v>44201.452777777777</v>
      </c>
      <c r="Q1878">
        <v>8112</v>
      </c>
      <c r="R1878">
        <v>6325</v>
      </c>
      <c r="S1878" t="b">
        <v>0</v>
      </c>
      <c r="T1878" t="s">
        <v>87</v>
      </c>
      <c r="U1878" t="b">
        <v>0</v>
      </c>
      <c r="V1878" t="s">
        <v>88</v>
      </c>
      <c r="W1878" s="1">
        <v>44201.330416666664</v>
      </c>
      <c r="X1878">
        <v>3097</v>
      </c>
      <c r="Y1878">
        <v>352</v>
      </c>
      <c r="Z1878">
        <v>0</v>
      </c>
      <c r="AA1878">
        <v>352</v>
      </c>
      <c r="AB1878">
        <v>0</v>
      </c>
      <c r="AC1878">
        <v>199</v>
      </c>
      <c r="AD1878">
        <v>2</v>
      </c>
      <c r="AE1878">
        <v>0</v>
      </c>
      <c r="AF1878">
        <v>0</v>
      </c>
      <c r="AG1878">
        <v>0</v>
      </c>
      <c r="AH1878" t="s">
        <v>89</v>
      </c>
      <c r="AI1878" s="1">
        <v>44201.389409722222</v>
      </c>
      <c r="AJ1878">
        <v>2937</v>
      </c>
      <c r="AK1878">
        <v>5</v>
      </c>
      <c r="AL1878">
        <v>0</v>
      </c>
      <c r="AM1878">
        <v>5</v>
      </c>
      <c r="AN1878">
        <v>0</v>
      </c>
      <c r="AO1878">
        <v>4</v>
      </c>
      <c r="AP1878">
        <v>-3</v>
      </c>
      <c r="AQ1878">
        <v>0</v>
      </c>
      <c r="AR1878">
        <v>0</v>
      </c>
      <c r="AS1878">
        <v>0</v>
      </c>
      <c r="AT1878" t="s">
        <v>90</v>
      </c>
      <c r="AU1878" s="1">
        <v>44201.452777777777</v>
      </c>
      <c r="AV1878">
        <v>267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-3</v>
      </c>
      <c r="BC1878">
        <v>0</v>
      </c>
      <c r="BD1878">
        <v>0</v>
      </c>
      <c r="BE1878">
        <v>0</v>
      </c>
    </row>
    <row r="1879" spans="1:57" x14ac:dyDescent="0.45">
      <c r="A1879" t="s">
        <v>4593</v>
      </c>
      <c r="B1879" t="s">
        <v>79</v>
      </c>
      <c r="C1879" t="s">
        <v>1188</v>
      </c>
      <c r="D1879" t="s">
        <v>81</v>
      </c>
      <c r="E1879" s="2" t="str">
        <f>HYPERLINK("capsilon://?command=openfolder&amp;siteaddress=FAM.docvelocity-na8.net&amp;folderid=FX0E4B5596-A7F9-8AF5-2E21-D87B73D01DD8","FX201220548")</f>
        <v>FX201220548</v>
      </c>
      <c r="F1879" t="s">
        <v>19</v>
      </c>
      <c r="G1879" t="s">
        <v>19</v>
      </c>
      <c r="H1879" t="s">
        <v>82</v>
      </c>
      <c r="I1879" t="s">
        <v>4594</v>
      </c>
      <c r="J1879">
        <v>66</v>
      </c>
      <c r="K1879" t="s">
        <v>84</v>
      </c>
      <c r="L1879" t="s">
        <v>85</v>
      </c>
      <c r="M1879" t="s">
        <v>86</v>
      </c>
      <c r="N1879">
        <v>3</v>
      </c>
      <c r="O1879" s="1">
        <v>44216.572696759256</v>
      </c>
      <c r="P1879" s="1">
        <v>44216.618020833332</v>
      </c>
      <c r="Q1879">
        <v>3528</v>
      </c>
      <c r="R1879">
        <v>388</v>
      </c>
      <c r="S1879" t="b">
        <v>0</v>
      </c>
      <c r="T1879" t="s">
        <v>87</v>
      </c>
      <c r="U1879" t="b">
        <v>0</v>
      </c>
      <c r="V1879" t="s">
        <v>255</v>
      </c>
      <c r="W1879" s="1">
        <v>44216.575729166667</v>
      </c>
      <c r="X1879">
        <v>252</v>
      </c>
      <c r="Y1879">
        <v>52</v>
      </c>
      <c r="Z1879">
        <v>0</v>
      </c>
      <c r="AA1879">
        <v>52</v>
      </c>
      <c r="AB1879">
        <v>0</v>
      </c>
      <c r="AC1879">
        <v>30</v>
      </c>
      <c r="AD1879">
        <v>14</v>
      </c>
      <c r="AE1879">
        <v>0</v>
      </c>
      <c r="AF1879">
        <v>0</v>
      </c>
      <c r="AG1879">
        <v>0</v>
      </c>
      <c r="AH1879" t="s">
        <v>132</v>
      </c>
      <c r="AI1879" s="1">
        <v>44216.611493055556</v>
      </c>
      <c r="AJ1879">
        <v>81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14</v>
      </c>
      <c r="AQ1879">
        <v>0</v>
      </c>
      <c r="AR1879">
        <v>0</v>
      </c>
      <c r="AS1879">
        <v>0</v>
      </c>
      <c r="AT1879" t="s">
        <v>90</v>
      </c>
      <c r="AU1879" s="1">
        <v>44216.618020833332</v>
      </c>
      <c r="AV1879">
        <v>55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14</v>
      </c>
      <c r="BC1879">
        <v>0</v>
      </c>
      <c r="BD1879">
        <v>0</v>
      </c>
      <c r="BE1879">
        <v>0</v>
      </c>
    </row>
    <row r="1880" spans="1:57" hidden="1" x14ac:dyDescent="0.45">
      <c r="A1880" t="s">
        <v>4595</v>
      </c>
      <c r="B1880" t="s">
        <v>79</v>
      </c>
      <c r="C1880" t="s">
        <v>4221</v>
      </c>
      <c r="D1880" t="s">
        <v>81</v>
      </c>
      <c r="E1880" s="2" t="str">
        <f>HYPERLINK("capsilon://?command=openfolder&amp;siteaddress=FAM.docvelocity-na8.net&amp;folderid=FX7F171298-412E-8A5C-25D4-425DF3A8017F","FX20122068")</f>
        <v>FX20122068</v>
      </c>
      <c r="F1880" t="s">
        <v>19</v>
      </c>
      <c r="G1880" t="s">
        <v>19</v>
      </c>
      <c r="H1880" t="s">
        <v>82</v>
      </c>
      <c r="I1880" t="s">
        <v>4596</v>
      </c>
      <c r="J1880">
        <v>66</v>
      </c>
      <c r="K1880" t="s">
        <v>84</v>
      </c>
      <c r="L1880" t="s">
        <v>85</v>
      </c>
      <c r="M1880" t="s">
        <v>86</v>
      </c>
      <c r="N1880">
        <v>3</v>
      </c>
      <c r="O1880" s="1">
        <v>44216.573240740741</v>
      </c>
      <c r="P1880" s="1">
        <v>44216.618067129632</v>
      </c>
      <c r="Q1880">
        <v>3658</v>
      </c>
      <c r="R1880">
        <v>215</v>
      </c>
      <c r="S1880" t="b">
        <v>0</v>
      </c>
      <c r="T1880" t="s">
        <v>87</v>
      </c>
      <c r="U1880" t="b">
        <v>0</v>
      </c>
      <c r="V1880" t="s">
        <v>179</v>
      </c>
      <c r="W1880" s="1">
        <v>44216.575879629629</v>
      </c>
      <c r="X1880">
        <v>169</v>
      </c>
      <c r="Y1880">
        <v>0</v>
      </c>
      <c r="Z1880">
        <v>0</v>
      </c>
      <c r="AA1880">
        <v>0</v>
      </c>
      <c r="AB1880">
        <v>52</v>
      </c>
      <c r="AC1880">
        <v>0</v>
      </c>
      <c r="AD1880">
        <v>66</v>
      </c>
      <c r="AE1880">
        <v>0</v>
      </c>
      <c r="AF1880">
        <v>0</v>
      </c>
      <c r="AG1880">
        <v>0</v>
      </c>
      <c r="AH1880" t="s">
        <v>128</v>
      </c>
      <c r="AI1880" s="1">
        <v>44216.611087962963</v>
      </c>
      <c r="AJ1880">
        <v>43</v>
      </c>
      <c r="AK1880">
        <v>0</v>
      </c>
      <c r="AL1880">
        <v>0</v>
      </c>
      <c r="AM1880">
        <v>0</v>
      </c>
      <c r="AN1880">
        <v>52</v>
      </c>
      <c r="AO1880">
        <v>0</v>
      </c>
      <c r="AP1880">
        <v>66</v>
      </c>
      <c r="AQ1880">
        <v>0</v>
      </c>
      <c r="AR1880">
        <v>0</v>
      </c>
      <c r="AS1880">
        <v>0</v>
      </c>
      <c r="AT1880" t="s">
        <v>90</v>
      </c>
      <c r="AU1880" s="1">
        <v>44216.618067129632</v>
      </c>
      <c r="AV1880">
        <v>3</v>
      </c>
      <c r="AW1880">
        <v>0</v>
      </c>
      <c r="AX1880">
        <v>0</v>
      </c>
      <c r="AY1880">
        <v>0</v>
      </c>
      <c r="AZ1880">
        <v>52</v>
      </c>
      <c r="BA1880">
        <v>0</v>
      </c>
      <c r="BB1880">
        <v>66</v>
      </c>
      <c r="BC1880">
        <v>0</v>
      </c>
      <c r="BD1880">
        <v>0</v>
      </c>
      <c r="BE1880">
        <v>0</v>
      </c>
    </row>
    <row r="1881" spans="1:57" x14ac:dyDescent="0.45">
      <c r="A1881" t="s">
        <v>4597</v>
      </c>
      <c r="B1881" t="s">
        <v>79</v>
      </c>
      <c r="C1881" t="s">
        <v>2097</v>
      </c>
      <c r="D1881" t="s">
        <v>81</v>
      </c>
      <c r="E1881" s="2" t="str">
        <f>HYPERLINK("capsilon://?command=openfolder&amp;siteaddress=FAM.docvelocity-na8.net&amp;folderid=FXC5E5AC80-0D2B-E93E-E1AB-2E108CD0CCAF","FX201221685")</f>
        <v>FX201221685</v>
      </c>
      <c r="F1881" t="s">
        <v>19</v>
      </c>
      <c r="G1881" t="s">
        <v>19</v>
      </c>
      <c r="H1881" t="s">
        <v>82</v>
      </c>
      <c r="I1881" t="s">
        <v>4598</v>
      </c>
      <c r="J1881">
        <v>42</v>
      </c>
      <c r="K1881" t="s">
        <v>84</v>
      </c>
      <c r="L1881" t="s">
        <v>85</v>
      </c>
      <c r="M1881" t="s">
        <v>86</v>
      </c>
      <c r="N1881">
        <v>3</v>
      </c>
      <c r="O1881" s="1">
        <v>44201.326249999998</v>
      </c>
      <c r="P1881" s="1">
        <v>44201.455393518518</v>
      </c>
      <c r="Q1881">
        <v>9740</v>
      </c>
      <c r="R1881">
        <v>1418</v>
      </c>
      <c r="S1881" t="b">
        <v>0</v>
      </c>
      <c r="T1881" t="s">
        <v>87</v>
      </c>
      <c r="U1881" t="b">
        <v>0</v>
      </c>
      <c r="V1881" t="s">
        <v>736</v>
      </c>
      <c r="W1881" s="1">
        <v>44201.33730324074</v>
      </c>
      <c r="X1881">
        <v>736</v>
      </c>
      <c r="Y1881">
        <v>38</v>
      </c>
      <c r="Z1881">
        <v>0</v>
      </c>
      <c r="AA1881">
        <v>38</v>
      </c>
      <c r="AB1881">
        <v>0</v>
      </c>
      <c r="AC1881">
        <v>19</v>
      </c>
      <c r="AD1881">
        <v>4</v>
      </c>
      <c r="AE1881">
        <v>0</v>
      </c>
      <c r="AF1881">
        <v>0</v>
      </c>
      <c r="AG1881">
        <v>0</v>
      </c>
      <c r="AH1881" t="s">
        <v>94</v>
      </c>
      <c r="AI1881" s="1">
        <v>44201.395104166666</v>
      </c>
      <c r="AJ1881">
        <v>275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4</v>
      </c>
      <c r="AQ1881">
        <v>0</v>
      </c>
      <c r="AR1881">
        <v>0</v>
      </c>
      <c r="AS1881">
        <v>0</v>
      </c>
      <c r="AT1881" t="s">
        <v>90</v>
      </c>
      <c r="AU1881" s="1">
        <v>44201.455393518518</v>
      </c>
      <c r="AV1881">
        <v>138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4</v>
      </c>
      <c r="BC1881">
        <v>0</v>
      </c>
      <c r="BD1881">
        <v>0</v>
      </c>
      <c r="BE1881">
        <v>0</v>
      </c>
    </row>
    <row r="1882" spans="1:57" hidden="1" x14ac:dyDescent="0.45">
      <c r="A1882" t="s">
        <v>4599</v>
      </c>
      <c r="B1882" t="s">
        <v>79</v>
      </c>
      <c r="C1882" t="s">
        <v>3076</v>
      </c>
      <c r="D1882" t="s">
        <v>81</v>
      </c>
      <c r="E1882" s="2" t="str">
        <f>HYPERLINK("capsilon://?command=openfolder&amp;siteaddress=FAM.docvelocity-na8.net&amp;folderid=FXE5FB296B-CD97-FCD9-3DFB-D1D430D74D56","FX20126709")</f>
        <v>FX20126709</v>
      </c>
      <c r="F1882" t="s">
        <v>19</v>
      </c>
      <c r="G1882" t="s">
        <v>19</v>
      </c>
      <c r="H1882" t="s">
        <v>82</v>
      </c>
      <c r="I1882" t="s">
        <v>4600</v>
      </c>
      <c r="J1882">
        <v>66</v>
      </c>
      <c r="K1882" t="s">
        <v>84</v>
      </c>
      <c r="L1882" t="s">
        <v>85</v>
      </c>
      <c r="M1882" t="s">
        <v>86</v>
      </c>
      <c r="N1882">
        <v>1</v>
      </c>
      <c r="O1882" s="1">
        <v>44216.580254629633</v>
      </c>
      <c r="P1882" s="1">
        <v>44216.58252314815</v>
      </c>
      <c r="Q1882">
        <v>119</v>
      </c>
      <c r="R1882">
        <v>77</v>
      </c>
      <c r="S1882" t="b">
        <v>0</v>
      </c>
      <c r="T1882" t="s">
        <v>87</v>
      </c>
      <c r="U1882" t="b">
        <v>0</v>
      </c>
      <c r="V1882" t="s">
        <v>179</v>
      </c>
      <c r="W1882" s="1">
        <v>44216.58252314815</v>
      </c>
      <c r="X1882">
        <v>28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66</v>
      </c>
      <c r="AE1882">
        <v>0</v>
      </c>
      <c r="AF1882">
        <v>0</v>
      </c>
      <c r="AG1882">
        <v>1</v>
      </c>
      <c r="AH1882" t="s">
        <v>87</v>
      </c>
      <c r="AI1882" t="s">
        <v>87</v>
      </c>
      <c r="AJ1882" t="s">
        <v>87</v>
      </c>
      <c r="AK1882" t="s">
        <v>87</v>
      </c>
      <c r="AL1882" t="s">
        <v>87</v>
      </c>
      <c r="AM1882" t="s">
        <v>87</v>
      </c>
      <c r="AN1882" t="s">
        <v>87</v>
      </c>
      <c r="AO1882" t="s">
        <v>87</v>
      </c>
      <c r="AP1882" t="s">
        <v>87</v>
      </c>
      <c r="AQ1882" t="s">
        <v>87</v>
      </c>
      <c r="AR1882" t="s">
        <v>87</v>
      </c>
      <c r="AS1882" t="s">
        <v>87</v>
      </c>
      <c r="AT1882" t="s">
        <v>87</v>
      </c>
      <c r="AU1882" t="s">
        <v>87</v>
      </c>
      <c r="AV1882" t="s">
        <v>87</v>
      </c>
      <c r="AW1882" t="s">
        <v>87</v>
      </c>
      <c r="AX1882" t="s">
        <v>87</v>
      </c>
      <c r="AY1882" t="s">
        <v>87</v>
      </c>
      <c r="AZ1882" t="s">
        <v>87</v>
      </c>
      <c r="BA1882" t="s">
        <v>87</v>
      </c>
      <c r="BB1882" t="s">
        <v>87</v>
      </c>
      <c r="BC1882" t="s">
        <v>87</v>
      </c>
      <c r="BD1882" t="s">
        <v>87</v>
      </c>
      <c r="BE1882" t="s">
        <v>87</v>
      </c>
    </row>
    <row r="1883" spans="1:57" x14ac:dyDescent="0.45">
      <c r="A1883" t="s">
        <v>4601</v>
      </c>
      <c r="B1883" t="s">
        <v>79</v>
      </c>
      <c r="C1883" t="s">
        <v>3076</v>
      </c>
      <c r="D1883" t="s">
        <v>81</v>
      </c>
      <c r="E1883" s="2" t="str">
        <f>HYPERLINK("capsilon://?command=openfolder&amp;siteaddress=FAM.docvelocity-na8.net&amp;folderid=FXE5FB296B-CD97-FCD9-3DFB-D1D430D74D56","FX20126709")</f>
        <v>FX20126709</v>
      </c>
      <c r="F1883" t="s">
        <v>19</v>
      </c>
      <c r="G1883" t="s">
        <v>19</v>
      </c>
      <c r="H1883" t="s">
        <v>82</v>
      </c>
      <c r="I1883" t="s">
        <v>4600</v>
      </c>
      <c r="J1883">
        <v>38</v>
      </c>
      <c r="K1883" t="s">
        <v>84</v>
      </c>
      <c r="L1883" t="s">
        <v>85</v>
      </c>
      <c r="M1883" t="s">
        <v>86</v>
      </c>
      <c r="N1883">
        <v>3</v>
      </c>
      <c r="O1883" s="1">
        <v>44216.582824074074</v>
      </c>
      <c r="P1883" s="1">
        <v>44216.607476851852</v>
      </c>
      <c r="Q1883">
        <v>1441</v>
      </c>
      <c r="R1883">
        <v>689</v>
      </c>
      <c r="S1883" t="b">
        <v>0</v>
      </c>
      <c r="T1883" t="s">
        <v>87</v>
      </c>
      <c r="U1883" t="b">
        <v>1</v>
      </c>
      <c r="V1883" t="s">
        <v>179</v>
      </c>
      <c r="W1883" s="1">
        <v>44216.58865740741</v>
      </c>
      <c r="X1883">
        <v>501</v>
      </c>
      <c r="Y1883">
        <v>37</v>
      </c>
      <c r="Z1883">
        <v>0</v>
      </c>
      <c r="AA1883">
        <v>37</v>
      </c>
      <c r="AB1883">
        <v>0</v>
      </c>
      <c r="AC1883">
        <v>11</v>
      </c>
      <c r="AD1883">
        <v>1</v>
      </c>
      <c r="AE1883">
        <v>0</v>
      </c>
      <c r="AF1883">
        <v>0</v>
      </c>
      <c r="AG1883">
        <v>0</v>
      </c>
      <c r="AH1883" t="s">
        <v>128</v>
      </c>
      <c r="AI1883" s="1">
        <v>44216.598240740743</v>
      </c>
      <c r="AJ1883">
        <v>182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 t="s">
        <v>90</v>
      </c>
      <c r="AU1883" s="1">
        <v>44216.607476851852</v>
      </c>
      <c r="AV1883">
        <v>6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</row>
    <row r="1884" spans="1:57" x14ac:dyDescent="0.45">
      <c r="A1884" t="s">
        <v>4602</v>
      </c>
      <c r="B1884" t="s">
        <v>79</v>
      </c>
      <c r="C1884" t="s">
        <v>4603</v>
      </c>
      <c r="D1884" t="s">
        <v>81</v>
      </c>
      <c r="E1884" s="2" t="str">
        <f>HYPERLINK("capsilon://?command=openfolder&amp;siteaddress=FAM.docvelocity-na8.net&amp;folderid=FX81C9A955-138E-BCEE-B1EC-925A0EC17279","FX201229196")</f>
        <v>FX201229196</v>
      </c>
      <c r="F1884" t="s">
        <v>19</v>
      </c>
      <c r="G1884" t="s">
        <v>19</v>
      </c>
      <c r="H1884" t="s">
        <v>82</v>
      </c>
      <c r="I1884" t="s">
        <v>4604</v>
      </c>
      <c r="J1884">
        <v>258</v>
      </c>
      <c r="K1884" t="s">
        <v>84</v>
      </c>
      <c r="L1884" t="s">
        <v>85</v>
      </c>
      <c r="M1884" t="s">
        <v>86</v>
      </c>
      <c r="N1884">
        <v>3</v>
      </c>
      <c r="O1884" s="1">
        <v>44201.329826388886</v>
      </c>
      <c r="P1884" s="1">
        <v>44201.459930555553</v>
      </c>
      <c r="Q1884">
        <v>6854</v>
      </c>
      <c r="R1884">
        <v>4387</v>
      </c>
      <c r="S1884" t="b">
        <v>0</v>
      </c>
      <c r="T1884" t="s">
        <v>87</v>
      </c>
      <c r="U1884" t="b">
        <v>0</v>
      </c>
      <c r="V1884" t="s">
        <v>88</v>
      </c>
      <c r="W1884" s="1">
        <v>44201.364155092589</v>
      </c>
      <c r="X1884">
        <v>2914</v>
      </c>
      <c r="Y1884">
        <v>194</v>
      </c>
      <c r="Z1884">
        <v>0</v>
      </c>
      <c r="AA1884">
        <v>194</v>
      </c>
      <c r="AB1884">
        <v>0</v>
      </c>
      <c r="AC1884">
        <v>90</v>
      </c>
      <c r="AD1884">
        <v>64</v>
      </c>
      <c r="AE1884">
        <v>0</v>
      </c>
      <c r="AF1884">
        <v>0</v>
      </c>
      <c r="AG1884">
        <v>0</v>
      </c>
      <c r="AH1884" t="s">
        <v>94</v>
      </c>
      <c r="AI1884" s="1">
        <v>44201.407754629632</v>
      </c>
      <c r="AJ1884">
        <v>1011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64</v>
      </c>
      <c r="AQ1884">
        <v>0</v>
      </c>
      <c r="AR1884">
        <v>0</v>
      </c>
      <c r="AS1884">
        <v>0</v>
      </c>
      <c r="AT1884" t="s">
        <v>549</v>
      </c>
      <c r="AU1884" s="1">
        <v>44201.459930555553</v>
      </c>
      <c r="AV1884">
        <v>418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64</v>
      </c>
      <c r="BC1884">
        <v>0</v>
      </c>
      <c r="BD1884">
        <v>0</v>
      </c>
      <c r="BE1884">
        <v>0</v>
      </c>
    </row>
    <row r="1885" spans="1:57" hidden="1" x14ac:dyDescent="0.45">
      <c r="A1885" t="s">
        <v>4605</v>
      </c>
      <c r="B1885" t="s">
        <v>79</v>
      </c>
      <c r="C1885" t="s">
        <v>3676</v>
      </c>
      <c r="D1885" t="s">
        <v>81</v>
      </c>
      <c r="E1885" s="2" t="str">
        <f>HYPERLINK("capsilon://?command=openfolder&amp;siteaddress=FAM.docvelocity-na8.net&amp;folderid=FX87918B30-9F4C-0DE5-2746-CA9FBF79A323","FX20125267")</f>
        <v>FX20125267</v>
      </c>
      <c r="F1885" t="s">
        <v>19</v>
      </c>
      <c r="G1885" t="s">
        <v>19</v>
      </c>
      <c r="H1885" t="s">
        <v>82</v>
      </c>
      <c r="I1885" t="s">
        <v>4606</v>
      </c>
      <c r="J1885">
        <v>66</v>
      </c>
      <c r="K1885" t="s">
        <v>84</v>
      </c>
      <c r="L1885" t="s">
        <v>85</v>
      </c>
      <c r="M1885" t="s">
        <v>86</v>
      </c>
      <c r="N1885">
        <v>1</v>
      </c>
      <c r="O1885" s="1">
        <v>44216.584780092591</v>
      </c>
      <c r="P1885" s="1">
        <v>44216.588252314818</v>
      </c>
      <c r="Q1885">
        <v>1</v>
      </c>
      <c r="R1885">
        <v>299</v>
      </c>
      <c r="S1885" t="b">
        <v>0</v>
      </c>
      <c r="T1885" t="s">
        <v>87</v>
      </c>
      <c r="U1885" t="b">
        <v>0</v>
      </c>
      <c r="V1885" t="s">
        <v>146</v>
      </c>
      <c r="W1885" s="1">
        <v>44216.588252314818</v>
      </c>
      <c r="X1885">
        <v>299</v>
      </c>
      <c r="Y1885">
        <v>1</v>
      </c>
      <c r="Z1885">
        <v>0</v>
      </c>
      <c r="AA1885">
        <v>1</v>
      </c>
      <c r="AB1885">
        <v>0</v>
      </c>
      <c r="AC1885">
        <v>1</v>
      </c>
      <c r="AD1885">
        <v>65</v>
      </c>
      <c r="AE1885">
        <v>52</v>
      </c>
      <c r="AF1885">
        <v>0</v>
      </c>
      <c r="AG1885">
        <v>1</v>
      </c>
      <c r="AH1885" t="s">
        <v>87</v>
      </c>
      <c r="AI1885" t="s">
        <v>87</v>
      </c>
      <c r="AJ1885" t="s">
        <v>87</v>
      </c>
      <c r="AK1885" t="s">
        <v>87</v>
      </c>
      <c r="AL1885" t="s">
        <v>87</v>
      </c>
      <c r="AM1885" t="s">
        <v>87</v>
      </c>
      <c r="AN1885" t="s">
        <v>87</v>
      </c>
      <c r="AO1885" t="s">
        <v>87</v>
      </c>
      <c r="AP1885" t="s">
        <v>87</v>
      </c>
      <c r="AQ1885" t="s">
        <v>87</v>
      </c>
      <c r="AR1885" t="s">
        <v>87</v>
      </c>
      <c r="AS1885" t="s">
        <v>87</v>
      </c>
      <c r="AT1885" t="s">
        <v>87</v>
      </c>
      <c r="AU1885" t="s">
        <v>87</v>
      </c>
      <c r="AV1885" t="s">
        <v>87</v>
      </c>
      <c r="AW1885" t="s">
        <v>87</v>
      </c>
      <c r="AX1885" t="s">
        <v>87</v>
      </c>
      <c r="AY1885" t="s">
        <v>87</v>
      </c>
      <c r="AZ1885" t="s">
        <v>87</v>
      </c>
      <c r="BA1885" t="s">
        <v>87</v>
      </c>
      <c r="BB1885" t="s">
        <v>87</v>
      </c>
      <c r="BC1885" t="s">
        <v>87</v>
      </c>
      <c r="BD1885" t="s">
        <v>87</v>
      </c>
      <c r="BE1885" t="s">
        <v>87</v>
      </c>
    </row>
    <row r="1886" spans="1:57" x14ac:dyDescent="0.45">
      <c r="A1886" t="s">
        <v>4607</v>
      </c>
      <c r="B1886" t="s">
        <v>79</v>
      </c>
      <c r="C1886" t="s">
        <v>4608</v>
      </c>
      <c r="D1886" t="s">
        <v>81</v>
      </c>
      <c r="E1886" s="2" t="str">
        <f>HYPERLINK("capsilon://?command=openfolder&amp;siteaddress=FAM.docvelocity-na8.net&amp;folderid=FX41514BF3-C103-6D39-0C75-80C470F8CDF8","FX201225246")</f>
        <v>FX201225246</v>
      </c>
      <c r="F1886" t="s">
        <v>19</v>
      </c>
      <c r="G1886" t="s">
        <v>19</v>
      </c>
      <c r="H1886" t="s">
        <v>82</v>
      </c>
      <c r="I1886" t="s">
        <v>4609</v>
      </c>
      <c r="J1886">
        <v>180</v>
      </c>
      <c r="K1886" t="s">
        <v>84</v>
      </c>
      <c r="L1886" t="s">
        <v>85</v>
      </c>
      <c r="M1886" t="s">
        <v>86</v>
      </c>
      <c r="N1886">
        <v>3</v>
      </c>
      <c r="O1886" s="1">
        <v>44201.331493055557</v>
      </c>
      <c r="P1886" s="1">
        <v>44201.455821759257</v>
      </c>
      <c r="Q1886">
        <v>8986</v>
      </c>
      <c r="R1886">
        <v>1756</v>
      </c>
      <c r="S1886" t="b">
        <v>0</v>
      </c>
      <c r="T1886" t="s">
        <v>87</v>
      </c>
      <c r="U1886" t="b">
        <v>0</v>
      </c>
      <c r="V1886" t="s">
        <v>419</v>
      </c>
      <c r="W1886" s="1">
        <v>44201.348877314813</v>
      </c>
      <c r="X1886">
        <v>1300</v>
      </c>
      <c r="Y1886">
        <v>142</v>
      </c>
      <c r="Z1886">
        <v>0</v>
      </c>
      <c r="AA1886">
        <v>142</v>
      </c>
      <c r="AB1886">
        <v>0</v>
      </c>
      <c r="AC1886">
        <v>23</v>
      </c>
      <c r="AD1886">
        <v>38</v>
      </c>
      <c r="AE1886">
        <v>0</v>
      </c>
      <c r="AF1886">
        <v>0</v>
      </c>
      <c r="AG1886">
        <v>0</v>
      </c>
      <c r="AH1886" t="s">
        <v>94</v>
      </c>
      <c r="AI1886" s="1">
        <v>44201.412708333337</v>
      </c>
      <c r="AJ1886">
        <v>404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38</v>
      </c>
      <c r="AQ1886">
        <v>0</v>
      </c>
      <c r="AR1886">
        <v>0</v>
      </c>
      <c r="AS1886">
        <v>0</v>
      </c>
      <c r="AT1886" t="s">
        <v>90</v>
      </c>
      <c r="AU1886" s="1">
        <v>44201.455821759257</v>
      </c>
      <c r="AV1886">
        <v>37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38</v>
      </c>
      <c r="BC1886">
        <v>0</v>
      </c>
      <c r="BD1886">
        <v>0</v>
      </c>
      <c r="BE1886">
        <v>0</v>
      </c>
    </row>
    <row r="1887" spans="1:57" hidden="1" x14ac:dyDescent="0.45">
      <c r="A1887" t="s">
        <v>4610</v>
      </c>
      <c r="B1887" t="s">
        <v>79</v>
      </c>
      <c r="C1887" t="s">
        <v>970</v>
      </c>
      <c r="D1887" t="s">
        <v>81</v>
      </c>
      <c r="E1887" s="2" t="str">
        <f>HYPERLINK("capsilon://?command=openfolder&amp;siteaddress=FAM.docvelocity-na8.net&amp;folderid=FX0DD13C16-E5AA-3CBF-1FD7-C1DD7C07967B","FX20122255")</f>
        <v>FX20122255</v>
      </c>
      <c r="F1887" t="s">
        <v>19</v>
      </c>
      <c r="G1887" t="s">
        <v>19</v>
      </c>
      <c r="H1887" t="s">
        <v>82</v>
      </c>
      <c r="I1887" t="s">
        <v>4611</v>
      </c>
      <c r="J1887">
        <v>132</v>
      </c>
      <c r="K1887" t="s">
        <v>84</v>
      </c>
      <c r="L1887" t="s">
        <v>85</v>
      </c>
      <c r="M1887" t="s">
        <v>86</v>
      </c>
      <c r="N1887">
        <v>3</v>
      </c>
      <c r="O1887" s="1">
        <v>44216.587233796294</v>
      </c>
      <c r="P1887" s="1">
        <v>44216.618101851855</v>
      </c>
      <c r="Q1887">
        <v>2503</v>
      </c>
      <c r="R1887">
        <v>164</v>
      </c>
      <c r="S1887" t="b">
        <v>0</v>
      </c>
      <c r="T1887" t="s">
        <v>87</v>
      </c>
      <c r="U1887" t="b">
        <v>0</v>
      </c>
      <c r="V1887" t="s">
        <v>142</v>
      </c>
      <c r="W1887" s="1">
        <v>44216.588680555556</v>
      </c>
      <c r="X1887">
        <v>114</v>
      </c>
      <c r="Y1887">
        <v>0</v>
      </c>
      <c r="Z1887">
        <v>0</v>
      </c>
      <c r="AA1887">
        <v>0</v>
      </c>
      <c r="AB1887">
        <v>104</v>
      </c>
      <c r="AC1887">
        <v>0</v>
      </c>
      <c r="AD1887">
        <v>132</v>
      </c>
      <c r="AE1887">
        <v>0</v>
      </c>
      <c r="AF1887">
        <v>0</v>
      </c>
      <c r="AG1887">
        <v>0</v>
      </c>
      <c r="AH1887" t="s">
        <v>128</v>
      </c>
      <c r="AI1887" s="1">
        <v>44216.611643518518</v>
      </c>
      <c r="AJ1887">
        <v>47</v>
      </c>
      <c r="AK1887">
        <v>0</v>
      </c>
      <c r="AL1887">
        <v>0</v>
      </c>
      <c r="AM1887">
        <v>0</v>
      </c>
      <c r="AN1887">
        <v>104</v>
      </c>
      <c r="AO1887">
        <v>0</v>
      </c>
      <c r="AP1887">
        <v>132</v>
      </c>
      <c r="AQ1887">
        <v>0</v>
      </c>
      <c r="AR1887">
        <v>0</v>
      </c>
      <c r="AS1887">
        <v>0</v>
      </c>
      <c r="AT1887" t="s">
        <v>90</v>
      </c>
      <c r="AU1887" s="1">
        <v>44216.618101851855</v>
      </c>
      <c r="AV1887">
        <v>3</v>
      </c>
      <c r="AW1887">
        <v>0</v>
      </c>
      <c r="AX1887">
        <v>0</v>
      </c>
      <c r="AY1887">
        <v>0</v>
      </c>
      <c r="AZ1887">
        <v>104</v>
      </c>
      <c r="BA1887">
        <v>0</v>
      </c>
      <c r="BB1887">
        <v>132</v>
      </c>
      <c r="BC1887">
        <v>0</v>
      </c>
      <c r="BD1887">
        <v>0</v>
      </c>
      <c r="BE1887">
        <v>0</v>
      </c>
    </row>
    <row r="1888" spans="1:57" x14ac:dyDescent="0.45">
      <c r="A1888" t="s">
        <v>4612</v>
      </c>
      <c r="B1888" t="s">
        <v>79</v>
      </c>
      <c r="C1888" t="s">
        <v>442</v>
      </c>
      <c r="D1888" t="s">
        <v>81</v>
      </c>
      <c r="E1888" s="2" t="str">
        <f>HYPERLINK("capsilon://?command=openfolder&amp;siteaddress=FAM.docvelocity-na8.net&amp;folderid=FX4A1920FC-25A5-7C14-09FE-D4F5CF9E70C3","FX201225769")</f>
        <v>FX201225769</v>
      </c>
      <c r="F1888" t="s">
        <v>19</v>
      </c>
      <c r="G1888" t="s">
        <v>19</v>
      </c>
      <c r="H1888" t="s">
        <v>82</v>
      </c>
      <c r="I1888" t="s">
        <v>4613</v>
      </c>
      <c r="J1888">
        <v>66</v>
      </c>
      <c r="K1888" t="s">
        <v>84</v>
      </c>
      <c r="L1888" t="s">
        <v>85</v>
      </c>
      <c r="M1888" t="s">
        <v>86</v>
      </c>
      <c r="N1888">
        <v>3</v>
      </c>
      <c r="O1888" s="1">
        <v>44201.337152777778</v>
      </c>
      <c r="P1888" s="1">
        <v>44201.45585648148</v>
      </c>
      <c r="Q1888">
        <v>9993</v>
      </c>
      <c r="R1888">
        <v>263</v>
      </c>
      <c r="S1888" t="b">
        <v>0</v>
      </c>
      <c r="T1888" t="s">
        <v>87</v>
      </c>
      <c r="U1888" t="b">
        <v>0</v>
      </c>
      <c r="V1888" t="s">
        <v>736</v>
      </c>
      <c r="W1888" s="1">
        <v>44201.344421296293</v>
      </c>
      <c r="X1888">
        <v>200</v>
      </c>
      <c r="Y1888">
        <v>13</v>
      </c>
      <c r="Z1888">
        <v>0</v>
      </c>
      <c r="AA1888">
        <v>13</v>
      </c>
      <c r="AB1888">
        <v>52</v>
      </c>
      <c r="AC1888">
        <v>9</v>
      </c>
      <c r="AD1888">
        <v>53</v>
      </c>
      <c r="AE1888">
        <v>0</v>
      </c>
      <c r="AF1888">
        <v>0</v>
      </c>
      <c r="AG1888">
        <v>0</v>
      </c>
      <c r="AH1888" t="s">
        <v>94</v>
      </c>
      <c r="AI1888" s="1">
        <v>44201.413414351853</v>
      </c>
      <c r="AJ1888">
        <v>61</v>
      </c>
      <c r="AK1888">
        <v>0</v>
      </c>
      <c r="AL1888">
        <v>0</v>
      </c>
      <c r="AM1888">
        <v>0</v>
      </c>
      <c r="AN1888">
        <v>52</v>
      </c>
      <c r="AO1888">
        <v>0</v>
      </c>
      <c r="AP1888">
        <v>53</v>
      </c>
      <c r="AQ1888">
        <v>0</v>
      </c>
      <c r="AR1888">
        <v>0</v>
      </c>
      <c r="AS1888">
        <v>0</v>
      </c>
      <c r="AT1888" t="s">
        <v>90</v>
      </c>
      <c r="AU1888" s="1">
        <v>44201.45585648148</v>
      </c>
      <c r="AV1888">
        <v>2</v>
      </c>
      <c r="AW1888">
        <v>0</v>
      </c>
      <c r="AX1888">
        <v>0</v>
      </c>
      <c r="AY1888">
        <v>0</v>
      </c>
      <c r="AZ1888">
        <v>52</v>
      </c>
      <c r="BA1888">
        <v>0</v>
      </c>
      <c r="BB1888">
        <v>53</v>
      </c>
      <c r="BC1888">
        <v>0</v>
      </c>
      <c r="BD1888">
        <v>0</v>
      </c>
      <c r="BE1888">
        <v>0</v>
      </c>
    </row>
    <row r="1889" spans="1:57" x14ac:dyDescent="0.45">
      <c r="A1889" t="s">
        <v>4614</v>
      </c>
      <c r="B1889" t="s">
        <v>79</v>
      </c>
      <c r="C1889" t="s">
        <v>503</v>
      </c>
      <c r="D1889" t="s">
        <v>81</v>
      </c>
      <c r="E1889" s="2" t="str">
        <f>HYPERLINK("capsilon://?command=openfolder&amp;siteaddress=FAM.docvelocity-na8.net&amp;folderid=FX1430ADC3-C304-74A7-B1C3-355A029814EB","FX201112557")</f>
        <v>FX201112557</v>
      </c>
      <c r="F1889" t="s">
        <v>19</v>
      </c>
      <c r="G1889" t="s">
        <v>19</v>
      </c>
      <c r="H1889" t="s">
        <v>82</v>
      </c>
      <c r="I1889" t="s">
        <v>4615</v>
      </c>
      <c r="J1889">
        <v>76</v>
      </c>
      <c r="K1889" t="s">
        <v>84</v>
      </c>
      <c r="L1889" t="s">
        <v>85</v>
      </c>
      <c r="M1889" t="s">
        <v>86</v>
      </c>
      <c r="N1889">
        <v>3</v>
      </c>
      <c r="O1889" s="1">
        <v>44216.588240740741</v>
      </c>
      <c r="P1889" s="1">
        <v>44216.618171296293</v>
      </c>
      <c r="Q1889">
        <v>1755</v>
      </c>
      <c r="R1889">
        <v>831</v>
      </c>
      <c r="S1889" t="b">
        <v>0</v>
      </c>
      <c r="T1889" t="s">
        <v>87</v>
      </c>
      <c r="U1889" t="b">
        <v>0</v>
      </c>
      <c r="V1889" t="s">
        <v>242</v>
      </c>
      <c r="W1889" s="1">
        <v>44216.596458333333</v>
      </c>
      <c r="X1889">
        <v>655</v>
      </c>
      <c r="Y1889">
        <v>74</v>
      </c>
      <c r="Z1889">
        <v>0</v>
      </c>
      <c r="AA1889">
        <v>74</v>
      </c>
      <c r="AB1889">
        <v>0</v>
      </c>
      <c r="AC1889">
        <v>68</v>
      </c>
      <c r="AD1889">
        <v>2</v>
      </c>
      <c r="AE1889">
        <v>0</v>
      </c>
      <c r="AF1889">
        <v>0</v>
      </c>
      <c r="AG1889">
        <v>0</v>
      </c>
      <c r="AH1889" t="s">
        <v>132</v>
      </c>
      <c r="AI1889" s="1">
        <v>44216.612905092596</v>
      </c>
      <c r="AJ1889">
        <v>122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2</v>
      </c>
      <c r="AQ1889">
        <v>0</v>
      </c>
      <c r="AR1889">
        <v>0</v>
      </c>
      <c r="AS1889">
        <v>0</v>
      </c>
      <c r="AT1889" t="s">
        <v>90</v>
      </c>
      <c r="AU1889" s="1">
        <v>44216.618171296293</v>
      </c>
      <c r="AV1889">
        <v>6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2</v>
      </c>
      <c r="BC1889">
        <v>0</v>
      </c>
      <c r="BD1889">
        <v>0</v>
      </c>
      <c r="BE1889">
        <v>0</v>
      </c>
    </row>
    <row r="1890" spans="1:57" x14ac:dyDescent="0.45">
      <c r="A1890" t="s">
        <v>4616</v>
      </c>
      <c r="B1890" t="s">
        <v>79</v>
      </c>
      <c r="C1890" t="s">
        <v>3676</v>
      </c>
      <c r="D1890" t="s">
        <v>81</v>
      </c>
      <c r="E1890" s="2" t="str">
        <f>HYPERLINK("capsilon://?command=openfolder&amp;siteaddress=FAM.docvelocity-na8.net&amp;folderid=FX87918B30-9F4C-0DE5-2746-CA9FBF79A323","FX20125267")</f>
        <v>FX20125267</v>
      </c>
      <c r="F1890" t="s">
        <v>19</v>
      </c>
      <c r="G1890" t="s">
        <v>19</v>
      </c>
      <c r="H1890" t="s">
        <v>82</v>
      </c>
      <c r="I1890" t="s">
        <v>4606</v>
      </c>
      <c r="J1890">
        <v>38</v>
      </c>
      <c r="K1890" t="s">
        <v>84</v>
      </c>
      <c r="L1890" t="s">
        <v>85</v>
      </c>
      <c r="M1890" t="s">
        <v>86</v>
      </c>
      <c r="N1890">
        <v>3</v>
      </c>
      <c r="O1890" s="1">
        <v>44216.58871527778</v>
      </c>
      <c r="P1890" s="1">
        <v>44216.607581018521</v>
      </c>
      <c r="Q1890">
        <v>162</v>
      </c>
      <c r="R1890">
        <v>1468</v>
      </c>
      <c r="S1890" t="b">
        <v>0</v>
      </c>
      <c r="T1890" t="s">
        <v>87</v>
      </c>
      <c r="U1890" t="b">
        <v>1</v>
      </c>
      <c r="V1890" t="s">
        <v>179</v>
      </c>
      <c r="W1890" s="1">
        <v>44216.605011574073</v>
      </c>
      <c r="X1890">
        <v>1403</v>
      </c>
      <c r="Y1890">
        <v>37</v>
      </c>
      <c r="Z1890">
        <v>0</v>
      </c>
      <c r="AA1890">
        <v>37</v>
      </c>
      <c r="AB1890">
        <v>0</v>
      </c>
      <c r="AC1890">
        <v>35</v>
      </c>
      <c r="AD1890">
        <v>1</v>
      </c>
      <c r="AE1890">
        <v>0</v>
      </c>
      <c r="AF1890">
        <v>0</v>
      </c>
      <c r="AG1890">
        <v>0</v>
      </c>
      <c r="AH1890" t="s">
        <v>132</v>
      </c>
      <c r="AI1890" s="1">
        <v>44216.607129629629</v>
      </c>
      <c r="AJ1890">
        <v>56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 t="s">
        <v>90</v>
      </c>
      <c r="AU1890" s="1">
        <v>44216.607581018521</v>
      </c>
      <c r="AV1890">
        <v>9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0</v>
      </c>
    </row>
    <row r="1891" spans="1:57" x14ac:dyDescent="0.45">
      <c r="A1891" t="s">
        <v>4617</v>
      </c>
      <c r="B1891" t="s">
        <v>79</v>
      </c>
      <c r="C1891" t="s">
        <v>4618</v>
      </c>
      <c r="D1891" t="s">
        <v>81</v>
      </c>
      <c r="E1891" s="2" t="str">
        <f>HYPERLINK("capsilon://?command=openfolder&amp;siteaddress=FAM.docvelocity-na8.net&amp;folderid=FX96C76075-249F-9323-5679-7FA5F6127326","FX20124259")</f>
        <v>FX20124259</v>
      </c>
      <c r="F1891" t="s">
        <v>19</v>
      </c>
      <c r="G1891" t="s">
        <v>19</v>
      </c>
      <c r="H1891" t="s">
        <v>82</v>
      </c>
      <c r="I1891" t="s">
        <v>4619</v>
      </c>
      <c r="J1891">
        <v>26</v>
      </c>
      <c r="K1891" t="s">
        <v>84</v>
      </c>
      <c r="L1891" t="s">
        <v>85</v>
      </c>
      <c r="M1891" t="s">
        <v>86</v>
      </c>
      <c r="N1891">
        <v>3</v>
      </c>
      <c r="O1891" s="1">
        <v>44201.337372685186</v>
      </c>
      <c r="P1891" s="1">
        <v>44201.455914351849</v>
      </c>
      <c r="Q1891">
        <v>9700</v>
      </c>
      <c r="R1891">
        <v>542</v>
      </c>
      <c r="S1891" t="b">
        <v>0</v>
      </c>
      <c r="T1891" t="s">
        <v>87</v>
      </c>
      <c r="U1891" t="b">
        <v>0</v>
      </c>
      <c r="V1891" t="s">
        <v>736</v>
      </c>
      <c r="W1891" s="1">
        <v>44201.347627314812</v>
      </c>
      <c r="X1891">
        <v>250</v>
      </c>
      <c r="Y1891">
        <v>21</v>
      </c>
      <c r="Z1891">
        <v>0</v>
      </c>
      <c r="AA1891">
        <v>21</v>
      </c>
      <c r="AB1891">
        <v>0</v>
      </c>
      <c r="AC1891">
        <v>7</v>
      </c>
      <c r="AD1891">
        <v>5</v>
      </c>
      <c r="AE1891">
        <v>0</v>
      </c>
      <c r="AF1891">
        <v>0</v>
      </c>
      <c r="AG1891">
        <v>0</v>
      </c>
      <c r="AH1891" t="s">
        <v>94</v>
      </c>
      <c r="AI1891" s="1">
        <v>44201.416747685187</v>
      </c>
      <c r="AJ1891">
        <v>288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5</v>
      </c>
      <c r="AQ1891">
        <v>0</v>
      </c>
      <c r="AR1891">
        <v>0</v>
      </c>
      <c r="AS1891">
        <v>0</v>
      </c>
      <c r="AT1891" t="s">
        <v>90</v>
      </c>
      <c r="AU1891" s="1">
        <v>44201.455914351849</v>
      </c>
      <c r="AV1891">
        <v>4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5</v>
      </c>
      <c r="BC1891">
        <v>0</v>
      </c>
      <c r="BD1891">
        <v>0</v>
      </c>
      <c r="BE1891">
        <v>0</v>
      </c>
    </row>
    <row r="1892" spans="1:57" hidden="1" x14ac:dyDescent="0.45">
      <c r="A1892" t="s">
        <v>4620</v>
      </c>
      <c r="B1892" t="s">
        <v>79</v>
      </c>
      <c r="C1892" t="s">
        <v>442</v>
      </c>
      <c r="D1892" t="s">
        <v>81</v>
      </c>
      <c r="E1892" s="2" t="str">
        <f>HYPERLINK("capsilon://?command=openfolder&amp;siteaddress=FAM.docvelocity-na8.net&amp;folderid=FX4A1920FC-25A5-7C14-09FE-D4F5CF9E70C3","FX201225769")</f>
        <v>FX201225769</v>
      </c>
      <c r="F1892" t="s">
        <v>19</v>
      </c>
      <c r="G1892" t="s">
        <v>19</v>
      </c>
      <c r="H1892" t="s">
        <v>82</v>
      </c>
      <c r="I1892" t="s">
        <v>4621</v>
      </c>
      <c r="J1892">
        <v>66</v>
      </c>
      <c r="K1892" t="s">
        <v>84</v>
      </c>
      <c r="L1892" t="s">
        <v>85</v>
      </c>
      <c r="M1892" t="s">
        <v>86</v>
      </c>
      <c r="N1892">
        <v>3</v>
      </c>
      <c r="O1892" s="1">
        <v>44201.338078703702</v>
      </c>
      <c r="P1892" s="1">
        <v>44201.455949074072</v>
      </c>
      <c r="Q1892">
        <v>10021</v>
      </c>
      <c r="R1892">
        <v>163</v>
      </c>
      <c r="S1892" t="b">
        <v>0</v>
      </c>
      <c r="T1892" t="s">
        <v>87</v>
      </c>
      <c r="U1892" t="b">
        <v>0</v>
      </c>
      <c r="V1892" t="s">
        <v>736</v>
      </c>
      <c r="W1892" s="1">
        <v>44201.34883101852</v>
      </c>
      <c r="X1892">
        <v>70</v>
      </c>
      <c r="Y1892">
        <v>0</v>
      </c>
      <c r="Z1892">
        <v>0</v>
      </c>
      <c r="AA1892">
        <v>0</v>
      </c>
      <c r="AB1892">
        <v>52</v>
      </c>
      <c r="AC1892">
        <v>0</v>
      </c>
      <c r="AD1892">
        <v>66</v>
      </c>
      <c r="AE1892">
        <v>0</v>
      </c>
      <c r="AF1892">
        <v>0</v>
      </c>
      <c r="AG1892">
        <v>0</v>
      </c>
      <c r="AH1892" t="s">
        <v>94</v>
      </c>
      <c r="AI1892" s="1">
        <v>44201.417800925927</v>
      </c>
      <c r="AJ1892">
        <v>90</v>
      </c>
      <c r="AK1892">
        <v>0</v>
      </c>
      <c r="AL1892">
        <v>0</v>
      </c>
      <c r="AM1892">
        <v>0</v>
      </c>
      <c r="AN1892">
        <v>52</v>
      </c>
      <c r="AO1892">
        <v>0</v>
      </c>
      <c r="AP1892">
        <v>66</v>
      </c>
      <c r="AQ1892">
        <v>0</v>
      </c>
      <c r="AR1892">
        <v>0</v>
      </c>
      <c r="AS1892">
        <v>0</v>
      </c>
      <c r="AT1892" t="s">
        <v>90</v>
      </c>
      <c r="AU1892" s="1">
        <v>44201.455949074072</v>
      </c>
      <c r="AV1892">
        <v>3</v>
      </c>
      <c r="AW1892">
        <v>0</v>
      </c>
      <c r="AX1892">
        <v>0</v>
      </c>
      <c r="AY1892">
        <v>0</v>
      </c>
      <c r="AZ1892">
        <v>52</v>
      </c>
      <c r="BA1892">
        <v>0</v>
      </c>
      <c r="BB1892">
        <v>66</v>
      </c>
      <c r="BC1892">
        <v>0</v>
      </c>
      <c r="BD1892">
        <v>0</v>
      </c>
      <c r="BE1892">
        <v>0</v>
      </c>
    </row>
    <row r="1893" spans="1:57" x14ac:dyDescent="0.45">
      <c r="A1893" t="s">
        <v>4622</v>
      </c>
      <c r="B1893" t="s">
        <v>79</v>
      </c>
      <c r="C1893" t="s">
        <v>4618</v>
      </c>
      <c r="D1893" t="s">
        <v>81</v>
      </c>
      <c r="E1893" s="2" t="str">
        <f>HYPERLINK("capsilon://?command=openfolder&amp;siteaddress=FAM.docvelocity-na8.net&amp;folderid=FX96C76075-249F-9323-5679-7FA5F6127326","FX20124259")</f>
        <v>FX20124259</v>
      </c>
      <c r="F1893" t="s">
        <v>19</v>
      </c>
      <c r="G1893" t="s">
        <v>19</v>
      </c>
      <c r="H1893" t="s">
        <v>82</v>
      </c>
      <c r="I1893" t="s">
        <v>4623</v>
      </c>
      <c r="J1893">
        <v>40</v>
      </c>
      <c r="K1893" t="s">
        <v>84</v>
      </c>
      <c r="L1893" t="s">
        <v>85</v>
      </c>
      <c r="M1893" t="s">
        <v>86</v>
      </c>
      <c r="N1893">
        <v>3</v>
      </c>
      <c r="O1893" s="1">
        <v>44201.338321759256</v>
      </c>
      <c r="P1893" s="1">
        <v>44201.467453703706</v>
      </c>
      <c r="Q1893">
        <v>9086</v>
      </c>
      <c r="R1893">
        <v>2071</v>
      </c>
      <c r="S1893" t="b">
        <v>0</v>
      </c>
      <c r="T1893" t="s">
        <v>87</v>
      </c>
      <c r="U1893" t="b">
        <v>0</v>
      </c>
      <c r="V1893" t="s">
        <v>736</v>
      </c>
      <c r="W1893" s="1">
        <v>44201.355995370373</v>
      </c>
      <c r="X1893">
        <v>618</v>
      </c>
      <c r="Y1893">
        <v>51</v>
      </c>
      <c r="Z1893">
        <v>0</v>
      </c>
      <c r="AA1893">
        <v>51</v>
      </c>
      <c r="AB1893">
        <v>0</v>
      </c>
      <c r="AC1893">
        <v>25</v>
      </c>
      <c r="AD1893">
        <v>-11</v>
      </c>
      <c r="AE1893">
        <v>0</v>
      </c>
      <c r="AF1893">
        <v>0</v>
      </c>
      <c r="AG1893">
        <v>0</v>
      </c>
      <c r="AH1893" t="s">
        <v>94</v>
      </c>
      <c r="AI1893" s="1">
        <v>44201.423136574071</v>
      </c>
      <c r="AJ1893">
        <v>460</v>
      </c>
      <c r="AK1893">
        <v>1</v>
      </c>
      <c r="AL1893">
        <v>0</v>
      </c>
      <c r="AM1893">
        <v>1</v>
      </c>
      <c r="AN1893">
        <v>0</v>
      </c>
      <c r="AO1893">
        <v>1</v>
      </c>
      <c r="AP1893">
        <v>-12</v>
      </c>
      <c r="AQ1893">
        <v>0</v>
      </c>
      <c r="AR1893">
        <v>0</v>
      </c>
      <c r="AS1893">
        <v>0</v>
      </c>
      <c r="AT1893" t="s">
        <v>90</v>
      </c>
      <c r="AU1893" s="1">
        <v>44201.467453703706</v>
      </c>
      <c r="AV1893">
        <v>993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-12</v>
      </c>
      <c r="BC1893">
        <v>0</v>
      </c>
      <c r="BD1893">
        <v>0</v>
      </c>
      <c r="BE1893">
        <v>0</v>
      </c>
    </row>
    <row r="1894" spans="1:57" x14ac:dyDescent="0.45">
      <c r="A1894" t="s">
        <v>4624</v>
      </c>
      <c r="B1894" t="s">
        <v>79</v>
      </c>
      <c r="C1894" t="s">
        <v>4618</v>
      </c>
      <c r="D1894" t="s">
        <v>81</v>
      </c>
      <c r="E1894" s="2" t="str">
        <f>HYPERLINK("capsilon://?command=openfolder&amp;siteaddress=FAM.docvelocity-na8.net&amp;folderid=FX96C76075-249F-9323-5679-7FA5F6127326","FX20124259")</f>
        <v>FX20124259</v>
      </c>
      <c r="F1894" t="s">
        <v>19</v>
      </c>
      <c r="G1894" t="s">
        <v>19</v>
      </c>
      <c r="H1894" t="s">
        <v>82</v>
      </c>
      <c r="I1894" t="s">
        <v>4625</v>
      </c>
      <c r="J1894">
        <v>40</v>
      </c>
      <c r="K1894" t="s">
        <v>84</v>
      </c>
      <c r="L1894" t="s">
        <v>85</v>
      </c>
      <c r="M1894" t="s">
        <v>86</v>
      </c>
      <c r="N1894">
        <v>3</v>
      </c>
      <c r="O1894" s="1">
        <v>44201.339097222219</v>
      </c>
      <c r="P1894" s="1">
        <v>44201.467592592591</v>
      </c>
      <c r="Q1894">
        <v>10077</v>
      </c>
      <c r="R1894">
        <v>1025</v>
      </c>
      <c r="S1894" t="b">
        <v>0</v>
      </c>
      <c r="T1894" t="s">
        <v>87</v>
      </c>
      <c r="U1894" t="b">
        <v>0</v>
      </c>
      <c r="V1894" t="s">
        <v>419</v>
      </c>
      <c r="W1894" s="1">
        <v>44201.357488425929</v>
      </c>
      <c r="X1894">
        <v>743</v>
      </c>
      <c r="Y1894">
        <v>51</v>
      </c>
      <c r="Z1894">
        <v>0</v>
      </c>
      <c r="AA1894">
        <v>51</v>
      </c>
      <c r="AB1894">
        <v>0</v>
      </c>
      <c r="AC1894">
        <v>25</v>
      </c>
      <c r="AD1894">
        <v>-11</v>
      </c>
      <c r="AE1894">
        <v>0</v>
      </c>
      <c r="AF1894">
        <v>0</v>
      </c>
      <c r="AG1894">
        <v>0</v>
      </c>
      <c r="AH1894" t="s">
        <v>94</v>
      </c>
      <c r="AI1894" s="1">
        <v>44201.426215277781</v>
      </c>
      <c r="AJ1894">
        <v>265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-11</v>
      </c>
      <c r="AQ1894">
        <v>0</v>
      </c>
      <c r="AR1894">
        <v>0</v>
      </c>
      <c r="AS1894">
        <v>0</v>
      </c>
      <c r="AT1894" t="s">
        <v>90</v>
      </c>
      <c r="AU1894" s="1">
        <v>44201.467592592591</v>
      </c>
      <c r="AV1894">
        <v>11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-11</v>
      </c>
      <c r="BC1894">
        <v>0</v>
      </c>
      <c r="BD1894">
        <v>0</v>
      </c>
      <c r="BE1894">
        <v>0</v>
      </c>
    </row>
    <row r="1895" spans="1:57" x14ac:dyDescent="0.45">
      <c r="A1895" t="s">
        <v>4626</v>
      </c>
      <c r="B1895" t="s">
        <v>79</v>
      </c>
      <c r="C1895" t="s">
        <v>4627</v>
      </c>
      <c r="D1895" t="s">
        <v>81</v>
      </c>
      <c r="E1895" s="2" t="str">
        <f>HYPERLINK("capsilon://?command=openfolder&amp;siteaddress=FAM.docvelocity-na8.net&amp;folderid=FXFB9EEB1D-2B4B-A62A-5ADE-3D51B358CADE","FX201223690")</f>
        <v>FX201223690</v>
      </c>
      <c r="F1895" t="s">
        <v>19</v>
      </c>
      <c r="G1895" t="s">
        <v>19</v>
      </c>
      <c r="H1895" t="s">
        <v>82</v>
      </c>
      <c r="I1895" t="s">
        <v>4628</v>
      </c>
      <c r="J1895">
        <v>66</v>
      </c>
      <c r="K1895" t="s">
        <v>84</v>
      </c>
      <c r="L1895" t="s">
        <v>85</v>
      </c>
      <c r="M1895" t="s">
        <v>86</v>
      </c>
      <c r="N1895">
        <v>3</v>
      </c>
      <c r="O1895" s="1">
        <v>44201.339756944442</v>
      </c>
      <c r="P1895" s="1">
        <v>44201.499571759261</v>
      </c>
      <c r="Q1895">
        <v>12251</v>
      </c>
      <c r="R1895">
        <v>1557</v>
      </c>
      <c r="S1895" t="b">
        <v>0</v>
      </c>
      <c r="T1895" t="s">
        <v>87</v>
      </c>
      <c r="U1895" t="b">
        <v>0</v>
      </c>
      <c r="V1895" t="s">
        <v>736</v>
      </c>
      <c r="W1895" s="1">
        <v>44201.36241898148</v>
      </c>
      <c r="X1895">
        <v>554</v>
      </c>
      <c r="Y1895">
        <v>52</v>
      </c>
      <c r="Z1895">
        <v>0</v>
      </c>
      <c r="AA1895">
        <v>52</v>
      </c>
      <c r="AB1895">
        <v>0</v>
      </c>
      <c r="AC1895">
        <v>35</v>
      </c>
      <c r="AD1895">
        <v>14</v>
      </c>
      <c r="AE1895">
        <v>0</v>
      </c>
      <c r="AF1895">
        <v>0</v>
      </c>
      <c r="AG1895">
        <v>0</v>
      </c>
      <c r="AH1895" t="s">
        <v>94</v>
      </c>
      <c r="AI1895" s="1">
        <v>44201.478101851855</v>
      </c>
      <c r="AJ1895">
        <v>357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14</v>
      </c>
      <c r="AQ1895">
        <v>0</v>
      </c>
      <c r="AR1895">
        <v>0</v>
      </c>
      <c r="AS1895">
        <v>0</v>
      </c>
      <c r="AT1895" t="s">
        <v>90</v>
      </c>
      <c r="AU1895" s="1">
        <v>44201.499571759261</v>
      </c>
      <c r="AV1895">
        <v>19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14</v>
      </c>
      <c r="BC1895">
        <v>0</v>
      </c>
      <c r="BD1895">
        <v>0</v>
      </c>
      <c r="BE1895">
        <v>0</v>
      </c>
    </row>
    <row r="1896" spans="1:57" x14ac:dyDescent="0.45">
      <c r="A1896" t="s">
        <v>4629</v>
      </c>
      <c r="B1896" t="s">
        <v>79</v>
      </c>
      <c r="C1896" t="s">
        <v>4630</v>
      </c>
      <c r="D1896" t="s">
        <v>81</v>
      </c>
      <c r="E1896" s="2" t="str">
        <f>HYPERLINK("capsilon://?command=openfolder&amp;siteaddress=FAM.docvelocity-na8.net&amp;folderid=FX0A09104E-3F37-E718-57D1-0F23758A3837","FX201227157")</f>
        <v>FX201227157</v>
      </c>
      <c r="F1896" t="s">
        <v>19</v>
      </c>
      <c r="G1896" t="s">
        <v>19</v>
      </c>
      <c r="H1896" t="s">
        <v>82</v>
      </c>
      <c r="I1896" t="s">
        <v>4631</v>
      </c>
      <c r="J1896">
        <v>66</v>
      </c>
      <c r="K1896" t="s">
        <v>84</v>
      </c>
      <c r="L1896" t="s">
        <v>85</v>
      </c>
      <c r="M1896" t="s">
        <v>86</v>
      </c>
      <c r="N1896">
        <v>3</v>
      </c>
      <c r="O1896" s="1">
        <v>44216.596956018519</v>
      </c>
      <c r="P1896" s="1">
        <v>44216.645972222221</v>
      </c>
      <c r="Q1896">
        <v>2076</v>
      </c>
      <c r="R1896">
        <v>2159</v>
      </c>
      <c r="S1896" t="b">
        <v>0</v>
      </c>
      <c r="T1896" t="s">
        <v>87</v>
      </c>
      <c r="U1896" t="b">
        <v>0</v>
      </c>
      <c r="V1896" t="s">
        <v>259</v>
      </c>
      <c r="W1896" s="1">
        <v>44216.619305555556</v>
      </c>
      <c r="X1896">
        <v>1857</v>
      </c>
      <c r="Y1896">
        <v>52</v>
      </c>
      <c r="Z1896">
        <v>0</v>
      </c>
      <c r="AA1896">
        <v>52</v>
      </c>
      <c r="AB1896">
        <v>0</v>
      </c>
      <c r="AC1896">
        <v>26</v>
      </c>
      <c r="AD1896">
        <v>14</v>
      </c>
      <c r="AE1896">
        <v>0</v>
      </c>
      <c r="AF1896">
        <v>0</v>
      </c>
      <c r="AG1896">
        <v>0</v>
      </c>
      <c r="AH1896" t="s">
        <v>132</v>
      </c>
      <c r="AI1896" s="1">
        <v>44216.622048611112</v>
      </c>
      <c r="AJ1896">
        <v>214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14</v>
      </c>
      <c r="AQ1896">
        <v>0</v>
      </c>
      <c r="AR1896">
        <v>0</v>
      </c>
      <c r="AS1896">
        <v>0</v>
      </c>
      <c r="AT1896" t="s">
        <v>90</v>
      </c>
      <c r="AU1896" s="1">
        <v>44216.645972222221</v>
      </c>
      <c r="AV1896">
        <v>22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14</v>
      </c>
      <c r="BC1896">
        <v>0</v>
      </c>
      <c r="BD1896">
        <v>0</v>
      </c>
      <c r="BE1896">
        <v>0</v>
      </c>
    </row>
    <row r="1897" spans="1:57" x14ac:dyDescent="0.45">
      <c r="A1897" t="s">
        <v>4632</v>
      </c>
      <c r="B1897" t="s">
        <v>79</v>
      </c>
      <c r="C1897" t="s">
        <v>4633</v>
      </c>
      <c r="D1897" t="s">
        <v>81</v>
      </c>
      <c r="E1897" s="2" t="str">
        <f>HYPERLINK("capsilon://?command=openfolder&amp;siteaddress=FAM.docvelocity-na8.net&amp;folderid=FX1D7D2789-E6D4-9A4E-881D-473E526EC566","FX210110970")</f>
        <v>FX210110970</v>
      </c>
      <c r="F1897" t="s">
        <v>19</v>
      </c>
      <c r="G1897" t="s">
        <v>19</v>
      </c>
      <c r="H1897" t="s">
        <v>82</v>
      </c>
      <c r="I1897" t="s">
        <v>4634</v>
      </c>
      <c r="J1897">
        <v>204</v>
      </c>
      <c r="K1897" t="s">
        <v>84</v>
      </c>
      <c r="L1897" t="s">
        <v>85</v>
      </c>
      <c r="M1897" t="s">
        <v>86</v>
      </c>
      <c r="N1897">
        <v>3</v>
      </c>
      <c r="O1897" s="1">
        <v>44216.598969907405</v>
      </c>
      <c r="P1897" s="1">
        <v>44216.646851851852</v>
      </c>
      <c r="Q1897">
        <v>811</v>
      </c>
      <c r="R1897">
        <v>3326</v>
      </c>
      <c r="S1897" t="b">
        <v>0</v>
      </c>
      <c r="T1897" t="s">
        <v>87</v>
      </c>
      <c r="U1897" t="b">
        <v>0</v>
      </c>
      <c r="V1897" t="s">
        <v>146</v>
      </c>
      <c r="W1897" s="1">
        <v>44216.631319444445</v>
      </c>
      <c r="X1897">
        <v>2794</v>
      </c>
      <c r="Y1897">
        <v>161</v>
      </c>
      <c r="Z1897">
        <v>0</v>
      </c>
      <c r="AA1897">
        <v>161</v>
      </c>
      <c r="AB1897">
        <v>0</v>
      </c>
      <c r="AC1897">
        <v>66</v>
      </c>
      <c r="AD1897">
        <v>43</v>
      </c>
      <c r="AE1897">
        <v>0</v>
      </c>
      <c r="AF1897">
        <v>0</v>
      </c>
      <c r="AG1897">
        <v>0</v>
      </c>
      <c r="AH1897" t="s">
        <v>128</v>
      </c>
      <c r="AI1897" s="1">
        <v>44216.637337962966</v>
      </c>
      <c r="AJ1897">
        <v>456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43</v>
      </c>
      <c r="AQ1897">
        <v>0</v>
      </c>
      <c r="AR1897">
        <v>0</v>
      </c>
      <c r="AS1897">
        <v>0</v>
      </c>
      <c r="AT1897" t="s">
        <v>90</v>
      </c>
      <c r="AU1897" s="1">
        <v>44216.646851851852</v>
      </c>
      <c r="AV1897">
        <v>76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43</v>
      </c>
      <c r="BC1897">
        <v>0</v>
      </c>
      <c r="BD1897">
        <v>0</v>
      </c>
      <c r="BE1897">
        <v>0</v>
      </c>
    </row>
    <row r="1898" spans="1:57" x14ac:dyDescent="0.45">
      <c r="A1898" t="s">
        <v>4635</v>
      </c>
      <c r="B1898" t="s">
        <v>79</v>
      </c>
      <c r="C1898" t="s">
        <v>4636</v>
      </c>
      <c r="D1898" t="s">
        <v>81</v>
      </c>
      <c r="E1898" s="2" t="str">
        <f>HYPERLINK("capsilon://?command=openfolder&amp;siteaddress=FAM.docvelocity-na8.net&amp;folderid=FXE329DF23-8281-D360-AC04-CFE89A601886","FX201223533")</f>
        <v>FX201223533</v>
      </c>
      <c r="F1898" t="s">
        <v>19</v>
      </c>
      <c r="G1898" t="s">
        <v>19</v>
      </c>
      <c r="H1898" t="s">
        <v>82</v>
      </c>
      <c r="I1898" t="s">
        <v>4637</v>
      </c>
      <c r="J1898">
        <v>386</v>
      </c>
      <c r="K1898" t="s">
        <v>84</v>
      </c>
      <c r="L1898" t="s">
        <v>85</v>
      </c>
      <c r="M1898" t="s">
        <v>86</v>
      </c>
      <c r="N1898">
        <v>3</v>
      </c>
      <c r="O1898" s="1">
        <v>44201.341099537036</v>
      </c>
      <c r="P1898" s="1">
        <v>44201.500590277778</v>
      </c>
      <c r="Q1898">
        <v>9108</v>
      </c>
      <c r="R1898">
        <v>4672</v>
      </c>
      <c r="S1898" t="b">
        <v>0</v>
      </c>
      <c r="T1898" t="s">
        <v>87</v>
      </c>
      <c r="U1898" t="b">
        <v>0</v>
      </c>
      <c r="V1898" t="s">
        <v>736</v>
      </c>
      <c r="W1898" s="1">
        <v>44201.409351851849</v>
      </c>
      <c r="X1898">
        <v>3949</v>
      </c>
      <c r="Y1898">
        <v>228</v>
      </c>
      <c r="Z1898">
        <v>0</v>
      </c>
      <c r="AA1898">
        <v>228</v>
      </c>
      <c r="AB1898">
        <v>95</v>
      </c>
      <c r="AC1898">
        <v>131</v>
      </c>
      <c r="AD1898">
        <v>158</v>
      </c>
      <c r="AE1898">
        <v>0</v>
      </c>
      <c r="AF1898">
        <v>0</v>
      </c>
      <c r="AG1898">
        <v>0</v>
      </c>
      <c r="AH1898" t="s">
        <v>267</v>
      </c>
      <c r="AI1898" s="1">
        <v>44201.497256944444</v>
      </c>
      <c r="AJ1898">
        <v>556</v>
      </c>
      <c r="AK1898">
        <v>0</v>
      </c>
      <c r="AL1898">
        <v>0</v>
      </c>
      <c r="AM1898">
        <v>0</v>
      </c>
      <c r="AN1898">
        <v>95</v>
      </c>
      <c r="AO1898">
        <v>0</v>
      </c>
      <c r="AP1898">
        <v>158</v>
      </c>
      <c r="AQ1898">
        <v>0</v>
      </c>
      <c r="AR1898">
        <v>0</v>
      </c>
      <c r="AS1898">
        <v>0</v>
      </c>
      <c r="AT1898" t="s">
        <v>90</v>
      </c>
      <c r="AU1898" s="1">
        <v>44201.500590277778</v>
      </c>
      <c r="AV1898">
        <v>87</v>
      </c>
      <c r="AW1898">
        <v>0</v>
      </c>
      <c r="AX1898">
        <v>0</v>
      </c>
      <c r="AY1898">
        <v>0</v>
      </c>
      <c r="AZ1898">
        <v>95</v>
      </c>
      <c r="BA1898">
        <v>0</v>
      </c>
      <c r="BB1898">
        <v>158</v>
      </c>
      <c r="BC1898">
        <v>0</v>
      </c>
      <c r="BD1898">
        <v>0</v>
      </c>
      <c r="BE1898">
        <v>0</v>
      </c>
    </row>
    <row r="1899" spans="1:57" x14ac:dyDescent="0.45">
      <c r="A1899" t="s">
        <v>4638</v>
      </c>
      <c r="B1899" t="s">
        <v>79</v>
      </c>
      <c r="C1899" t="s">
        <v>1068</v>
      </c>
      <c r="D1899" t="s">
        <v>81</v>
      </c>
      <c r="E1899" s="2" t="str">
        <f>HYPERLINK("capsilon://?command=openfolder&amp;siteaddress=FAM.docvelocity-na8.net&amp;folderid=FX70D774B1-DAD6-C7D3-3B49-2F6EC3202CA5","FX21012328")</f>
        <v>FX21012328</v>
      </c>
      <c r="F1899" t="s">
        <v>19</v>
      </c>
      <c r="G1899" t="s">
        <v>19</v>
      </c>
      <c r="H1899" t="s">
        <v>82</v>
      </c>
      <c r="I1899" t="s">
        <v>4639</v>
      </c>
      <c r="J1899">
        <v>66</v>
      </c>
      <c r="K1899" t="s">
        <v>84</v>
      </c>
      <c r="L1899" t="s">
        <v>85</v>
      </c>
      <c r="M1899" t="s">
        <v>86</v>
      </c>
      <c r="N1899">
        <v>3</v>
      </c>
      <c r="O1899" s="1">
        <v>44216.599895833337</v>
      </c>
      <c r="P1899" s="1">
        <v>44216.647974537038</v>
      </c>
      <c r="Q1899">
        <v>2654</v>
      </c>
      <c r="R1899">
        <v>1500</v>
      </c>
      <c r="S1899" t="b">
        <v>0</v>
      </c>
      <c r="T1899" t="s">
        <v>87</v>
      </c>
      <c r="U1899" t="b">
        <v>0</v>
      </c>
      <c r="V1899" t="s">
        <v>142</v>
      </c>
      <c r="W1899" s="1">
        <v>44216.612951388888</v>
      </c>
      <c r="X1899">
        <v>828</v>
      </c>
      <c r="Y1899">
        <v>52</v>
      </c>
      <c r="Z1899">
        <v>0</v>
      </c>
      <c r="AA1899">
        <v>52</v>
      </c>
      <c r="AB1899">
        <v>0</v>
      </c>
      <c r="AC1899">
        <v>29</v>
      </c>
      <c r="AD1899">
        <v>14</v>
      </c>
      <c r="AE1899">
        <v>0</v>
      </c>
      <c r="AF1899">
        <v>0</v>
      </c>
      <c r="AG1899">
        <v>0</v>
      </c>
      <c r="AH1899" t="s">
        <v>132</v>
      </c>
      <c r="AI1899" s="1">
        <v>44216.619560185187</v>
      </c>
      <c r="AJ1899">
        <v>557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14</v>
      </c>
      <c r="AQ1899">
        <v>0</v>
      </c>
      <c r="AR1899">
        <v>0</v>
      </c>
      <c r="AS1899">
        <v>0</v>
      </c>
      <c r="AT1899" t="s">
        <v>90</v>
      </c>
      <c r="AU1899" s="1">
        <v>44216.647974537038</v>
      </c>
      <c r="AV1899">
        <v>97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14</v>
      </c>
      <c r="BC1899">
        <v>0</v>
      </c>
      <c r="BD1899">
        <v>0</v>
      </c>
      <c r="BE1899">
        <v>0</v>
      </c>
    </row>
    <row r="1900" spans="1:57" x14ac:dyDescent="0.45">
      <c r="A1900" t="s">
        <v>4640</v>
      </c>
      <c r="B1900" t="s">
        <v>79</v>
      </c>
      <c r="C1900" t="s">
        <v>4641</v>
      </c>
      <c r="D1900" t="s">
        <v>81</v>
      </c>
      <c r="E1900" s="2" t="str">
        <f>HYPERLINK("capsilon://?command=openfolder&amp;siteaddress=FAM.docvelocity-na8.net&amp;folderid=FX545E4D04-A749-2267-B31A-BFD383C5DE93","FX210112329")</f>
        <v>FX210112329</v>
      </c>
      <c r="F1900" t="s">
        <v>19</v>
      </c>
      <c r="G1900" t="s">
        <v>19</v>
      </c>
      <c r="H1900" t="s">
        <v>82</v>
      </c>
      <c r="I1900" t="s">
        <v>4642</v>
      </c>
      <c r="J1900">
        <v>343</v>
      </c>
      <c r="K1900" t="s">
        <v>84</v>
      </c>
      <c r="L1900" t="s">
        <v>85</v>
      </c>
      <c r="M1900" t="s">
        <v>86</v>
      </c>
      <c r="N1900">
        <v>3</v>
      </c>
      <c r="O1900" s="1">
        <v>44216.602638888886</v>
      </c>
      <c r="P1900" s="1">
        <v>44217.336168981485</v>
      </c>
      <c r="Q1900">
        <v>57009</v>
      </c>
      <c r="R1900">
        <v>6368</v>
      </c>
      <c r="S1900" t="b">
        <v>0</v>
      </c>
      <c r="T1900" t="s">
        <v>87</v>
      </c>
      <c r="U1900" t="b">
        <v>0</v>
      </c>
      <c r="V1900" t="s">
        <v>142</v>
      </c>
      <c r="W1900" s="1">
        <v>44216.674467592595</v>
      </c>
      <c r="X1900">
        <v>5314</v>
      </c>
      <c r="Y1900">
        <v>257</v>
      </c>
      <c r="Z1900">
        <v>0</v>
      </c>
      <c r="AA1900">
        <v>257</v>
      </c>
      <c r="AB1900">
        <v>0</v>
      </c>
      <c r="AC1900">
        <v>103</v>
      </c>
      <c r="AD1900">
        <v>86</v>
      </c>
      <c r="AE1900">
        <v>0</v>
      </c>
      <c r="AF1900">
        <v>0</v>
      </c>
      <c r="AG1900">
        <v>0</v>
      </c>
      <c r="AH1900" t="s">
        <v>128</v>
      </c>
      <c r="AI1900" s="1">
        <v>44216.687395833331</v>
      </c>
      <c r="AJ1900">
        <v>959</v>
      </c>
      <c r="AK1900">
        <v>1</v>
      </c>
      <c r="AL1900">
        <v>0</v>
      </c>
      <c r="AM1900">
        <v>1</v>
      </c>
      <c r="AN1900">
        <v>0</v>
      </c>
      <c r="AO1900">
        <v>1</v>
      </c>
      <c r="AP1900">
        <v>85</v>
      </c>
      <c r="AQ1900">
        <v>0</v>
      </c>
      <c r="AR1900">
        <v>0</v>
      </c>
      <c r="AS1900">
        <v>0</v>
      </c>
      <c r="AT1900" t="s">
        <v>90</v>
      </c>
      <c r="AU1900" s="1">
        <v>44217.336168981485</v>
      </c>
      <c r="AV1900">
        <v>56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85</v>
      </c>
      <c r="BC1900">
        <v>0</v>
      </c>
      <c r="BD1900">
        <v>0</v>
      </c>
      <c r="BE1900">
        <v>0</v>
      </c>
    </row>
    <row r="1901" spans="1:57" hidden="1" x14ac:dyDescent="0.45">
      <c r="A1901" t="s">
        <v>4643</v>
      </c>
      <c r="B1901" t="s">
        <v>79</v>
      </c>
      <c r="C1901" t="s">
        <v>4644</v>
      </c>
      <c r="D1901" t="s">
        <v>81</v>
      </c>
      <c r="E1901" s="2" t="str">
        <f>HYPERLINK("capsilon://?command=openfolder&amp;siteaddress=FAM.docvelocity-na8.net&amp;folderid=FX88049457-C49E-7550-7543-6472E6EBC03E","FX201223694")</f>
        <v>FX201223694</v>
      </c>
      <c r="F1901" t="s">
        <v>19</v>
      </c>
      <c r="G1901" t="s">
        <v>19</v>
      </c>
      <c r="H1901" t="s">
        <v>82</v>
      </c>
      <c r="I1901" t="s">
        <v>4645</v>
      </c>
      <c r="J1901">
        <v>38</v>
      </c>
      <c r="K1901" t="s">
        <v>84</v>
      </c>
      <c r="L1901" t="s">
        <v>85</v>
      </c>
      <c r="M1901" t="s">
        <v>86</v>
      </c>
      <c r="N1901">
        <v>1</v>
      </c>
      <c r="O1901" s="1">
        <v>44201.354861111111</v>
      </c>
      <c r="P1901" s="1">
        <v>44201.369699074072</v>
      </c>
      <c r="Q1901">
        <v>804</v>
      </c>
      <c r="R1901">
        <v>478</v>
      </c>
      <c r="S1901" t="b">
        <v>0</v>
      </c>
      <c r="T1901" t="s">
        <v>87</v>
      </c>
      <c r="U1901" t="b">
        <v>0</v>
      </c>
      <c r="V1901" t="s">
        <v>88</v>
      </c>
      <c r="W1901" s="1">
        <v>44201.369699074072</v>
      </c>
      <c r="X1901">
        <v>478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38</v>
      </c>
      <c r="AE1901">
        <v>37</v>
      </c>
      <c r="AF1901">
        <v>0</v>
      </c>
      <c r="AG1901">
        <v>1</v>
      </c>
      <c r="AH1901" t="s">
        <v>87</v>
      </c>
      <c r="AI1901" t="s">
        <v>87</v>
      </c>
      <c r="AJ1901" t="s">
        <v>87</v>
      </c>
      <c r="AK1901" t="s">
        <v>87</v>
      </c>
      <c r="AL1901" t="s">
        <v>87</v>
      </c>
      <c r="AM1901" t="s">
        <v>87</v>
      </c>
      <c r="AN1901" t="s">
        <v>87</v>
      </c>
      <c r="AO1901" t="s">
        <v>87</v>
      </c>
      <c r="AP1901" t="s">
        <v>87</v>
      </c>
      <c r="AQ1901" t="s">
        <v>87</v>
      </c>
      <c r="AR1901" t="s">
        <v>87</v>
      </c>
      <c r="AS1901" t="s">
        <v>87</v>
      </c>
      <c r="AT1901" t="s">
        <v>87</v>
      </c>
      <c r="AU1901" t="s">
        <v>87</v>
      </c>
      <c r="AV1901" t="s">
        <v>87</v>
      </c>
      <c r="AW1901" t="s">
        <v>87</v>
      </c>
      <c r="AX1901" t="s">
        <v>87</v>
      </c>
      <c r="AY1901" t="s">
        <v>87</v>
      </c>
      <c r="AZ1901" t="s">
        <v>87</v>
      </c>
      <c r="BA1901" t="s">
        <v>87</v>
      </c>
      <c r="BB1901" t="s">
        <v>87</v>
      </c>
      <c r="BC1901" t="s">
        <v>87</v>
      </c>
      <c r="BD1901" t="s">
        <v>87</v>
      </c>
      <c r="BE1901" t="s">
        <v>87</v>
      </c>
    </row>
    <row r="1902" spans="1:57" hidden="1" x14ac:dyDescent="0.45">
      <c r="A1902" t="s">
        <v>4646</v>
      </c>
      <c r="B1902" t="s">
        <v>79</v>
      </c>
      <c r="C1902" t="s">
        <v>4647</v>
      </c>
      <c r="D1902" t="s">
        <v>81</v>
      </c>
      <c r="E1902" s="2" t="str">
        <f>HYPERLINK("capsilon://?command=openfolder&amp;siteaddress=FAM.docvelocity-na8.net&amp;folderid=FX2D246A4A-E3F6-3208-9699-F11BBB56B10B","FX201115967")</f>
        <v>FX201115967</v>
      </c>
      <c r="F1902" t="s">
        <v>19</v>
      </c>
      <c r="G1902" t="s">
        <v>19</v>
      </c>
      <c r="H1902" t="s">
        <v>82</v>
      </c>
      <c r="I1902" t="s">
        <v>4648</v>
      </c>
      <c r="J1902">
        <v>66</v>
      </c>
      <c r="K1902" t="s">
        <v>84</v>
      </c>
      <c r="L1902" t="s">
        <v>85</v>
      </c>
      <c r="M1902" t="s">
        <v>86</v>
      </c>
      <c r="N1902">
        <v>3</v>
      </c>
      <c r="O1902" s="1">
        <v>44201.355347222219</v>
      </c>
      <c r="P1902" s="1">
        <v>44201.500625000001</v>
      </c>
      <c r="Q1902">
        <v>12195</v>
      </c>
      <c r="R1902">
        <v>357</v>
      </c>
      <c r="S1902" t="b">
        <v>0</v>
      </c>
      <c r="T1902" t="s">
        <v>87</v>
      </c>
      <c r="U1902" t="b">
        <v>0</v>
      </c>
      <c r="V1902" t="s">
        <v>98</v>
      </c>
      <c r="W1902" s="1">
        <v>44201.369120370371</v>
      </c>
      <c r="X1902">
        <v>333</v>
      </c>
      <c r="Y1902">
        <v>0</v>
      </c>
      <c r="Z1902">
        <v>0</v>
      </c>
      <c r="AA1902">
        <v>0</v>
      </c>
      <c r="AB1902">
        <v>52</v>
      </c>
      <c r="AC1902">
        <v>0</v>
      </c>
      <c r="AD1902">
        <v>66</v>
      </c>
      <c r="AE1902">
        <v>0</v>
      </c>
      <c r="AF1902">
        <v>0</v>
      </c>
      <c r="AG1902">
        <v>0</v>
      </c>
      <c r="AH1902" t="s">
        <v>267</v>
      </c>
      <c r="AI1902" s="1">
        <v>44201.497511574074</v>
      </c>
      <c r="AJ1902">
        <v>21</v>
      </c>
      <c r="AK1902">
        <v>0</v>
      </c>
      <c r="AL1902">
        <v>0</v>
      </c>
      <c r="AM1902">
        <v>0</v>
      </c>
      <c r="AN1902">
        <v>52</v>
      </c>
      <c r="AO1902">
        <v>0</v>
      </c>
      <c r="AP1902">
        <v>66</v>
      </c>
      <c r="AQ1902">
        <v>0</v>
      </c>
      <c r="AR1902">
        <v>0</v>
      </c>
      <c r="AS1902">
        <v>0</v>
      </c>
      <c r="AT1902" t="s">
        <v>90</v>
      </c>
      <c r="AU1902" s="1">
        <v>44201.500625000001</v>
      </c>
      <c r="AV1902">
        <v>3</v>
      </c>
      <c r="AW1902">
        <v>0</v>
      </c>
      <c r="AX1902">
        <v>0</v>
      </c>
      <c r="AY1902">
        <v>0</v>
      </c>
      <c r="AZ1902">
        <v>52</v>
      </c>
      <c r="BA1902">
        <v>0</v>
      </c>
      <c r="BB1902">
        <v>66</v>
      </c>
      <c r="BC1902">
        <v>0</v>
      </c>
      <c r="BD1902">
        <v>0</v>
      </c>
      <c r="BE1902">
        <v>0</v>
      </c>
    </row>
    <row r="1903" spans="1:57" x14ac:dyDescent="0.45">
      <c r="A1903" t="s">
        <v>4649</v>
      </c>
      <c r="B1903" t="s">
        <v>79</v>
      </c>
      <c r="C1903" t="s">
        <v>4215</v>
      </c>
      <c r="D1903" t="s">
        <v>81</v>
      </c>
      <c r="E1903" s="2" t="str">
        <f>HYPERLINK("capsilon://?command=openfolder&amp;siteaddress=FAM.docvelocity-na8.net&amp;folderid=FX0FD9774C-95A0-D5D0-F20C-845B6E8BFC87","FX21018661")</f>
        <v>FX21018661</v>
      </c>
      <c r="F1903" t="s">
        <v>19</v>
      </c>
      <c r="G1903" t="s">
        <v>19</v>
      </c>
      <c r="H1903" t="s">
        <v>82</v>
      </c>
      <c r="I1903" t="s">
        <v>4650</v>
      </c>
      <c r="J1903">
        <v>66</v>
      </c>
      <c r="K1903" t="s">
        <v>84</v>
      </c>
      <c r="L1903" t="s">
        <v>85</v>
      </c>
      <c r="M1903" t="s">
        <v>86</v>
      </c>
      <c r="N1903">
        <v>3</v>
      </c>
      <c r="O1903" s="1">
        <v>44216.620081018518</v>
      </c>
      <c r="P1903" s="1">
        <v>44216.648078703707</v>
      </c>
      <c r="Q1903">
        <v>1393</v>
      </c>
      <c r="R1903">
        <v>1026</v>
      </c>
      <c r="S1903" t="b">
        <v>0</v>
      </c>
      <c r="T1903" t="s">
        <v>87</v>
      </c>
      <c r="U1903" t="b">
        <v>0</v>
      </c>
      <c r="V1903" t="s">
        <v>160</v>
      </c>
      <c r="W1903" s="1">
        <v>44216.630879629629</v>
      </c>
      <c r="X1903">
        <v>932</v>
      </c>
      <c r="Y1903">
        <v>52</v>
      </c>
      <c r="Z1903">
        <v>0</v>
      </c>
      <c r="AA1903">
        <v>52</v>
      </c>
      <c r="AB1903">
        <v>0</v>
      </c>
      <c r="AC1903">
        <v>41</v>
      </c>
      <c r="AD1903">
        <v>14</v>
      </c>
      <c r="AE1903">
        <v>0</v>
      </c>
      <c r="AF1903">
        <v>0</v>
      </c>
      <c r="AG1903">
        <v>0</v>
      </c>
      <c r="AH1903" t="s">
        <v>132</v>
      </c>
      <c r="AI1903" s="1">
        <v>44216.63622685185</v>
      </c>
      <c r="AJ1903">
        <v>86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14</v>
      </c>
      <c r="AQ1903">
        <v>0</v>
      </c>
      <c r="AR1903">
        <v>0</v>
      </c>
      <c r="AS1903">
        <v>0</v>
      </c>
      <c r="AT1903" t="s">
        <v>90</v>
      </c>
      <c r="AU1903" s="1">
        <v>44216.648078703707</v>
      </c>
      <c r="AV1903">
        <v>8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14</v>
      </c>
      <c r="BC1903">
        <v>0</v>
      </c>
      <c r="BD1903">
        <v>0</v>
      </c>
      <c r="BE1903">
        <v>0</v>
      </c>
    </row>
    <row r="1904" spans="1:57" hidden="1" x14ac:dyDescent="0.45">
      <c r="A1904" t="s">
        <v>4651</v>
      </c>
      <c r="B1904" t="s">
        <v>79</v>
      </c>
      <c r="C1904" t="s">
        <v>4652</v>
      </c>
      <c r="D1904" t="s">
        <v>81</v>
      </c>
      <c r="E1904" s="2" t="str">
        <f>HYPERLINK("capsilon://?command=openfolder&amp;siteaddress=FAM.docvelocity-na8.net&amp;folderid=FXA5E125C1-E0F7-716A-8A37-A2764D4222BC","FX20123846")</f>
        <v>FX20123846</v>
      </c>
      <c r="F1904" t="s">
        <v>19</v>
      </c>
      <c r="G1904" t="s">
        <v>19</v>
      </c>
      <c r="H1904" t="s">
        <v>82</v>
      </c>
      <c r="I1904" t="s">
        <v>4653</v>
      </c>
      <c r="J1904">
        <v>66</v>
      </c>
      <c r="K1904" t="s">
        <v>84</v>
      </c>
      <c r="L1904" t="s">
        <v>85</v>
      </c>
      <c r="M1904" t="s">
        <v>86</v>
      </c>
      <c r="N1904">
        <v>3</v>
      </c>
      <c r="O1904" s="1">
        <v>44216.622650462959</v>
      </c>
      <c r="P1904" s="1">
        <v>44216.648113425923</v>
      </c>
      <c r="Q1904">
        <v>2082</v>
      </c>
      <c r="R1904">
        <v>118</v>
      </c>
      <c r="S1904" t="b">
        <v>0</v>
      </c>
      <c r="T1904" t="s">
        <v>87</v>
      </c>
      <c r="U1904" t="b">
        <v>0</v>
      </c>
      <c r="V1904" t="s">
        <v>255</v>
      </c>
      <c r="W1904" s="1">
        <v>44216.627708333333</v>
      </c>
      <c r="X1904">
        <v>82</v>
      </c>
      <c r="Y1904">
        <v>0</v>
      </c>
      <c r="Z1904">
        <v>0</v>
      </c>
      <c r="AA1904">
        <v>0</v>
      </c>
      <c r="AB1904">
        <v>52</v>
      </c>
      <c r="AC1904">
        <v>0</v>
      </c>
      <c r="AD1904">
        <v>66</v>
      </c>
      <c r="AE1904">
        <v>0</v>
      </c>
      <c r="AF1904">
        <v>0</v>
      </c>
      <c r="AG1904">
        <v>0</v>
      </c>
      <c r="AH1904" t="s">
        <v>132</v>
      </c>
      <c r="AI1904" s="1">
        <v>44216.629432870373</v>
      </c>
      <c r="AJ1904">
        <v>34</v>
      </c>
      <c r="AK1904">
        <v>0</v>
      </c>
      <c r="AL1904">
        <v>0</v>
      </c>
      <c r="AM1904">
        <v>0</v>
      </c>
      <c r="AN1904">
        <v>52</v>
      </c>
      <c r="AO1904">
        <v>0</v>
      </c>
      <c r="AP1904">
        <v>66</v>
      </c>
      <c r="AQ1904">
        <v>0</v>
      </c>
      <c r="AR1904">
        <v>0</v>
      </c>
      <c r="AS1904">
        <v>0</v>
      </c>
      <c r="AT1904" t="s">
        <v>90</v>
      </c>
      <c r="AU1904" s="1">
        <v>44216.648113425923</v>
      </c>
      <c r="AV1904">
        <v>2</v>
      </c>
      <c r="AW1904">
        <v>0</v>
      </c>
      <c r="AX1904">
        <v>0</v>
      </c>
      <c r="AY1904">
        <v>0</v>
      </c>
      <c r="AZ1904">
        <v>52</v>
      </c>
      <c r="BA1904">
        <v>0</v>
      </c>
      <c r="BB1904">
        <v>66</v>
      </c>
      <c r="BC1904">
        <v>0</v>
      </c>
      <c r="BD1904">
        <v>0</v>
      </c>
      <c r="BE1904">
        <v>0</v>
      </c>
    </row>
    <row r="1905" spans="1:57" hidden="1" x14ac:dyDescent="0.45">
      <c r="A1905" t="s">
        <v>4654</v>
      </c>
      <c r="B1905" t="s">
        <v>79</v>
      </c>
      <c r="C1905" t="s">
        <v>4652</v>
      </c>
      <c r="D1905" t="s">
        <v>81</v>
      </c>
      <c r="E1905" s="2" t="str">
        <f>HYPERLINK("capsilon://?command=openfolder&amp;siteaddress=FAM.docvelocity-na8.net&amp;folderid=FXA5E125C1-E0F7-716A-8A37-A2764D4222BC","FX20123846")</f>
        <v>FX20123846</v>
      </c>
      <c r="F1905" t="s">
        <v>19</v>
      </c>
      <c r="G1905" t="s">
        <v>19</v>
      </c>
      <c r="H1905" t="s">
        <v>82</v>
      </c>
      <c r="I1905" t="s">
        <v>4655</v>
      </c>
      <c r="J1905">
        <v>66</v>
      </c>
      <c r="K1905" t="s">
        <v>84</v>
      </c>
      <c r="L1905" t="s">
        <v>85</v>
      </c>
      <c r="M1905" t="s">
        <v>86</v>
      </c>
      <c r="N1905">
        <v>3</v>
      </c>
      <c r="O1905" s="1">
        <v>44216.623113425929</v>
      </c>
      <c r="P1905" s="1">
        <v>44216.648148148146</v>
      </c>
      <c r="Q1905">
        <v>2081</v>
      </c>
      <c r="R1905">
        <v>82</v>
      </c>
      <c r="S1905" t="b">
        <v>0</v>
      </c>
      <c r="T1905" t="s">
        <v>87</v>
      </c>
      <c r="U1905" t="b">
        <v>0</v>
      </c>
      <c r="V1905" t="s">
        <v>255</v>
      </c>
      <c r="W1905" s="1">
        <v>44216.628333333334</v>
      </c>
      <c r="X1905">
        <v>53</v>
      </c>
      <c r="Y1905">
        <v>0</v>
      </c>
      <c r="Z1905">
        <v>0</v>
      </c>
      <c r="AA1905">
        <v>0</v>
      </c>
      <c r="AB1905">
        <v>52</v>
      </c>
      <c r="AC1905">
        <v>0</v>
      </c>
      <c r="AD1905">
        <v>66</v>
      </c>
      <c r="AE1905">
        <v>0</v>
      </c>
      <c r="AF1905">
        <v>0</v>
      </c>
      <c r="AG1905">
        <v>0</v>
      </c>
      <c r="AH1905" t="s">
        <v>132</v>
      </c>
      <c r="AI1905" s="1">
        <v>44216.629756944443</v>
      </c>
      <c r="AJ1905">
        <v>27</v>
      </c>
      <c r="AK1905">
        <v>0</v>
      </c>
      <c r="AL1905">
        <v>0</v>
      </c>
      <c r="AM1905">
        <v>0</v>
      </c>
      <c r="AN1905">
        <v>52</v>
      </c>
      <c r="AO1905">
        <v>0</v>
      </c>
      <c r="AP1905">
        <v>66</v>
      </c>
      <c r="AQ1905">
        <v>0</v>
      </c>
      <c r="AR1905">
        <v>0</v>
      </c>
      <c r="AS1905">
        <v>0</v>
      </c>
      <c r="AT1905" t="s">
        <v>90</v>
      </c>
      <c r="AU1905" s="1">
        <v>44216.648148148146</v>
      </c>
      <c r="AV1905">
        <v>2</v>
      </c>
      <c r="AW1905">
        <v>0</v>
      </c>
      <c r="AX1905">
        <v>0</v>
      </c>
      <c r="AY1905">
        <v>0</v>
      </c>
      <c r="AZ1905">
        <v>52</v>
      </c>
      <c r="BA1905">
        <v>0</v>
      </c>
      <c r="BB1905">
        <v>66</v>
      </c>
      <c r="BC1905">
        <v>0</v>
      </c>
      <c r="BD1905">
        <v>0</v>
      </c>
      <c r="BE1905">
        <v>0</v>
      </c>
    </row>
    <row r="1906" spans="1:57" x14ac:dyDescent="0.45">
      <c r="A1906" t="s">
        <v>4656</v>
      </c>
      <c r="B1906" t="s">
        <v>79</v>
      </c>
      <c r="C1906" t="s">
        <v>4657</v>
      </c>
      <c r="D1906" t="s">
        <v>81</v>
      </c>
      <c r="E1906" s="2" t="str">
        <f>HYPERLINK("capsilon://?command=openfolder&amp;siteaddress=FAM.docvelocity-na8.net&amp;folderid=FX077359EF-6A84-31ED-4B82-45ABB9FEFE72","FX210111341")</f>
        <v>FX210111341</v>
      </c>
      <c r="F1906" t="s">
        <v>19</v>
      </c>
      <c r="G1906" t="s">
        <v>19</v>
      </c>
      <c r="H1906" t="s">
        <v>82</v>
      </c>
      <c r="I1906" t="s">
        <v>4658</v>
      </c>
      <c r="J1906">
        <v>76</v>
      </c>
      <c r="K1906" t="s">
        <v>84</v>
      </c>
      <c r="L1906" t="s">
        <v>85</v>
      </c>
      <c r="M1906" t="s">
        <v>86</v>
      </c>
      <c r="N1906">
        <v>3</v>
      </c>
      <c r="O1906" s="1">
        <v>44216.627592592595</v>
      </c>
      <c r="P1906" s="1">
        <v>44216.648240740738</v>
      </c>
      <c r="Q1906">
        <v>1126</v>
      </c>
      <c r="R1906">
        <v>658</v>
      </c>
      <c r="S1906" t="b">
        <v>0</v>
      </c>
      <c r="T1906" t="s">
        <v>87</v>
      </c>
      <c r="U1906" t="b">
        <v>0</v>
      </c>
      <c r="V1906" t="s">
        <v>259</v>
      </c>
      <c r="W1906" s="1">
        <v>44216.634166666663</v>
      </c>
      <c r="X1906">
        <v>542</v>
      </c>
      <c r="Y1906">
        <v>74</v>
      </c>
      <c r="Z1906">
        <v>0</v>
      </c>
      <c r="AA1906">
        <v>74</v>
      </c>
      <c r="AB1906">
        <v>0</v>
      </c>
      <c r="AC1906">
        <v>34</v>
      </c>
      <c r="AD1906">
        <v>2</v>
      </c>
      <c r="AE1906">
        <v>0</v>
      </c>
      <c r="AF1906">
        <v>0</v>
      </c>
      <c r="AG1906">
        <v>0</v>
      </c>
      <c r="AH1906" t="s">
        <v>132</v>
      </c>
      <c r="AI1906" s="1">
        <v>44216.637499999997</v>
      </c>
      <c r="AJ1906">
        <v>109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2</v>
      </c>
      <c r="AQ1906">
        <v>0</v>
      </c>
      <c r="AR1906">
        <v>0</v>
      </c>
      <c r="AS1906">
        <v>0</v>
      </c>
      <c r="AT1906" t="s">
        <v>90</v>
      </c>
      <c r="AU1906" s="1">
        <v>44216.648240740738</v>
      </c>
      <c r="AV1906">
        <v>7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2</v>
      </c>
      <c r="BC1906">
        <v>0</v>
      </c>
      <c r="BD1906">
        <v>0</v>
      </c>
      <c r="BE1906">
        <v>0</v>
      </c>
    </row>
    <row r="1907" spans="1:57" x14ac:dyDescent="0.45">
      <c r="A1907" t="s">
        <v>4659</v>
      </c>
      <c r="B1907" t="s">
        <v>79</v>
      </c>
      <c r="C1907" t="s">
        <v>1928</v>
      </c>
      <c r="D1907" t="s">
        <v>81</v>
      </c>
      <c r="E1907" s="2" t="str">
        <f>HYPERLINK("capsilon://?command=openfolder&amp;siteaddress=FAM.docvelocity-na8.net&amp;folderid=FXD5402F74-9441-9133-9B1D-15E6F3F8C529","FX201228122")</f>
        <v>FX201228122</v>
      </c>
      <c r="F1907" t="s">
        <v>19</v>
      </c>
      <c r="G1907" t="s">
        <v>19</v>
      </c>
      <c r="H1907" t="s">
        <v>82</v>
      </c>
      <c r="I1907" t="s">
        <v>4660</v>
      </c>
      <c r="J1907">
        <v>66</v>
      </c>
      <c r="K1907" t="s">
        <v>84</v>
      </c>
      <c r="L1907" t="s">
        <v>85</v>
      </c>
      <c r="M1907" t="s">
        <v>86</v>
      </c>
      <c r="N1907">
        <v>3</v>
      </c>
      <c r="O1907" s="1">
        <v>44216.628854166665</v>
      </c>
      <c r="P1907" s="1">
        <v>44216.654085648152</v>
      </c>
      <c r="Q1907">
        <v>798</v>
      </c>
      <c r="R1907">
        <v>1382</v>
      </c>
      <c r="S1907" t="b">
        <v>0</v>
      </c>
      <c r="T1907" t="s">
        <v>87</v>
      </c>
      <c r="U1907" t="b">
        <v>0</v>
      </c>
      <c r="V1907" t="s">
        <v>179</v>
      </c>
      <c r="W1907" s="1">
        <v>44216.642500000002</v>
      </c>
      <c r="X1907">
        <v>1114</v>
      </c>
      <c r="Y1907">
        <v>52</v>
      </c>
      <c r="Z1907">
        <v>0</v>
      </c>
      <c r="AA1907">
        <v>52</v>
      </c>
      <c r="AB1907">
        <v>0</v>
      </c>
      <c r="AC1907">
        <v>41</v>
      </c>
      <c r="AD1907">
        <v>14</v>
      </c>
      <c r="AE1907">
        <v>0</v>
      </c>
      <c r="AF1907">
        <v>0</v>
      </c>
      <c r="AG1907">
        <v>0</v>
      </c>
      <c r="AH1907" t="s">
        <v>128</v>
      </c>
      <c r="AI1907" s="1">
        <v>44216.650717592594</v>
      </c>
      <c r="AJ1907">
        <v>224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14</v>
      </c>
      <c r="AQ1907">
        <v>0</v>
      </c>
      <c r="AR1907">
        <v>0</v>
      </c>
      <c r="AS1907">
        <v>0</v>
      </c>
      <c r="AT1907" t="s">
        <v>90</v>
      </c>
      <c r="AU1907" s="1">
        <v>44216.654085648152</v>
      </c>
      <c r="AV1907">
        <v>29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14</v>
      </c>
      <c r="BC1907">
        <v>0</v>
      </c>
      <c r="BD1907">
        <v>0</v>
      </c>
      <c r="BE1907">
        <v>0</v>
      </c>
    </row>
    <row r="1908" spans="1:57" x14ac:dyDescent="0.45">
      <c r="A1908" t="s">
        <v>4661</v>
      </c>
      <c r="B1908" t="s">
        <v>79</v>
      </c>
      <c r="C1908" t="s">
        <v>4644</v>
      </c>
      <c r="D1908" t="s">
        <v>81</v>
      </c>
      <c r="E1908" s="2" t="str">
        <f>HYPERLINK("capsilon://?command=openfolder&amp;siteaddress=FAM.docvelocity-na8.net&amp;folderid=FX88049457-C49E-7550-7543-6472E6EBC03E","FX201223694")</f>
        <v>FX201223694</v>
      </c>
      <c r="F1908" t="s">
        <v>19</v>
      </c>
      <c r="G1908" t="s">
        <v>19</v>
      </c>
      <c r="H1908" t="s">
        <v>82</v>
      </c>
      <c r="I1908" t="s">
        <v>4645</v>
      </c>
      <c r="J1908">
        <v>66</v>
      </c>
      <c r="K1908" t="s">
        <v>84</v>
      </c>
      <c r="L1908" t="s">
        <v>85</v>
      </c>
      <c r="M1908" t="s">
        <v>86</v>
      </c>
      <c r="N1908">
        <v>3</v>
      </c>
      <c r="O1908" s="1">
        <v>44201.369930555556</v>
      </c>
      <c r="P1908" s="1">
        <v>44201.3903125</v>
      </c>
      <c r="Q1908">
        <v>122</v>
      </c>
      <c r="R1908">
        <v>1639</v>
      </c>
      <c r="S1908" t="b">
        <v>0</v>
      </c>
      <c r="T1908" t="s">
        <v>87</v>
      </c>
      <c r="U1908" t="b">
        <v>1</v>
      </c>
      <c r="V1908" t="s">
        <v>98</v>
      </c>
      <c r="W1908" s="1">
        <v>44201.378854166665</v>
      </c>
      <c r="X1908">
        <v>767</v>
      </c>
      <c r="Y1908">
        <v>52</v>
      </c>
      <c r="Z1908">
        <v>0</v>
      </c>
      <c r="AA1908">
        <v>52</v>
      </c>
      <c r="AB1908">
        <v>0</v>
      </c>
      <c r="AC1908">
        <v>32</v>
      </c>
      <c r="AD1908">
        <v>14</v>
      </c>
      <c r="AE1908">
        <v>0</v>
      </c>
      <c r="AF1908">
        <v>0</v>
      </c>
      <c r="AG1908">
        <v>0</v>
      </c>
      <c r="AH1908" t="s">
        <v>94</v>
      </c>
      <c r="AI1908" s="1">
        <v>44201.388182870367</v>
      </c>
      <c r="AJ1908">
        <v>801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14</v>
      </c>
      <c r="AQ1908">
        <v>0</v>
      </c>
      <c r="AR1908">
        <v>0</v>
      </c>
      <c r="AS1908">
        <v>0</v>
      </c>
      <c r="AT1908" t="s">
        <v>90</v>
      </c>
      <c r="AU1908" s="1">
        <v>44201.3903125</v>
      </c>
      <c r="AV1908">
        <v>71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14</v>
      </c>
      <c r="BC1908">
        <v>0</v>
      </c>
      <c r="BD1908">
        <v>0</v>
      </c>
      <c r="BE1908">
        <v>0</v>
      </c>
    </row>
    <row r="1909" spans="1:57" x14ac:dyDescent="0.45">
      <c r="A1909" t="s">
        <v>4662</v>
      </c>
      <c r="B1909" t="s">
        <v>79</v>
      </c>
      <c r="C1909" t="s">
        <v>628</v>
      </c>
      <c r="D1909" t="s">
        <v>81</v>
      </c>
      <c r="E1909" s="2" t="str">
        <f>HYPERLINK("capsilon://?command=openfolder&amp;siteaddress=FAM.docvelocity-na8.net&amp;folderid=FXE638A40F-2EF6-75EF-FDCC-F39BB0E5E2C8","FX21011984")</f>
        <v>FX21011984</v>
      </c>
      <c r="F1909" t="s">
        <v>19</v>
      </c>
      <c r="G1909" t="s">
        <v>19</v>
      </c>
      <c r="H1909" t="s">
        <v>82</v>
      </c>
      <c r="I1909" t="s">
        <v>4663</v>
      </c>
      <c r="J1909">
        <v>66</v>
      </c>
      <c r="K1909" t="s">
        <v>84</v>
      </c>
      <c r="L1909" t="s">
        <v>85</v>
      </c>
      <c r="M1909" t="s">
        <v>86</v>
      </c>
      <c r="N1909">
        <v>3</v>
      </c>
      <c r="O1909" s="1">
        <v>44216.637037037035</v>
      </c>
      <c r="P1909" s="1">
        <v>44216.654363425929</v>
      </c>
      <c r="Q1909">
        <v>609</v>
      </c>
      <c r="R1909">
        <v>888</v>
      </c>
      <c r="S1909" t="b">
        <v>0</v>
      </c>
      <c r="T1909" t="s">
        <v>87</v>
      </c>
      <c r="U1909" t="b">
        <v>0</v>
      </c>
      <c r="V1909" t="s">
        <v>171</v>
      </c>
      <c r="W1909" s="1">
        <v>44216.646053240744</v>
      </c>
      <c r="X1909">
        <v>778</v>
      </c>
      <c r="Y1909">
        <v>52</v>
      </c>
      <c r="Z1909">
        <v>0</v>
      </c>
      <c r="AA1909">
        <v>52</v>
      </c>
      <c r="AB1909">
        <v>0</v>
      </c>
      <c r="AC1909">
        <v>38</v>
      </c>
      <c r="AD1909">
        <v>14</v>
      </c>
      <c r="AE1909">
        <v>0</v>
      </c>
      <c r="AF1909">
        <v>0</v>
      </c>
      <c r="AG1909">
        <v>0</v>
      </c>
      <c r="AH1909" t="s">
        <v>132</v>
      </c>
      <c r="AI1909" s="1">
        <v>44216.650138888886</v>
      </c>
      <c r="AJ1909">
        <v>87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14</v>
      </c>
      <c r="AQ1909">
        <v>0</v>
      </c>
      <c r="AR1909">
        <v>0</v>
      </c>
      <c r="AS1909">
        <v>0</v>
      </c>
      <c r="AT1909" t="s">
        <v>90</v>
      </c>
      <c r="AU1909" s="1">
        <v>44216.654363425929</v>
      </c>
      <c r="AV1909">
        <v>23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14</v>
      </c>
      <c r="BC1909">
        <v>0</v>
      </c>
      <c r="BD1909">
        <v>0</v>
      </c>
      <c r="BE1909">
        <v>0</v>
      </c>
    </row>
    <row r="1910" spans="1:57" hidden="1" x14ac:dyDescent="0.45">
      <c r="A1910" t="s">
        <v>4664</v>
      </c>
      <c r="B1910" t="s">
        <v>79</v>
      </c>
      <c r="C1910" t="s">
        <v>1188</v>
      </c>
      <c r="D1910" t="s">
        <v>81</v>
      </c>
      <c r="E1910" s="2" t="str">
        <f>HYPERLINK("capsilon://?command=openfolder&amp;siteaddress=FAM.docvelocity-na8.net&amp;folderid=FX0E4B5596-A7F9-8AF5-2E21-D87B73D01DD8","FX201220548")</f>
        <v>FX201220548</v>
      </c>
      <c r="F1910" t="s">
        <v>19</v>
      </c>
      <c r="G1910" t="s">
        <v>19</v>
      </c>
      <c r="H1910" t="s">
        <v>82</v>
      </c>
      <c r="I1910" t="s">
        <v>4665</v>
      </c>
      <c r="J1910">
        <v>66</v>
      </c>
      <c r="K1910" t="s">
        <v>84</v>
      </c>
      <c r="L1910" t="s">
        <v>85</v>
      </c>
      <c r="M1910" t="s">
        <v>86</v>
      </c>
      <c r="N1910">
        <v>3</v>
      </c>
      <c r="O1910" s="1">
        <v>44216.639479166668</v>
      </c>
      <c r="P1910" s="1">
        <v>44216.654409722221</v>
      </c>
      <c r="Q1910">
        <v>1064</v>
      </c>
      <c r="R1910">
        <v>226</v>
      </c>
      <c r="S1910" t="b">
        <v>0</v>
      </c>
      <c r="T1910" t="s">
        <v>87</v>
      </c>
      <c r="U1910" t="b">
        <v>0</v>
      </c>
      <c r="V1910" t="s">
        <v>179</v>
      </c>
      <c r="W1910" s="1">
        <v>44216.644571759258</v>
      </c>
      <c r="X1910">
        <v>178</v>
      </c>
      <c r="Y1910">
        <v>0</v>
      </c>
      <c r="Z1910">
        <v>0</v>
      </c>
      <c r="AA1910">
        <v>0</v>
      </c>
      <c r="AB1910">
        <v>52</v>
      </c>
      <c r="AC1910">
        <v>0</v>
      </c>
      <c r="AD1910">
        <v>66</v>
      </c>
      <c r="AE1910">
        <v>0</v>
      </c>
      <c r="AF1910">
        <v>0</v>
      </c>
      <c r="AG1910">
        <v>0</v>
      </c>
      <c r="AH1910" t="s">
        <v>132</v>
      </c>
      <c r="AI1910" s="1">
        <v>44216.650416666664</v>
      </c>
      <c r="AJ1910">
        <v>23</v>
      </c>
      <c r="AK1910">
        <v>0</v>
      </c>
      <c r="AL1910">
        <v>0</v>
      </c>
      <c r="AM1910">
        <v>0</v>
      </c>
      <c r="AN1910">
        <v>52</v>
      </c>
      <c r="AO1910">
        <v>0</v>
      </c>
      <c r="AP1910">
        <v>66</v>
      </c>
      <c r="AQ1910">
        <v>0</v>
      </c>
      <c r="AR1910">
        <v>0</v>
      </c>
      <c r="AS1910">
        <v>0</v>
      </c>
      <c r="AT1910" t="s">
        <v>90</v>
      </c>
      <c r="AU1910" s="1">
        <v>44216.654409722221</v>
      </c>
      <c r="AV1910">
        <v>4</v>
      </c>
      <c r="AW1910">
        <v>0</v>
      </c>
      <c r="AX1910">
        <v>0</v>
      </c>
      <c r="AY1910">
        <v>0</v>
      </c>
      <c r="AZ1910">
        <v>52</v>
      </c>
      <c r="BA1910">
        <v>0</v>
      </c>
      <c r="BB1910">
        <v>66</v>
      </c>
      <c r="BC1910">
        <v>0</v>
      </c>
      <c r="BD1910">
        <v>0</v>
      </c>
      <c r="BE1910">
        <v>0</v>
      </c>
    </row>
    <row r="1911" spans="1:57" x14ac:dyDescent="0.45">
      <c r="A1911" t="s">
        <v>4666</v>
      </c>
      <c r="B1911" t="s">
        <v>79</v>
      </c>
      <c r="C1911" t="s">
        <v>4146</v>
      </c>
      <c r="D1911" t="s">
        <v>81</v>
      </c>
      <c r="E1911" s="2" t="str">
        <f>HYPERLINK("capsilon://?command=openfolder&amp;siteaddress=FAM.docvelocity-na8.net&amp;folderid=FX192981EC-DA88-149B-8D49-4D8AC4B99488","FX20121015")</f>
        <v>FX20121015</v>
      </c>
      <c r="F1911" t="s">
        <v>19</v>
      </c>
      <c r="G1911" t="s">
        <v>19</v>
      </c>
      <c r="H1911" t="s">
        <v>82</v>
      </c>
      <c r="I1911" t="s">
        <v>4667</v>
      </c>
      <c r="J1911">
        <v>66</v>
      </c>
      <c r="K1911" t="s">
        <v>84</v>
      </c>
      <c r="L1911" t="s">
        <v>85</v>
      </c>
      <c r="M1911" t="s">
        <v>86</v>
      </c>
      <c r="N1911">
        <v>3</v>
      </c>
      <c r="O1911" s="1">
        <v>44216.643263888887</v>
      </c>
      <c r="P1911" s="1">
        <v>44216.671712962961</v>
      </c>
      <c r="Q1911">
        <v>1091</v>
      </c>
      <c r="R1911">
        <v>1367</v>
      </c>
      <c r="S1911" t="b">
        <v>0</v>
      </c>
      <c r="T1911" t="s">
        <v>87</v>
      </c>
      <c r="U1911" t="b">
        <v>0</v>
      </c>
      <c r="V1911" t="s">
        <v>168</v>
      </c>
      <c r="W1911" s="1">
        <v>44216.657175925924</v>
      </c>
      <c r="X1911">
        <v>1106</v>
      </c>
      <c r="Y1911">
        <v>52</v>
      </c>
      <c r="Z1911">
        <v>0</v>
      </c>
      <c r="AA1911">
        <v>52</v>
      </c>
      <c r="AB1911">
        <v>0</v>
      </c>
      <c r="AC1911">
        <v>31</v>
      </c>
      <c r="AD1911">
        <v>14</v>
      </c>
      <c r="AE1911">
        <v>0</v>
      </c>
      <c r="AF1911">
        <v>0</v>
      </c>
      <c r="AG1911">
        <v>0</v>
      </c>
      <c r="AH1911" t="s">
        <v>128</v>
      </c>
      <c r="AI1911" s="1">
        <v>44216.662303240744</v>
      </c>
      <c r="AJ1911">
        <v>189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14</v>
      </c>
      <c r="AQ1911">
        <v>0</v>
      </c>
      <c r="AR1911">
        <v>0</v>
      </c>
      <c r="AS1911">
        <v>0</v>
      </c>
      <c r="AT1911" t="s">
        <v>90</v>
      </c>
      <c r="AU1911" s="1">
        <v>44216.671712962961</v>
      </c>
      <c r="AV1911">
        <v>72</v>
      </c>
      <c r="AW1911">
        <v>1</v>
      </c>
      <c r="AX1911">
        <v>0</v>
      </c>
      <c r="AY1911">
        <v>1</v>
      </c>
      <c r="AZ1911">
        <v>0</v>
      </c>
      <c r="BA1911">
        <v>1</v>
      </c>
      <c r="BB1911">
        <v>13</v>
      </c>
      <c r="BC1911">
        <v>0</v>
      </c>
      <c r="BD1911">
        <v>0</v>
      </c>
      <c r="BE1911">
        <v>0</v>
      </c>
    </row>
    <row r="1912" spans="1:57" x14ac:dyDescent="0.45">
      <c r="A1912" t="s">
        <v>4668</v>
      </c>
      <c r="B1912" t="s">
        <v>79</v>
      </c>
      <c r="C1912" t="s">
        <v>2576</v>
      </c>
      <c r="D1912" t="s">
        <v>81</v>
      </c>
      <c r="E1912" s="2" t="str">
        <f>HYPERLINK("capsilon://?command=openfolder&amp;siteaddress=FAM.docvelocity-na8.net&amp;folderid=FX077B41FC-8AC6-6181-B0ED-DBE7A609539B","FX21014849")</f>
        <v>FX21014849</v>
      </c>
      <c r="F1912" t="s">
        <v>19</v>
      </c>
      <c r="G1912" t="s">
        <v>19</v>
      </c>
      <c r="H1912" t="s">
        <v>82</v>
      </c>
      <c r="I1912" t="s">
        <v>4669</v>
      </c>
      <c r="J1912">
        <v>26</v>
      </c>
      <c r="K1912" t="s">
        <v>84</v>
      </c>
      <c r="L1912" t="s">
        <v>85</v>
      </c>
      <c r="M1912" t="s">
        <v>86</v>
      </c>
      <c r="N1912">
        <v>3</v>
      </c>
      <c r="O1912" s="1">
        <v>44216.646296296298</v>
      </c>
      <c r="P1912" s="1">
        <v>44216.671759259261</v>
      </c>
      <c r="Q1912">
        <v>1617</v>
      </c>
      <c r="R1912">
        <v>583</v>
      </c>
      <c r="S1912" t="b">
        <v>0</v>
      </c>
      <c r="T1912" t="s">
        <v>87</v>
      </c>
      <c r="U1912" t="b">
        <v>0</v>
      </c>
      <c r="V1912" t="s">
        <v>179</v>
      </c>
      <c r="W1912" s="1">
        <v>44216.651921296296</v>
      </c>
      <c r="X1912">
        <v>486</v>
      </c>
      <c r="Y1912">
        <v>21</v>
      </c>
      <c r="Z1912">
        <v>0</v>
      </c>
      <c r="AA1912">
        <v>21</v>
      </c>
      <c r="AB1912">
        <v>0</v>
      </c>
      <c r="AC1912">
        <v>10</v>
      </c>
      <c r="AD1912">
        <v>5</v>
      </c>
      <c r="AE1912">
        <v>0</v>
      </c>
      <c r="AF1912">
        <v>0</v>
      </c>
      <c r="AG1912">
        <v>0</v>
      </c>
      <c r="AH1912" t="s">
        <v>128</v>
      </c>
      <c r="AI1912" s="1">
        <v>44216.655729166669</v>
      </c>
      <c r="AJ1912">
        <v>94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5</v>
      </c>
      <c r="AQ1912">
        <v>0</v>
      </c>
      <c r="AR1912">
        <v>0</v>
      </c>
      <c r="AS1912">
        <v>0</v>
      </c>
      <c r="AT1912" t="s">
        <v>90</v>
      </c>
      <c r="AU1912" s="1">
        <v>44216.671759259261</v>
      </c>
      <c r="AV1912">
        <v>3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5</v>
      </c>
      <c r="BC1912">
        <v>0</v>
      </c>
      <c r="BD1912">
        <v>0</v>
      </c>
      <c r="BE1912">
        <v>0</v>
      </c>
    </row>
    <row r="1913" spans="1:57" x14ac:dyDescent="0.45">
      <c r="A1913" t="s">
        <v>4670</v>
      </c>
      <c r="B1913" t="s">
        <v>79</v>
      </c>
      <c r="C1913" t="s">
        <v>2576</v>
      </c>
      <c r="D1913" t="s">
        <v>81</v>
      </c>
      <c r="E1913" s="2" t="str">
        <f>HYPERLINK("capsilon://?command=openfolder&amp;siteaddress=FAM.docvelocity-na8.net&amp;folderid=FX077B41FC-8AC6-6181-B0ED-DBE7A609539B","FX21014849")</f>
        <v>FX21014849</v>
      </c>
      <c r="F1913" t="s">
        <v>19</v>
      </c>
      <c r="G1913" t="s">
        <v>19</v>
      </c>
      <c r="H1913" t="s">
        <v>82</v>
      </c>
      <c r="I1913" t="s">
        <v>4671</v>
      </c>
      <c r="J1913">
        <v>26</v>
      </c>
      <c r="K1913" t="s">
        <v>84</v>
      </c>
      <c r="L1913" t="s">
        <v>85</v>
      </c>
      <c r="M1913" t="s">
        <v>86</v>
      </c>
      <c r="N1913">
        <v>3</v>
      </c>
      <c r="O1913" s="1">
        <v>44216.646724537037</v>
      </c>
      <c r="P1913" s="1">
        <v>44216.671805555554</v>
      </c>
      <c r="Q1913">
        <v>1542</v>
      </c>
      <c r="R1913">
        <v>625</v>
      </c>
      <c r="S1913" t="b">
        <v>0</v>
      </c>
      <c r="T1913" t="s">
        <v>87</v>
      </c>
      <c r="U1913" t="b">
        <v>0</v>
      </c>
      <c r="V1913" t="s">
        <v>171</v>
      </c>
      <c r="W1913" s="1">
        <v>44216.653136574074</v>
      </c>
      <c r="X1913">
        <v>527</v>
      </c>
      <c r="Y1913">
        <v>21</v>
      </c>
      <c r="Z1913">
        <v>0</v>
      </c>
      <c r="AA1913">
        <v>21</v>
      </c>
      <c r="AB1913">
        <v>0</v>
      </c>
      <c r="AC1913">
        <v>8</v>
      </c>
      <c r="AD1913">
        <v>5</v>
      </c>
      <c r="AE1913">
        <v>0</v>
      </c>
      <c r="AF1913">
        <v>0</v>
      </c>
      <c r="AG1913">
        <v>0</v>
      </c>
      <c r="AH1913" t="s">
        <v>128</v>
      </c>
      <c r="AI1913" s="1">
        <v>44216.656840277778</v>
      </c>
      <c r="AJ1913">
        <v>95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5</v>
      </c>
      <c r="AQ1913">
        <v>0</v>
      </c>
      <c r="AR1913">
        <v>0</v>
      </c>
      <c r="AS1913">
        <v>0</v>
      </c>
      <c r="AT1913" t="s">
        <v>90</v>
      </c>
      <c r="AU1913" s="1">
        <v>44216.671805555554</v>
      </c>
      <c r="AV1913">
        <v>3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5</v>
      </c>
      <c r="BC1913">
        <v>0</v>
      </c>
      <c r="BD1913">
        <v>0</v>
      </c>
      <c r="BE1913">
        <v>0</v>
      </c>
    </row>
    <row r="1914" spans="1:57" hidden="1" x14ac:dyDescent="0.45">
      <c r="A1914" t="s">
        <v>4672</v>
      </c>
      <c r="B1914" t="s">
        <v>79</v>
      </c>
      <c r="C1914" t="s">
        <v>4673</v>
      </c>
      <c r="D1914" t="s">
        <v>81</v>
      </c>
      <c r="E1914" s="2" t="str">
        <f>HYPERLINK("capsilon://?command=openfolder&amp;siteaddress=FAM.docvelocity-na8.net&amp;folderid=FXC3022456-F29C-E945-4AC2-947B1B7AC839","FX20122404")</f>
        <v>FX20122404</v>
      </c>
      <c r="F1914" t="s">
        <v>19</v>
      </c>
      <c r="G1914" t="s">
        <v>19</v>
      </c>
      <c r="H1914" t="s">
        <v>82</v>
      </c>
      <c r="I1914" t="s">
        <v>4674</v>
      </c>
      <c r="J1914">
        <v>66</v>
      </c>
      <c r="K1914" t="s">
        <v>84</v>
      </c>
      <c r="L1914" t="s">
        <v>85</v>
      </c>
      <c r="M1914" t="s">
        <v>86</v>
      </c>
      <c r="N1914">
        <v>3</v>
      </c>
      <c r="O1914" s="1">
        <v>44216.64880787037</v>
      </c>
      <c r="P1914" s="1">
        <v>44216.654444444444</v>
      </c>
      <c r="Q1914">
        <v>314</v>
      </c>
      <c r="R1914">
        <v>173</v>
      </c>
      <c r="S1914" t="b">
        <v>0</v>
      </c>
      <c r="T1914" t="s">
        <v>87</v>
      </c>
      <c r="U1914" t="b">
        <v>0</v>
      </c>
      <c r="V1914" t="s">
        <v>262</v>
      </c>
      <c r="W1914" s="1">
        <v>44216.650625000002</v>
      </c>
      <c r="X1914">
        <v>129</v>
      </c>
      <c r="Y1914">
        <v>0</v>
      </c>
      <c r="Z1914">
        <v>0</v>
      </c>
      <c r="AA1914">
        <v>0</v>
      </c>
      <c r="AB1914">
        <v>52</v>
      </c>
      <c r="AC1914">
        <v>0</v>
      </c>
      <c r="AD1914">
        <v>66</v>
      </c>
      <c r="AE1914">
        <v>0</v>
      </c>
      <c r="AF1914">
        <v>0</v>
      </c>
      <c r="AG1914">
        <v>0</v>
      </c>
      <c r="AH1914" t="s">
        <v>128</v>
      </c>
      <c r="AI1914" s="1">
        <v>44216.651203703703</v>
      </c>
      <c r="AJ1914">
        <v>41</v>
      </c>
      <c r="AK1914">
        <v>0</v>
      </c>
      <c r="AL1914">
        <v>0</v>
      </c>
      <c r="AM1914">
        <v>0</v>
      </c>
      <c r="AN1914">
        <v>52</v>
      </c>
      <c r="AO1914">
        <v>0</v>
      </c>
      <c r="AP1914">
        <v>66</v>
      </c>
      <c r="AQ1914">
        <v>0</v>
      </c>
      <c r="AR1914">
        <v>0</v>
      </c>
      <c r="AS1914">
        <v>0</v>
      </c>
      <c r="AT1914" t="s">
        <v>90</v>
      </c>
      <c r="AU1914" s="1">
        <v>44216.654444444444</v>
      </c>
      <c r="AV1914">
        <v>3</v>
      </c>
      <c r="AW1914">
        <v>0</v>
      </c>
      <c r="AX1914">
        <v>0</v>
      </c>
      <c r="AY1914">
        <v>0</v>
      </c>
      <c r="AZ1914">
        <v>52</v>
      </c>
      <c r="BA1914">
        <v>0</v>
      </c>
      <c r="BB1914">
        <v>66</v>
      </c>
      <c r="BC1914">
        <v>0</v>
      </c>
      <c r="BD1914">
        <v>0</v>
      </c>
      <c r="BE1914">
        <v>0</v>
      </c>
    </row>
    <row r="1915" spans="1:57" x14ac:dyDescent="0.45">
      <c r="A1915" t="s">
        <v>4675</v>
      </c>
      <c r="B1915" t="s">
        <v>79</v>
      </c>
      <c r="C1915" t="s">
        <v>4676</v>
      </c>
      <c r="D1915" t="s">
        <v>81</v>
      </c>
      <c r="E1915" s="2" t="str">
        <f>HYPERLINK("capsilon://?command=openfolder&amp;siteaddress=FAM.docvelocity-na8.net&amp;folderid=FXC5AF3BFA-E60A-1885-48F3-3AB7C97FE7FC","FX210110766")</f>
        <v>FX210110766</v>
      </c>
      <c r="F1915" t="s">
        <v>19</v>
      </c>
      <c r="G1915" t="s">
        <v>19</v>
      </c>
      <c r="H1915" t="s">
        <v>82</v>
      </c>
      <c r="I1915" t="s">
        <v>4677</v>
      </c>
      <c r="J1915">
        <v>106</v>
      </c>
      <c r="K1915" t="s">
        <v>84</v>
      </c>
      <c r="L1915" t="s">
        <v>85</v>
      </c>
      <c r="M1915" t="s">
        <v>86</v>
      </c>
      <c r="N1915">
        <v>3</v>
      </c>
      <c r="O1915" s="1">
        <v>44216.649953703702</v>
      </c>
      <c r="P1915" s="1">
        <v>44216.672199074077</v>
      </c>
      <c r="Q1915">
        <v>1096</v>
      </c>
      <c r="R1915">
        <v>826</v>
      </c>
      <c r="S1915" t="b">
        <v>0</v>
      </c>
      <c r="T1915" t="s">
        <v>87</v>
      </c>
      <c r="U1915" t="b">
        <v>0</v>
      </c>
      <c r="V1915" t="s">
        <v>262</v>
      </c>
      <c r="W1915" s="1">
        <v>44216.6565625</v>
      </c>
      <c r="X1915">
        <v>512</v>
      </c>
      <c r="Y1915">
        <v>97</v>
      </c>
      <c r="Z1915">
        <v>0</v>
      </c>
      <c r="AA1915">
        <v>97</v>
      </c>
      <c r="AB1915">
        <v>0</v>
      </c>
      <c r="AC1915">
        <v>6</v>
      </c>
      <c r="AD1915">
        <v>9</v>
      </c>
      <c r="AE1915">
        <v>0</v>
      </c>
      <c r="AF1915">
        <v>0</v>
      </c>
      <c r="AG1915">
        <v>0</v>
      </c>
      <c r="AH1915" t="s">
        <v>128</v>
      </c>
      <c r="AI1915" s="1">
        <v>44216.660104166665</v>
      </c>
      <c r="AJ1915">
        <v>281</v>
      </c>
      <c r="AK1915">
        <v>1</v>
      </c>
      <c r="AL1915">
        <v>0</v>
      </c>
      <c r="AM1915">
        <v>1</v>
      </c>
      <c r="AN1915">
        <v>0</v>
      </c>
      <c r="AO1915">
        <v>1</v>
      </c>
      <c r="AP1915">
        <v>8</v>
      </c>
      <c r="AQ1915">
        <v>0</v>
      </c>
      <c r="AR1915">
        <v>0</v>
      </c>
      <c r="AS1915">
        <v>0</v>
      </c>
      <c r="AT1915" t="s">
        <v>90</v>
      </c>
      <c r="AU1915" s="1">
        <v>44216.672199074077</v>
      </c>
      <c r="AV1915">
        <v>33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8</v>
      </c>
      <c r="BC1915">
        <v>0</v>
      </c>
      <c r="BD1915">
        <v>0</v>
      </c>
      <c r="BE1915">
        <v>0</v>
      </c>
    </row>
    <row r="1916" spans="1:57" hidden="1" x14ac:dyDescent="0.45">
      <c r="A1916" t="s">
        <v>4678</v>
      </c>
      <c r="B1916" t="s">
        <v>79</v>
      </c>
      <c r="C1916" t="s">
        <v>2723</v>
      </c>
      <c r="D1916" t="s">
        <v>81</v>
      </c>
      <c r="E1916" s="2" t="str">
        <f>HYPERLINK("capsilon://?command=openfolder&amp;siteaddress=FAM.docvelocity-na8.net&amp;folderid=FX21B1759B-D0C8-0853-F05D-F26D1F00119A","FX201222282")</f>
        <v>FX201222282</v>
      </c>
      <c r="F1916" t="s">
        <v>19</v>
      </c>
      <c r="G1916" t="s">
        <v>19</v>
      </c>
      <c r="H1916" t="s">
        <v>82</v>
      </c>
      <c r="I1916" t="s">
        <v>4679</v>
      </c>
      <c r="J1916">
        <v>66</v>
      </c>
      <c r="K1916" t="s">
        <v>84</v>
      </c>
      <c r="L1916" t="s">
        <v>85</v>
      </c>
      <c r="M1916" t="s">
        <v>86</v>
      </c>
      <c r="N1916">
        <v>1</v>
      </c>
      <c r="O1916" s="1">
        <v>44216.653391203705</v>
      </c>
      <c r="P1916" s="1">
        <v>44216.655682870369</v>
      </c>
      <c r="Q1916">
        <v>1</v>
      </c>
      <c r="R1916">
        <v>197</v>
      </c>
      <c r="S1916" t="b">
        <v>0</v>
      </c>
      <c r="T1916" t="s">
        <v>87</v>
      </c>
      <c r="U1916" t="b">
        <v>0</v>
      </c>
      <c r="V1916" t="s">
        <v>179</v>
      </c>
      <c r="W1916" s="1">
        <v>44216.655682870369</v>
      </c>
      <c r="X1916">
        <v>197</v>
      </c>
      <c r="Y1916">
        <v>46</v>
      </c>
      <c r="Z1916">
        <v>0</v>
      </c>
      <c r="AA1916">
        <v>46</v>
      </c>
      <c r="AB1916">
        <v>0</v>
      </c>
      <c r="AC1916">
        <v>1</v>
      </c>
      <c r="AD1916">
        <v>20</v>
      </c>
      <c r="AE1916">
        <v>52</v>
      </c>
      <c r="AF1916">
        <v>0</v>
      </c>
      <c r="AG1916">
        <v>1</v>
      </c>
      <c r="AH1916" t="s">
        <v>87</v>
      </c>
      <c r="AI1916" t="s">
        <v>87</v>
      </c>
      <c r="AJ1916" t="s">
        <v>87</v>
      </c>
      <c r="AK1916" t="s">
        <v>87</v>
      </c>
      <c r="AL1916" t="s">
        <v>87</v>
      </c>
      <c r="AM1916" t="s">
        <v>87</v>
      </c>
      <c r="AN1916" t="s">
        <v>87</v>
      </c>
      <c r="AO1916" t="s">
        <v>87</v>
      </c>
      <c r="AP1916" t="s">
        <v>87</v>
      </c>
      <c r="AQ1916" t="s">
        <v>87</v>
      </c>
      <c r="AR1916" t="s">
        <v>87</v>
      </c>
      <c r="AS1916" t="s">
        <v>87</v>
      </c>
      <c r="AT1916" t="s">
        <v>87</v>
      </c>
      <c r="AU1916" t="s">
        <v>87</v>
      </c>
      <c r="AV1916" t="s">
        <v>87</v>
      </c>
      <c r="AW1916" t="s">
        <v>87</v>
      </c>
      <c r="AX1916" t="s">
        <v>87</v>
      </c>
      <c r="AY1916" t="s">
        <v>87</v>
      </c>
      <c r="AZ1916" t="s">
        <v>87</v>
      </c>
      <c r="BA1916" t="s">
        <v>87</v>
      </c>
      <c r="BB1916" t="s">
        <v>87</v>
      </c>
      <c r="BC1916" t="s">
        <v>87</v>
      </c>
      <c r="BD1916" t="s">
        <v>87</v>
      </c>
      <c r="BE1916" t="s">
        <v>87</v>
      </c>
    </row>
    <row r="1917" spans="1:57" x14ac:dyDescent="0.45">
      <c r="A1917" t="s">
        <v>4680</v>
      </c>
      <c r="B1917" t="s">
        <v>79</v>
      </c>
      <c r="C1917" t="s">
        <v>3778</v>
      </c>
      <c r="D1917" t="s">
        <v>81</v>
      </c>
      <c r="E1917" s="2" t="str">
        <f>HYPERLINK("capsilon://?command=openfolder&amp;siteaddress=FAM.docvelocity-na8.net&amp;folderid=FXA3F879DC-DFBD-F456-8F92-A8CBB1FBF32E","FX201228147")</f>
        <v>FX201228147</v>
      </c>
      <c r="F1917" t="s">
        <v>19</v>
      </c>
      <c r="G1917" t="s">
        <v>19</v>
      </c>
      <c r="H1917" t="s">
        <v>82</v>
      </c>
      <c r="I1917" t="s">
        <v>4681</v>
      </c>
      <c r="J1917">
        <v>66</v>
      </c>
      <c r="K1917" t="s">
        <v>84</v>
      </c>
      <c r="L1917" t="s">
        <v>85</v>
      </c>
      <c r="M1917" t="s">
        <v>86</v>
      </c>
      <c r="N1917">
        <v>3</v>
      </c>
      <c r="O1917" s="1">
        <v>44216.654074074075</v>
      </c>
      <c r="P1917" s="1">
        <v>44216.672743055555</v>
      </c>
      <c r="Q1917">
        <v>666</v>
      </c>
      <c r="R1917">
        <v>947</v>
      </c>
      <c r="S1917" t="b">
        <v>0</v>
      </c>
      <c r="T1917" t="s">
        <v>87</v>
      </c>
      <c r="U1917" t="b">
        <v>0</v>
      </c>
      <c r="V1917" t="s">
        <v>171</v>
      </c>
      <c r="W1917" s="1">
        <v>44216.662604166668</v>
      </c>
      <c r="X1917">
        <v>736</v>
      </c>
      <c r="Y1917">
        <v>52</v>
      </c>
      <c r="Z1917">
        <v>0</v>
      </c>
      <c r="AA1917">
        <v>52</v>
      </c>
      <c r="AB1917">
        <v>0</v>
      </c>
      <c r="AC1917">
        <v>32</v>
      </c>
      <c r="AD1917">
        <v>14</v>
      </c>
      <c r="AE1917">
        <v>0</v>
      </c>
      <c r="AF1917">
        <v>0</v>
      </c>
      <c r="AG1917">
        <v>0</v>
      </c>
      <c r="AH1917" t="s">
        <v>128</v>
      </c>
      <c r="AI1917" s="1">
        <v>44216.667037037034</v>
      </c>
      <c r="AJ1917">
        <v>172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14</v>
      </c>
      <c r="AQ1917">
        <v>0</v>
      </c>
      <c r="AR1917">
        <v>0</v>
      </c>
      <c r="AS1917">
        <v>0</v>
      </c>
      <c r="AT1917" t="s">
        <v>90</v>
      </c>
      <c r="AU1917" s="1">
        <v>44216.672743055555</v>
      </c>
      <c r="AV1917">
        <v>39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14</v>
      </c>
      <c r="BC1917">
        <v>0</v>
      </c>
      <c r="BD1917">
        <v>0</v>
      </c>
      <c r="BE1917">
        <v>0</v>
      </c>
    </row>
    <row r="1918" spans="1:57" x14ac:dyDescent="0.45">
      <c r="A1918" t="s">
        <v>4682</v>
      </c>
      <c r="B1918" t="s">
        <v>79</v>
      </c>
      <c r="C1918" t="s">
        <v>2723</v>
      </c>
      <c r="D1918" t="s">
        <v>81</v>
      </c>
      <c r="E1918" s="2" t="str">
        <f>HYPERLINK("capsilon://?command=openfolder&amp;siteaddress=FAM.docvelocity-na8.net&amp;folderid=FX21B1759B-D0C8-0853-F05D-F26D1F00119A","FX201222282")</f>
        <v>FX201222282</v>
      </c>
      <c r="F1918" t="s">
        <v>19</v>
      </c>
      <c r="G1918" t="s">
        <v>19</v>
      </c>
      <c r="H1918" t="s">
        <v>82</v>
      </c>
      <c r="I1918" t="s">
        <v>4679</v>
      </c>
      <c r="J1918">
        <v>38</v>
      </c>
      <c r="K1918" t="s">
        <v>84</v>
      </c>
      <c r="L1918" t="s">
        <v>85</v>
      </c>
      <c r="M1918" t="s">
        <v>86</v>
      </c>
      <c r="N1918">
        <v>3</v>
      </c>
      <c r="O1918" s="1">
        <v>44216.655960648146</v>
      </c>
      <c r="P1918" s="1">
        <v>44216.672280092593</v>
      </c>
      <c r="Q1918">
        <v>68</v>
      </c>
      <c r="R1918">
        <v>1342</v>
      </c>
      <c r="S1918" t="b">
        <v>0</v>
      </c>
      <c r="T1918" t="s">
        <v>87</v>
      </c>
      <c r="U1918" t="b">
        <v>1</v>
      </c>
      <c r="V1918" t="s">
        <v>179</v>
      </c>
      <c r="W1918" s="1">
        <v>44216.668796296297</v>
      </c>
      <c r="X1918">
        <v>1108</v>
      </c>
      <c r="Y1918">
        <v>37</v>
      </c>
      <c r="Z1918">
        <v>0</v>
      </c>
      <c r="AA1918">
        <v>37</v>
      </c>
      <c r="AB1918">
        <v>0</v>
      </c>
      <c r="AC1918">
        <v>20</v>
      </c>
      <c r="AD1918">
        <v>1</v>
      </c>
      <c r="AE1918">
        <v>0</v>
      </c>
      <c r="AF1918">
        <v>0</v>
      </c>
      <c r="AG1918">
        <v>0</v>
      </c>
      <c r="AH1918" t="s">
        <v>128</v>
      </c>
      <c r="AI1918" s="1">
        <v>44216.672175925924</v>
      </c>
      <c r="AJ1918">
        <v>228</v>
      </c>
      <c r="AK1918">
        <v>2</v>
      </c>
      <c r="AL1918">
        <v>0</v>
      </c>
      <c r="AM1918">
        <v>2</v>
      </c>
      <c r="AN1918">
        <v>0</v>
      </c>
      <c r="AO1918">
        <v>2</v>
      </c>
      <c r="AP1918">
        <v>-1</v>
      </c>
      <c r="AQ1918">
        <v>0</v>
      </c>
      <c r="AR1918">
        <v>0</v>
      </c>
      <c r="AS1918">
        <v>0</v>
      </c>
      <c r="AT1918" t="s">
        <v>90</v>
      </c>
      <c r="AU1918" s="1">
        <v>44216.672280092593</v>
      </c>
      <c r="AV1918">
        <v>6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-1</v>
      </c>
      <c r="BC1918">
        <v>0</v>
      </c>
      <c r="BD1918">
        <v>0</v>
      </c>
      <c r="BE1918">
        <v>0</v>
      </c>
    </row>
    <row r="1919" spans="1:57" x14ac:dyDescent="0.45">
      <c r="A1919" t="s">
        <v>4683</v>
      </c>
      <c r="B1919" t="s">
        <v>79</v>
      </c>
      <c r="C1919" t="s">
        <v>4684</v>
      </c>
      <c r="D1919" t="s">
        <v>81</v>
      </c>
      <c r="E1919" s="2" t="str">
        <f>HYPERLINK("capsilon://?command=openfolder&amp;siteaddress=FAM.docvelocity-na8.net&amp;folderid=FXDB42A82A-23F6-8F9D-7BD5-E55057993E89","FX21019882")</f>
        <v>FX21019882</v>
      </c>
      <c r="F1919" t="s">
        <v>19</v>
      </c>
      <c r="G1919" t="s">
        <v>19</v>
      </c>
      <c r="H1919" t="s">
        <v>82</v>
      </c>
      <c r="I1919" t="s">
        <v>4685</v>
      </c>
      <c r="J1919">
        <v>414</v>
      </c>
      <c r="K1919" t="s">
        <v>84</v>
      </c>
      <c r="L1919" t="s">
        <v>85</v>
      </c>
      <c r="M1919" t="s">
        <v>86</v>
      </c>
      <c r="N1919">
        <v>3</v>
      </c>
      <c r="O1919" s="1">
        <v>44216.658032407409</v>
      </c>
      <c r="P1919" s="1">
        <v>44217.353043981479</v>
      </c>
      <c r="Q1919">
        <v>52265</v>
      </c>
      <c r="R1919">
        <v>7784</v>
      </c>
      <c r="S1919" t="b">
        <v>0</v>
      </c>
      <c r="T1919" t="s">
        <v>87</v>
      </c>
      <c r="U1919" t="b">
        <v>0</v>
      </c>
      <c r="V1919" t="s">
        <v>168</v>
      </c>
      <c r="W1919" s="1">
        <v>44216.728530092594</v>
      </c>
      <c r="X1919">
        <v>5901</v>
      </c>
      <c r="Y1919">
        <v>392</v>
      </c>
      <c r="Z1919">
        <v>0</v>
      </c>
      <c r="AA1919">
        <v>392</v>
      </c>
      <c r="AB1919">
        <v>0</v>
      </c>
      <c r="AC1919">
        <v>191</v>
      </c>
      <c r="AD1919">
        <v>22</v>
      </c>
      <c r="AE1919">
        <v>0</v>
      </c>
      <c r="AF1919">
        <v>0</v>
      </c>
      <c r="AG1919">
        <v>0</v>
      </c>
      <c r="AH1919" t="s">
        <v>132</v>
      </c>
      <c r="AI1919" s="1">
        <v>44216.735960648148</v>
      </c>
      <c r="AJ1919">
        <v>627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22</v>
      </c>
      <c r="AQ1919">
        <v>0</v>
      </c>
      <c r="AR1919">
        <v>0</v>
      </c>
      <c r="AS1919">
        <v>0</v>
      </c>
      <c r="AT1919" t="s">
        <v>90</v>
      </c>
      <c r="AU1919" s="1">
        <v>44217.353043981479</v>
      </c>
      <c r="AV1919">
        <v>1062</v>
      </c>
      <c r="AW1919">
        <v>4</v>
      </c>
      <c r="AX1919">
        <v>0</v>
      </c>
      <c r="AY1919">
        <v>4</v>
      </c>
      <c r="AZ1919">
        <v>66</v>
      </c>
      <c r="BA1919">
        <v>4</v>
      </c>
      <c r="BB1919">
        <v>18</v>
      </c>
      <c r="BC1919">
        <v>0</v>
      </c>
      <c r="BD1919">
        <v>0</v>
      </c>
      <c r="BE1919">
        <v>0</v>
      </c>
    </row>
    <row r="1920" spans="1:57" x14ac:dyDescent="0.45">
      <c r="A1920" t="s">
        <v>4686</v>
      </c>
      <c r="B1920" t="s">
        <v>79</v>
      </c>
      <c r="C1920" t="s">
        <v>4397</v>
      </c>
      <c r="D1920" t="s">
        <v>81</v>
      </c>
      <c r="E1920" s="2" t="str">
        <f>HYPERLINK("capsilon://?command=openfolder&amp;siteaddress=FAM.docvelocity-na8.net&amp;folderid=FX54E9990D-39FF-3BFC-3F96-A42AFB86E155","FX21018371")</f>
        <v>FX21018371</v>
      </c>
      <c r="F1920" t="s">
        <v>19</v>
      </c>
      <c r="G1920" t="s">
        <v>19</v>
      </c>
      <c r="H1920" t="s">
        <v>82</v>
      </c>
      <c r="I1920" t="s">
        <v>4687</v>
      </c>
      <c r="J1920">
        <v>38</v>
      </c>
      <c r="K1920" t="s">
        <v>84</v>
      </c>
      <c r="L1920" t="s">
        <v>85</v>
      </c>
      <c r="M1920" t="s">
        <v>86</v>
      </c>
      <c r="N1920">
        <v>3</v>
      </c>
      <c r="O1920" s="1">
        <v>44216.658518518518</v>
      </c>
      <c r="P1920" s="1">
        <v>44216.676990740743</v>
      </c>
      <c r="Q1920">
        <v>426</v>
      </c>
      <c r="R1920">
        <v>1170</v>
      </c>
      <c r="S1920" t="b">
        <v>0</v>
      </c>
      <c r="T1920" t="s">
        <v>87</v>
      </c>
      <c r="U1920" t="b">
        <v>0</v>
      </c>
      <c r="V1920" t="s">
        <v>171</v>
      </c>
      <c r="W1920" s="1">
        <v>44216.673888888887</v>
      </c>
      <c r="X1920">
        <v>974</v>
      </c>
      <c r="Y1920">
        <v>37</v>
      </c>
      <c r="Z1920">
        <v>0</v>
      </c>
      <c r="AA1920">
        <v>37</v>
      </c>
      <c r="AB1920">
        <v>0</v>
      </c>
      <c r="AC1920">
        <v>29</v>
      </c>
      <c r="AD1920">
        <v>1</v>
      </c>
      <c r="AE1920">
        <v>0</v>
      </c>
      <c r="AF1920">
        <v>0</v>
      </c>
      <c r="AG1920">
        <v>0</v>
      </c>
      <c r="AH1920" t="s">
        <v>128</v>
      </c>
      <c r="AI1920" s="1">
        <v>44216.67628472222</v>
      </c>
      <c r="AJ1920">
        <v>188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 t="s">
        <v>90</v>
      </c>
      <c r="AU1920" s="1">
        <v>44216.676990740743</v>
      </c>
      <c r="AV1920">
        <v>8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</row>
    <row r="1921" spans="1:57" x14ac:dyDescent="0.45">
      <c r="A1921" t="s">
        <v>4688</v>
      </c>
      <c r="B1921" t="s">
        <v>79</v>
      </c>
      <c r="C1921" t="s">
        <v>4397</v>
      </c>
      <c r="D1921" t="s">
        <v>81</v>
      </c>
      <c r="E1921" s="2" t="str">
        <f>HYPERLINK("capsilon://?command=openfolder&amp;siteaddress=FAM.docvelocity-na8.net&amp;folderid=FX54E9990D-39FF-3BFC-3F96-A42AFB86E155","FX21018371")</f>
        <v>FX21018371</v>
      </c>
      <c r="F1921" t="s">
        <v>19</v>
      </c>
      <c r="G1921" t="s">
        <v>19</v>
      </c>
      <c r="H1921" t="s">
        <v>82</v>
      </c>
      <c r="I1921" t="s">
        <v>4689</v>
      </c>
      <c r="J1921">
        <v>26</v>
      </c>
      <c r="K1921" t="s">
        <v>84</v>
      </c>
      <c r="L1921" t="s">
        <v>85</v>
      </c>
      <c r="M1921" t="s">
        <v>81</v>
      </c>
      <c r="N1921">
        <v>3</v>
      </c>
      <c r="O1921" s="1">
        <v>44216.660196759258</v>
      </c>
      <c r="P1921" s="1">
        <v>44216.686249999999</v>
      </c>
      <c r="Q1921">
        <v>1354</v>
      </c>
      <c r="R1921">
        <v>897</v>
      </c>
      <c r="S1921" t="b">
        <v>0</v>
      </c>
      <c r="T1921" t="s">
        <v>160</v>
      </c>
      <c r="U1921" t="b">
        <v>0</v>
      </c>
      <c r="V1921" t="s">
        <v>160</v>
      </c>
      <c r="W1921" s="1">
        <v>44216.673622685186</v>
      </c>
      <c r="X1921">
        <v>599</v>
      </c>
      <c r="Y1921">
        <v>21</v>
      </c>
      <c r="Z1921">
        <v>0</v>
      </c>
      <c r="AA1921">
        <v>21</v>
      </c>
      <c r="AB1921">
        <v>0</v>
      </c>
      <c r="AC1921">
        <v>21</v>
      </c>
      <c r="AD1921">
        <v>5</v>
      </c>
      <c r="AE1921">
        <v>0</v>
      </c>
      <c r="AF1921">
        <v>0</v>
      </c>
      <c r="AG1921">
        <v>0</v>
      </c>
      <c r="AH1921" t="s">
        <v>132</v>
      </c>
      <c r="AI1921" s="1">
        <v>44216.684976851851</v>
      </c>
      <c r="AJ1921">
        <v>274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5</v>
      </c>
      <c r="AQ1921">
        <v>0</v>
      </c>
      <c r="AR1921">
        <v>0</v>
      </c>
      <c r="AS1921">
        <v>0</v>
      </c>
      <c r="AT1921" t="s">
        <v>160</v>
      </c>
      <c r="AU1921" s="1">
        <v>44216.686249999999</v>
      </c>
      <c r="AV1921">
        <v>24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5</v>
      </c>
      <c r="BC1921">
        <v>0</v>
      </c>
      <c r="BD1921">
        <v>0</v>
      </c>
      <c r="BE1921">
        <v>0</v>
      </c>
    </row>
    <row r="1922" spans="1:57" hidden="1" x14ac:dyDescent="0.45">
      <c r="A1922" t="s">
        <v>4690</v>
      </c>
      <c r="B1922" t="s">
        <v>79</v>
      </c>
      <c r="C1922" t="s">
        <v>1226</v>
      </c>
      <c r="D1922" t="s">
        <v>81</v>
      </c>
      <c r="E1922" s="2" t="str">
        <f>HYPERLINK("capsilon://?command=openfolder&amp;siteaddress=FAM.docvelocity-na8.net&amp;folderid=FX20638E3F-DC65-E459-B4A6-8522D3961AA9","FX20126938")</f>
        <v>FX20126938</v>
      </c>
      <c r="F1922" t="s">
        <v>19</v>
      </c>
      <c r="G1922" t="s">
        <v>19</v>
      </c>
      <c r="H1922" t="s">
        <v>82</v>
      </c>
      <c r="I1922" t="s">
        <v>4691</v>
      </c>
      <c r="J1922">
        <v>66</v>
      </c>
      <c r="K1922" t="s">
        <v>84</v>
      </c>
      <c r="L1922" t="s">
        <v>85</v>
      </c>
      <c r="M1922" t="s">
        <v>86</v>
      </c>
      <c r="N1922">
        <v>3</v>
      </c>
      <c r="O1922" s="1">
        <v>44216.663935185185</v>
      </c>
      <c r="P1922" s="1">
        <v>44216.673379629632</v>
      </c>
      <c r="Q1922">
        <v>631</v>
      </c>
      <c r="R1922">
        <v>185</v>
      </c>
      <c r="S1922" t="b">
        <v>0</v>
      </c>
      <c r="T1922" t="s">
        <v>87</v>
      </c>
      <c r="U1922" t="b">
        <v>0</v>
      </c>
      <c r="V1922" t="s">
        <v>262</v>
      </c>
      <c r="W1922" s="1">
        <v>44216.668240740742</v>
      </c>
      <c r="X1922">
        <v>102</v>
      </c>
      <c r="Y1922">
        <v>0</v>
      </c>
      <c r="Z1922">
        <v>0</v>
      </c>
      <c r="AA1922">
        <v>0</v>
      </c>
      <c r="AB1922">
        <v>52</v>
      </c>
      <c r="AC1922">
        <v>0</v>
      </c>
      <c r="AD1922">
        <v>66</v>
      </c>
      <c r="AE1922">
        <v>0</v>
      </c>
      <c r="AF1922">
        <v>0</v>
      </c>
      <c r="AG1922">
        <v>0</v>
      </c>
      <c r="AH1922" t="s">
        <v>132</v>
      </c>
      <c r="AI1922" s="1">
        <v>44216.670416666668</v>
      </c>
      <c r="AJ1922">
        <v>29</v>
      </c>
      <c r="AK1922">
        <v>0</v>
      </c>
      <c r="AL1922">
        <v>0</v>
      </c>
      <c r="AM1922">
        <v>0</v>
      </c>
      <c r="AN1922">
        <v>52</v>
      </c>
      <c r="AO1922">
        <v>0</v>
      </c>
      <c r="AP1922">
        <v>66</v>
      </c>
      <c r="AQ1922">
        <v>0</v>
      </c>
      <c r="AR1922">
        <v>0</v>
      </c>
      <c r="AS1922">
        <v>0</v>
      </c>
      <c r="AT1922" t="s">
        <v>90</v>
      </c>
      <c r="AU1922" s="1">
        <v>44216.673379629632</v>
      </c>
      <c r="AV1922">
        <v>54</v>
      </c>
      <c r="AW1922">
        <v>0</v>
      </c>
      <c r="AX1922">
        <v>0</v>
      </c>
      <c r="AY1922">
        <v>0</v>
      </c>
      <c r="AZ1922">
        <v>52</v>
      </c>
      <c r="BA1922">
        <v>0</v>
      </c>
      <c r="BB1922">
        <v>66</v>
      </c>
      <c r="BC1922">
        <v>0</v>
      </c>
      <c r="BD1922">
        <v>0</v>
      </c>
      <c r="BE1922">
        <v>0</v>
      </c>
    </row>
    <row r="1923" spans="1:57" x14ac:dyDescent="0.45">
      <c r="A1923" t="s">
        <v>4692</v>
      </c>
      <c r="B1923" t="s">
        <v>79</v>
      </c>
      <c r="C1923" t="s">
        <v>4693</v>
      </c>
      <c r="D1923" t="s">
        <v>81</v>
      </c>
      <c r="E1923" s="2" t="str">
        <f>HYPERLINK("capsilon://?command=openfolder&amp;siteaddress=FAM.docvelocity-na8.net&amp;folderid=FXF9831668-AFEC-3E99-7D8B-E8CC82E9E877","FX201223652")</f>
        <v>FX201223652</v>
      </c>
      <c r="F1923" t="s">
        <v>19</v>
      </c>
      <c r="G1923" t="s">
        <v>19</v>
      </c>
      <c r="H1923" t="s">
        <v>82</v>
      </c>
      <c r="I1923" t="s">
        <v>4694</v>
      </c>
      <c r="J1923">
        <v>66</v>
      </c>
      <c r="K1923" t="s">
        <v>84</v>
      </c>
      <c r="L1923" t="s">
        <v>85</v>
      </c>
      <c r="M1923" t="s">
        <v>86</v>
      </c>
      <c r="N1923">
        <v>3</v>
      </c>
      <c r="O1923" s="1">
        <v>44201.375648148147</v>
      </c>
      <c r="P1923" s="1">
        <v>44201.522743055553</v>
      </c>
      <c r="Q1923">
        <v>10060</v>
      </c>
      <c r="R1923">
        <v>2649</v>
      </c>
      <c r="S1923" t="b">
        <v>0</v>
      </c>
      <c r="T1923" t="s">
        <v>87</v>
      </c>
      <c r="U1923" t="b">
        <v>0</v>
      </c>
      <c r="V1923" t="s">
        <v>98</v>
      </c>
      <c r="W1923" s="1">
        <v>44201.402754629627</v>
      </c>
      <c r="X1923">
        <v>2022</v>
      </c>
      <c r="Y1923">
        <v>53</v>
      </c>
      <c r="Z1923">
        <v>0</v>
      </c>
      <c r="AA1923">
        <v>53</v>
      </c>
      <c r="AB1923">
        <v>0</v>
      </c>
      <c r="AC1923">
        <v>81</v>
      </c>
      <c r="AD1923">
        <v>13</v>
      </c>
      <c r="AE1923">
        <v>0</v>
      </c>
      <c r="AF1923">
        <v>0</v>
      </c>
      <c r="AG1923">
        <v>0</v>
      </c>
      <c r="AH1923" t="s">
        <v>267</v>
      </c>
      <c r="AI1923" s="1">
        <v>44201.500856481478</v>
      </c>
      <c r="AJ1923">
        <v>288</v>
      </c>
      <c r="AK1923">
        <v>2</v>
      </c>
      <c r="AL1923">
        <v>0</v>
      </c>
      <c r="AM1923">
        <v>2</v>
      </c>
      <c r="AN1923">
        <v>0</v>
      </c>
      <c r="AO1923">
        <v>1</v>
      </c>
      <c r="AP1923">
        <v>11</v>
      </c>
      <c r="AQ1923">
        <v>0</v>
      </c>
      <c r="AR1923">
        <v>0</v>
      </c>
      <c r="AS1923">
        <v>0</v>
      </c>
      <c r="AT1923" t="s">
        <v>90</v>
      </c>
      <c r="AU1923" s="1">
        <v>44201.522743055553</v>
      </c>
      <c r="AV1923">
        <v>339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11</v>
      </c>
      <c r="BC1923">
        <v>0</v>
      </c>
      <c r="BD1923">
        <v>0</v>
      </c>
      <c r="BE1923">
        <v>0</v>
      </c>
    </row>
    <row r="1924" spans="1:57" hidden="1" x14ac:dyDescent="0.45">
      <c r="A1924" t="s">
        <v>4695</v>
      </c>
      <c r="B1924" t="s">
        <v>79</v>
      </c>
      <c r="C1924" t="s">
        <v>4696</v>
      </c>
      <c r="D1924" t="s">
        <v>81</v>
      </c>
      <c r="E1924" s="2" t="str">
        <f>HYPERLINK("capsilon://?command=openfolder&amp;siteaddress=FAM.docvelocity-na8.net&amp;folderid=FX89FCB9C7-D39D-E98D-3150-D01EA869AE57","FX201223412")</f>
        <v>FX201223412</v>
      </c>
      <c r="F1924" t="s">
        <v>19</v>
      </c>
      <c r="G1924" t="s">
        <v>19</v>
      </c>
      <c r="H1924" t="s">
        <v>82</v>
      </c>
      <c r="I1924" t="s">
        <v>4697</v>
      </c>
      <c r="J1924">
        <v>66</v>
      </c>
      <c r="K1924" t="s">
        <v>84</v>
      </c>
      <c r="L1924" t="s">
        <v>85</v>
      </c>
      <c r="M1924" t="s">
        <v>86</v>
      </c>
      <c r="N1924">
        <v>3</v>
      </c>
      <c r="O1924" s="1">
        <v>44216.670775462961</v>
      </c>
      <c r="P1924" s="1">
        <v>44216.673414351855</v>
      </c>
      <c r="Q1924">
        <v>99</v>
      </c>
      <c r="R1924">
        <v>129</v>
      </c>
      <c r="S1924" t="b">
        <v>0</v>
      </c>
      <c r="T1924" t="s">
        <v>87</v>
      </c>
      <c r="U1924" t="b">
        <v>0</v>
      </c>
      <c r="V1924" t="s">
        <v>179</v>
      </c>
      <c r="W1924" s="1">
        <v>44216.671793981484</v>
      </c>
      <c r="X1924">
        <v>87</v>
      </c>
      <c r="Y1924">
        <v>0</v>
      </c>
      <c r="Z1924">
        <v>0</v>
      </c>
      <c r="AA1924">
        <v>0</v>
      </c>
      <c r="AB1924">
        <v>52</v>
      </c>
      <c r="AC1924">
        <v>0</v>
      </c>
      <c r="AD1924">
        <v>66</v>
      </c>
      <c r="AE1924">
        <v>0</v>
      </c>
      <c r="AF1924">
        <v>0</v>
      </c>
      <c r="AG1924">
        <v>0</v>
      </c>
      <c r="AH1924" t="s">
        <v>128</v>
      </c>
      <c r="AI1924" s="1">
        <v>44216.672662037039</v>
      </c>
      <c r="AJ1924">
        <v>40</v>
      </c>
      <c r="AK1924">
        <v>0</v>
      </c>
      <c r="AL1924">
        <v>0</v>
      </c>
      <c r="AM1924">
        <v>0</v>
      </c>
      <c r="AN1924">
        <v>52</v>
      </c>
      <c r="AO1924">
        <v>0</v>
      </c>
      <c r="AP1924">
        <v>66</v>
      </c>
      <c r="AQ1924">
        <v>0</v>
      </c>
      <c r="AR1924">
        <v>0</v>
      </c>
      <c r="AS1924">
        <v>0</v>
      </c>
      <c r="AT1924" t="s">
        <v>90</v>
      </c>
      <c r="AU1924" s="1">
        <v>44216.673414351855</v>
      </c>
      <c r="AV1924">
        <v>2</v>
      </c>
      <c r="AW1924">
        <v>0</v>
      </c>
      <c r="AX1924">
        <v>0</v>
      </c>
      <c r="AY1924">
        <v>0</v>
      </c>
      <c r="AZ1924">
        <v>52</v>
      </c>
      <c r="BA1924">
        <v>0</v>
      </c>
      <c r="BB1924">
        <v>66</v>
      </c>
      <c r="BC1924">
        <v>0</v>
      </c>
      <c r="BD1924">
        <v>0</v>
      </c>
      <c r="BE1924">
        <v>0</v>
      </c>
    </row>
    <row r="1925" spans="1:57" x14ac:dyDescent="0.45">
      <c r="A1925" t="s">
        <v>4698</v>
      </c>
      <c r="B1925" t="s">
        <v>79</v>
      </c>
      <c r="C1925" t="s">
        <v>1542</v>
      </c>
      <c r="D1925" t="s">
        <v>81</v>
      </c>
      <c r="E1925" s="2" t="str">
        <f>HYPERLINK("capsilon://?command=openfolder&amp;siteaddress=FAM.docvelocity-na8.net&amp;folderid=FX67CAA779-0F7B-406F-5EB2-6F24F7456D67","FX21012215")</f>
        <v>FX21012215</v>
      </c>
      <c r="F1925" t="s">
        <v>19</v>
      </c>
      <c r="G1925" t="s">
        <v>19</v>
      </c>
      <c r="H1925" t="s">
        <v>82</v>
      </c>
      <c r="I1925" t="s">
        <v>4699</v>
      </c>
      <c r="J1925">
        <v>66</v>
      </c>
      <c r="K1925" t="s">
        <v>84</v>
      </c>
      <c r="L1925" t="s">
        <v>85</v>
      </c>
      <c r="M1925" t="s">
        <v>86</v>
      </c>
      <c r="N1925">
        <v>3</v>
      </c>
      <c r="O1925" s="1">
        <v>44216.672071759262</v>
      </c>
      <c r="P1925" s="1">
        <v>44217.353136574071</v>
      </c>
      <c r="Q1925">
        <v>58521</v>
      </c>
      <c r="R1925">
        <v>323</v>
      </c>
      <c r="S1925" t="b">
        <v>0</v>
      </c>
      <c r="T1925" t="s">
        <v>87</v>
      </c>
      <c r="U1925" t="b">
        <v>0</v>
      </c>
      <c r="V1925" t="s">
        <v>146</v>
      </c>
      <c r="W1925" s="1">
        <v>44216.675416666665</v>
      </c>
      <c r="X1925">
        <v>288</v>
      </c>
      <c r="Y1925">
        <v>22</v>
      </c>
      <c r="Z1925">
        <v>0</v>
      </c>
      <c r="AA1925">
        <v>22</v>
      </c>
      <c r="AB1925">
        <v>52</v>
      </c>
      <c r="AC1925">
        <v>0</v>
      </c>
      <c r="AD1925">
        <v>44</v>
      </c>
      <c r="AE1925">
        <v>0</v>
      </c>
      <c r="AF1925">
        <v>0</v>
      </c>
      <c r="AG1925">
        <v>0</v>
      </c>
      <c r="AH1925" t="s">
        <v>132</v>
      </c>
      <c r="AI1925" s="1">
        <v>44216.685312499998</v>
      </c>
      <c r="AJ1925">
        <v>28</v>
      </c>
      <c r="AK1925">
        <v>0</v>
      </c>
      <c r="AL1925">
        <v>0</v>
      </c>
      <c r="AM1925">
        <v>0</v>
      </c>
      <c r="AN1925">
        <v>52</v>
      </c>
      <c r="AO1925">
        <v>0</v>
      </c>
      <c r="AP1925">
        <v>44</v>
      </c>
      <c r="AQ1925">
        <v>0</v>
      </c>
      <c r="AR1925">
        <v>0</v>
      </c>
      <c r="AS1925">
        <v>0</v>
      </c>
      <c r="AT1925" t="s">
        <v>90</v>
      </c>
      <c r="AU1925" s="1">
        <v>44217.353136574071</v>
      </c>
      <c r="AV1925">
        <v>7</v>
      </c>
      <c r="AW1925">
        <v>0</v>
      </c>
      <c r="AX1925">
        <v>0</v>
      </c>
      <c r="AY1925">
        <v>0</v>
      </c>
      <c r="AZ1925">
        <v>52</v>
      </c>
      <c r="BA1925">
        <v>0</v>
      </c>
      <c r="BB1925">
        <v>44</v>
      </c>
      <c r="BC1925">
        <v>0</v>
      </c>
      <c r="BD1925">
        <v>0</v>
      </c>
      <c r="BE1925">
        <v>0</v>
      </c>
    </row>
    <row r="1926" spans="1:57" hidden="1" x14ac:dyDescent="0.45">
      <c r="A1926" t="s">
        <v>4700</v>
      </c>
      <c r="B1926" t="s">
        <v>79</v>
      </c>
      <c r="C1926" t="s">
        <v>4701</v>
      </c>
      <c r="D1926" t="s">
        <v>81</v>
      </c>
      <c r="E1926" s="2" t="str">
        <f>HYPERLINK("capsilon://?command=openfolder&amp;siteaddress=FAM.docvelocity-na8.net&amp;folderid=FXFE34F98A-2EA1-D39B-F9F7-93258D660901","FX21018646")</f>
        <v>FX21018646</v>
      </c>
      <c r="F1926" t="s">
        <v>19</v>
      </c>
      <c r="G1926" t="s">
        <v>19</v>
      </c>
      <c r="H1926" t="s">
        <v>82</v>
      </c>
      <c r="I1926" t="s">
        <v>4702</v>
      </c>
      <c r="J1926">
        <v>232</v>
      </c>
      <c r="K1926" t="s">
        <v>84</v>
      </c>
      <c r="L1926" t="s">
        <v>85</v>
      </c>
      <c r="M1926" t="s">
        <v>86</v>
      </c>
      <c r="N1926">
        <v>1</v>
      </c>
      <c r="O1926" s="1">
        <v>44216.672893518517</v>
      </c>
      <c r="P1926" s="1">
        <v>44216.706793981481</v>
      </c>
      <c r="Q1926">
        <v>2382</v>
      </c>
      <c r="R1926">
        <v>547</v>
      </c>
      <c r="S1926" t="b">
        <v>0</v>
      </c>
      <c r="T1926" t="s">
        <v>87</v>
      </c>
      <c r="U1926" t="b">
        <v>0</v>
      </c>
      <c r="V1926" t="s">
        <v>171</v>
      </c>
      <c r="W1926" s="1">
        <v>44216.706793981481</v>
      </c>
      <c r="X1926">
        <v>547</v>
      </c>
      <c r="Y1926">
        <v>105</v>
      </c>
      <c r="Z1926">
        <v>0</v>
      </c>
      <c r="AA1926">
        <v>105</v>
      </c>
      <c r="AB1926">
        <v>0</v>
      </c>
      <c r="AC1926">
        <v>17</v>
      </c>
      <c r="AD1926">
        <v>127</v>
      </c>
      <c r="AE1926">
        <v>0</v>
      </c>
      <c r="AF1926">
        <v>0</v>
      </c>
      <c r="AG1926">
        <v>4</v>
      </c>
      <c r="AH1926" t="s">
        <v>87</v>
      </c>
      <c r="AI1926" t="s">
        <v>87</v>
      </c>
      <c r="AJ1926" t="s">
        <v>87</v>
      </c>
      <c r="AK1926" t="s">
        <v>87</v>
      </c>
      <c r="AL1926" t="s">
        <v>87</v>
      </c>
      <c r="AM1926" t="s">
        <v>87</v>
      </c>
      <c r="AN1926" t="s">
        <v>87</v>
      </c>
      <c r="AO1926" t="s">
        <v>87</v>
      </c>
      <c r="AP1926" t="s">
        <v>87</v>
      </c>
      <c r="AQ1926" t="s">
        <v>87</v>
      </c>
      <c r="AR1926" t="s">
        <v>87</v>
      </c>
      <c r="AS1926" t="s">
        <v>87</v>
      </c>
      <c r="AT1926" t="s">
        <v>87</v>
      </c>
      <c r="AU1926" t="s">
        <v>87</v>
      </c>
      <c r="AV1926" t="s">
        <v>87</v>
      </c>
      <c r="AW1926" t="s">
        <v>87</v>
      </c>
      <c r="AX1926" t="s">
        <v>87</v>
      </c>
      <c r="AY1926" t="s">
        <v>87</v>
      </c>
      <c r="AZ1926" t="s">
        <v>87</v>
      </c>
      <c r="BA1926" t="s">
        <v>87</v>
      </c>
      <c r="BB1926" t="s">
        <v>87</v>
      </c>
      <c r="BC1926" t="s">
        <v>87</v>
      </c>
      <c r="BD1926" t="s">
        <v>87</v>
      </c>
      <c r="BE1926" t="s">
        <v>87</v>
      </c>
    </row>
    <row r="1927" spans="1:57" x14ac:dyDescent="0.45">
      <c r="A1927" t="s">
        <v>4703</v>
      </c>
      <c r="B1927" t="s">
        <v>79</v>
      </c>
      <c r="C1927" t="s">
        <v>4704</v>
      </c>
      <c r="D1927" t="s">
        <v>81</v>
      </c>
      <c r="E1927" s="2" t="str">
        <f>HYPERLINK("capsilon://?command=openfolder&amp;siteaddress=FAM.docvelocity-na8.net&amp;folderid=FXD0E54254-420D-BD70-7309-6FD2A9388C3E","FX210110195")</f>
        <v>FX210110195</v>
      </c>
      <c r="F1927" t="s">
        <v>19</v>
      </c>
      <c r="G1927" t="s">
        <v>19</v>
      </c>
      <c r="H1927" t="s">
        <v>82</v>
      </c>
      <c r="I1927" t="s">
        <v>4705</v>
      </c>
      <c r="J1927">
        <v>38</v>
      </c>
      <c r="K1927" t="s">
        <v>84</v>
      </c>
      <c r="L1927" t="s">
        <v>85</v>
      </c>
      <c r="M1927" t="s">
        <v>86</v>
      </c>
      <c r="N1927">
        <v>3</v>
      </c>
      <c r="O1927" s="1">
        <v>44216.673622685186</v>
      </c>
      <c r="P1927" s="1">
        <v>44217.353206018517</v>
      </c>
      <c r="Q1927">
        <v>58021</v>
      </c>
      <c r="R1927">
        <v>695</v>
      </c>
      <c r="S1927" t="b">
        <v>0</v>
      </c>
      <c r="T1927" t="s">
        <v>87</v>
      </c>
      <c r="U1927" t="b">
        <v>0</v>
      </c>
      <c r="V1927" t="s">
        <v>160</v>
      </c>
      <c r="W1927" s="1">
        <v>44216.680694444447</v>
      </c>
      <c r="X1927">
        <v>610</v>
      </c>
      <c r="Y1927">
        <v>37</v>
      </c>
      <c r="Z1927">
        <v>0</v>
      </c>
      <c r="AA1927">
        <v>37</v>
      </c>
      <c r="AB1927">
        <v>0</v>
      </c>
      <c r="AC1927">
        <v>34</v>
      </c>
      <c r="AD1927">
        <v>1</v>
      </c>
      <c r="AE1927">
        <v>0</v>
      </c>
      <c r="AF1927">
        <v>0</v>
      </c>
      <c r="AG1927">
        <v>0</v>
      </c>
      <c r="AH1927" t="s">
        <v>132</v>
      </c>
      <c r="AI1927" s="1">
        <v>44216.686249999999</v>
      </c>
      <c r="AJ1927">
        <v>80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 t="s">
        <v>90</v>
      </c>
      <c r="AU1927" s="1">
        <v>44217.353206018517</v>
      </c>
      <c r="AV1927">
        <v>5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</row>
    <row r="1928" spans="1:57" x14ac:dyDescent="0.45">
      <c r="A1928" t="s">
        <v>4706</v>
      </c>
      <c r="B1928" t="s">
        <v>79</v>
      </c>
      <c r="C1928" t="s">
        <v>3694</v>
      </c>
      <c r="D1928" t="s">
        <v>81</v>
      </c>
      <c r="E1928" s="2" t="str">
        <f>HYPERLINK("capsilon://?command=openfolder&amp;siteaddress=FAM.docvelocity-na8.net&amp;folderid=FX1B9B07EC-0982-194E-8FC3-DCFD36377131","FX21018355")</f>
        <v>FX21018355</v>
      </c>
      <c r="F1928" t="s">
        <v>19</v>
      </c>
      <c r="G1928" t="s">
        <v>19</v>
      </c>
      <c r="H1928" t="s">
        <v>82</v>
      </c>
      <c r="I1928" t="s">
        <v>4707</v>
      </c>
      <c r="J1928">
        <v>66</v>
      </c>
      <c r="K1928" t="s">
        <v>84</v>
      </c>
      <c r="L1928" t="s">
        <v>85</v>
      </c>
      <c r="M1928" t="s">
        <v>86</v>
      </c>
      <c r="N1928">
        <v>3</v>
      </c>
      <c r="O1928" s="1">
        <v>44216.674837962964</v>
      </c>
      <c r="P1928" s="1">
        <v>44217.353414351855</v>
      </c>
      <c r="Q1928">
        <v>56928</v>
      </c>
      <c r="R1928">
        <v>1701</v>
      </c>
      <c r="S1928" t="b">
        <v>0</v>
      </c>
      <c r="T1928" t="s">
        <v>87</v>
      </c>
      <c r="U1928" t="b">
        <v>0</v>
      </c>
      <c r="V1928" t="s">
        <v>171</v>
      </c>
      <c r="W1928" s="1">
        <v>44216.69259259259</v>
      </c>
      <c r="X1928">
        <v>1533</v>
      </c>
      <c r="Y1928">
        <v>52</v>
      </c>
      <c r="Z1928">
        <v>0</v>
      </c>
      <c r="AA1928">
        <v>52</v>
      </c>
      <c r="AB1928">
        <v>0</v>
      </c>
      <c r="AC1928">
        <v>38</v>
      </c>
      <c r="AD1928">
        <v>14</v>
      </c>
      <c r="AE1928">
        <v>0</v>
      </c>
      <c r="AF1928">
        <v>0</v>
      </c>
      <c r="AG1928">
        <v>0</v>
      </c>
      <c r="AH1928" t="s">
        <v>128</v>
      </c>
      <c r="AI1928" s="1">
        <v>44216.694849537038</v>
      </c>
      <c r="AJ1928">
        <v>150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14</v>
      </c>
      <c r="AQ1928">
        <v>0</v>
      </c>
      <c r="AR1928">
        <v>0</v>
      </c>
      <c r="AS1928">
        <v>0</v>
      </c>
      <c r="AT1928" t="s">
        <v>90</v>
      </c>
      <c r="AU1928" s="1">
        <v>44217.353414351855</v>
      </c>
      <c r="AV1928">
        <v>18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14</v>
      </c>
      <c r="BC1928">
        <v>0</v>
      </c>
      <c r="BD1928">
        <v>0</v>
      </c>
      <c r="BE1928">
        <v>0</v>
      </c>
    </row>
    <row r="1929" spans="1:57" x14ac:dyDescent="0.45">
      <c r="A1929" t="s">
        <v>4708</v>
      </c>
      <c r="B1929" t="s">
        <v>79</v>
      </c>
      <c r="C1929" t="s">
        <v>4641</v>
      </c>
      <c r="D1929" t="s">
        <v>81</v>
      </c>
      <c r="E1929" s="2" t="str">
        <f>HYPERLINK("capsilon://?command=openfolder&amp;siteaddress=FAM.docvelocity-na8.net&amp;folderid=FX545E4D04-A749-2267-B31A-BFD383C5DE93","FX210112329")</f>
        <v>FX210112329</v>
      </c>
      <c r="F1929" t="s">
        <v>19</v>
      </c>
      <c r="G1929" t="s">
        <v>19</v>
      </c>
      <c r="H1929" t="s">
        <v>82</v>
      </c>
      <c r="I1929" t="s">
        <v>4709</v>
      </c>
      <c r="J1929">
        <v>66</v>
      </c>
      <c r="K1929" t="s">
        <v>84</v>
      </c>
      <c r="L1929" t="s">
        <v>85</v>
      </c>
      <c r="M1929" t="s">
        <v>86</v>
      </c>
      <c r="N1929">
        <v>3</v>
      </c>
      <c r="O1929" s="1">
        <v>44216.675162037034</v>
      </c>
      <c r="P1929" s="1">
        <v>44217.353634259256</v>
      </c>
      <c r="Q1929">
        <v>57116</v>
      </c>
      <c r="R1929">
        <v>1504</v>
      </c>
      <c r="S1929" t="b">
        <v>0</v>
      </c>
      <c r="T1929" t="s">
        <v>87</v>
      </c>
      <c r="U1929" t="b">
        <v>0</v>
      </c>
      <c r="V1929" t="s">
        <v>146</v>
      </c>
      <c r="W1929" s="1">
        <v>44216.691111111111</v>
      </c>
      <c r="X1929">
        <v>1355</v>
      </c>
      <c r="Y1929">
        <v>52</v>
      </c>
      <c r="Z1929">
        <v>0</v>
      </c>
      <c r="AA1929">
        <v>52</v>
      </c>
      <c r="AB1929">
        <v>0</v>
      </c>
      <c r="AC1929">
        <v>36</v>
      </c>
      <c r="AD1929">
        <v>14</v>
      </c>
      <c r="AE1929">
        <v>0</v>
      </c>
      <c r="AF1929">
        <v>0</v>
      </c>
      <c r="AG1929">
        <v>0</v>
      </c>
      <c r="AH1929" t="s">
        <v>128</v>
      </c>
      <c r="AI1929" s="1">
        <v>44216.693101851852</v>
      </c>
      <c r="AJ1929">
        <v>131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14</v>
      </c>
      <c r="AQ1929">
        <v>0</v>
      </c>
      <c r="AR1929">
        <v>0</v>
      </c>
      <c r="AS1929">
        <v>0</v>
      </c>
      <c r="AT1929" t="s">
        <v>90</v>
      </c>
      <c r="AU1929" s="1">
        <v>44217.353634259256</v>
      </c>
      <c r="AV1929">
        <v>18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14</v>
      </c>
      <c r="BC1929">
        <v>0</v>
      </c>
      <c r="BD1929">
        <v>0</v>
      </c>
      <c r="BE1929">
        <v>0</v>
      </c>
    </row>
    <row r="1930" spans="1:57" hidden="1" x14ac:dyDescent="0.45">
      <c r="A1930" t="s">
        <v>4710</v>
      </c>
      <c r="B1930" t="s">
        <v>79</v>
      </c>
      <c r="C1930" t="s">
        <v>3917</v>
      </c>
      <c r="D1930" t="s">
        <v>81</v>
      </c>
      <c r="E1930" s="2" t="str">
        <f>HYPERLINK("capsilon://?command=openfolder&amp;siteaddress=FAM.docvelocity-na8.net&amp;folderid=FXA2E3C9E3-673C-1FC7-6428-52B52F5AB3D9","FX210110888")</f>
        <v>FX210110888</v>
      </c>
      <c r="F1930" t="s">
        <v>19</v>
      </c>
      <c r="G1930" t="s">
        <v>19</v>
      </c>
      <c r="H1930" t="s">
        <v>82</v>
      </c>
      <c r="I1930" t="s">
        <v>4711</v>
      </c>
      <c r="J1930">
        <v>38</v>
      </c>
      <c r="K1930" t="s">
        <v>84</v>
      </c>
      <c r="L1930" t="s">
        <v>85</v>
      </c>
      <c r="M1930" t="s">
        <v>86</v>
      </c>
      <c r="N1930">
        <v>3</v>
      </c>
      <c r="O1930" s="1">
        <v>44216.679409722223</v>
      </c>
      <c r="P1930" s="1">
        <v>44217.353680555556</v>
      </c>
      <c r="Q1930">
        <v>57987</v>
      </c>
      <c r="R1930">
        <v>270</v>
      </c>
      <c r="S1930" t="b">
        <v>0</v>
      </c>
      <c r="T1930" t="s">
        <v>87</v>
      </c>
      <c r="U1930" t="b">
        <v>0</v>
      </c>
      <c r="V1930" t="s">
        <v>142</v>
      </c>
      <c r="W1930" s="1">
        <v>44216.68346064815</v>
      </c>
      <c r="X1930">
        <v>242</v>
      </c>
      <c r="Y1930">
        <v>0</v>
      </c>
      <c r="Z1930">
        <v>0</v>
      </c>
      <c r="AA1930">
        <v>0</v>
      </c>
      <c r="AB1930">
        <v>37</v>
      </c>
      <c r="AC1930">
        <v>0</v>
      </c>
      <c r="AD1930">
        <v>38</v>
      </c>
      <c r="AE1930">
        <v>0</v>
      </c>
      <c r="AF1930">
        <v>0</v>
      </c>
      <c r="AG1930">
        <v>0</v>
      </c>
      <c r="AH1930" t="s">
        <v>132</v>
      </c>
      <c r="AI1930" s="1">
        <v>44216.686550925922</v>
      </c>
      <c r="AJ1930">
        <v>25</v>
      </c>
      <c r="AK1930">
        <v>0</v>
      </c>
      <c r="AL1930">
        <v>0</v>
      </c>
      <c r="AM1930">
        <v>0</v>
      </c>
      <c r="AN1930">
        <v>37</v>
      </c>
      <c r="AO1930">
        <v>0</v>
      </c>
      <c r="AP1930">
        <v>38</v>
      </c>
      <c r="AQ1930">
        <v>0</v>
      </c>
      <c r="AR1930">
        <v>0</v>
      </c>
      <c r="AS1930">
        <v>0</v>
      </c>
      <c r="AT1930" t="s">
        <v>90</v>
      </c>
      <c r="AU1930" s="1">
        <v>44217.353680555556</v>
      </c>
      <c r="AV1930">
        <v>3</v>
      </c>
      <c r="AW1930">
        <v>0</v>
      </c>
      <c r="AX1930">
        <v>0</v>
      </c>
      <c r="AY1930">
        <v>0</v>
      </c>
      <c r="AZ1930">
        <v>37</v>
      </c>
      <c r="BA1930">
        <v>0</v>
      </c>
      <c r="BB1930">
        <v>38</v>
      </c>
      <c r="BC1930">
        <v>0</v>
      </c>
      <c r="BD1930">
        <v>0</v>
      </c>
      <c r="BE1930">
        <v>0</v>
      </c>
    </row>
    <row r="1931" spans="1:57" x14ac:dyDescent="0.45">
      <c r="A1931" t="s">
        <v>4712</v>
      </c>
      <c r="B1931" t="s">
        <v>79</v>
      </c>
      <c r="C1931" t="s">
        <v>4713</v>
      </c>
      <c r="D1931" t="s">
        <v>81</v>
      </c>
      <c r="E1931" s="2" t="str">
        <f>HYPERLINK("capsilon://?command=openfolder&amp;siteaddress=FAM.docvelocity-na8.net&amp;folderid=FX87F335FC-31D9-76C0-C6D0-F50C8DCAB538","FX20125923")</f>
        <v>FX20125923</v>
      </c>
      <c r="F1931" t="s">
        <v>19</v>
      </c>
      <c r="G1931" t="s">
        <v>19</v>
      </c>
      <c r="H1931" t="s">
        <v>82</v>
      </c>
      <c r="I1931" t="s">
        <v>4714</v>
      </c>
      <c r="J1931">
        <v>55</v>
      </c>
      <c r="K1931" t="s">
        <v>84</v>
      </c>
      <c r="L1931" t="s">
        <v>85</v>
      </c>
      <c r="M1931" t="s">
        <v>86</v>
      </c>
      <c r="N1931">
        <v>3</v>
      </c>
      <c r="O1931" s="1">
        <v>44216.681851851848</v>
      </c>
      <c r="P1931" s="1">
        <v>44217.355324074073</v>
      </c>
      <c r="Q1931">
        <v>57670</v>
      </c>
      <c r="R1931">
        <v>518</v>
      </c>
      <c r="S1931" t="b">
        <v>0</v>
      </c>
      <c r="T1931" t="s">
        <v>87</v>
      </c>
      <c r="U1931" t="b">
        <v>0</v>
      </c>
      <c r="V1931" t="s">
        <v>262</v>
      </c>
      <c r="W1931" s="1">
        <v>44216.685439814813</v>
      </c>
      <c r="X1931">
        <v>278</v>
      </c>
      <c r="Y1931">
        <v>51</v>
      </c>
      <c r="Z1931">
        <v>0</v>
      </c>
      <c r="AA1931">
        <v>51</v>
      </c>
      <c r="AB1931">
        <v>0</v>
      </c>
      <c r="AC1931">
        <v>3</v>
      </c>
      <c r="AD1931">
        <v>4</v>
      </c>
      <c r="AE1931">
        <v>0</v>
      </c>
      <c r="AF1931">
        <v>0</v>
      </c>
      <c r="AG1931">
        <v>0</v>
      </c>
      <c r="AH1931" t="s">
        <v>132</v>
      </c>
      <c r="AI1931" s="1">
        <v>44216.687708333331</v>
      </c>
      <c r="AJ1931">
        <v>99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4</v>
      </c>
      <c r="AQ1931">
        <v>0</v>
      </c>
      <c r="AR1931">
        <v>0</v>
      </c>
      <c r="AS1931">
        <v>0</v>
      </c>
      <c r="AT1931" t="s">
        <v>90</v>
      </c>
      <c r="AU1931" s="1">
        <v>44217.355324074073</v>
      </c>
      <c r="AV1931">
        <v>141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4</v>
      </c>
      <c r="BC1931">
        <v>0</v>
      </c>
      <c r="BD1931">
        <v>0</v>
      </c>
      <c r="BE1931">
        <v>0</v>
      </c>
    </row>
    <row r="1932" spans="1:57" x14ac:dyDescent="0.45">
      <c r="A1932" t="s">
        <v>4715</v>
      </c>
      <c r="B1932" t="s">
        <v>79</v>
      </c>
      <c r="C1932" t="s">
        <v>4713</v>
      </c>
      <c r="D1932" t="s">
        <v>81</v>
      </c>
      <c r="E1932" s="2" t="str">
        <f>HYPERLINK("capsilon://?command=openfolder&amp;siteaddress=FAM.docvelocity-na8.net&amp;folderid=FX87F335FC-31D9-76C0-C6D0-F50C8DCAB538","FX20125923")</f>
        <v>FX20125923</v>
      </c>
      <c r="F1932" t="s">
        <v>19</v>
      </c>
      <c r="G1932" t="s">
        <v>19</v>
      </c>
      <c r="H1932" t="s">
        <v>82</v>
      </c>
      <c r="I1932" t="s">
        <v>4716</v>
      </c>
      <c r="J1932">
        <v>37</v>
      </c>
      <c r="K1932" t="s">
        <v>84</v>
      </c>
      <c r="L1932" t="s">
        <v>85</v>
      </c>
      <c r="M1932" t="s">
        <v>86</v>
      </c>
      <c r="N1932">
        <v>3</v>
      </c>
      <c r="O1932" s="1">
        <v>44216.682268518518</v>
      </c>
      <c r="P1932" s="1">
        <v>44217.355405092596</v>
      </c>
      <c r="Q1932">
        <v>57709</v>
      </c>
      <c r="R1932">
        <v>450</v>
      </c>
      <c r="S1932" t="b">
        <v>0</v>
      </c>
      <c r="T1932" t="s">
        <v>87</v>
      </c>
      <c r="U1932" t="b">
        <v>0</v>
      </c>
      <c r="V1932" t="s">
        <v>255</v>
      </c>
      <c r="W1932" s="1">
        <v>44216.686550925922</v>
      </c>
      <c r="X1932">
        <v>281</v>
      </c>
      <c r="Y1932">
        <v>66</v>
      </c>
      <c r="Z1932">
        <v>0</v>
      </c>
      <c r="AA1932">
        <v>66</v>
      </c>
      <c r="AB1932">
        <v>0</v>
      </c>
      <c r="AC1932">
        <v>49</v>
      </c>
      <c r="AD1932">
        <v>-29</v>
      </c>
      <c r="AE1932">
        <v>0</v>
      </c>
      <c r="AF1932">
        <v>0</v>
      </c>
      <c r="AG1932">
        <v>0</v>
      </c>
      <c r="AH1932" t="s">
        <v>128</v>
      </c>
      <c r="AI1932" s="1">
        <v>44216.689293981479</v>
      </c>
      <c r="AJ1932">
        <v>163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-29</v>
      </c>
      <c r="AQ1932">
        <v>0</v>
      </c>
      <c r="AR1932">
        <v>0</v>
      </c>
      <c r="AS1932">
        <v>0</v>
      </c>
      <c r="AT1932" t="s">
        <v>90</v>
      </c>
      <c r="AU1932" s="1">
        <v>44217.355405092596</v>
      </c>
      <c r="AV1932">
        <v>6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-29</v>
      </c>
      <c r="BC1932">
        <v>0</v>
      </c>
      <c r="BD1932">
        <v>0</v>
      </c>
      <c r="BE1932">
        <v>0</v>
      </c>
    </row>
    <row r="1933" spans="1:57" x14ac:dyDescent="0.45">
      <c r="A1933" t="s">
        <v>4717</v>
      </c>
      <c r="B1933" t="s">
        <v>79</v>
      </c>
      <c r="C1933" t="s">
        <v>4718</v>
      </c>
      <c r="D1933" t="s">
        <v>81</v>
      </c>
      <c r="E1933" s="2" t="str">
        <f>HYPERLINK("capsilon://?command=openfolder&amp;siteaddress=FAM.docvelocity-na8.net&amp;folderid=FXFCBFBB4C-EDC1-565F-8567-89532A8D1F0E","FX20128116")</f>
        <v>FX20128116</v>
      </c>
      <c r="F1933" t="s">
        <v>19</v>
      </c>
      <c r="G1933" t="s">
        <v>19</v>
      </c>
      <c r="H1933" t="s">
        <v>82</v>
      </c>
      <c r="I1933" t="s">
        <v>4719</v>
      </c>
      <c r="J1933">
        <v>68</v>
      </c>
      <c r="K1933" t="s">
        <v>84</v>
      </c>
      <c r="L1933" t="s">
        <v>85</v>
      </c>
      <c r="M1933" t="s">
        <v>86</v>
      </c>
      <c r="N1933">
        <v>3</v>
      </c>
      <c r="O1933" s="1">
        <v>44216.682928240742</v>
      </c>
      <c r="P1933" s="1">
        <v>44217.355613425927</v>
      </c>
      <c r="Q1933">
        <v>56549</v>
      </c>
      <c r="R1933">
        <v>1571</v>
      </c>
      <c r="S1933" t="b">
        <v>0</v>
      </c>
      <c r="T1933" t="s">
        <v>87</v>
      </c>
      <c r="U1933" t="b">
        <v>0</v>
      </c>
      <c r="V1933" t="s">
        <v>142</v>
      </c>
      <c r="W1933" s="1">
        <v>44216.695625</v>
      </c>
      <c r="X1933">
        <v>1050</v>
      </c>
      <c r="Y1933">
        <v>49</v>
      </c>
      <c r="Z1933">
        <v>0</v>
      </c>
      <c r="AA1933">
        <v>49</v>
      </c>
      <c r="AB1933">
        <v>0</v>
      </c>
      <c r="AC1933">
        <v>36</v>
      </c>
      <c r="AD1933">
        <v>19</v>
      </c>
      <c r="AE1933">
        <v>0</v>
      </c>
      <c r="AF1933">
        <v>0</v>
      </c>
      <c r="AG1933">
        <v>0</v>
      </c>
      <c r="AH1933" t="s">
        <v>128</v>
      </c>
      <c r="AI1933" s="1">
        <v>44216.703611111108</v>
      </c>
      <c r="AJ1933">
        <v>504</v>
      </c>
      <c r="AK1933">
        <v>3</v>
      </c>
      <c r="AL1933">
        <v>0</v>
      </c>
      <c r="AM1933">
        <v>3</v>
      </c>
      <c r="AN1933">
        <v>0</v>
      </c>
      <c r="AO1933">
        <v>3</v>
      </c>
      <c r="AP1933">
        <v>16</v>
      </c>
      <c r="AQ1933">
        <v>0</v>
      </c>
      <c r="AR1933">
        <v>0</v>
      </c>
      <c r="AS1933">
        <v>0</v>
      </c>
      <c r="AT1933" t="s">
        <v>90</v>
      </c>
      <c r="AU1933" s="1">
        <v>44217.355613425927</v>
      </c>
      <c r="AV1933">
        <v>17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16</v>
      </c>
      <c r="BC1933">
        <v>0</v>
      </c>
      <c r="BD1933">
        <v>0</v>
      </c>
      <c r="BE1933">
        <v>0</v>
      </c>
    </row>
    <row r="1934" spans="1:57" x14ac:dyDescent="0.45">
      <c r="A1934" t="s">
        <v>4720</v>
      </c>
      <c r="B1934" t="s">
        <v>79</v>
      </c>
      <c r="C1934" t="s">
        <v>4721</v>
      </c>
      <c r="D1934" t="s">
        <v>81</v>
      </c>
      <c r="E1934" s="2" t="str">
        <f>HYPERLINK("capsilon://?command=openfolder&amp;siteaddress=FAM.docvelocity-na8.net&amp;folderid=FXC2882515-1006-2917-7724-285DFDB10734","FX21018325")</f>
        <v>FX21018325</v>
      </c>
      <c r="F1934" t="s">
        <v>19</v>
      </c>
      <c r="G1934" t="s">
        <v>19</v>
      </c>
      <c r="H1934" t="s">
        <v>82</v>
      </c>
      <c r="I1934" t="s">
        <v>4722</v>
      </c>
      <c r="J1934">
        <v>467</v>
      </c>
      <c r="K1934" t="s">
        <v>84</v>
      </c>
      <c r="L1934" t="s">
        <v>85</v>
      </c>
      <c r="M1934" t="s">
        <v>86</v>
      </c>
      <c r="N1934">
        <v>3</v>
      </c>
      <c r="O1934" s="1">
        <v>44216.69195601852</v>
      </c>
      <c r="P1934" s="1">
        <v>44217.356180555558</v>
      </c>
      <c r="Q1934">
        <v>47842</v>
      </c>
      <c r="R1934">
        <v>9547</v>
      </c>
      <c r="S1934" t="b">
        <v>0</v>
      </c>
      <c r="T1934" t="s">
        <v>87</v>
      </c>
      <c r="U1934" t="b">
        <v>0</v>
      </c>
      <c r="V1934" t="s">
        <v>146</v>
      </c>
      <c r="W1934" s="1">
        <v>44216.786122685182</v>
      </c>
      <c r="X1934">
        <v>8135</v>
      </c>
      <c r="Y1934">
        <v>464</v>
      </c>
      <c r="Z1934">
        <v>0</v>
      </c>
      <c r="AA1934">
        <v>464</v>
      </c>
      <c r="AB1934">
        <v>51</v>
      </c>
      <c r="AC1934">
        <v>376</v>
      </c>
      <c r="AD1934">
        <v>3</v>
      </c>
      <c r="AE1934">
        <v>0</v>
      </c>
      <c r="AF1934">
        <v>0</v>
      </c>
      <c r="AG1934">
        <v>0</v>
      </c>
      <c r="AH1934" t="s">
        <v>128</v>
      </c>
      <c r="AI1934" s="1">
        <v>44216.802754629629</v>
      </c>
      <c r="AJ1934">
        <v>1364</v>
      </c>
      <c r="AK1934">
        <v>3</v>
      </c>
      <c r="AL1934">
        <v>0</v>
      </c>
      <c r="AM1934">
        <v>3</v>
      </c>
      <c r="AN1934">
        <v>51</v>
      </c>
      <c r="AO1934">
        <v>3</v>
      </c>
      <c r="AP1934">
        <v>0</v>
      </c>
      <c r="AQ1934">
        <v>0</v>
      </c>
      <c r="AR1934">
        <v>0</v>
      </c>
      <c r="AS1934">
        <v>0</v>
      </c>
      <c r="AT1934" t="s">
        <v>90</v>
      </c>
      <c r="AU1934" s="1">
        <v>44217.356180555558</v>
      </c>
      <c r="AV1934">
        <v>48</v>
      </c>
      <c r="AW1934">
        <v>0</v>
      </c>
      <c r="AX1934">
        <v>0</v>
      </c>
      <c r="AY1934">
        <v>0</v>
      </c>
      <c r="AZ1934">
        <v>51</v>
      </c>
      <c r="BA1934">
        <v>0</v>
      </c>
      <c r="BB1934">
        <v>0</v>
      </c>
      <c r="BC1934">
        <v>0</v>
      </c>
      <c r="BD1934">
        <v>0</v>
      </c>
      <c r="BE1934">
        <v>0</v>
      </c>
    </row>
    <row r="1935" spans="1:57" x14ac:dyDescent="0.45">
      <c r="A1935" t="s">
        <v>4723</v>
      </c>
      <c r="B1935" t="s">
        <v>79</v>
      </c>
      <c r="C1935" t="s">
        <v>4724</v>
      </c>
      <c r="D1935" t="s">
        <v>81</v>
      </c>
      <c r="E1935" s="2" t="str">
        <f>HYPERLINK("capsilon://?command=openfolder&amp;siteaddress=FAM.docvelocity-na8.net&amp;folderid=FX52FF28B8-5094-7CDD-0A7D-C50C76A13C14","FX20123786")</f>
        <v>FX20123786</v>
      </c>
      <c r="F1935" t="s">
        <v>19</v>
      </c>
      <c r="G1935" t="s">
        <v>19</v>
      </c>
      <c r="H1935" t="s">
        <v>82</v>
      </c>
      <c r="I1935" t="s">
        <v>4725</v>
      </c>
      <c r="J1935">
        <v>31</v>
      </c>
      <c r="K1935" t="s">
        <v>84</v>
      </c>
      <c r="L1935" t="s">
        <v>85</v>
      </c>
      <c r="M1935" t="s">
        <v>86</v>
      </c>
      <c r="N1935">
        <v>3</v>
      </c>
      <c r="O1935" s="1">
        <v>44216.707916666666</v>
      </c>
      <c r="P1935" s="1">
        <v>44217.356377314813</v>
      </c>
      <c r="Q1935">
        <v>53462</v>
      </c>
      <c r="R1935">
        <v>2565</v>
      </c>
      <c r="S1935" t="b">
        <v>0</v>
      </c>
      <c r="T1935" t="s">
        <v>87</v>
      </c>
      <c r="U1935" t="b">
        <v>0</v>
      </c>
      <c r="V1935" t="s">
        <v>179</v>
      </c>
      <c r="W1935" s="1">
        <v>44216.734571759262</v>
      </c>
      <c r="X1935">
        <v>2302</v>
      </c>
      <c r="Y1935">
        <v>56</v>
      </c>
      <c r="Z1935">
        <v>0</v>
      </c>
      <c r="AA1935">
        <v>56</v>
      </c>
      <c r="AB1935">
        <v>0</v>
      </c>
      <c r="AC1935">
        <v>52</v>
      </c>
      <c r="AD1935">
        <v>-25</v>
      </c>
      <c r="AE1935">
        <v>0</v>
      </c>
      <c r="AF1935">
        <v>0</v>
      </c>
      <c r="AG1935">
        <v>0</v>
      </c>
      <c r="AH1935" t="s">
        <v>132</v>
      </c>
      <c r="AI1935" s="1">
        <v>44216.73883101852</v>
      </c>
      <c r="AJ1935">
        <v>247</v>
      </c>
      <c r="AK1935">
        <v>1</v>
      </c>
      <c r="AL1935">
        <v>0</v>
      </c>
      <c r="AM1935">
        <v>1</v>
      </c>
      <c r="AN1935">
        <v>0</v>
      </c>
      <c r="AO1935">
        <v>0</v>
      </c>
      <c r="AP1935">
        <v>-26</v>
      </c>
      <c r="AQ1935">
        <v>0</v>
      </c>
      <c r="AR1935">
        <v>0</v>
      </c>
      <c r="AS1935">
        <v>0</v>
      </c>
      <c r="AT1935" t="s">
        <v>90</v>
      </c>
      <c r="AU1935" s="1">
        <v>44217.356377314813</v>
      </c>
      <c r="AV1935">
        <v>16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-26</v>
      </c>
      <c r="BC1935">
        <v>0</v>
      </c>
      <c r="BD1935">
        <v>0</v>
      </c>
      <c r="BE1935">
        <v>0</v>
      </c>
    </row>
    <row r="1936" spans="1:57" x14ac:dyDescent="0.45">
      <c r="A1936" t="s">
        <v>4726</v>
      </c>
      <c r="B1936" t="s">
        <v>79</v>
      </c>
      <c r="C1936" t="s">
        <v>4701</v>
      </c>
      <c r="D1936" t="s">
        <v>81</v>
      </c>
      <c r="E1936" s="2" t="str">
        <f>HYPERLINK("capsilon://?command=openfolder&amp;siteaddress=FAM.docvelocity-na8.net&amp;folderid=FXFE34F98A-2EA1-D39B-F9F7-93258D660901","FX21018646")</f>
        <v>FX21018646</v>
      </c>
      <c r="F1936" t="s">
        <v>19</v>
      </c>
      <c r="G1936" t="s">
        <v>19</v>
      </c>
      <c r="H1936" t="s">
        <v>82</v>
      </c>
      <c r="I1936" t="s">
        <v>4702</v>
      </c>
      <c r="J1936">
        <v>204</v>
      </c>
      <c r="K1936" t="s">
        <v>84</v>
      </c>
      <c r="L1936" t="s">
        <v>85</v>
      </c>
      <c r="M1936" t="s">
        <v>86</v>
      </c>
      <c r="N1936">
        <v>3</v>
      </c>
      <c r="O1936" s="1">
        <v>44216.708136574074</v>
      </c>
      <c r="P1936" s="1">
        <v>44217.335162037038</v>
      </c>
      <c r="Q1936">
        <v>50944</v>
      </c>
      <c r="R1936">
        <v>3231</v>
      </c>
      <c r="S1936" t="b">
        <v>0</v>
      </c>
      <c r="T1936" t="s">
        <v>87</v>
      </c>
      <c r="U1936" t="b">
        <v>1</v>
      </c>
      <c r="V1936" t="s">
        <v>171</v>
      </c>
      <c r="W1936" s="1">
        <v>44216.737627314818</v>
      </c>
      <c r="X1936">
        <v>2520</v>
      </c>
      <c r="Y1936">
        <v>191</v>
      </c>
      <c r="Z1936">
        <v>0</v>
      </c>
      <c r="AA1936">
        <v>191</v>
      </c>
      <c r="AB1936">
        <v>0</v>
      </c>
      <c r="AC1936">
        <v>29</v>
      </c>
      <c r="AD1936">
        <v>13</v>
      </c>
      <c r="AE1936">
        <v>0</v>
      </c>
      <c r="AF1936">
        <v>0</v>
      </c>
      <c r="AG1936">
        <v>0</v>
      </c>
      <c r="AH1936" t="s">
        <v>128</v>
      </c>
      <c r="AI1936" s="1">
        <v>44216.746481481481</v>
      </c>
      <c r="AJ1936">
        <v>676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13</v>
      </c>
      <c r="AQ1936">
        <v>0</v>
      </c>
      <c r="AR1936">
        <v>0</v>
      </c>
      <c r="AS1936">
        <v>0</v>
      </c>
      <c r="AT1936" t="s">
        <v>90</v>
      </c>
      <c r="AU1936" s="1">
        <v>44217.335162037038</v>
      </c>
      <c r="AV1936">
        <v>35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13</v>
      </c>
      <c r="BC1936">
        <v>0</v>
      </c>
      <c r="BD1936">
        <v>0</v>
      </c>
      <c r="BE1936">
        <v>0</v>
      </c>
    </row>
    <row r="1937" spans="1:57" x14ac:dyDescent="0.45">
      <c r="A1937" t="s">
        <v>4727</v>
      </c>
      <c r="B1937" t="s">
        <v>79</v>
      </c>
      <c r="C1937" t="s">
        <v>4724</v>
      </c>
      <c r="D1937" t="s">
        <v>81</v>
      </c>
      <c r="E1937" s="2" t="str">
        <f>HYPERLINK("capsilon://?command=openfolder&amp;siteaddress=FAM.docvelocity-na8.net&amp;folderid=FX52FF28B8-5094-7CDD-0A7D-C50C76A13C14","FX20123786")</f>
        <v>FX20123786</v>
      </c>
      <c r="F1937" t="s">
        <v>19</v>
      </c>
      <c r="G1937" t="s">
        <v>19</v>
      </c>
      <c r="H1937" t="s">
        <v>82</v>
      </c>
      <c r="I1937" t="s">
        <v>4728</v>
      </c>
      <c r="J1937">
        <v>31</v>
      </c>
      <c r="K1937" t="s">
        <v>84</v>
      </c>
      <c r="L1937" t="s">
        <v>85</v>
      </c>
      <c r="M1937" t="s">
        <v>86</v>
      </c>
      <c r="N1937">
        <v>3</v>
      </c>
      <c r="O1937" s="1">
        <v>44216.708715277775</v>
      </c>
      <c r="P1937" s="1">
        <v>44217.356446759259</v>
      </c>
      <c r="Q1937">
        <v>54606</v>
      </c>
      <c r="R1937">
        <v>1358</v>
      </c>
      <c r="S1937" t="b">
        <v>0</v>
      </c>
      <c r="T1937" t="s">
        <v>87</v>
      </c>
      <c r="U1937" t="b">
        <v>0</v>
      </c>
      <c r="V1937" t="s">
        <v>255</v>
      </c>
      <c r="W1937" s="1">
        <v>44216.718622685185</v>
      </c>
      <c r="X1937">
        <v>836</v>
      </c>
      <c r="Y1937">
        <v>41</v>
      </c>
      <c r="Z1937">
        <v>0</v>
      </c>
      <c r="AA1937">
        <v>41</v>
      </c>
      <c r="AB1937">
        <v>0</v>
      </c>
      <c r="AC1937">
        <v>35</v>
      </c>
      <c r="AD1937">
        <v>-10</v>
      </c>
      <c r="AE1937">
        <v>0</v>
      </c>
      <c r="AF1937">
        <v>0</v>
      </c>
      <c r="AG1937">
        <v>0</v>
      </c>
      <c r="AH1937" t="s">
        <v>132</v>
      </c>
      <c r="AI1937" s="1">
        <v>44216.727175925924</v>
      </c>
      <c r="AJ1937">
        <v>456</v>
      </c>
      <c r="AK1937">
        <v>2</v>
      </c>
      <c r="AL1937">
        <v>0</v>
      </c>
      <c r="AM1937">
        <v>2</v>
      </c>
      <c r="AN1937">
        <v>0</v>
      </c>
      <c r="AO1937">
        <v>1</v>
      </c>
      <c r="AP1937">
        <v>-12</v>
      </c>
      <c r="AQ1937">
        <v>0</v>
      </c>
      <c r="AR1937">
        <v>0</v>
      </c>
      <c r="AS1937">
        <v>0</v>
      </c>
      <c r="AT1937" t="s">
        <v>90</v>
      </c>
      <c r="AU1937" s="1">
        <v>44217.356446759259</v>
      </c>
      <c r="AV1937">
        <v>5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-12</v>
      </c>
      <c r="BC1937">
        <v>0</v>
      </c>
      <c r="BD1937">
        <v>0</v>
      </c>
      <c r="BE1937">
        <v>0</v>
      </c>
    </row>
    <row r="1938" spans="1:57" hidden="1" x14ac:dyDescent="0.45">
      <c r="A1938" t="s">
        <v>4729</v>
      </c>
      <c r="B1938" t="s">
        <v>79</v>
      </c>
      <c r="C1938" t="s">
        <v>4724</v>
      </c>
      <c r="D1938" t="s">
        <v>81</v>
      </c>
      <c r="E1938" s="2" t="str">
        <f>HYPERLINK("capsilon://?command=openfolder&amp;siteaddress=FAM.docvelocity-na8.net&amp;folderid=FX52FF28B8-5094-7CDD-0A7D-C50C76A13C14","FX20123786")</f>
        <v>FX20123786</v>
      </c>
      <c r="F1938" t="s">
        <v>19</v>
      </c>
      <c r="G1938" t="s">
        <v>19</v>
      </c>
      <c r="H1938" t="s">
        <v>82</v>
      </c>
      <c r="I1938" t="s">
        <v>4730</v>
      </c>
      <c r="J1938">
        <v>31</v>
      </c>
      <c r="K1938" t="s">
        <v>84</v>
      </c>
      <c r="L1938" t="s">
        <v>85</v>
      </c>
      <c r="M1938" t="s">
        <v>86</v>
      </c>
      <c r="N1938">
        <v>3</v>
      </c>
      <c r="O1938" s="1">
        <v>44216.709837962961</v>
      </c>
      <c r="P1938" s="1">
        <v>44217.356469907405</v>
      </c>
      <c r="Q1938">
        <v>55288</v>
      </c>
      <c r="R1938">
        <v>581</v>
      </c>
      <c r="S1938" t="b">
        <v>0</v>
      </c>
      <c r="T1938" t="s">
        <v>87</v>
      </c>
      <c r="U1938" t="b">
        <v>0</v>
      </c>
      <c r="V1938" t="s">
        <v>160</v>
      </c>
      <c r="W1938" s="1">
        <v>44216.717581018522</v>
      </c>
      <c r="X1938">
        <v>485</v>
      </c>
      <c r="Y1938">
        <v>0</v>
      </c>
      <c r="Z1938">
        <v>0</v>
      </c>
      <c r="AA1938">
        <v>0</v>
      </c>
      <c r="AB1938">
        <v>27</v>
      </c>
      <c r="AC1938">
        <v>0</v>
      </c>
      <c r="AD1938">
        <v>31</v>
      </c>
      <c r="AE1938">
        <v>0</v>
      </c>
      <c r="AF1938">
        <v>0</v>
      </c>
      <c r="AG1938">
        <v>0</v>
      </c>
      <c r="AH1938" t="s">
        <v>132</v>
      </c>
      <c r="AI1938" s="1">
        <v>44216.727430555555</v>
      </c>
      <c r="AJ1938">
        <v>21</v>
      </c>
      <c r="AK1938">
        <v>0</v>
      </c>
      <c r="AL1938">
        <v>0</v>
      </c>
      <c r="AM1938">
        <v>0</v>
      </c>
      <c r="AN1938">
        <v>27</v>
      </c>
      <c r="AO1938">
        <v>0</v>
      </c>
      <c r="AP1938">
        <v>31</v>
      </c>
      <c r="AQ1938">
        <v>0</v>
      </c>
      <c r="AR1938">
        <v>0</v>
      </c>
      <c r="AS1938">
        <v>0</v>
      </c>
      <c r="AT1938" t="s">
        <v>90</v>
      </c>
      <c r="AU1938" s="1">
        <v>44217.356469907405</v>
      </c>
      <c r="AV1938">
        <v>2</v>
      </c>
      <c r="AW1938">
        <v>0</v>
      </c>
      <c r="AX1938">
        <v>0</v>
      </c>
      <c r="AY1938">
        <v>0</v>
      </c>
      <c r="AZ1938">
        <v>27</v>
      </c>
      <c r="BA1938">
        <v>0</v>
      </c>
      <c r="BB1938">
        <v>31</v>
      </c>
      <c r="BC1938">
        <v>0</v>
      </c>
      <c r="BD1938">
        <v>0</v>
      </c>
      <c r="BE1938">
        <v>0</v>
      </c>
    </row>
    <row r="1939" spans="1:57" hidden="1" x14ac:dyDescent="0.45">
      <c r="A1939" t="s">
        <v>4731</v>
      </c>
      <c r="B1939" t="s">
        <v>79</v>
      </c>
      <c r="C1939" t="s">
        <v>4724</v>
      </c>
      <c r="D1939" t="s">
        <v>81</v>
      </c>
      <c r="E1939" s="2" t="str">
        <f>HYPERLINK("capsilon://?command=openfolder&amp;siteaddress=FAM.docvelocity-na8.net&amp;folderid=FX52FF28B8-5094-7CDD-0A7D-C50C76A13C14","FX20123786")</f>
        <v>FX20123786</v>
      </c>
      <c r="F1939" t="s">
        <v>19</v>
      </c>
      <c r="G1939" t="s">
        <v>19</v>
      </c>
      <c r="H1939" t="s">
        <v>82</v>
      </c>
      <c r="I1939" t="s">
        <v>4732</v>
      </c>
      <c r="J1939">
        <v>31</v>
      </c>
      <c r="K1939" t="s">
        <v>84</v>
      </c>
      <c r="L1939" t="s">
        <v>85</v>
      </c>
      <c r="M1939" t="s">
        <v>86</v>
      </c>
      <c r="N1939">
        <v>3</v>
      </c>
      <c r="O1939" s="1">
        <v>44216.710405092592</v>
      </c>
      <c r="P1939" s="1">
        <v>44217.356527777774</v>
      </c>
      <c r="Q1939">
        <v>55231</v>
      </c>
      <c r="R1939">
        <v>594</v>
      </c>
      <c r="S1939" t="b">
        <v>0</v>
      </c>
      <c r="T1939" t="s">
        <v>87</v>
      </c>
      <c r="U1939" t="b">
        <v>0</v>
      </c>
      <c r="V1939" t="s">
        <v>255</v>
      </c>
      <c r="W1939" s="1">
        <v>44216.724733796298</v>
      </c>
      <c r="X1939">
        <v>527</v>
      </c>
      <c r="Y1939">
        <v>0</v>
      </c>
      <c r="Z1939">
        <v>0</v>
      </c>
      <c r="AA1939">
        <v>0</v>
      </c>
      <c r="AB1939">
        <v>27</v>
      </c>
      <c r="AC1939">
        <v>0</v>
      </c>
      <c r="AD1939">
        <v>31</v>
      </c>
      <c r="AE1939">
        <v>0</v>
      </c>
      <c r="AF1939">
        <v>0</v>
      </c>
      <c r="AG1939">
        <v>0</v>
      </c>
      <c r="AH1939" t="s">
        <v>132</v>
      </c>
      <c r="AI1939" s="1">
        <v>44216.727685185186</v>
      </c>
      <c r="AJ1939">
        <v>21</v>
      </c>
      <c r="AK1939">
        <v>0</v>
      </c>
      <c r="AL1939">
        <v>0</v>
      </c>
      <c r="AM1939">
        <v>0</v>
      </c>
      <c r="AN1939">
        <v>27</v>
      </c>
      <c r="AO1939">
        <v>0</v>
      </c>
      <c r="AP1939">
        <v>31</v>
      </c>
      <c r="AQ1939">
        <v>0</v>
      </c>
      <c r="AR1939">
        <v>0</v>
      </c>
      <c r="AS1939">
        <v>0</v>
      </c>
      <c r="AT1939" t="s">
        <v>90</v>
      </c>
      <c r="AU1939" s="1">
        <v>44217.356527777774</v>
      </c>
      <c r="AV1939">
        <v>4</v>
      </c>
      <c r="AW1939">
        <v>0</v>
      </c>
      <c r="AX1939">
        <v>0</v>
      </c>
      <c r="AY1939">
        <v>0</v>
      </c>
      <c r="AZ1939">
        <v>27</v>
      </c>
      <c r="BA1939">
        <v>0</v>
      </c>
      <c r="BB1939">
        <v>31</v>
      </c>
      <c r="BC1939">
        <v>0</v>
      </c>
      <c r="BD1939">
        <v>0</v>
      </c>
      <c r="BE1939">
        <v>0</v>
      </c>
    </row>
    <row r="1940" spans="1:57" x14ac:dyDescent="0.45">
      <c r="A1940" t="s">
        <v>4733</v>
      </c>
      <c r="B1940" t="s">
        <v>79</v>
      </c>
      <c r="C1940" t="s">
        <v>4724</v>
      </c>
      <c r="D1940" t="s">
        <v>81</v>
      </c>
      <c r="E1940" s="2" t="str">
        <f>HYPERLINK("capsilon://?command=openfolder&amp;siteaddress=FAM.docvelocity-na8.net&amp;folderid=FX52FF28B8-5094-7CDD-0A7D-C50C76A13C14","FX20123786")</f>
        <v>FX20123786</v>
      </c>
      <c r="F1940" t="s">
        <v>19</v>
      </c>
      <c r="G1940" t="s">
        <v>19</v>
      </c>
      <c r="H1940" t="s">
        <v>82</v>
      </c>
      <c r="I1940" t="s">
        <v>4734</v>
      </c>
      <c r="J1940">
        <v>31</v>
      </c>
      <c r="K1940" t="s">
        <v>84</v>
      </c>
      <c r="L1940" t="s">
        <v>85</v>
      </c>
      <c r="M1940" t="s">
        <v>86</v>
      </c>
      <c r="N1940">
        <v>3</v>
      </c>
      <c r="O1940" s="1">
        <v>44216.711064814815</v>
      </c>
      <c r="P1940" s="1">
        <v>44217.357094907406</v>
      </c>
      <c r="Q1940">
        <v>54306</v>
      </c>
      <c r="R1940">
        <v>1511</v>
      </c>
      <c r="S1940" t="b">
        <v>0</v>
      </c>
      <c r="T1940" t="s">
        <v>87</v>
      </c>
      <c r="U1940" t="b">
        <v>0</v>
      </c>
      <c r="V1940" t="s">
        <v>262</v>
      </c>
      <c r="W1940" s="1">
        <v>44216.735972222225</v>
      </c>
      <c r="X1940">
        <v>1123</v>
      </c>
      <c r="Y1940">
        <v>27</v>
      </c>
      <c r="Z1940">
        <v>0</v>
      </c>
      <c r="AA1940">
        <v>27</v>
      </c>
      <c r="AB1940">
        <v>0</v>
      </c>
      <c r="AC1940">
        <v>16</v>
      </c>
      <c r="AD1940">
        <v>4</v>
      </c>
      <c r="AE1940">
        <v>0</v>
      </c>
      <c r="AF1940">
        <v>0</v>
      </c>
      <c r="AG1940">
        <v>0</v>
      </c>
      <c r="AH1940" t="s">
        <v>132</v>
      </c>
      <c r="AI1940" s="1">
        <v>44216.741990740738</v>
      </c>
      <c r="AJ1940">
        <v>272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4</v>
      </c>
      <c r="AQ1940">
        <v>0</v>
      </c>
      <c r="AR1940">
        <v>0</v>
      </c>
      <c r="AS1940">
        <v>0</v>
      </c>
      <c r="AT1940" t="s">
        <v>90</v>
      </c>
      <c r="AU1940" s="1">
        <v>44217.357094907406</v>
      </c>
      <c r="AV1940">
        <v>48</v>
      </c>
      <c r="AW1940">
        <v>0</v>
      </c>
      <c r="AX1940">
        <v>0</v>
      </c>
      <c r="AY1940">
        <v>0</v>
      </c>
      <c r="AZ1940">
        <v>27</v>
      </c>
      <c r="BA1940">
        <v>0</v>
      </c>
      <c r="BB1940">
        <v>4</v>
      </c>
      <c r="BC1940">
        <v>0</v>
      </c>
      <c r="BD1940">
        <v>0</v>
      </c>
      <c r="BE1940">
        <v>0</v>
      </c>
    </row>
    <row r="1941" spans="1:57" hidden="1" x14ac:dyDescent="0.45">
      <c r="A1941" t="s">
        <v>4735</v>
      </c>
      <c r="B1941" t="s">
        <v>79</v>
      </c>
      <c r="C1941" t="s">
        <v>3985</v>
      </c>
      <c r="D1941" t="s">
        <v>81</v>
      </c>
      <c r="E1941" s="2" t="str">
        <f>HYPERLINK("capsilon://?command=openfolder&amp;siteaddress=FAM.docvelocity-na8.net&amp;folderid=FX1987F8D2-BFEE-E09E-18CD-7E3C64E3FAF2","FX20127945")</f>
        <v>FX20127945</v>
      </c>
      <c r="F1941" t="s">
        <v>19</v>
      </c>
      <c r="G1941" t="s">
        <v>19</v>
      </c>
      <c r="H1941" t="s">
        <v>82</v>
      </c>
      <c r="I1941" t="s">
        <v>4736</v>
      </c>
      <c r="J1941">
        <v>66</v>
      </c>
      <c r="K1941" t="s">
        <v>84</v>
      </c>
      <c r="L1941" t="s">
        <v>85</v>
      </c>
      <c r="M1941" t="s">
        <v>86</v>
      </c>
      <c r="N1941">
        <v>1</v>
      </c>
      <c r="O1941" s="1">
        <v>44216.711388888885</v>
      </c>
      <c r="P1941" s="1">
        <v>44216.712337962963</v>
      </c>
      <c r="Q1941">
        <v>11</v>
      </c>
      <c r="R1941">
        <v>71</v>
      </c>
      <c r="S1941" t="b">
        <v>0</v>
      </c>
      <c r="T1941" t="s">
        <v>87</v>
      </c>
      <c r="U1941" t="b">
        <v>0</v>
      </c>
      <c r="V1941" t="s">
        <v>343</v>
      </c>
      <c r="W1941" s="1">
        <v>44216.712337962963</v>
      </c>
      <c r="X1941">
        <v>71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66</v>
      </c>
      <c r="AE1941">
        <v>52</v>
      </c>
      <c r="AF1941">
        <v>0</v>
      </c>
      <c r="AG1941">
        <v>1</v>
      </c>
      <c r="AH1941" t="s">
        <v>87</v>
      </c>
      <c r="AI1941" t="s">
        <v>87</v>
      </c>
      <c r="AJ1941" t="s">
        <v>87</v>
      </c>
      <c r="AK1941" t="s">
        <v>87</v>
      </c>
      <c r="AL1941" t="s">
        <v>87</v>
      </c>
      <c r="AM1941" t="s">
        <v>87</v>
      </c>
      <c r="AN1941" t="s">
        <v>87</v>
      </c>
      <c r="AO1941" t="s">
        <v>87</v>
      </c>
      <c r="AP1941" t="s">
        <v>87</v>
      </c>
      <c r="AQ1941" t="s">
        <v>87</v>
      </c>
      <c r="AR1941" t="s">
        <v>87</v>
      </c>
      <c r="AS1941" t="s">
        <v>87</v>
      </c>
      <c r="AT1941" t="s">
        <v>87</v>
      </c>
      <c r="AU1941" t="s">
        <v>87</v>
      </c>
      <c r="AV1941" t="s">
        <v>87</v>
      </c>
      <c r="AW1941" t="s">
        <v>87</v>
      </c>
      <c r="AX1941" t="s">
        <v>87</v>
      </c>
      <c r="AY1941" t="s">
        <v>87</v>
      </c>
      <c r="AZ1941" t="s">
        <v>87</v>
      </c>
      <c r="BA1941" t="s">
        <v>87</v>
      </c>
      <c r="BB1941" t="s">
        <v>87</v>
      </c>
      <c r="BC1941" t="s">
        <v>87</v>
      </c>
      <c r="BD1941" t="s">
        <v>87</v>
      </c>
      <c r="BE1941" t="s">
        <v>87</v>
      </c>
    </row>
    <row r="1942" spans="1:57" hidden="1" x14ac:dyDescent="0.45">
      <c r="A1942" t="s">
        <v>4737</v>
      </c>
      <c r="B1942" t="s">
        <v>79</v>
      </c>
      <c r="C1942" t="s">
        <v>3985</v>
      </c>
      <c r="D1942" t="s">
        <v>81</v>
      </c>
      <c r="E1942" s="2" t="str">
        <f>HYPERLINK("capsilon://?command=openfolder&amp;siteaddress=FAM.docvelocity-na8.net&amp;folderid=FX1987F8D2-BFEE-E09E-18CD-7E3C64E3FAF2","FX20127945")</f>
        <v>FX20127945</v>
      </c>
      <c r="F1942" t="s">
        <v>19</v>
      </c>
      <c r="G1942" t="s">
        <v>19</v>
      </c>
      <c r="H1942" t="s">
        <v>82</v>
      </c>
      <c r="I1942" t="s">
        <v>4738</v>
      </c>
      <c r="J1942">
        <v>66</v>
      </c>
      <c r="K1942" t="s">
        <v>84</v>
      </c>
      <c r="L1942" t="s">
        <v>85</v>
      </c>
      <c r="M1942" t="s">
        <v>86</v>
      </c>
      <c r="N1942">
        <v>1</v>
      </c>
      <c r="O1942" s="1">
        <v>44216.71199074074</v>
      </c>
      <c r="P1942" s="1">
        <v>44216.713229166664</v>
      </c>
      <c r="Q1942">
        <v>31</v>
      </c>
      <c r="R1942">
        <v>76</v>
      </c>
      <c r="S1942" t="b">
        <v>0</v>
      </c>
      <c r="T1942" t="s">
        <v>87</v>
      </c>
      <c r="U1942" t="b">
        <v>0</v>
      </c>
      <c r="V1942" t="s">
        <v>343</v>
      </c>
      <c r="W1942" s="1">
        <v>44216.713229166664</v>
      </c>
      <c r="X1942">
        <v>76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66</v>
      </c>
      <c r="AE1942">
        <v>52</v>
      </c>
      <c r="AF1942">
        <v>0</v>
      </c>
      <c r="AG1942">
        <v>1</v>
      </c>
      <c r="AH1942" t="s">
        <v>87</v>
      </c>
      <c r="AI1942" t="s">
        <v>87</v>
      </c>
      <c r="AJ1942" t="s">
        <v>87</v>
      </c>
      <c r="AK1942" t="s">
        <v>87</v>
      </c>
      <c r="AL1942" t="s">
        <v>87</v>
      </c>
      <c r="AM1942" t="s">
        <v>87</v>
      </c>
      <c r="AN1942" t="s">
        <v>87</v>
      </c>
      <c r="AO1942" t="s">
        <v>87</v>
      </c>
      <c r="AP1942" t="s">
        <v>87</v>
      </c>
      <c r="AQ1942" t="s">
        <v>87</v>
      </c>
      <c r="AR1942" t="s">
        <v>87</v>
      </c>
      <c r="AS1942" t="s">
        <v>87</v>
      </c>
      <c r="AT1942" t="s">
        <v>87</v>
      </c>
      <c r="AU1942" t="s">
        <v>87</v>
      </c>
      <c r="AV1942" t="s">
        <v>87</v>
      </c>
      <c r="AW1942" t="s">
        <v>87</v>
      </c>
      <c r="AX1942" t="s">
        <v>87</v>
      </c>
      <c r="AY1942" t="s">
        <v>87</v>
      </c>
      <c r="AZ1942" t="s">
        <v>87</v>
      </c>
      <c r="BA1942" t="s">
        <v>87</v>
      </c>
      <c r="BB1942" t="s">
        <v>87</v>
      </c>
      <c r="BC1942" t="s">
        <v>87</v>
      </c>
      <c r="BD1942" t="s">
        <v>87</v>
      </c>
      <c r="BE1942" t="s">
        <v>87</v>
      </c>
    </row>
    <row r="1943" spans="1:57" x14ac:dyDescent="0.45">
      <c r="A1943" t="s">
        <v>4739</v>
      </c>
      <c r="B1943" t="s">
        <v>79</v>
      </c>
      <c r="C1943" t="s">
        <v>4724</v>
      </c>
      <c r="D1943" t="s">
        <v>81</v>
      </c>
      <c r="E1943" s="2" t="str">
        <f>HYPERLINK("capsilon://?command=openfolder&amp;siteaddress=FAM.docvelocity-na8.net&amp;folderid=FX52FF28B8-5094-7CDD-0A7D-C50C76A13C14","FX20123786")</f>
        <v>FX20123786</v>
      </c>
      <c r="F1943" t="s">
        <v>19</v>
      </c>
      <c r="G1943" t="s">
        <v>19</v>
      </c>
      <c r="H1943" t="s">
        <v>82</v>
      </c>
      <c r="I1943" t="s">
        <v>4740</v>
      </c>
      <c r="J1943">
        <v>31</v>
      </c>
      <c r="K1943" t="s">
        <v>84</v>
      </c>
      <c r="L1943" t="s">
        <v>85</v>
      </c>
      <c r="M1943" t="s">
        <v>86</v>
      </c>
      <c r="N1943">
        <v>3</v>
      </c>
      <c r="O1943" s="1">
        <v>44216.712187500001</v>
      </c>
      <c r="P1943" s="1">
        <v>44217.357777777775</v>
      </c>
      <c r="Q1943">
        <v>54307</v>
      </c>
      <c r="R1943">
        <v>1472</v>
      </c>
      <c r="S1943" t="b">
        <v>0</v>
      </c>
      <c r="T1943" t="s">
        <v>87</v>
      </c>
      <c r="U1943" t="b">
        <v>0</v>
      </c>
      <c r="V1943" t="s">
        <v>160</v>
      </c>
      <c r="W1943" s="1">
        <v>44216.738761574074</v>
      </c>
      <c r="X1943">
        <v>1262</v>
      </c>
      <c r="Y1943">
        <v>41</v>
      </c>
      <c r="Z1943">
        <v>0</v>
      </c>
      <c r="AA1943">
        <v>41</v>
      </c>
      <c r="AB1943">
        <v>0</v>
      </c>
      <c r="AC1943">
        <v>39</v>
      </c>
      <c r="AD1943">
        <v>-10</v>
      </c>
      <c r="AE1943">
        <v>0</v>
      </c>
      <c r="AF1943">
        <v>0</v>
      </c>
      <c r="AG1943">
        <v>0</v>
      </c>
      <c r="AH1943" t="s">
        <v>132</v>
      </c>
      <c r="AI1943" s="1">
        <v>44216.743506944447</v>
      </c>
      <c r="AJ1943">
        <v>130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-10</v>
      </c>
      <c r="AQ1943">
        <v>0</v>
      </c>
      <c r="AR1943">
        <v>0</v>
      </c>
      <c r="AS1943">
        <v>0</v>
      </c>
      <c r="AT1943" t="s">
        <v>90</v>
      </c>
      <c r="AU1943" s="1">
        <v>44217.357777777775</v>
      </c>
      <c r="AV1943">
        <v>59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-10</v>
      </c>
      <c r="BC1943">
        <v>0</v>
      </c>
      <c r="BD1943">
        <v>0</v>
      </c>
      <c r="BE1943">
        <v>0</v>
      </c>
    </row>
    <row r="1944" spans="1:57" x14ac:dyDescent="0.45">
      <c r="A1944" t="s">
        <v>4741</v>
      </c>
      <c r="B1944" t="s">
        <v>79</v>
      </c>
      <c r="C1944" t="s">
        <v>3985</v>
      </c>
      <c r="D1944" t="s">
        <v>81</v>
      </c>
      <c r="E1944" s="2" t="str">
        <f>HYPERLINK("capsilon://?command=openfolder&amp;siteaddress=FAM.docvelocity-na8.net&amp;folderid=FX1987F8D2-BFEE-E09E-18CD-7E3C64E3FAF2","FX20127945")</f>
        <v>FX20127945</v>
      </c>
      <c r="F1944" t="s">
        <v>19</v>
      </c>
      <c r="G1944" t="s">
        <v>19</v>
      </c>
      <c r="H1944" t="s">
        <v>82</v>
      </c>
      <c r="I1944" t="s">
        <v>4736</v>
      </c>
      <c r="J1944">
        <v>38</v>
      </c>
      <c r="K1944" t="s">
        <v>84</v>
      </c>
      <c r="L1944" t="s">
        <v>85</v>
      </c>
      <c r="M1944" t="s">
        <v>86</v>
      </c>
      <c r="N1944">
        <v>3</v>
      </c>
      <c r="O1944" s="1">
        <v>44216.712708333333</v>
      </c>
      <c r="P1944" s="1">
        <v>44217.335243055553</v>
      </c>
      <c r="Q1944">
        <v>52735</v>
      </c>
      <c r="R1944">
        <v>1052</v>
      </c>
      <c r="S1944" t="b">
        <v>0</v>
      </c>
      <c r="T1944" t="s">
        <v>87</v>
      </c>
      <c r="U1944" t="b">
        <v>1</v>
      </c>
      <c r="V1944" t="s">
        <v>262</v>
      </c>
      <c r="W1944" s="1">
        <v>44216.722962962966</v>
      </c>
      <c r="X1944">
        <v>875</v>
      </c>
      <c r="Y1944">
        <v>37</v>
      </c>
      <c r="Z1944">
        <v>0</v>
      </c>
      <c r="AA1944">
        <v>37</v>
      </c>
      <c r="AB1944">
        <v>0</v>
      </c>
      <c r="AC1944">
        <v>34</v>
      </c>
      <c r="AD1944">
        <v>1</v>
      </c>
      <c r="AE1944">
        <v>0</v>
      </c>
      <c r="AF1944">
        <v>0</v>
      </c>
      <c r="AG1944">
        <v>0</v>
      </c>
      <c r="AH1944" t="s">
        <v>128</v>
      </c>
      <c r="AI1944" s="1">
        <v>44216.726990740739</v>
      </c>
      <c r="AJ1944">
        <v>171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 t="s">
        <v>90</v>
      </c>
      <c r="AU1944" s="1">
        <v>44217.335243055553</v>
      </c>
      <c r="AV1944">
        <v>6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</row>
    <row r="1945" spans="1:57" x14ac:dyDescent="0.45">
      <c r="A1945" t="s">
        <v>4742</v>
      </c>
      <c r="B1945" t="s">
        <v>79</v>
      </c>
      <c r="C1945" t="s">
        <v>4724</v>
      </c>
      <c r="D1945" t="s">
        <v>81</v>
      </c>
      <c r="E1945" s="2" t="str">
        <f>HYPERLINK("capsilon://?command=openfolder&amp;siteaddress=FAM.docvelocity-na8.net&amp;folderid=FX52FF28B8-5094-7CDD-0A7D-C50C76A13C14","FX20123786")</f>
        <v>FX20123786</v>
      </c>
      <c r="F1945" t="s">
        <v>19</v>
      </c>
      <c r="G1945" t="s">
        <v>19</v>
      </c>
      <c r="H1945" t="s">
        <v>82</v>
      </c>
      <c r="I1945" t="s">
        <v>4743</v>
      </c>
      <c r="J1945">
        <v>31</v>
      </c>
      <c r="K1945" t="s">
        <v>84</v>
      </c>
      <c r="L1945" t="s">
        <v>85</v>
      </c>
      <c r="M1945" t="s">
        <v>86</v>
      </c>
      <c r="N1945">
        <v>3</v>
      </c>
      <c r="O1945" s="1">
        <v>44216.713194444441</v>
      </c>
      <c r="P1945" s="1">
        <v>44217.357893518521</v>
      </c>
      <c r="Q1945">
        <v>54490</v>
      </c>
      <c r="R1945">
        <v>1212</v>
      </c>
      <c r="S1945" t="b">
        <v>0</v>
      </c>
      <c r="T1945" t="s">
        <v>87</v>
      </c>
      <c r="U1945" t="b">
        <v>0</v>
      </c>
      <c r="V1945" t="s">
        <v>142</v>
      </c>
      <c r="W1945" s="1">
        <v>44216.733946759261</v>
      </c>
      <c r="X1945">
        <v>821</v>
      </c>
      <c r="Y1945">
        <v>36</v>
      </c>
      <c r="Z1945">
        <v>0</v>
      </c>
      <c r="AA1945">
        <v>36</v>
      </c>
      <c r="AB1945">
        <v>0</v>
      </c>
      <c r="AC1945">
        <v>34</v>
      </c>
      <c r="AD1945">
        <v>-5</v>
      </c>
      <c r="AE1945">
        <v>0</v>
      </c>
      <c r="AF1945">
        <v>0</v>
      </c>
      <c r="AG1945">
        <v>0</v>
      </c>
      <c r="AH1945" t="s">
        <v>128</v>
      </c>
      <c r="AI1945" s="1">
        <v>44216.738657407404</v>
      </c>
      <c r="AJ1945">
        <v>375</v>
      </c>
      <c r="AK1945">
        <v>5</v>
      </c>
      <c r="AL1945">
        <v>0</v>
      </c>
      <c r="AM1945">
        <v>5</v>
      </c>
      <c r="AN1945">
        <v>0</v>
      </c>
      <c r="AO1945">
        <v>5</v>
      </c>
      <c r="AP1945">
        <v>-10</v>
      </c>
      <c r="AQ1945">
        <v>0</v>
      </c>
      <c r="AR1945">
        <v>0</v>
      </c>
      <c r="AS1945">
        <v>0</v>
      </c>
      <c r="AT1945" t="s">
        <v>90</v>
      </c>
      <c r="AU1945" s="1">
        <v>44217.357893518521</v>
      </c>
      <c r="AV1945">
        <v>9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-10</v>
      </c>
      <c r="BC1945">
        <v>0</v>
      </c>
      <c r="BD1945">
        <v>0</v>
      </c>
      <c r="BE1945">
        <v>0</v>
      </c>
    </row>
    <row r="1946" spans="1:57" x14ac:dyDescent="0.45">
      <c r="A1946" t="s">
        <v>4744</v>
      </c>
      <c r="B1946" t="s">
        <v>79</v>
      </c>
      <c r="C1946" t="s">
        <v>3985</v>
      </c>
      <c r="D1946" t="s">
        <v>81</v>
      </c>
      <c r="E1946" s="2" t="str">
        <f>HYPERLINK("capsilon://?command=openfolder&amp;siteaddress=FAM.docvelocity-na8.net&amp;folderid=FX1987F8D2-BFEE-E09E-18CD-7E3C64E3FAF2","FX20127945")</f>
        <v>FX20127945</v>
      </c>
      <c r="F1946" t="s">
        <v>19</v>
      </c>
      <c r="G1946" t="s">
        <v>19</v>
      </c>
      <c r="H1946" t="s">
        <v>82</v>
      </c>
      <c r="I1946" t="s">
        <v>4738</v>
      </c>
      <c r="J1946">
        <v>38</v>
      </c>
      <c r="K1946" t="s">
        <v>84</v>
      </c>
      <c r="L1946" t="s">
        <v>85</v>
      </c>
      <c r="M1946" t="s">
        <v>86</v>
      </c>
      <c r="N1946">
        <v>3</v>
      </c>
      <c r="O1946" s="1">
        <v>44216.713564814818</v>
      </c>
      <c r="P1946" s="1">
        <v>44217.335451388892</v>
      </c>
      <c r="Q1946">
        <v>52805</v>
      </c>
      <c r="R1946">
        <v>926</v>
      </c>
      <c r="S1946" t="b">
        <v>0</v>
      </c>
      <c r="T1946" t="s">
        <v>87</v>
      </c>
      <c r="U1946" t="b">
        <v>1</v>
      </c>
      <c r="V1946" t="s">
        <v>343</v>
      </c>
      <c r="W1946" s="1">
        <v>44216.718136574076</v>
      </c>
      <c r="X1946">
        <v>389</v>
      </c>
      <c r="Y1946">
        <v>37</v>
      </c>
      <c r="Z1946">
        <v>0</v>
      </c>
      <c r="AA1946">
        <v>37</v>
      </c>
      <c r="AB1946">
        <v>0</v>
      </c>
      <c r="AC1946">
        <v>34</v>
      </c>
      <c r="AD1946">
        <v>1</v>
      </c>
      <c r="AE1946">
        <v>0</v>
      </c>
      <c r="AF1946">
        <v>0</v>
      </c>
      <c r="AG1946">
        <v>0</v>
      </c>
      <c r="AH1946" t="s">
        <v>128</v>
      </c>
      <c r="AI1946" s="1">
        <v>44216.724999999999</v>
      </c>
      <c r="AJ1946">
        <v>520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 t="s">
        <v>90</v>
      </c>
      <c r="AU1946" s="1">
        <v>44217.335451388892</v>
      </c>
      <c r="AV1946">
        <v>17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</row>
    <row r="1947" spans="1:57" x14ac:dyDescent="0.45">
      <c r="A1947" t="s">
        <v>4745</v>
      </c>
      <c r="B1947" t="s">
        <v>79</v>
      </c>
      <c r="C1947" t="s">
        <v>4724</v>
      </c>
      <c r="D1947" t="s">
        <v>81</v>
      </c>
      <c r="E1947" s="2" t="str">
        <f>HYPERLINK("capsilon://?command=openfolder&amp;siteaddress=FAM.docvelocity-na8.net&amp;folderid=FX52FF28B8-5094-7CDD-0A7D-C50C76A13C14","FX20123786")</f>
        <v>FX20123786</v>
      </c>
      <c r="F1947" t="s">
        <v>19</v>
      </c>
      <c r="G1947" t="s">
        <v>19</v>
      </c>
      <c r="H1947" t="s">
        <v>82</v>
      </c>
      <c r="I1947" t="s">
        <v>4746</v>
      </c>
      <c r="J1947">
        <v>41</v>
      </c>
      <c r="K1947" t="s">
        <v>84</v>
      </c>
      <c r="L1947" t="s">
        <v>85</v>
      </c>
      <c r="M1947" t="s">
        <v>86</v>
      </c>
      <c r="N1947">
        <v>3</v>
      </c>
      <c r="O1947" s="1">
        <v>44216.713877314818</v>
      </c>
      <c r="P1947" s="1">
        <v>44217.357974537037</v>
      </c>
      <c r="Q1947">
        <v>54244</v>
      </c>
      <c r="R1947">
        <v>1406</v>
      </c>
      <c r="S1947" t="b">
        <v>0</v>
      </c>
      <c r="T1947" t="s">
        <v>87</v>
      </c>
      <c r="U1947" t="b">
        <v>0</v>
      </c>
      <c r="V1947" t="s">
        <v>255</v>
      </c>
      <c r="W1947" s="1">
        <v>44216.739259259259</v>
      </c>
      <c r="X1947">
        <v>1254</v>
      </c>
      <c r="Y1947">
        <v>41</v>
      </c>
      <c r="Z1947">
        <v>0</v>
      </c>
      <c r="AA1947">
        <v>41</v>
      </c>
      <c r="AB1947">
        <v>0</v>
      </c>
      <c r="AC1947">
        <v>38</v>
      </c>
      <c r="AD1947">
        <v>0</v>
      </c>
      <c r="AE1947">
        <v>0</v>
      </c>
      <c r="AF1947">
        <v>0</v>
      </c>
      <c r="AG1947">
        <v>0</v>
      </c>
      <c r="AH1947" t="s">
        <v>132</v>
      </c>
      <c r="AI1947" s="1">
        <v>44216.745115740741</v>
      </c>
      <c r="AJ1947">
        <v>138</v>
      </c>
      <c r="AK1947">
        <v>2</v>
      </c>
      <c r="AL1947">
        <v>0</v>
      </c>
      <c r="AM1947">
        <v>2</v>
      </c>
      <c r="AN1947">
        <v>0</v>
      </c>
      <c r="AO1947">
        <v>2</v>
      </c>
      <c r="AP1947">
        <v>-2</v>
      </c>
      <c r="AQ1947">
        <v>0</v>
      </c>
      <c r="AR1947">
        <v>0</v>
      </c>
      <c r="AS1947">
        <v>0</v>
      </c>
      <c r="AT1947" t="s">
        <v>90</v>
      </c>
      <c r="AU1947" s="1">
        <v>44217.357974537037</v>
      </c>
      <c r="AV1947">
        <v>7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-2</v>
      </c>
      <c r="BC1947">
        <v>0</v>
      </c>
      <c r="BD1947">
        <v>0</v>
      </c>
      <c r="BE1947">
        <v>0</v>
      </c>
    </row>
    <row r="1948" spans="1:57" hidden="1" x14ac:dyDescent="0.45">
      <c r="A1948" t="s">
        <v>4747</v>
      </c>
      <c r="B1948" t="s">
        <v>79</v>
      </c>
      <c r="C1948" t="s">
        <v>3985</v>
      </c>
      <c r="D1948" t="s">
        <v>81</v>
      </c>
      <c r="E1948" s="2" t="str">
        <f>HYPERLINK("capsilon://?command=openfolder&amp;siteaddress=FAM.docvelocity-na8.net&amp;folderid=FX1987F8D2-BFEE-E09E-18CD-7E3C64E3FAF2","FX20127945")</f>
        <v>FX20127945</v>
      </c>
      <c r="F1948" t="s">
        <v>19</v>
      </c>
      <c r="G1948" t="s">
        <v>19</v>
      </c>
      <c r="H1948" t="s">
        <v>82</v>
      </c>
      <c r="I1948" t="s">
        <v>4748</v>
      </c>
      <c r="J1948">
        <v>66</v>
      </c>
      <c r="K1948" t="s">
        <v>84</v>
      </c>
      <c r="L1948" t="s">
        <v>85</v>
      </c>
      <c r="M1948" t="s">
        <v>86</v>
      </c>
      <c r="N1948">
        <v>1</v>
      </c>
      <c r="O1948" s="1">
        <v>44216.714120370372</v>
      </c>
      <c r="P1948" s="1">
        <v>44216.718946759262</v>
      </c>
      <c r="Q1948">
        <v>356</v>
      </c>
      <c r="R1948">
        <v>61</v>
      </c>
      <c r="S1948" t="b">
        <v>0</v>
      </c>
      <c r="T1948" t="s">
        <v>87</v>
      </c>
      <c r="U1948" t="b">
        <v>0</v>
      </c>
      <c r="V1948" t="s">
        <v>343</v>
      </c>
      <c r="W1948" s="1">
        <v>44216.718946759262</v>
      </c>
      <c r="X1948">
        <v>61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66</v>
      </c>
      <c r="AE1948">
        <v>52</v>
      </c>
      <c r="AF1948">
        <v>0</v>
      </c>
      <c r="AG1948">
        <v>1</v>
      </c>
      <c r="AH1948" t="s">
        <v>87</v>
      </c>
      <c r="AI1948" t="s">
        <v>87</v>
      </c>
      <c r="AJ1948" t="s">
        <v>87</v>
      </c>
      <c r="AK1948" t="s">
        <v>87</v>
      </c>
      <c r="AL1948" t="s">
        <v>87</v>
      </c>
      <c r="AM1948" t="s">
        <v>87</v>
      </c>
      <c r="AN1948" t="s">
        <v>87</v>
      </c>
      <c r="AO1948" t="s">
        <v>87</v>
      </c>
      <c r="AP1948" t="s">
        <v>87</v>
      </c>
      <c r="AQ1948" t="s">
        <v>87</v>
      </c>
      <c r="AR1948" t="s">
        <v>87</v>
      </c>
      <c r="AS1948" t="s">
        <v>87</v>
      </c>
      <c r="AT1948" t="s">
        <v>87</v>
      </c>
      <c r="AU1948" t="s">
        <v>87</v>
      </c>
      <c r="AV1948" t="s">
        <v>87</v>
      </c>
      <c r="AW1948" t="s">
        <v>87</v>
      </c>
      <c r="AX1948" t="s">
        <v>87</v>
      </c>
      <c r="AY1948" t="s">
        <v>87</v>
      </c>
      <c r="AZ1948" t="s">
        <v>87</v>
      </c>
      <c r="BA1948" t="s">
        <v>87</v>
      </c>
      <c r="BB1948" t="s">
        <v>87</v>
      </c>
      <c r="BC1948" t="s">
        <v>87</v>
      </c>
      <c r="BD1948" t="s">
        <v>87</v>
      </c>
      <c r="BE1948" t="s">
        <v>87</v>
      </c>
    </row>
    <row r="1949" spans="1:57" x14ac:dyDescent="0.45">
      <c r="A1949" t="s">
        <v>4749</v>
      </c>
      <c r="B1949" t="s">
        <v>79</v>
      </c>
      <c r="C1949" t="s">
        <v>4750</v>
      </c>
      <c r="D1949" t="s">
        <v>81</v>
      </c>
      <c r="E1949" s="2" t="str">
        <f>HYPERLINK("capsilon://?command=openfolder&amp;siteaddress=FAM.docvelocity-na8.net&amp;folderid=FXE64B11AB-F42D-6904-B348-7D341979730C","FX21017596")</f>
        <v>FX21017596</v>
      </c>
      <c r="F1949" t="s">
        <v>19</v>
      </c>
      <c r="G1949" t="s">
        <v>19</v>
      </c>
      <c r="H1949" t="s">
        <v>82</v>
      </c>
      <c r="I1949" t="s">
        <v>4751</v>
      </c>
      <c r="J1949">
        <v>26</v>
      </c>
      <c r="K1949" t="s">
        <v>84</v>
      </c>
      <c r="L1949" t="s">
        <v>85</v>
      </c>
      <c r="M1949" t="s">
        <v>86</v>
      </c>
      <c r="N1949">
        <v>3</v>
      </c>
      <c r="O1949" s="1">
        <v>44216.716226851851</v>
      </c>
      <c r="P1949" s="1">
        <v>44217.358043981483</v>
      </c>
      <c r="Q1949">
        <v>55060</v>
      </c>
      <c r="R1949">
        <v>393</v>
      </c>
      <c r="S1949" t="b">
        <v>0</v>
      </c>
      <c r="T1949" t="s">
        <v>87</v>
      </c>
      <c r="U1949" t="b">
        <v>0</v>
      </c>
      <c r="V1949" t="s">
        <v>343</v>
      </c>
      <c r="W1949" s="1">
        <v>44216.722442129627</v>
      </c>
      <c r="X1949">
        <v>301</v>
      </c>
      <c r="Y1949">
        <v>21</v>
      </c>
      <c r="Z1949">
        <v>0</v>
      </c>
      <c r="AA1949">
        <v>21</v>
      </c>
      <c r="AB1949">
        <v>0</v>
      </c>
      <c r="AC1949">
        <v>15</v>
      </c>
      <c r="AD1949">
        <v>5</v>
      </c>
      <c r="AE1949">
        <v>0</v>
      </c>
      <c r="AF1949">
        <v>0</v>
      </c>
      <c r="AG1949">
        <v>0</v>
      </c>
      <c r="AH1949" t="s">
        <v>132</v>
      </c>
      <c r="AI1949" s="1">
        <v>44216.728692129633</v>
      </c>
      <c r="AJ1949">
        <v>86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5</v>
      </c>
      <c r="AQ1949">
        <v>0</v>
      </c>
      <c r="AR1949">
        <v>0</v>
      </c>
      <c r="AS1949">
        <v>0</v>
      </c>
      <c r="AT1949" t="s">
        <v>90</v>
      </c>
      <c r="AU1949" s="1">
        <v>44217.358043981483</v>
      </c>
      <c r="AV1949">
        <v>6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5</v>
      </c>
      <c r="BC1949">
        <v>0</v>
      </c>
      <c r="BD1949">
        <v>0</v>
      </c>
      <c r="BE1949">
        <v>0</v>
      </c>
    </row>
    <row r="1950" spans="1:57" x14ac:dyDescent="0.45">
      <c r="A1950" t="s">
        <v>4752</v>
      </c>
      <c r="B1950" t="s">
        <v>79</v>
      </c>
      <c r="C1950" t="s">
        <v>3985</v>
      </c>
      <c r="D1950" t="s">
        <v>81</v>
      </c>
      <c r="E1950" s="2" t="str">
        <f>HYPERLINK("capsilon://?command=openfolder&amp;siteaddress=FAM.docvelocity-na8.net&amp;folderid=FX1987F8D2-BFEE-E09E-18CD-7E3C64E3FAF2","FX20127945")</f>
        <v>FX20127945</v>
      </c>
      <c r="F1950" t="s">
        <v>19</v>
      </c>
      <c r="G1950" t="s">
        <v>19</v>
      </c>
      <c r="H1950" t="s">
        <v>82</v>
      </c>
      <c r="I1950" t="s">
        <v>4748</v>
      </c>
      <c r="J1950">
        <v>38</v>
      </c>
      <c r="K1950" t="s">
        <v>84</v>
      </c>
      <c r="L1950" t="s">
        <v>85</v>
      </c>
      <c r="M1950" t="s">
        <v>86</v>
      </c>
      <c r="N1950">
        <v>3</v>
      </c>
      <c r="O1950" s="1">
        <v>44216.719259259262</v>
      </c>
      <c r="P1950" s="1">
        <v>44217.335509259261</v>
      </c>
      <c r="Q1950">
        <v>52868</v>
      </c>
      <c r="R1950">
        <v>376</v>
      </c>
      <c r="S1950" t="b">
        <v>0</v>
      </c>
      <c r="T1950" t="s">
        <v>87</v>
      </c>
      <c r="U1950" t="b">
        <v>1</v>
      </c>
      <c r="V1950" t="s">
        <v>142</v>
      </c>
      <c r="W1950" s="1">
        <v>44216.724432870367</v>
      </c>
      <c r="X1950">
        <v>249</v>
      </c>
      <c r="Y1950">
        <v>37</v>
      </c>
      <c r="Z1950">
        <v>0</v>
      </c>
      <c r="AA1950">
        <v>37</v>
      </c>
      <c r="AB1950">
        <v>0</v>
      </c>
      <c r="AC1950">
        <v>34</v>
      </c>
      <c r="AD1950">
        <v>1</v>
      </c>
      <c r="AE1950">
        <v>0</v>
      </c>
      <c r="AF1950">
        <v>0</v>
      </c>
      <c r="AG1950">
        <v>0</v>
      </c>
      <c r="AH1950" t="s">
        <v>128</v>
      </c>
      <c r="AI1950" s="1">
        <v>44216.728425925925</v>
      </c>
      <c r="AJ1950">
        <v>123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 t="s">
        <v>90</v>
      </c>
      <c r="AU1950" s="1">
        <v>44217.335509259261</v>
      </c>
      <c r="AV1950">
        <v>4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0</v>
      </c>
    </row>
    <row r="1951" spans="1:57" hidden="1" x14ac:dyDescent="0.45">
      <c r="A1951" t="s">
        <v>4753</v>
      </c>
      <c r="B1951" t="s">
        <v>79</v>
      </c>
      <c r="C1951" t="s">
        <v>4754</v>
      </c>
      <c r="D1951" t="s">
        <v>81</v>
      </c>
      <c r="E1951" s="2" t="str">
        <f>HYPERLINK("capsilon://?command=openfolder&amp;siteaddress=FAM.docvelocity-na8.net&amp;folderid=FX3C692E6C-7DE2-CE38-1121-C50258084F82","FX201116857")</f>
        <v>FX201116857</v>
      </c>
      <c r="F1951" t="s">
        <v>19</v>
      </c>
      <c r="G1951" t="s">
        <v>19</v>
      </c>
      <c r="H1951" t="s">
        <v>82</v>
      </c>
      <c r="I1951" t="s">
        <v>4755</v>
      </c>
      <c r="J1951">
        <v>66</v>
      </c>
      <c r="K1951" t="s">
        <v>84</v>
      </c>
      <c r="L1951" t="s">
        <v>85</v>
      </c>
      <c r="M1951" t="s">
        <v>86</v>
      </c>
      <c r="N1951">
        <v>3</v>
      </c>
      <c r="O1951" s="1">
        <v>44201.386053240742</v>
      </c>
      <c r="P1951" s="1">
        <v>44201.523784722223</v>
      </c>
      <c r="Q1951">
        <v>11714</v>
      </c>
      <c r="R1951">
        <v>186</v>
      </c>
      <c r="S1951" t="b">
        <v>0</v>
      </c>
      <c r="T1951" t="s">
        <v>87</v>
      </c>
      <c r="U1951" t="b">
        <v>0</v>
      </c>
      <c r="V1951" t="s">
        <v>419</v>
      </c>
      <c r="W1951" s="1">
        <v>44201.387754629628</v>
      </c>
      <c r="X1951">
        <v>72</v>
      </c>
      <c r="Y1951">
        <v>0</v>
      </c>
      <c r="Z1951">
        <v>0</v>
      </c>
      <c r="AA1951">
        <v>0</v>
      </c>
      <c r="AB1951">
        <v>52</v>
      </c>
      <c r="AC1951">
        <v>0</v>
      </c>
      <c r="AD1951">
        <v>66</v>
      </c>
      <c r="AE1951">
        <v>0</v>
      </c>
      <c r="AF1951">
        <v>0</v>
      </c>
      <c r="AG1951">
        <v>0</v>
      </c>
      <c r="AH1951" t="s">
        <v>267</v>
      </c>
      <c r="AI1951" s="1">
        <v>44201.501145833332</v>
      </c>
      <c r="AJ1951">
        <v>25</v>
      </c>
      <c r="AK1951">
        <v>0</v>
      </c>
      <c r="AL1951">
        <v>0</v>
      </c>
      <c r="AM1951">
        <v>0</v>
      </c>
      <c r="AN1951">
        <v>52</v>
      </c>
      <c r="AO1951">
        <v>0</v>
      </c>
      <c r="AP1951">
        <v>66</v>
      </c>
      <c r="AQ1951">
        <v>0</v>
      </c>
      <c r="AR1951">
        <v>0</v>
      </c>
      <c r="AS1951">
        <v>0</v>
      </c>
      <c r="AT1951" t="s">
        <v>90</v>
      </c>
      <c r="AU1951" s="1">
        <v>44201.523784722223</v>
      </c>
      <c r="AV1951">
        <v>89</v>
      </c>
      <c r="AW1951">
        <v>0</v>
      </c>
      <c r="AX1951">
        <v>0</v>
      </c>
      <c r="AY1951">
        <v>0</v>
      </c>
      <c r="AZ1951">
        <v>52</v>
      </c>
      <c r="BA1951">
        <v>0</v>
      </c>
      <c r="BB1951">
        <v>66</v>
      </c>
      <c r="BC1951">
        <v>0</v>
      </c>
      <c r="BD1951">
        <v>0</v>
      </c>
      <c r="BE1951">
        <v>0</v>
      </c>
    </row>
    <row r="1952" spans="1:57" x14ac:dyDescent="0.45">
      <c r="A1952" t="s">
        <v>4756</v>
      </c>
      <c r="B1952" t="s">
        <v>79</v>
      </c>
      <c r="C1952" t="s">
        <v>500</v>
      </c>
      <c r="D1952" t="s">
        <v>81</v>
      </c>
      <c r="E1952" s="2" t="str">
        <f>HYPERLINK("capsilon://?command=openfolder&amp;siteaddress=FAM.docvelocity-na8.net&amp;folderid=FX4DB0F62E-18A1-B50F-BAE5-E19605DEE531","FX20127359")</f>
        <v>FX20127359</v>
      </c>
      <c r="F1952" t="s">
        <v>19</v>
      </c>
      <c r="G1952" t="s">
        <v>19</v>
      </c>
      <c r="H1952" t="s">
        <v>82</v>
      </c>
      <c r="I1952" t="s">
        <v>4757</v>
      </c>
      <c r="J1952">
        <v>101</v>
      </c>
      <c r="K1952" t="s">
        <v>84</v>
      </c>
      <c r="L1952" t="s">
        <v>85</v>
      </c>
      <c r="M1952" t="s">
        <v>86</v>
      </c>
      <c r="N1952">
        <v>3</v>
      </c>
      <c r="O1952" s="1">
        <v>44216.731180555558</v>
      </c>
      <c r="P1952" s="1">
        <v>44217.358437499999</v>
      </c>
      <c r="Q1952">
        <v>53391</v>
      </c>
      <c r="R1952">
        <v>804</v>
      </c>
      <c r="S1952" t="b">
        <v>0</v>
      </c>
      <c r="T1952" t="s">
        <v>87</v>
      </c>
      <c r="U1952" t="b">
        <v>0</v>
      </c>
      <c r="V1952" t="s">
        <v>168</v>
      </c>
      <c r="W1952" s="1">
        <v>44216.738495370373</v>
      </c>
      <c r="X1952">
        <v>626</v>
      </c>
      <c r="Y1952">
        <v>64</v>
      </c>
      <c r="Z1952">
        <v>0</v>
      </c>
      <c r="AA1952">
        <v>64</v>
      </c>
      <c r="AB1952">
        <v>0</v>
      </c>
      <c r="AC1952">
        <v>24</v>
      </c>
      <c r="AD1952">
        <v>37</v>
      </c>
      <c r="AE1952">
        <v>0</v>
      </c>
      <c r="AF1952">
        <v>0</v>
      </c>
      <c r="AG1952">
        <v>0</v>
      </c>
      <c r="AH1952" t="s">
        <v>132</v>
      </c>
      <c r="AI1952" s="1">
        <v>44216.746805555558</v>
      </c>
      <c r="AJ1952">
        <v>145</v>
      </c>
      <c r="AK1952">
        <v>0</v>
      </c>
      <c r="AL1952">
        <v>0</v>
      </c>
      <c r="AM1952">
        <v>0</v>
      </c>
      <c r="AN1952">
        <v>0</v>
      </c>
      <c r="AO1952">
        <v>2</v>
      </c>
      <c r="AP1952">
        <v>37</v>
      </c>
      <c r="AQ1952">
        <v>0</v>
      </c>
      <c r="AR1952">
        <v>0</v>
      </c>
      <c r="AS1952">
        <v>0</v>
      </c>
      <c r="AT1952" t="s">
        <v>90</v>
      </c>
      <c r="AU1952" s="1">
        <v>44217.358437499999</v>
      </c>
      <c r="AV1952">
        <v>33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37</v>
      </c>
      <c r="BC1952">
        <v>0</v>
      </c>
      <c r="BD1952">
        <v>0</v>
      </c>
      <c r="BE1952">
        <v>0</v>
      </c>
    </row>
    <row r="1953" spans="1:57" x14ac:dyDescent="0.45">
      <c r="A1953" t="s">
        <v>4758</v>
      </c>
      <c r="B1953" t="s">
        <v>79</v>
      </c>
      <c r="C1953" t="s">
        <v>500</v>
      </c>
      <c r="D1953" t="s">
        <v>81</v>
      </c>
      <c r="E1953" s="2" t="str">
        <f>HYPERLINK("capsilon://?command=openfolder&amp;siteaddress=FAM.docvelocity-na8.net&amp;folderid=FX4DB0F62E-18A1-B50F-BAE5-E19605DEE531","FX20127359")</f>
        <v>FX20127359</v>
      </c>
      <c r="F1953" t="s">
        <v>19</v>
      </c>
      <c r="G1953" t="s">
        <v>19</v>
      </c>
      <c r="H1953" t="s">
        <v>82</v>
      </c>
      <c r="I1953" t="s">
        <v>4759</v>
      </c>
      <c r="J1953">
        <v>72</v>
      </c>
      <c r="K1953" t="s">
        <v>84</v>
      </c>
      <c r="L1953" t="s">
        <v>85</v>
      </c>
      <c r="M1953" t="s">
        <v>86</v>
      </c>
      <c r="N1953">
        <v>3</v>
      </c>
      <c r="O1953" s="1">
        <v>44216.73128472222</v>
      </c>
      <c r="P1953" s="1">
        <v>44217.358495370368</v>
      </c>
      <c r="Q1953">
        <v>53857</v>
      </c>
      <c r="R1953">
        <v>334</v>
      </c>
      <c r="S1953" t="b">
        <v>0</v>
      </c>
      <c r="T1953" t="s">
        <v>87</v>
      </c>
      <c r="U1953" t="b">
        <v>0</v>
      </c>
      <c r="V1953" t="s">
        <v>142</v>
      </c>
      <c r="W1953" s="1">
        <v>44216.736527777779</v>
      </c>
      <c r="X1953">
        <v>222</v>
      </c>
      <c r="Y1953">
        <v>41</v>
      </c>
      <c r="Z1953">
        <v>0</v>
      </c>
      <c r="AA1953">
        <v>41</v>
      </c>
      <c r="AB1953">
        <v>0</v>
      </c>
      <c r="AC1953">
        <v>21</v>
      </c>
      <c r="AD1953">
        <v>31</v>
      </c>
      <c r="AE1953">
        <v>0</v>
      </c>
      <c r="AF1953">
        <v>0</v>
      </c>
      <c r="AG1953">
        <v>0</v>
      </c>
      <c r="AH1953" t="s">
        <v>128</v>
      </c>
      <c r="AI1953" s="1">
        <v>44216.747743055559</v>
      </c>
      <c r="AJ1953">
        <v>108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31</v>
      </c>
      <c r="AQ1953">
        <v>0</v>
      </c>
      <c r="AR1953">
        <v>0</v>
      </c>
      <c r="AS1953">
        <v>0</v>
      </c>
      <c r="AT1953" t="s">
        <v>90</v>
      </c>
      <c r="AU1953" s="1">
        <v>44217.358495370368</v>
      </c>
      <c r="AV1953">
        <v>4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31</v>
      </c>
      <c r="BC1953">
        <v>0</v>
      </c>
      <c r="BD1953">
        <v>0</v>
      </c>
      <c r="BE1953">
        <v>0</v>
      </c>
    </row>
    <row r="1954" spans="1:57" x14ac:dyDescent="0.45">
      <c r="A1954" t="s">
        <v>4760</v>
      </c>
      <c r="B1954" t="s">
        <v>79</v>
      </c>
      <c r="C1954" t="s">
        <v>875</v>
      </c>
      <c r="D1954" t="s">
        <v>81</v>
      </c>
      <c r="E1954" s="2" t="str">
        <f>HYPERLINK("capsilon://?command=openfolder&amp;siteaddress=FAM.docvelocity-na8.net&amp;folderid=FX8CAE4260-A543-E6DB-E579-8D4ED85DC75D","FX20124809")</f>
        <v>FX20124809</v>
      </c>
      <c r="F1954" t="s">
        <v>19</v>
      </c>
      <c r="G1954" t="s">
        <v>19</v>
      </c>
      <c r="H1954" t="s">
        <v>82</v>
      </c>
      <c r="I1954" t="s">
        <v>4761</v>
      </c>
      <c r="J1954">
        <v>47</v>
      </c>
      <c r="K1954" t="s">
        <v>84</v>
      </c>
      <c r="L1954" t="s">
        <v>85</v>
      </c>
      <c r="M1954" t="s">
        <v>86</v>
      </c>
      <c r="N1954">
        <v>3</v>
      </c>
      <c r="O1954" s="1">
        <v>44216.733981481484</v>
      </c>
      <c r="P1954" s="1">
        <v>44217.358923611115</v>
      </c>
      <c r="Q1954">
        <v>53163</v>
      </c>
      <c r="R1954">
        <v>832</v>
      </c>
      <c r="S1954" t="b">
        <v>0</v>
      </c>
      <c r="T1954" t="s">
        <v>87</v>
      </c>
      <c r="U1954" t="b">
        <v>0</v>
      </c>
      <c r="V1954" t="s">
        <v>179</v>
      </c>
      <c r="W1954" s="1">
        <v>44216.742592592593</v>
      </c>
      <c r="X1954">
        <v>692</v>
      </c>
      <c r="Y1954">
        <v>43</v>
      </c>
      <c r="Z1954">
        <v>0</v>
      </c>
      <c r="AA1954">
        <v>43</v>
      </c>
      <c r="AB1954">
        <v>0</v>
      </c>
      <c r="AC1954">
        <v>18</v>
      </c>
      <c r="AD1954">
        <v>4</v>
      </c>
      <c r="AE1954">
        <v>0</v>
      </c>
      <c r="AF1954">
        <v>0</v>
      </c>
      <c r="AG1954">
        <v>0</v>
      </c>
      <c r="AH1954" t="s">
        <v>132</v>
      </c>
      <c r="AI1954" s="1">
        <v>44216.748020833336</v>
      </c>
      <c r="AJ1954">
        <v>104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4</v>
      </c>
      <c r="AQ1954">
        <v>0</v>
      </c>
      <c r="AR1954">
        <v>0</v>
      </c>
      <c r="AS1954">
        <v>0</v>
      </c>
      <c r="AT1954" t="s">
        <v>90</v>
      </c>
      <c r="AU1954" s="1">
        <v>44217.358923611115</v>
      </c>
      <c r="AV1954">
        <v>36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4</v>
      </c>
      <c r="BC1954">
        <v>0</v>
      </c>
      <c r="BD1954">
        <v>0</v>
      </c>
      <c r="BE1954">
        <v>0</v>
      </c>
    </row>
    <row r="1955" spans="1:57" x14ac:dyDescent="0.45">
      <c r="A1955" t="s">
        <v>4762</v>
      </c>
      <c r="B1955" t="s">
        <v>79</v>
      </c>
      <c r="C1955" t="s">
        <v>1804</v>
      </c>
      <c r="D1955" t="s">
        <v>81</v>
      </c>
      <c r="E1955" s="2" t="str">
        <f>HYPERLINK("capsilon://?command=openfolder&amp;siteaddress=FAM.docvelocity-na8.net&amp;folderid=FXF5AD3739-7DB6-2CD4-9A11-CD79220DAA70","FX21011990")</f>
        <v>FX21011990</v>
      </c>
      <c r="F1955" t="s">
        <v>19</v>
      </c>
      <c r="G1955" t="s">
        <v>19</v>
      </c>
      <c r="H1955" t="s">
        <v>82</v>
      </c>
      <c r="I1955" t="s">
        <v>4763</v>
      </c>
      <c r="J1955">
        <v>38</v>
      </c>
      <c r="K1955" t="s">
        <v>84</v>
      </c>
      <c r="L1955" t="s">
        <v>85</v>
      </c>
      <c r="M1955" t="s">
        <v>86</v>
      </c>
      <c r="N1955">
        <v>3</v>
      </c>
      <c r="O1955" s="1">
        <v>44216.742407407408</v>
      </c>
      <c r="P1955" s="1">
        <v>44217.35900462963</v>
      </c>
      <c r="Q1955">
        <v>52492</v>
      </c>
      <c r="R1955">
        <v>782</v>
      </c>
      <c r="S1955" t="b">
        <v>0</v>
      </c>
      <c r="T1955" t="s">
        <v>87</v>
      </c>
      <c r="U1955" t="b">
        <v>0</v>
      </c>
      <c r="V1955" t="s">
        <v>171</v>
      </c>
      <c r="W1955" s="1">
        <v>44216.750104166669</v>
      </c>
      <c r="X1955">
        <v>665</v>
      </c>
      <c r="Y1955">
        <v>37</v>
      </c>
      <c r="Z1955">
        <v>0</v>
      </c>
      <c r="AA1955">
        <v>37</v>
      </c>
      <c r="AB1955">
        <v>0</v>
      </c>
      <c r="AC1955">
        <v>34</v>
      </c>
      <c r="AD1955">
        <v>1</v>
      </c>
      <c r="AE1955">
        <v>0</v>
      </c>
      <c r="AF1955">
        <v>0</v>
      </c>
      <c r="AG1955">
        <v>0</v>
      </c>
      <c r="AH1955" t="s">
        <v>128</v>
      </c>
      <c r="AI1955" s="1">
        <v>44216.752881944441</v>
      </c>
      <c r="AJ1955">
        <v>111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 t="s">
        <v>90</v>
      </c>
      <c r="AU1955" s="1">
        <v>44217.35900462963</v>
      </c>
      <c r="AV1955">
        <v>6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0</v>
      </c>
    </row>
    <row r="1956" spans="1:57" x14ac:dyDescent="0.45">
      <c r="A1956" t="s">
        <v>4764</v>
      </c>
      <c r="B1956" t="s">
        <v>79</v>
      </c>
      <c r="C1956" t="s">
        <v>3809</v>
      </c>
      <c r="D1956" t="s">
        <v>81</v>
      </c>
      <c r="E1956" s="2" t="str">
        <f>HYPERLINK("capsilon://?command=openfolder&amp;siteaddress=FAM.docvelocity-na8.net&amp;folderid=FX0251CF2E-C110-1D22-83AC-1DCF11773C4B","FX20123154")</f>
        <v>FX20123154</v>
      </c>
      <c r="F1956" t="s">
        <v>19</v>
      </c>
      <c r="G1956" t="s">
        <v>19</v>
      </c>
      <c r="H1956" t="s">
        <v>82</v>
      </c>
      <c r="I1956" t="s">
        <v>4765</v>
      </c>
      <c r="J1956">
        <v>143</v>
      </c>
      <c r="K1956" t="s">
        <v>84</v>
      </c>
      <c r="L1956" t="s">
        <v>85</v>
      </c>
      <c r="M1956" t="s">
        <v>86</v>
      </c>
      <c r="N1956">
        <v>3</v>
      </c>
      <c r="O1956" s="1">
        <v>44216.751666666663</v>
      </c>
      <c r="P1956" s="1">
        <v>44217.359224537038</v>
      </c>
      <c r="Q1956">
        <v>51957</v>
      </c>
      <c r="R1956">
        <v>536</v>
      </c>
      <c r="S1956" t="b">
        <v>0</v>
      </c>
      <c r="T1956" t="s">
        <v>87</v>
      </c>
      <c r="U1956" t="b">
        <v>0</v>
      </c>
      <c r="V1956" t="s">
        <v>255</v>
      </c>
      <c r="W1956" s="1">
        <v>44216.757152777776</v>
      </c>
      <c r="X1956">
        <v>344</v>
      </c>
      <c r="Y1956">
        <v>118</v>
      </c>
      <c r="Z1956">
        <v>0</v>
      </c>
      <c r="AA1956">
        <v>118</v>
      </c>
      <c r="AB1956">
        <v>0</v>
      </c>
      <c r="AC1956">
        <v>46</v>
      </c>
      <c r="AD1956">
        <v>25</v>
      </c>
      <c r="AE1956">
        <v>0</v>
      </c>
      <c r="AF1956">
        <v>0</v>
      </c>
      <c r="AG1956">
        <v>0</v>
      </c>
      <c r="AH1956" t="s">
        <v>132</v>
      </c>
      <c r="AI1956" s="1">
        <v>44216.76903935185</v>
      </c>
      <c r="AJ1956">
        <v>174</v>
      </c>
      <c r="AK1956">
        <v>1</v>
      </c>
      <c r="AL1956">
        <v>0</v>
      </c>
      <c r="AM1956">
        <v>1</v>
      </c>
      <c r="AN1956">
        <v>0</v>
      </c>
      <c r="AO1956">
        <v>1</v>
      </c>
      <c r="AP1956">
        <v>24</v>
      </c>
      <c r="AQ1956">
        <v>0</v>
      </c>
      <c r="AR1956">
        <v>0</v>
      </c>
      <c r="AS1956">
        <v>0</v>
      </c>
      <c r="AT1956" t="s">
        <v>90</v>
      </c>
      <c r="AU1956" s="1">
        <v>44217.359224537038</v>
      </c>
      <c r="AV1956">
        <v>18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24</v>
      </c>
      <c r="BC1956">
        <v>0</v>
      </c>
      <c r="BD1956">
        <v>0</v>
      </c>
      <c r="BE1956">
        <v>0</v>
      </c>
    </row>
    <row r="1957" spans="1:57" x14ac:dyDescent="0.45">
      <c r="A1957" t="s">
        <v>4766</v>
      </c>
      <c r="B1957" t="s">
        <v>79</v>
      </c>
      <c r="C1957" t="s">
        <v>3289</v>
      </c>
      <c r="D1957" t="s">
        <v>81</v>
      </c>
      <c r="E1957" s="2" t="str">
        <f>HYPERLINK("capsilon://?command=openfolder&amp;siteaddress=FAM.docvelocity-na8.net&amp;folderid=FX123F0F2A-75F5-BABD-E63F-0BB7DD37BBE1","FX20111665")</f>
        <v>FX20111665</v>
      </c>
      <c r="F1957" t="s">
        <v>19</v>
      </c>
      <c r="G1957" t="s">
        <v>19</v>
      </c>
      <c r="H1957" t="s">
        <v>82</v>
      </c>
      <c r="I1957" t="s">
        <v>4767</v>
      </c>
      <c r="J1957">
        <v>66</v>
      </c>
      <c r="K1957" t="s">
        <v>84</v>
      </c>
      <c r="L1957" t="s">
        <v>85</v>
      </c>
      <c r="M1957" t="s">
        <v>86</v>
      </c>
      <c r="N1957">
        <v>3</v>
      </c>
      <c r="O1957" s="1">
        <v>44216.764664351853</v>
      </c>
      <c r="P1957" s="1">
        <v>44217.361041666663</v>
      </c>
      <c r="Q1957">
        <v>50630</v>
      </c>
      <c r="R1957">
        <v>897</v>
      </c>
      <c r="S1957" t="b">
        <v>0</v>
      </c>
      <c r="T1957" t="s">
        <v>87</v>
      </c>
      <c r="U1957" t="b">
        <v>0</v>
      </c>
      <c r="V1957" t="s">
        <v>259</v>
      </c>
      <c r="W1957" s="1">
        <v>44216.772615740738</v>
      </c>
      <c r="X1957">
        <v>555</v>
      </c>
      <c r="Y1957">
        <v>52</v>
      </c>
      <c r="Z1957">
        <v>0</v>
      </c>
      <c r="AA1957">
        <v>52</v>
      </c>
      <c r="AB1957">
        <v>0</v>
      </c>
      <c r="AC1957">
        <v>43</v>
      </c>
      <c r="AD1957">
        <v>14</v>
      </c>
      <c r="AE1957">
        <v>0</v>
      </c>
      <c r="AF1957">
        <v>0</v>
      </c>
      <c r="AG1957">
        <v>0</v>
      </c>
      <c r="AH1957" t="s">
        <v>147</v>
      </c>
      <c r="AI1957" s="1">
        <v>44216.77652777778</v>
      </c>
      <c r="AJ1957">
        <v>185</v>
      </c>
      <c r="AK1957">
        <v>0</v>
      </c>
      <c r="AL1957">
        <v>0</v>
      </c>
      <c r="AM1957">
        <v>0</v>
      </c>
      <c r="AN1957">
        <v>0</v>
      </c>
      <c r="AO1957">
        <v>23</v>
      </c>
      <c r="AP1957">
        <v>14</v>
      </c>
      <c r="AQ1957">
        <v>0</v>
      </c>
      <c r="AR1957">
        <v>0</v>
      </c>
      <c r="AS1957">
        <v>0</v>
      </c>
      <c r="AT1957" t="s">
        <v>90</v>
      </c>
      <c r="AU1957" s="1">
        <v>44217.361041666663</v>
      </c>
      <c r="AV1957">
        <v>157</v>
      </c>
      <c r="AW1957">
        <v>2</v>
      </c>
      <c r="AX1957">
        <v>0</v>
      </c>
      <c r="AY1957">
        <v>2</v>
      </c>
      <c r="AZ1957">
        <v>0</v>
      </c>
      <c r="BA1957">
        <v>2</v>
      </c>
      <c r="BB1957">
        <v>12</v>
      </c>
      <c r="BC1957">
        <v>0</v>
      </c>
      <c r="BD1957">
        <v>0</v>
      </c>
      <c r="BE1957">
        <v>0</v>
      </c>
    </row>
    <row r="1958" spans="1:57" x14ac:dyDescent="0.45">
      <c r="A1958" t="s">
        <v>4768</v>
      </c>
      <c r="B1958" t="s">
        <v>79</v>
      </c>
      <c r="C1958" t="s">
        <v>4769</v>
      </c>
      <c r="D1958" t="s">
        <v>81</v>
      </c>
      <c r="E1958" s="2" t="str">
        <f>HYPERLINK("capsilon://?command=openfolder&amp;siteaddress=FAM.docvelocity-na8.net&amp;folderid=FX77008945-9746-B45C-D9E4-FB217B34F933","FX201111747")</f>
        <v>FX201111747</v>
      </c>
      <c r="F1958" t="s">
        <v>19</v>
      </c>
      <c r="G1958" t="s">
        <v>19</v>
      </c>
      <c r="H1958" t="s">
        <v>82</v>
      </c>
      <c r="I1958" t="s">
        <v>4770</v>
      </c>
      <c r="J1958">
        <v>49</v>
      </c>
      <c r="K1958" t="s">
        <v>84</v>
      </c>
      <c r="L1958" t="s">
        <v>85</v>
      </c>
      <c r="M1958" t="s">
        <v>86</v>
      </c>
      <c r="N1958">
        <v>3</v>
      </c>
      <c r="O1958" s="1">
        <v>44201.399664351855</v>
      </c>
      <c r="P1958" s="1">
        <v>44201.53334490741</v>
      </c>
      <c r="Q1958">
        <v>9646</v>
      </c>
      <c r="R1958">
        <v>1904</v>
      </c>
      <c r="S1958" t="b">
        <v>0</v>
      </c>
      <c r="T1958" t="s">
        <v>87</v>
      </c>
      <c r="U1958" t="b">
        <v>0</v>
      </c>
      <c r="V1958" t="s">
        <v>88</v>
      </c>
      <c r="W1958" s="1">
        <v>44201.409884259258</v>
      </c>
      <c r="X1958">
        <v>878</v>
      </c>
      <c r="Y1958">
        <v>79</v>
      </c>
      <c r="Z1958">
        <v>0</v>
      </c>
      <c r="AA1958">
        <v>79</v>
      </c>
      <c r="AB1958">
        <v>0</v>
      </c>
      <c r="AC1958">
        <v>67</v>
      </c>
      <c r="AD1958">
        <v>-30</v>
      </c>
      <c r="AE1958">
        <v>0</v>
      </c>
      <c r="AF1958">
        <v>0</v>
      </c>
      <c r="AG1958">
        <v>0</v>
      </c>
      <c r="AH1958" t="s">
        <v>267</v>
      </c>
      <c r="AI1958" s="1">
        <v>44201.503483796296</v>
      </c>
      <c r="AJ1958">
        <v>201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-30</v>
      </c>
      <c r="AQ1958">
        <v>0</v>
      </c>
      <c r="AR1958">
        <v>0</v>
      </c>
      <c r="AS1958">
        <v>0</v>
      </c>
      <c r="AT1958" t="s">
        <v>90</v>
      </c>
      <c r="AU1958" s="1">
        <v>44201.53334490741</v>
      </c>
      <c r="AV1958">
        <v>825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-30</v>
      </c>
      <c r="BC1958">
        <v>0</v>
      </c>
      <c r="BD1958">
        <v>0</v>
      </c>
      <c r="BE1958">
        <v>0</v>
      </c>
    </row>
    <row r="1959" spans="1:57" x14ac:dyDescent="0.45">
      <c r="A1959" t="s">
        <v>4771</v>
      </c>
      <c r="B1959" t="s">
        <v>79</v>
      </c>
      <c r="C1959" t="s">
        <v>1995</v>
      </c>
      <c r="D1959" t="s">
        <v>81</v>
      </c>
      <c r="E1959" s="2" t="str">
        <f>HYPERLINK("capsilon://?command=openfolder&amp;siteaddress=FAM.docvelocity-na8.net&amp;folderid=FX68BFF421-0534-3C65-E596-2E2BD1ABB6D9","FX20119880")</f>
        <v>FX20119880</v>
      </c>
      <c r="F1959" t="s">
        <v>19</v>
      </c>
      <c r="G1959" t="s">
        <v>19</v>
      </c>
      <c r="H1959" t="s">
        <v>82</v>
      </c>
      <c r="I1959" t="s">
        <v>4772</v>
      </c>
      <c r="J1959">
        <v>52</v>
      </c>
      <c r="K1959" t="s">
        <v>84</v>
      </c>
      <c r="L1959" t="s">
        <v>85</v>
      </c>
      <c r="M1959" t="s">
        <v>86</v>
      </c>
      <c r="N1959">
        <v>3</v>
      </c>
      <c r="O1959" s="1">
        <v>44201.405914351853</v>
      </c>
      <c r="P1959" s="1">
        <v>44201.536365740743</v>
      </c>
      <c r="Q1959">
        <v>10122</v>
      </c>
      <c r="R1959">
        <v>1149</v>
      </c>
      <c r="S1959" t="b">
        <v>0</v>
      </c>
      <c r="T1959" t="s">
        <v>87</v>
      </c>
      <c r="U1959" t="b">
        <v>0</v>
      </c>
      <c r="V1959" t="s">
        <v>98</v>
      </c>
      <c r="W1959" s="1">
        <v>44201.416875000003</v>
      </c>
      <c r="X1959">
        <v>940</v>
      </c>
      <c r="Y1959">
        <v>36</v>
      </c>
      <c r="Z1959">
        <v>0</v>
      </c>
      <c r="AA1959">
        <v>36</v>
      </c>
      <c r="AB1959">
        <v>0</v>
      </c>
      <c r="AC1959">
        <v>15</v>
      </c>
      <c r="AD1959">
        <v>16</v>
      </c>
      <c r="AE1959">
        <v>0</v>
      </c>
      <c r="AF1959">
        <v>0</v>
      </c>
      <c r="AG1959">
        <v>0</v>
      </c>
      <c r="AH1959" t="s">
        <v>267</v>
      </c>
      <c r="AI1959" s="1">
        <v>44201.504907407405</v>
      </c>
      <c r="AJ1959">
        <v>122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16</v>
      </c>
      <c r="AQ1959">
        <v>0</v>
      </c>
      <c r="AR1959">
        <v>0</v>
      </c>
      <c r="AS1959">
        <v>0</v>
      </c>
      <c r="AT1959" t="s">
        <v>90</v>
      </c>
      <c r="AU1959" s="1">
        <v>44201.536365740743</v>
      </c>
      <c r="AV1959">
        <v>87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16</v>
      </c>
      <c r="BC1959">
        <v>0</v>
      </c>
      <c r="BD1959">
        <v>0</v>
      </c>
      <c r="BE1959">
        <v>0</v>
      </c>
    </row>
    <row r="1960" spans="1:57" x14ac:dyDescent="0.45">
      <c r="A1960" t="s">
        <v>4773</v>
      </c>
      <c r="B1960" t="s">
        <v>79</v>
      </c>
      <c r="C1960" t="s">
        <v>2447</v>
      </c>
      <c r="D1960" t="s">
        <v>81</v>
      </c>
      <c r="E1960" s="2" t="str">
        <f>HYPERLINK("capsilon://?command=openfolder&amp;siteaddress=FAM.docvelocity-na8.net&amp;folderid=FX3F8FD789-1804-4CAB-F318-6DE32798B6DB","FX20123698")</f>
        <v>FX20123698</v>
      </c>
      <c r="F1960" t="s">
        <v>19</v>
      </c>
      <c r="G1960" t="s">
        <v>19</v>
      </c>
      <c r="H1960" t="s">
        <v>82</v>
      </c>
      <c r="I1960" t="s">
        <v>4774</v>
      </c>
      <c r="J1960">
        <v>72</v>
      </c>
      <c r="K1960" t="s">
        <v>84</v>
      </c>
      <c r="L1960" t="s">
        <v>85</v>
      </c>
      <c r="M1960" t="s">
        <v>86</v>
      </c>
      <c r="N1960">
        <v>3</v>
      </c>
      <c r="O1960" s="1">
        <v>44201.407164351855</v>
      </c>
      <c r="P1960" s="1">
        <v>44201.537094907406</v>
      </c>
      <c r="Q1960">
        <v>10515</v>
      </c>
      <c r="R1960">
        <v>711</v>
      </c>
      <c r="S1960" t="b">
        <v>0</v>
      </c>
      <c r="T1960" t="s">
        <v>87</v>
      </c>
      <c r="U1960" t="b">
        <v>0</v>
      </c>
      <c r="V1960" t="s">
        <v>736</v>
      </c>
      <c r="W1960" s="1">
        <v>44201.414583333331</v>
      </c>
      <c r="X1960">
        <v>451</v>
      </c>
      <c r="Y1960">
        <v>68</v>
      </c>
      <c r="Z1960">
        <v>0</v>
      </c>
      <c r="AA1960">
        <v>68</v>
      </c>
      <c r="AB1960">
        <v>0</v>
      </c>
      <c r="AC1960">
        <v>14</v>
      </c>
      <c r="AD1960">
        <v>4</v>
      </c>
      <c r="AE1960">
        <v>0</v>
      </c>
      <c r="AF1960">
        <v>0</v>
      </c>
      <c r="AG1960">
        <v>0</v>
      </c>
      <c r="AH1960" t="s">
        <v>267</v>
      </c>
      <c r="AI1960" s="1">
        <v>44201.507094907407</v>
      </c>
      <c r="AJ1960">
        <v>188</v>
      </c>
      <c r="AK1960">
        <v>1</v>
      </c>
      <c r="AL1960">
        <v>0</v>
      </c>
      <c r="AM1960">
        <v>1</v>
      </c>
      <c r="AN1960">
        <v>0</v>
      </c>
      <c r="AO1960">
        <v>1</v>
      </c>
      <c r="AP1960">
        <v>3</v>
      </c>
      <c r="AQ1960">
        <v>0</v>
      </c>
      <c r="AR1960">
        <v>0</v>
      </c>
      <c r="AS1960">
        <v>0</v>
      </c>
      <c r="AT1960" t="s">
        <v>90</v>
      </c>
      <c r="AU1960" s="1">
        <v>44201.537094907406</v>
      </c>
      <c r="AV1960">
        <v>62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3</v>
      </c>
      <c r="BC1960">
        <v>0</v>
      </c>
      <c r="BD1960">
        <v>0</v>
      </c>
      <c r="BE1960">
        <v>0</v>
      </c>
    </row>
    <row r="1961" spans="1:57" x14ac:dyDescent="0.45">
      <c r="A1961" t="s">
        <v>4775</v>
      </c>
      <c r="B1961" t="s">
        <v>79</v>
      </c>
      <c r="C1961" t="s">
        <v>1596</v>
      </c>
      <c r="D1961" t="s">
        <v>81</v>
      </c>
      <c r="E1961" s="2" t="str">
        <f>HYPERLINK("capsilon://?command=openfolder&amp;siteaddress=FAM.docvelocity-na8.net&amp;folderid=FXB375EF3E-81F7-9231-C384-429DF9B7CE8D","FX20121208")</f>
        <v>FX20121208</v>
      </c>
      <c r="F1961" t="s">
        <v>19</v>
      </c>
      <c r="G1961" t="s">
        <v>19</v>
      </c>
      <c r="H1961" t="s">
        <v>82</v>
      </c>
      <c r="I1961" t="s">
        <v>4776</v>
      </c>
      <c r="J1961">
        <v>31</v>
      </c>
      <c r="K1961" t="s">
        <v>84</v>
      </c>
      <c r="L1961" t="s">
        <v>85</v>
      </c>
      <c r="M1961" t="s">
        <v>86</v>
      </c>
      <c r="N1961">
        <v>3</v>
      </c>
      <c r="O1961" s="1">
        <v>44201.413900462961</v>
      </c>
      <c r="P1961" s="1">
        <v>44201.538055555553</v>
      </c>
      <c r="Q1961">
        <v>7894</v>
      </c>
      <c r="R1961">
        <v>2833</v>
      </c>
      <c r="S1961" t="b">
        <v>0</v>
      </c>
      <c r="T1961" t="s">
        <v>87</v>
      </c>
      <c r="U1961" t="b">
        <v>0</v>
      </c>
      <c r="V1961" t="s">
        <v>736</v>
      </c>
      <c r="W1961" s="1">
        <v>44201.443530092591</v>
      </c>
      <c r="X1961">
        <v>2501</v>
      </c>
      <c r="Y1961">
        <v>89</v>
      </c>
      <c r="Z1961">
        <v>0</v>
      </c>
      <c r="AA1961">
        <v>89</v>
      </c>
      <c r="AB1961">
        <v>0</v>
      </c>
      <c r="AC1961">
        <v>86</v>
      </c>
      <c r="AD1961">
        <v>-58</v>
      </c>
      <c r="AE1961">
        <v>0</v>
      </c>
      <c r="AF1961">
        <v>0</v>
      </c>
      <c r="AG1961">
        <v>0</v>
      </c>
      <c r="AH1961" t="s">
        <v>267</v>
      </c>
      <c r="AI1961" s="1">
        <v>44201.51</v>
      </c>
      <c r="AJ1961">
        <v>250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-58</v>
      </c>
      <c r="AQ1961">
        <v>0</v>
      </c>
      <c r="AR1961">
        <v>0</v>
      </c>
      <c r="AS1961">
        <v>0</v>
      </c>
      <c r="AT1961" t="s">
        <v>90</v>
      </c>
      <c r="AU1961" s="1">
        <v>44201.538055555553</v>
      </c>
      <c r="AV1961">
        <v>82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-58</v>
      </c>
      <c r="BC1961">
        <v>0</v>
      </c>
      <c r="BD1961">
        <v>0</v>
      </c>
      <c r="BE1961">
        <v>0</v>
      </c>
    </row>
    <row r="1962" spans="1:57" hidden="1" x14ac:dyDescent="0.45">
      <c r="A1962" t="s">
        <v>4777</v>
      </c>
      <c r="B1962" t="s">
        <v>79</v>
      </c>
      <c r="C1962" t="s">
        <v>3547</v>
      </c>
      <c r="D1962" t="s">
        <v>81</v>
      </c>
      <c r="E1962" s="2" t="str">
        <f>HYPERLINK("capsilon://?command=openfolder&amp;siteaddress=FAM.docvelocity-na8.net&amp;folderid=FX2867CDDC-563D-5FA5-0836-C86B9222ACA6","FX201112400")</f>
        <v>FX201112400</v>
      </c>
      <c r="F1962" t="s">
        <v>19</v>
      </c>
      <c r="G1962" t="s">
        <v>19</v>
      </c>
      <c r="H1962" t="s">
        <v>82</v>
      </c>
      <c r="I1962" t="s">
        <v>4778</v>
      </c>
      <c r="J1962">
        <v>66</v>
      </c>
      <c r="K1962" t="s">
        <v>84</v>
      </c>
      <c r="L1962" t="s">
        <v>85</v>
      </c>
      <c r="M1962" t="s">
        <v>86</v>
      </c>
      <c r="N1962">
        <v>3</v>
      </c>
      <c r="O1962" s="1">
        <v>44201.419583333336</v>
      </c>
      <c r="P1962" s="1">
        <v>44201.538090277776</v>
      </c>
      <c r="Q1962">
        <v>9905</v>
      </c>
      <c r="R1962">
        <v>334</v>
      </c>
      <c r="S1962" t="b">
        <v>0</v>
      </c>
      <c r="T1962" t="s">
        <v>87</v>
      </c>
      <c r="U1962" t="b">
        <v>0</v>
      </c>
      <c r="V1962" t="s">
        <v>419</v>
      </c>
      <c r="W1962" s="1">
        <v>44201.43068287037</v>
      </c>
      <c r="X1962">
        <v>263</v>
      </c>
      <c r="Y1962">
        <v>0</v>
      </c>
      <c r="Z1962">
        <v>0</v>
      </c>
      <c r="AA1962">
        <v>0</v>
      </c>
      <c r="AB1962">
        <v>52</v>
      </c>
      <c r="AC1962">
        <v>0</v>
      </c>
      <c r="AD1962">
        <v>66</v>
      </c>
      <c r="AE1962">
        <v>0</v>
      </c>
      <c r="AF1962">
        <v>0</v>
      </c>
      <c r="AG1962">
        <v>0</v>
      </c>
      <c r="AH1962" t="s">
        <v>94</v>
      </c>
      <c r="AI1962" s="1">
        <v>44201.508634259262</v>
      </c>
      <c r="AJ1962">
        <v>68</v>
      </c>
      <c r="AK1962">
        <v>0</v>
      </c>
      <c r="AL1962">
        <v>0</v>
      </c>
      <c r="AM1962">
        <v>0</v>
      </c>
      <c r="AN1962">
        <v>52</v>
      </c>
      <c r="AO1962">
        <v>0</v>
      </c>
      <c r="AP1962">
        <v>66</v>
      </c>
      <c r="AQ1962">
        <v>0</v>
      </c>
      <c r="AR1962">
        <v>0</v>
      </c>
      <c r="AS1962">
        <v>0</v>
      </c>
      <c r="AT1962" t="s">
        <v>90</v>
      </c>
      <c r="AU1962" s="1">
        <v>44201.538090277776</v>
      </c>
      <c r="AV1962">
        <v>3</v>
      </c>
      <c r="AW1962">
        <v>0</v>
      </c>
      <c r="AX1962">
        <v>0</v>
      </c>
      <c r="AY1962">
        <v>0</v>
      </c>
      <c r="AZ1962">
        <v>52</v>
      </c>
      <c r="BA1962">
        <v>0</v>
      </c>
      <c r="BB1962">
        <v>66</v>
      </c>
      <c r="BC1962">
        <v>0</v>
      </c>
      <c r="BD1962">
        <v>0</v>
      </c>
      <c r="BE1962">
        <v>0</v>
      </c>
    </row>
    <row r="1963" spans="1:57" hidden="1" x14ac:dyDescent="0.45">
      <c r="A1963" t="s">
        <v>4779</v>
      </c>
      <c r="B1963" t="s">
        <v>79</v>
      </c>
      <c r="C1963" t="s">
        <v>4780</v>
      </c>
      <c r="D1963" t="s">
        <v>81</v>
      </c>
      <c r="E1963" s="2" t="str">
        <f>HYPERLINK("capsilon://?command=openfolder&amp;siteaddress=FAM.docvelocity-na8.net&amp;folderid=FX2CA4DA96-734A-BE7D-8873-AF607C0C8B30","FX20112586")</f>
        <v>FX20112586</v>
      </c>
      <c r="F1963" t="s">
        <v>19</v>
      </c>
      <c r="G1963" t="s">
        <v>19</v>
      </c>
      <c r="H1963" t="s">
        <v>82</v>
      </c>
      <c r="I1963" t="s">
        <v>4781</v>
      </c>
      <c r="J1963">
        <v>66</v>
      </c>
      <c r="K1963" t="s">
        <v>84</v>
      </c>
      <c r="L1963" t="s">
        <v>85</v>
      </c>
      <c r="M1963" t="s">
        <v>86</v>
      </c>
      <c r="N1963">
        <v>1</v>
      </c>
      <c r="O1963" s="1">
        <v>44201.421180555553</v>
      </c>
      <c r="P1963" s="1">
        <v>44201.432384259257</v>
      </c>
      <c r="Q1963">
        <v>822</v>
      </c>
      <c r="R1963">
        <v>146</v>
      </c>
      <c r="S1963" t="b">
        <v>0</v>
      </c>
      <c r="T1963" t="s">
        <v>87</v>
      </c>
      <c r="U1963" t="b">
        <v>0</v>
      </c>
      <c r="V1963" t="s">
        <v>419</v>
      </c>
      <c r="W1963" s="1">
        <v>44201.432384259257</v>
      </c>
      <c r="X1963">
        <v>146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66</v>
      </c>
      <c r="AE1963">
        <v>52</v>
      </c>
      <c r="AF1963">
        <v>0</v>
      </c>
      <c r="AG1963">
        <v>1</v>
      </c>
      <c r="AH1963" t="s">
        <v>87</v>
      </c>
      <c r="AI1963" t="s">
        <v>87</v>
      </c>
      <c r="AJ1963" t="s">
        <v>87</v>
      </c>
      <c r="AK1963" t="s">
        <v>87</v>
      </c>
      <c r="AL1963" t="s">
        <v>87</v>
      </c>
      <c r="AM1963" t="s">
        <v>87</v>
      </c>
      <c r="AN1963" t="s">
        <v>87</v>
      </c>
      <c r="AO1963" t="s">
        <v>87</v>
      </c>
      <c r="AP1963" t="s">
        <v>87</v>
      </c>
      <c r="AQ1963" t="s">
        <v>87</v>
      </c>
      <c r="AR1963" t="s">
        <v>87</v>
      </c>
      <c r="AS1963" t="s">
        <v>87</v>
      </c>
      <c r="AT1963" t="s">
        <v>87</v>
      </c>
      <c r="AU1963" t="s">
        <v>87</v>
      </c>
      <c r="AV1963" t="s">
        <v>87</v>
      </c>
      <c r="AW1963" t="s">
        <v>87</v>
      </c>
      <c r="AX1963" t="s">
        <v>87</v>
      </c>
      <c r="AY1963" t="s">
        <v>87</v>
      </c>
      <c r="AZ1963" t="s">
        <v>87</v>
      </c>
      <c r="BA1963" t="s">
        <v>87</v>
      </c>
      <c r="BB1963" t="s">
        <v>87</v>
      </c>
      <c r="BC1963" t="s">
        <v>87</v>
      </c>
      <c r="BD1963" t="s">
        <v>87</v>
      </c>
      <c r="BE1963" t="s">
        <v>87</v>
      </c>
    </row>
    <row r="1964" spans="1:57" hidden="1" x14ac:dyDescent="0.45">
      <c r="A1964" t="s">
        <v>4782</v>
      </c>
      <c r="B1964" t="s">
        <v>79</v>
      </c>
      <c r="C1964" t="s">
        <v>4783</v>
      </c>
      <c r="D1964" t="s">
        <v>81</v>
      </c>
      <c r="E1964" s="2" t="str">
        <f>HYPERLINK("capsilon://?command=openfolder&amp;siteaddress=FAM.docvelocity-na8.net&amp;folderid=FX068C4990-39D3-32C7-FD4B-3C78A66B479E","FX20112565")</f>
        <v>FX20112565</v>
      </c>
      <c r="F1964" t="s">
        <v>19</v>
      </c>
      <c r="G1964" t="s">
        <v>19</v>
      </c>
      <c r="H1964" t="s">
        <v>82</v>
      </c>
      <c r="I1964" t="s">
        <v>4784</v>
      </c>
      <c r="J1964">
        <v>66</v>
      </c>
      <c r="K1964" t="s">
        <v>84</v>
      </c>
      <c r="L1964" t="s">
        <v>85</v>
      </c>
      <c r="M1964" t="s">
        <v>86</v>
      </c>
      <c r="N1964">
        <v>1</v>
      </c>
      <c r="O1964" s="1">
        <v>44201.422048611108</v>
      </c>
      <c r="P1964" s="1">
        <v>44201.433437500003</v>
      </c>
      <c r="Q1964">
        <v>893</v>
      </c>
      <c r="R1964">
        <v>91</v>
      </c>
      <c r="S1964" t="b">
        <v>0</v>
      </c>
      <c r="T1964" t="s">
        <v>87</v>
      </c>
      <c r="U1964" t="b">
        <v>0</v>
      </c>
      <c r="V1964" t="s">
        <v>419</v>
      </c>
      <c r="W1964" s="1">
        <v>44201.433437500003</v>
      </c>
      <c r="X1964">
        <v>91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66</v>
      </c>
      <c r="AE1964">
        <v>52</v>
      </c>
      <c r="AF1964">
        <v>0</v>
      </c>
      <c r="AG1964">
        <v>1</v>
      </c>
      <c r="AH1964" t="s">
        <v>87</v>
      </c>
      <c r="AI1964" t="s">
        <v>87</v>
      </c>
      <c r="AJ1964" t="s">
        <v>87</v>
      </c>
      <c r="AK1964" t="s">
        <v>87</v>
      </c>
      <c r="AL1964" t="s">
        <v>87</v>
      </c>
      <c r="AM1964" t="s">
        <v>87</v>
      </c>
      <c r="AN1964" t="s">
        <v>87</v>
      </c>
      <c r="AO1964" t="s">
        <v>87</v>
      </c>
      <c r="AP1964" t="s">
        <v>87</v>
      </c>
      <c r="AQ1964" t="s">
        <v>87</v>
      </c>
      <c r="AR1964" t="s">
        <v>87</v>
      </c>
      <c r="AS1964" t="s">
        <v>87</v>
      </c>
      <c r="AT1964" t="s">
        <v>87</v>
      </c>
      <c r="AU1964" t="s">
        <v>87</v>
      </c>
      <c r="AV1964" t="s">
        <v>87</v>
      </c>
      <c r="AW1964" t="s">
        <v>87</v>
      </c>
      <c r="AX1964" t="s">
        <v>87</v>
      </c>
      <c r="AY1964" t="s">
        <v>87</v>
      </c>
      <c r="AZ1964" t="s">
        <v>87</v>
      </c>
      <c r="BA1964" t="s">
        <v>87</v>
      </c>
      <c r="BB1964" t="s">
        <v>87</v>
      </c>
      <c r="BC1964" t="s">
        <v>87</v>
      </c>
      <c r="BD1964" t="s">
        <v>87</v>
      </c>
      <c r="BE1964" t="s">
        <v>87</v>
      </c>
    </row>
    <row r="1965" spans="1:57" x14ac:dyDescent="0.45">
      <c r="A1965" t="s">
        <v>4785</v>
      </c>
      <c r="B1965" t="s">
        <v>79</v>
      </c>
      <c r="C1965" t="s">
        <v>4786</v>
      </c>
      <c r="D1965" t="s">
        <v>81</v>
      </c>
      <c r="E1965" s="2" t="str">
        <f>HYPERLINK("capsilon://?command=openfolder&amp;siteaddress=FAM.docvelocity-na8.net&amp;folderid=FX0E187349-5755-B631-0001-DF1CE70D6669","FX2101934")</f>
        <v>FX2101934</v>
      </c>
      <c r="F1965" t="s">
        <v>19</v>
      </c>
      <c r="G1965" t="s">
        <v>19</v>
      </c>
      <c r="H1965" t="s">
        <v>82</v>
      </c>
      <c r="I1965" t="s">
        <v>4787</v>
      </c>
      <c r="J1965">
        <v>150</v>
      </c>
      <c r="K1965" t="s">
        <v>84</v>
      </c>
      <c r="L1965" t="s">
        <v>85</v>
      </c>
      <c r="M1965" t="s">
        <v>86</v>
      </c>
      <c r="N1965">
        <v>3</v>
      </c>
      <c r="O1965" s="1">
        <v>44201.424456018518</v>
      </c>
      <c r="P1965" s="1">
        <v>44201.538958333331</v>
      </c>
      <c r="Q1965">
        <v>6156</v>
      </c>
      <c r="R1965">
        <v>3737</v>
      </c>
      <c r="S1965" t="b">
        <v>0</v>
      </c>
      <c r="T1965" t="s">
        <v>87</v>
      </c>
      <c r="U1965" t="b">
        <v>0</v>
      </c>
      <c r="V1965" t="s">
        <v>98</v>
      </c>
      <c r="W1965" s="1">
        <v>44201.467766203707</v>
      </c>
      <c r="X1965">
        <v>2408</v>
      </c>
      <c r="Y1965">
        <v>120</v>
      </c>
      <c r="Z1965">
        <v>0</v>
      </c>
      <c r="AA1965">
        <v>120</v>
      </c>
      <c r="AB1965">
        <v>0</v>
      </c>
      <c r="AC1965">
        <v>50</v>
      </c>
      <c r="AD1965">
        <v>30</v>
      </c>
      <c r="AE1965">
        <v>0</v>
      </c>
      <c r="AF1965">
        <v>0</v>
      </c>
      <c r="AG1965">
        <v>0</v>
      </c>
      <c r="AH1965" t="s">
        <v>89</v>
      </c>
      <c r="AI1965" s="1">
        <v>44201.523425925923</v>
      </c>
      <c r="AJ1965">
        <v>1193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29</v>
      </c>
      <c r="AQ1965">
        <v>0</v>
      </c>
      <c r="AR1965">
        <v>0</v>
      </c>
      <c r="AS1965">
        <v>0</v>
      </c>
      <c r="AT1965" t="s">
        <v>90</v>
      </c>
      <c r="AU1965" s="1">
        <v>44201.538958333331</v>
      </c>
      <c r="AV1965">
        <v>74</v>
      </c>
      <c r="AW1965">
        <v>2</v>
      </c>
      <c r="AX1965">
        <v>0</v>
      </c>
      <c r="AY1965">
        <v>2</v>
      </c>
      <c r="AZ1965">
        <v>0</v>
      </c>
      <c r="BA1965">
        <v>2</v>
      </c>
      <c r="BB1965">
        <v>27</v>
      </c>
      <c r="BC1965">
        <v>0</v>
      </c>
      <c r="BD1965">
        <v>0</v>
      </c>
      <c r="BE1965">
        <v>0</v>
      </c>
    </row>
    <row r="1966" spans="1:57" hidden="1" x14ac:dyDescent="0.45">
      <c r="A1966" t="s">
        <v>4788</v>
      </c>
      <c r="B1966" t="s">
        <v>79</v>
      </c>
      <c r="C1966" t="s">
        <v>3547</v>
      </c>
      <c r="D1966" t="s">
        <v>81</v>
      </c>
      <c r="E1966" s="2" t="str">
        <f>HYPERLINK("capsilon://?command=openfolder&amp;siteaddress=FAM.docvelocity-na8.net&amp;folderid=FX2867CDDC-563D-5FA5-0836-C86B9222ACA6","FX201112400")</f>
        <v>FX201112400</v>
      </c>
      <c r="F1966" t="s">
        <v>19</v>
      </c>
      <c r="G1966" t="s">
        <v>19</v>
      </c>
      <c r="H1966" t="s">
        <v>82</v>
      </c>
      <c r="I1966" t="s">
        <v>4789</v>
      </c>
      <c r="J1966">
        <v>66</v>
      </c>
      <c r="K1966" t="s">
        <v>84</v>
      </c>
      <c r="L1966" t="s">
        <v>85</v>
      </c>
      <c r="M1966" t="s">
        <v>86</v>
      </c>
      <c r="N1966">
        <v>3</v>
      </c>
      <c r="O1966" s="1">
        <v>44201.424675925926</v>
      </c>
      <c r="P1966" s="1">
        <v>44201.539004629631</v>
      </c>
      <c r="Q1966">
        <v>9698</v>
      </c>
      <c r="R1966">
        <v>180</v>
      </c>
      <c r="S1966" t="b">
        <v>0</v>
      </c>
      <c r="T1966" t="s">
        <v>87</v>
      </c>
      <c r="U1966" t="b">
        <v>0</v>
      </c>
      <c r="V1966" t="s">
        <v>88</v>
      </c>
      <c r="W1966" s="1">
        <v>44201.443877314814</v>
      </c>
      <c r="X1966">
        <v>141</v>
      </c>
      <c r="Y1966">
        <v>0</v>
      </c>
      <c r="Z1966">
        <v>0</v>
      </c>
      <c r="AA1966">
        <v>0</v>
      </c>
      <c r="AB1966">
        <v>52</v>
      </c>
      <c r="AC1966">
        <v>0</v>
      </c>
      <c r="AD1966">
        <v>66</v>
      </c>
      <c r="AE1966">
        <v>0</v>
      </c>
      <c r="AF1966">
        <v>0</v>
      </c>
      <c r="AG1966">
        <v>0</v>
      </c>
      <c r="AH1966" t="s">
        <v>94</v>
      </c>
      <c r="AI1966" s="1">
        <v>44201.510254629633</v>
      </c>
      <c r="AJ1966">
        <v>36</v>
      </c>
      <c r="AK1966">
        <v>0</v>
      </c>
      <c r="AL1966">
        <v>0</v>
      </c>
      <c r="AM1966">
        <v>0</v>
      </c>
      <c r="AN1966">
        <v>52</v>
      </c>
      <c r="AO1966">
        <v>0</v>
      </c>
      <c r="AP1966">
        <v>66</v>
      </c>
      <c r="AQ1966">
        <v>0</v>
      </c>
      <c r="AR1966">
        <v>0</v>
      </c>
      <c r="AS1966">
        <v>0</v>
      </c>
      <c r="AT1966" t="s">
        <v>90</v>
      </c>
      <c r="AU1966" s="1">
        <v>44201.539004629631</v>
      </c>
      <c r="AV1966">
        <v>3</v>
      </c>
      <c r="AW1966">
        <v>0</v>
      </c>
      <c r="AX1966">
        <v>0</v>
      </c>
      <c r="AY1966">
        <v>0</v>
      </c>
      <c r="AZ1966">
        <v>52</v>
      </c>
      <c r="BA1966">
        <v>0</v>
      </c>
      <c r="BB1966">
        <v>66</v>
      </c>
      <c r="BC1966">
        <v>0</v>
      </c>
      <c r="BD1966">
        <v>0</v>
      </c>
      <c r="BE1966">
        <v>0</v>
      </c>
    </row>
    <row r="1967" spans="1:57" hidden="1" x14ac:dyDescent="0.45">
      <c r="A1967" t="s">
        <v>4790</v>
      </c>
      <c r="B1967" t="s">
        <v>79</v>
      </c>
      <c r="C1967" t="s">
        <v>2830</v>
      </c>
      <c r="D1967" t="s">
        <v>81</v>
      </c>
      <c r="E1967" s="2" t="str">
        <f>HYPERLINK("capsilon://?command=openfolder&amp;siteaddress=FAM.docvelocity-na8.net&amp;folderid=FXD52D349E-0B97-E5F1-225A-67CB088D7381","FX201116691")</f>
        <v>FX201116691</v>
      </c>
      <c r="F1967" t="s">
        <v>19</v>
      </c>
      <c r="G1967" t="s">
        <v>19</v>
      </c>
      <c r="H1967" t="s">
        <v>82</v>
      </c>
      <c r="I1967" t="s">
        <v>4791</v>
      </c>
      <c r="J1967">
        <v>66</v>
      </c>
      <c r="K1967" t="s">
        <v>84</v>
      </c>
      <c r="L1967" t="s">
        <v>85</v>
      </c>
      <c r="M1967" t="s">
        <v>86</v>
      </c>
      <c r="N1967">
        <v>3</v>
      </c>
      <c r="O1967" s="1">
        <v>44201.424884259257</v>
      </c>
      <c r="P1967" s="1">
        <v>44201.539039351854</v>
      </c>
      <c r="Q1967">
        <v>9763</v>
      </c>
      <c r="R1967">
        <v>100</v>
      </c>
      <c r="S1967" t="b">
        <v>0</v>
      </c>
      <c r="T1967" t="s">
        <v>87</v>
      </c>
      <c r="U1967" t="b">
        <v>0</v>
      </c>
      <c r="V1967" t="s">
        <v>736</v>
      </c>
      <c r="W1967" s="1">
        <v>44201.444374999999</v>
      </c>
      <c r="X1967">
        <v>72</v>
      </c>
      <c r="Y1967">
        <v>0</v>
      </c>
      <c r="Z1967">
        <v>0</v>
      </c>
      <c r="AA1967">
        <v>0</v>
      </c>
      <c r="AB1967">
        <v>52</v>
      </c>
      <c r="AC1967">
        <v>0</v>
      </c>
      <c r="AD1967">
        <v>66</v>
      </c>
      <c r="AE1967">
        <v>0</v>
      </c>
      <c r="AF1967">
        <v>0</v>
      </c>
      <c r="AG1967">
        <v>0</v>
      </c>
      <c r="AH1967" t="s">
        <v>267</v>
      </c>
      <c r="AI1967" s="1">
        <v>44201.510289351849</v>
      </c>
      <c r="AJ1967">
        <v>25</v>
      </c>
      <c r="AK1967">
        <v>0</v>
      </c>
      <c r="AL1967">
        <v>0</v>
      </c>
      <c r="AM1967">
        <v>0</v>
      </c>
      <c r="AN1967">
        <v>52</v>
      </c>
      <c r="AO1967">
        <v>0</v>
      </c>
      <c r="AP1967">
        <v>66</v>
      </c>
      <c r="AQ1967">
        <v>0</v>
      </c>
      <c r="AR1967">
        <v>0</v>
      </c>
      <c r="AS1967">
        <v>0</v>
      </c>
      <c r="AT1967" t="s">
        <v>90</v>
      </c>
      <c r="AU1967" s="1">
        <v>44201.539039351854</v>
      </c>
      <c r="AV1967">
        <v>3</v>
      </c>
      <c r="AW1967">
        <v>0</v>
      </c>
      <c r="AX1967">
        <v>0</v>
      </c>
      <c r="AY1967">
        <v>0</v>
      </c>
      <c r="AZ1967">
        <v>52</v>
      </c>
      <c r="BA1967">
        <v>0</v>
      </c>
      <c r="BB1967">
        <v>66</v>
      </c>
      <c r="BC1967">
        <v>0</v>
      </c>
      <c r="BD1967">
        <v>0</v>
      </c>
      <c r="BE1967">
        <v>0</v>
      </c>
    </row>
    <row r="1968" spans="1:57" hidden="1" x14ac:dyDescent="0.45">
      <c r="A1968" t="s">
        <v>4792</v>
      </c>
      <c r="B1968" t="s">
        <v>79</v>
      </c>
      <c r="C1968" t="s">
        <v>4793</v>
      </c>
      <c r="D1968" t="s">
        <v>81</v>
      </c>
      <c r="E1968" s="2" t="str">
        <f>HYPERLINK("capsilon://?command=openfolder&amp;siteaddress=FAM.docvelocity-na8.net&amp;folderid=FX52BB72DC-D89D-701D-6932-291B22C51300","FX201226108")</f>
        <v>FX201226108</v>
      </c>
      <c r="F1968" t="s">
        <v>19</v>
      </c>
      <c r="G1968" t="s">
        <v>19</v>
      </c>
      <c r="H1968" t="s">
        <v>82</v>
      </c>
      <c r="I1968" t="s">
        <v>4794</v>
      </c>
      <c r="J1968">
        <v>135</v>
      </c>
      <c r="K1968" t="s">
        <v>84</v>
      </c>
      <c r="L1968" t="s">
        <v>85</v>
      </c>
      <c r="M1968" t="s">
        <v>86</v>
      </c>
      <c r="N1968">
        <v>1</v>
      </c>
      <c r="O1968" s="1">
        <v>44201.42633101852</v>
      </c>
      <c r="P1968" s="1">
        <v>44201.458113425928</v>
      </c>
      <c r="Q1968">
        <v>1517</v>
      </c>
      <c r="R1968">
        <v>1229</v>
      </c>
      <c r="S1968" t="b">
        <v>0</v>
      </c>
      <c r="T1968" t="s">
        <v>87</v>
      </c>
      <c r="U1968" t="b">
        <v>0</v>
      </c>
      <c r="V1968" t="s">
        <v>88</v>
      </c>
      <c r="W1968" s="1">
        <v>44201.458113425928</v>
      </c>
      <c r="X1968">
        <v>1229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135</v>
      </c>
      <c r="AE1968">
        <v>120</v>
      </c>
      <c r="AF1968">
        <v>0</v>
      </c>
      <c r="AG1968">
        <v>9</v>
      </c>
      <c r="AH1968" t="s">
        <v>87</v>
      </c>
      <c r="AI1968" t="s">
        <v>87</v>
      </c>
      <c r="AJ1968" t="s">
        <v>87</v>
      </c>
      <c r="AK1968" t="s">
        <v>87</v>
      </c>
      <c r="AL1968" t="s">
        <v>87</v>
      </c>
      <c r="AM1968" t="s">
        <v>87</v>
      </c>
      <c r="AN1968" t="s">
        <v>87</v>
      </c>
      <c r="AO1968" t="s">
        <v>87</v>
      </c>
      <c r="AP1968" t="s">
        <v>87</v>
      </c>
      <c r="AQ1968" t="s">
        <v>87</v>
      </c>
      <c r="AR1968" t="s">
        <v>87</v>
      </c>
      <c r="AS1968" t="s">
        <v>87</v>
      </c>
      <c r="AT1968" t="s">
        <v>87</v>
      </c>
      <c r="AU1968" t="s">
        <v>87</v>
      </c>
      <c r="AV1968" t="s">
        <v>87</v>
      </c>
      <c r="AW1968" t="s">
        <v>87</v>
      </c>
      <c r="AX1968" t="s">
        <v>87</v>
      </c>
      <c r="AY1968" t="s">
        <v>87</v>
      </c>
      <c r="AZ1968" t="s">
        <v>87</v>
      </c>
      <c r="BA1968" t="s">
        <v>87</v>
      </c>
      <c r="BB1968" t="s">
        <v>87</v>
      </c>
      <c r="BC1968" t="s">
        <v>87</v>
      </c>
      <c r="BD1968" t="s">
        <v>87</v>
      </c>
      <c r="BE1968" t="s">
        <v>87</v>
      </c>
    </row>
    <row r="1969" spans="1:57" hidden="1" x14ac:dyDescent="0.45">
      <c r="A1969" t="s">
        <v>4795</v>
      </c>
      <c r="B1969" t="s">
        <v>79</v>
      </c>
      <c r="C1969" t="s">
        <v>4796</v>
      </c>
      <c r="D1969" t="s">
        <v>81</v>
      </c>
      <c r="E1969" s="2" t="str">
        <f>HYPERLINK("capsilon://?command=openfolder&amp;siteaddress=FAM.docvelocity-na8.net&amp;folderid=FXC868470D-06CE-E398-F161-775B19F0AC05","FX201018863")</f>
        <v>FX201018863</v>
      </c>
      <c r="F1969" t="s">
        <v>19</v>
      </c>
      <c r="G1969" t="s">
        <v>19</v>
      </c>
      <c r="H1969" t="s">
        <v>82</v>
      </c>
      <c r="I1969" t="s">
        <v>4797</v>
      </c>
      <c r="J1969">
        <v>66</v>
      </c>
      <c r="K1969" t="s">
        <v>84</v>
      </c>
      <c r="L1969" t="s">
        <v>85</v>
      </c>
      <c r="M1969" t="s">
        <v>86</v>
      </c>
      <c r="N1969">
        <v>3</v>
      </c>
      <c r="O1969" s="1">
        <v>44201.427037037036</v>
      </c>
      <c r="P1969" s="1">
        <v>44201.539085648146</v>
      </c>
      <c r="Q1969">
        <v>9462</v>
      </c>
      <c r="R1969">
        <v>219</v>
      </c>
      <c r="S1969" t="b">
        <v>0</v>
      </c>
      <c r="T1969" t="s">
        <v>87</v>
      </c>
      <c r="U1969" t="b">
        <v>0</v>
      </c>
      <c r="V1969" t="s">
        <v>419</v>
      </c>
      <c r="W1969" s="1">
        <v>44201.446018518516</v>
      </c>
      <c r="X1969">
        <v>130</v>
      </c>
      <c r="Y1969">
        <v>0</v>
      </c>
      <c r="Z1969">
        <v>0</v>
      </c>
      <c r="AA1969">
        <v>0</v>
      </c>
      <c r="AB1969">
        <v>52</v>
      </c>
      <c r="AC1969">
        <v>0</v>
      </c>
      <c r="AD1969">
        <v>66</v>
      </c>
      <c r="AE1969">
        <v>0</v>
      </c>
      <c r="AF1969">
        <v>0</v>
      </c>
      <c r="AG1969">
        <v>0</v>
      </c>
      <c r="AH1969" t="s">
        <v>94</v>
      </c>
      <c r="AI1969" s="1">
        <v>44201.51116898148</v>
      </c>
      <c r="AJ1969">
        <v>78</v>
      </c>
      <c r="AK1969">
        <v>0</v>
      </c>
      <c r="AL1969">
        <v>0</v>
      </c>
      <c r="AM1969">
        <v>0</v>
      </c>
      <c r="AN1969">
        <v>52</v>
      </c>
      <c r="AO1969">
        <v>0</v>
      </c>
      <c r="AP1969">
        <v>66</v>
      </c>
      <c r="AQ1969">
        <v>0</v>
      </c>
      <c r="AR1969">
        <v>0</v>
      </c>
      <c r="AS1969">
        <v>0</v>
      </c>
      <c r="AT1969" t="s">
        <v>90</v>
      </c>
      <c r="AU1969" s="1">
        <v>44201.539085648146</v>
      </c>
      <c r="AV1969">
        <v>3</v>
      </c>
      <c r="AW1969">
        <v>0</v>
      </c>
      <c r="AX1969">
        <v>0</v>
      </c>
      <c r="AY1969">
        <v>0</v>
      </c>
      <c r="AZ1969">
        <v>52</v>
      </c>
      <c r="BA1969">
        <v>0</v>
      </c>
      <c r="BB1969">
        <v>66</v>
      </c>
      <c r="BC1969">
        <v>0</v>
      </c>
      <c r="BD1969">
        <v>0</v>
      </c>
      <c r="BE1969">
        <v>0</v>
      </c>
    </row>
    <row r="1970" spans="1:57" x14ac:dyDescent="0.45">
      <c r="A1970" t="s">
        <v>4798</v>
      </c>
      <c r="B1970" t="s">
        <v>79</v>
      </c>
      <c r="C1970" t="s">
        <v>4630</v>
      </c>
      <c r="D1970" t="s">
        <v>81</v>
      </c>
      <c r="E1970" s="2" t="str">
        <f>HYPERLINK("capsilon://?command=openfolder&amp;siteaddress=FAM.docvelocity-na8.net&amp;folderid=FX0A09104E-3F37-E718-57D1-0F23758A3837","FX201227157")</f>
        <v>FX201227157</v>
      </c>
      <c r="F1970" t="s">
        <v>19</v>
      </c>
      <c r="G1970" t="s">
        <v>19</v>
      </c>
      <c r="H1970" t="s">
        <v>82</v>
      </c>
      <c r="I1970" t="s">
        <v>4799</v>
      </c>
      <c r="J1970">
        <v>328</v>
      </c>
      <c r="K1970" t="s">
        <v>84</v>
      </c>
      <c r="L1970" t="s">
        <v>85</v>
      </c>
      <c r="M1970" t="s">
        <v>86</v>
      </c>
      <c r="N1970">
        <v>3</v>
      </c>
      <c r="O1970" s="1">
        <v>44201.427997685183</v>
      </c>
      <c r="P1970" s="1">
        <v>44201.540254629632</v>
      </c>
      <c r="Q1970">
        <v>6670</v>
      </c>
      <c r="R1970">
        <v>3029</v>
      </c>
      <c r="S1970" t="b">
        <v>0</v>
      </c>
      <c r="T1970" t="s">
        <v>87</v>
      </c>
      <c r="U1970" t="b">
        <v>0</v>
      </c>
      <c r="V1970" t="s">
        <v>419</v>
      </c>
      <c r="W1970" s="1">
        <v>44201.465775462966</v>
      </c>
      <c r="X1970">
        <v>1707</v>
      </c>
      <c r="Y1970">
        <v>244</v>
      </c>
      <c r="Z1970">
        <v>0</v>
      </c>
      <c r="AA1970">
        <v>244</v>
      </c>
      <c r="AB1970">
        <v>37</v>
      </c>
      <c r="AC1970">
        <v>34</v>
      </c>
      <c r="AD1970">
        <v>84</v>
      </c>
      <c r="AE1970">
        <v>0</v>
      </c>
      <c r="AF1970">
        <v>0</v>
      </c>
      <c r="AG1970">
        <v>0</v>
      </c>
      <c r="AH1970" t="s">
        <v>267</v>
      </c>
      <c r="AI1970" s="1">
        <v>44201.52443287037</v>
      </c>
      <c r="AJ1970">
        <v>1221</v>
      </c>
      <c r="AK1970">
        <v>0</v>
      </c>
      <c r="AL1970">
        <v>0</v>
      </c>
      <c r="AM1970">
        <v>0</v>
      </c>
      <c r="AN1970">
        <v>37</v>
      </c>
      <c r="AO1970">
        <v>0</v>
      </c>
      <c r="AP1970">
        <v>84</v>
      </c>
      <c r="AQ1970">
        <v>0</v>
      </c>
      <c r="AR1970">
        <v>0</v>
      </c>
      <c r="AS1970">
        <v>0</v>
      </c>
      <c r="AT1970" t="s">
        <v>90</v>
      </c>
      <c r="AU1970" s="1">
        <v>44201.540254629632</v>
      </c>
      <c r="AV1970">
        <v>101</v>
      </c>
      <c r="AW1970">
        <v>0</v>
      </c>
      <c r="AX1970">
        <v>0</v>
      </c>
      <c r="AY1970">
        <v>0</v>
      </c>
      <c r="AZ1970">
        <v>37</v>
      </c>
      <c r="BA1970">
        <v>0</v>
      </c>
      <c r="BB1970">
        <v>84</v>
      </c>
      <c r="BC1970">
        <v>0</v>
      </c>
      <c r="BD1970">
        <v>0</v>
      </c>
      <c r="BE1970">
        <v>0</v>
      </c>
    </row>
    <row r="1971" spans="1:57" x14ac:dyDescent="0.45">
      <c r="A1971" t="s">
        <v>4800</v>
      </c>
      <c r="B1971" t="s">
        <v>79</v>
      </c>
      <c r="C1971" t="s">
        <v>4801</v>
      </c>
      <c r="D1971" t="s">
        <v>81</v>
      </c>
      <c r="E1971" s="2" t="str">
        <f>HYPERLINK("capsilon://?command=openfolder&amp;siteaddress=FAM.docvelocity-na8.net&amp;folderid=FX01C0E007-750F-0B39-B1A0-213E7B1DF755","FX201225920")</f>
        <v>FX201225920</v>
      </c>
      <c r="F1971" t="s">
        <v>19</v>
      </c>
      <c r="G1971" t="s">
        <v>19</v>
      </c>
      <c r="H1971" t="s">
        <v>82</v>
      </c>
      <c r="I1971" t="s">
        <v>4802</v>
      </c>
      <c r="J1971">
        <v>192</v>
      </c>
      <c r="K1971" t="s">
        <v>84</v>
      </c>
      <c r="L1971" t="s">
        <v>85</v>
      </c>
      <c r="M1971" t="s">
        <v>86</v>
      </c>
      <c r="N1971">
        <v>3</v>
      </c>
      <c r="O1971" s="1">
        <v>44201.429270833331</v>
      </c>
      <c r="P1971" s="1">
        <v>44201.545902777776</v>
      </c>
      <c r="Q1971">
        <v>7855</v>
      </c>
      <c r="R1971">
        <v>2222</v>
      </c>
      <c r="S1971" t="b">
        <v>0</v>
      </c>
      <c r="T1971" t="s">
        <v>87</v>
      </c>
      <c r="U1971" t="b">
        <v>0</v>
      </c>
      <c r="V1971" t="s">
        <v>88</v>
      </c>
      <c r="W1971" s="1">
        <v>44201.478206018517</v>
      </c>
      <c r="X1971">
        <v>1735</v>
      </c>
      <c r="Y1971">
        <v>173</v>
      </c>
      <c r="Z1971">
        <v>0</v>
      </c>
      <c r="AA1971">
        <v>173</v>
      </c>
      <c r="AB1971">
        <v>0</v>
      </c>
      <c r="AC1971">
        <v>114</v>
      </c>
      <c r="AD1971">
        <v>19</v>
      </c>
      <c r="AE1971">
        <v>0</v>
      </c>
      <c r="AF1971">
        <v>0</v>
      </c>
      <c r="AG1971">
        <v>0</v>
      </c>
      <c r="AH1971" t="s">
        <v>267</v>
      </c>
      <c r="AI1971" s="1">
        <v>44201.528506944444</v>
      </c>
      <c r="AJ1971">
        <v>351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19</v>
      </c>
      <c r="AQ1971">
        <v>0</v>
      </c>
      <c r="AR1971">
        <v>0</v>
      </c>
      <c r="AS1971">
        <v>0</v>
      </c>
      <c r="AT1971" t="s">
        <v>90</v>
      </c>
      <c r="AU1971" s="1">
        <v>44201.545902777776</v>
      </c>
      <c r="AV1971">
        <v>126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19</v>
      </c>
      <c r="BC1971">
        <v>0</v>
      </c>
      <c r="BD1971">
        <v>0</v>
      </c>
      <c r="BE1971">
        <v>0</v>
      </c>
    </row>
    <row r="1972" spans="1:57" x14ac:dyDescent="0.45">
      <c r="A1972" t="s">
        <v>4803</v>
      </c>
      <c r="B1972" t="s">
        <v>79</v>
      </c>
      <c r="C1972" t="s">
        <v>4804</v>
      </c>
      <c r="D1972" t="s">
        <v>81</v>
      </c>
      <c r="E1972" s="2" t="str">
        <f>HYPERLINK("capsilon://?command=openfolder&amp;siteaddress=FAM.docvelocity-na8.net&amp;folderid=FXF46B2437-B9C5-086A-CA05-BDB16057AB8C","FX21011308")</f>
        <v>FX21011308</v>
      </c>
      <c r="F1972" t="s">
        <v>19</v>
      </c>
      <c r="G1972" t="s">
        <v>19</v>
      </c>
      <c r="H1972" t="s">
        <v>82</v>
      </c>
      <c r="I1972" t="s">
        <v>4805</v>
      </c>
      <c r="J1972">
        <v>114</v>
      </c>
      <c r="K1972" t="s">
        <v>84</v>
      </c>
      <c r="L1972" t="s">
        <v>85</v>
      </c>
      <c r="M1972" t="s">
        <v>86</v>
      </c>
      <c r="N1972">
        <v>3</v>
      </c>
      <c r="O1972" s="1">
        <v>44201.431192129632</v>
      </c>
      <c r="P1972" s="1">
        <v>44201.547523148147</v>
      </c>
      <c r="Q1972">
        <v>8622</v>
      </c>
      <c r="R1972">
        <v>1429</v>
      </c>
      <c r="S1972" t="b">
        <v>0</v>
      </c>
      <c r="T1972" t="s">
        <v>87</v>
      </c>
      <c r="U1972" t="b">
        <v>0</v>
      </c>
      <c r="V1972" t="s">
        <v>736</v>
      </c>
      <c r="W1972" s="1">
        <v>44201.471168981479</v>
      </c>
      <c r="X1972">
        <v>1078</v>
      </c>
      <c r="Y1972">
        <v>104</v>
      </c>
      <c r="Z1972">
        <v>0</v>
      </c>
      <c r="AA1972">
        <v>104</v>
      </c>
      <c r="AB1972">
        <v>0</v>
      </c>
      <c r="AC1972">
        <v>50</v>
      </c>
      <c r="AD1972">
        <v>10</v>
      </c>
      <c r="AE1972">
        <v>0</v>
      </c>
      <c r="AF1972">
        <v>0</v>
      </c>
      <c r="AG1972">
        <v>0</v>
      </c>
      <c r="AH1972" t="s">
        <v>267</v>
      </c>
      <c r="AI1972" s="1">
        <v>44201.531006944446</v>
      </c>
      <c r="AJ1972">
        <v>214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10</v>
      </c>
      <c r="AQ1972">
        <v>0</v>
      </c>
      <c r="AR1972">
        <v>0</v>
      </c>
      <c r="AS1972">
        <v>0</v>
      </c>
      <c r="AT1972" t="s">
        <v>90</v>
      </c>
      <c r="AU1972" s="1">
        <v>44201.547523148147</v>
      </c>
      <c r="AV1972">
        <v>137</v>
      </c>
      <c r="AW1972">
        <v>1</v>
      </c>
      <c r="AX1972">
        <v>0</v>
      </c>
      <c r="AY1972">
        <v>1</v>
      </c>
      <c r="AZ1972">
        <v>0</v>
      </c>
      <c r="BA1972">
        <v>1</v>
      </c>
      <c r="BB1972">
        <v>9</v>
      </c>
      <c r="BC1972">
        <v>0</v>
      </c>
      <c r="BD1972">
        <v>0</v>
      </c>
      <c r="BE1972">
        <v>0</v>
      </c>
    </row>
    <row r="1973" spans="1:57" x14ac:dyDescent="0.45">
      <c r="A1973" t="s">
        <v>4806</v>
      </c>
      <c r="B1973" t="s">
        <v>79</v>
      </c>
      <c r="C1973" t="s">
        <v>4780</v>
      </c>
      <c r="D1973" t="s">
        <v>81</v>
      </c>
      <c r="E1973" s="2" t="str">
        <f>HYPERLINK("capsilon://?command=openfolder&amp;siteaddress=FAM.docvelocity-na8.net&amp;folderid=FX2CA4DA96-734A-BE7D-8873-AF607C0C8B30","FX20112586")</f>
        <v>FX20112586</v>
      </c>
      <c r="F1973" t="s">
        <v>19</v>
      </c>
      <c r="G1973" t="s">
        <v>19</v>
      </c>
      <c r="H1973" t="s">
        <v>82</v>
      </c>
      <c r="I1973" t="s">
        <v>4781</v>
      </c>
      <c r="J1973">
        <v>38</v>
      </c>
      <c r="K1973" t="s">
        <v>84</v>
      </c>
      <c r="L1973" t="s">
        <v>85</v>
      </c>
      <c r="M1973" t="s">
        <v>86</v>
      </c>
      <c r="N1973">
        <v>3</v>
      </c>
      <c r="O1973" s="1">
        <v>44201.432615740741</v>
      </c>
      <c r="P1973" s="1">
        <v>44201.448055555556</v>
      </c>
      <c r="Q1973">
        <v>422</v>
      </c>
      <c r="R1973">
        <v>912</v>
      </c>
      <c r="S1973" t="b">
        <v>0</v>
      </c>
      <c r="T1973" t="s">
        <v>87</v>
      </c>
      <c r="U1973" t="b">
        <v>1</v>
      </c>
      <c r="V1973" t="s">
        <v>419</v>
      </c>
      <c r="W1973" s="1">
        <v>44201.439398148148</v>
      </c>
      <c r="X1973">
        <v>514</v>
      </c>
      <c r="Y1973">
        <v>37</v>
      </c>
      <c r="Z1973">
        <v>0</v>
      </c>
      <c r="AA1973">
        <v>37</v>
      </c>
      <c r="AB1973">
        <v>0</v>
      </c>
      <c r="AC1973">
        <v>28</v>
      </c>
      <c r="AD1973">
        <v>1</v>
      </c>
      <c r="AE1973">
        <v>0</v>
      </c>
      <c r="AF1973">
        <v>0</v>
      </c>
      <c r="AG1973">
        <v>0</v>
      </c>
      <c r="AH1973" t="s">
        <v>94</v>
      </c>
      <c r="AI1973" s="1">
        <v>44201.447083333333</v>
      </c>
      <c r="AJ1973">
        <v>343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 t="s">
        <v>549</v>
      </c>
      <c r="AU1973" s="1">
        <v>44201.448055555556</v>
      </c>
      <c r="AV1973">
        <v>55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0</v>
      </c>
    </row>
    <row r="1974" spans="1:57" x14ac:dyDescent="0.45">
      <c r="A1974" t="s">
        <v>4807</v>
      </c>
      <c r="B1974" t="s">
        <v>79</v>
      </c>
      <c r="C1974" t="s">
        <v>702</v>
      </c>
      <c r="D1974" t="s">
        <v>81</v>
      </c>
      <c r="E1974" s="2" t="str">
        <f>HYPERLINK("capsilon://?command=openfolder&amp;siteaddress=FAM.docvelocity-na8.net&amp;folderid=FX18A485AD-66AC-0D6A-0E4B-C71461DCC148","FX21011061")</f>
        <v>FX21011061</v>
      </c>
      <c r="F1974" t="s">
        <v>19</v>
      </c>
      <c r="G1974" t="s">
        <v>19</v>
      </c>
      <c r="H1974" t="s">
        <v>82</v>
      </c>
      <c r="I1974" t="s">
        <v>4808</v>
      </c>
      <c r="J1974">
        <v>164</v>
      </c>
      <c r="K1974" t="s">
        <v>84</v>
      </c>
      <c r="L1974" t="s">
        <v>85</v>
      </c>
      <c r="M1974" t="s">
        <v>86</v>
      </c>
      <c r="N1974">
        <v>3</v>
      </c>
      <c r="O1974" s="1">
        <v>44201.432835648149</v>
      </c>
      <c r="P1974" s="1">
        <v>44201.54891203704</v>
      </c>
      <c r="Q1974">
        <v>6740</v>
      </c>
      <c r="R1974">
        <v>3289</v>
      </c>
      <c r="S1974" t="b">
        <v>0</v>
      </c>
      <c r="T1974" t="s">
        <v>87</v>
      </c>
      <c r="U1974" t="b">
        <v>0</v>
      </c>
      <c r="V1974" t="s">
        <v>419</v>
      </c>
      <c r="W1974" s="1">
        <v>44201.489259259259</v>
      </c>
      <c r="X1974">
        <v>2028</v>
      </c>
      <c r="Y1974">
        <v>155</v>
      </c>
      <c r="Z1974">
        <v>0</v>
      </c>
      <c r="AA1974">
        <v>155</v>
      </c>
      <c r="AB1974">
        <v>0</v>
      </c>
      <c r="AC1974">
        <v>65</v>
      </c>
      <c r="AD1974">
        <v>9</v>
      </c>
      <c r="AE1974">
        <v>0</v>
      </c>
      <c r="AF1974">
        <v>0</v>
      </c>
      <c r="AG1974">
        <v>0</v>
      </c>
      <c r="AH1974" t="s">
        <v>94</v>
      </c>
      <c r="AI1974" s="1">
        <v>44201.544224537036</v>
      </c>
      <c r="AJ1974">
        <v>1142</v>
      </c>
      <c r="AK1974">
        <v>2</v>
      </c>
      <c r="AL1974">
        <v>0</v>
      </c>
      <c r="AM1974">
        <v>2</v>
      </c>
      <c r="AN1974">
        <v>0</v>
      </c>
      <c r="AO1974">
        <v>1</v>
      </c>
      <c r="AP1974">
        <v>7</v>
      </c>
      <c r="AQ1974">
        <v>0</v>
      </c>
      <c r="AR1974">
        <v>0</v>
      </c>
      <c r="AS1974">
        <v>0</v>
      </c>
      <c r="AT1974" t="s">
        <v>90</v>
      </c>
      <c r="AU1974" s="1">
        <v>44201.54891203704</v>
      </c>
      <c r="AV1974">
        <v>119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7</v>
      </c>
      <c r="BC1974">
        <v>0</v>
      </c>
      <c r="BD1974">
        <v>0</v>
      </c>
      <c r="BE1974">
        <v>0</v>
      </c>
    </row>
    <row r="1975" spans="1:57" x14ac:dyDescent="0.45">
      <c r="A1975" t="s">
        <v>4809</v>
      </c>
      <c r="B1975" t="s">
        <v>79</v>
      </c>
      <c r="C1975" t="s">
        <v>4783</v>
      </c>
      <c r="D1975" t="s">
        <v>81</v>
      </c>
      <c r="E1975" s="2" t="str">
        <f>HYPERLINK("capsilon://?command=openfolder&amp;siteaddress=FAM.docvelocity-na8.net&amp;folderid=FX068C4990-39D3-32C7-FD4B-3C78A66B479E","FX20112565")</f>
        <v>FX20112565</v>
      </c>
      <c r="F1975" t="s">
        <v>19</v>
      </c>
      <c r="G1975" t="s">
        <v>19</v>
      </c>
      <c r="H1975" t="s">
        <v>82</v>
      </c>
      <c r="I1975" t="s">
        <v>4784</v>
      </c>
      <c r="J1975">
        <v>38</v>
      </c>
      <c r="K1975" t="s">
        <v>84</v>
      </c>
      <c r="L1975" t="s">
        <v>85</v>
      </c>
      <c r="M1975" t="s">
        <v>86</v>
      </c>
      <c r="N1975">
        <v>3</v>
      </c>
      <c r="O1975" s="1">
        <v>44201.433703703704</v>
      </c>
      <c r="P1975" s="1">
        <v>44201.453796296293</v>
      </c>
      <c r="Q1975">
        <v>782</v>
      </c>
      <c r="R1975">
        <v>954</v>
      </c>
      <c r="S1975" t="b">
        <v>0</v>
      </c>
      <c r="T1975" t="s">
        <v>87</v>
      </c>
      <c r="U1975" t="b">
        <v>1</v>
      </c>
      <c r="V1975" t="s">
        <v>419</v>
      </c>
      <c r="W1975" s="1">
        <v>44201.444502314815</v>
      </c>
      <c r="X1975">
        <v>440</v>
      </c>
      <c r="Y1975">
        <v>37</v>
      </c>
      <c r="Z1975">
        <v>0</v>
      </c>
      <c r="AA1975">
        <v>37</v>
      </c>
      <c r="AB1975">
        <v>0</v>
      </c>
      <c r="AC1975">
        <v>28</v>
      </c>
      <c r="AD1975">
        <v>1</v>
      </c>
      <c r="AE1975">
        <v>0</v>
      </c>
      <c r="AF1975">
        <v>0</v>
      </c>
      <c r="AG1975">
        <v>0</v>
      </c>
      <c r="AH1975" t="s">
        <v>94</v>
      </c>
      <c r="AI1975" s="1">
        <v>44201.452037037037</v>
      </c>
      <c r="AJ1975">
        <v>427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 t="s">
        <v>90</v>
      </c>
      <c r="AU1975" s="1">
        <v>44201.453796296293</v>
      </c>
      <c r="AV1975">
        <v>87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</row>
    <row r="1976" spans="1:57" hidden="1" x14ac:dyDescent="0.45">
      <c r="A1976" t="s">
        <v>4810</v>
      </c>
      <c r="B1976" t="s">
        <v>79</v>
      </c>
      <c r="C1976" t="s">
        <v>4811</v>
      </c>
      <c r="D1976" t="s">
        <v>81</v>
      </c>
      <c r="E1976" s="2" t="str">
        <f>HYPERLINK("capsilon://?command=openfolder&amp;siteaddress=FAM.docvelocity-na8.net&amp;folderid=FX0A5A67BE-0291-CA0D-ACE7-F237DFFDA9F7","FX2012214")</f>
        <v>FX2012214</v>
      </c>
      <c r="F1976" t="s">
        <v>19</v>
      </c>
      <c r="G1976" t="s">
        <v>19</v>
      </c>
      <c r="H1976" t="s">
        <v>82</v>
      </c>
      <c r="I1976" t="s">
        <v>4812</v>
      </c>
      <c r="J1976">
        <v>441</v>
      </c>
      <c r="K1976" t="s">
        <v>84</v>
      </c>
      <c r="L1976" t="s">
        <v>85</v>
      </c>
      <c r="M1976" t="s">
        <v>86</v>
      </c>
      <c r="N1976">
        <v>3</v>
      </c>
      <c r="O1976" s="1">
        <v>44217.235717592594</v>
      </c>
      <c r="P1976" s="1">
        <v>44217.36109953704</v>
      </c>
      <c r="Q1976">
        <v>10452</v>
      </c>
      <c r="R1976">
        <v>381</v>
      </c>
      <c r="S1976" t="b">
        <v>0</v>
      </c>
      <c r="T1976" t="s">
        <v>87</v>
      </c>
      <c r="U1976" t="b">
        <v>0</v>
      </c>
      <c r="V1976" t="s">
        <v>112</v>
      </c>
      <c r="W1976" s="1">
        <v>44217.251886574071</v>
      </c>
      <c r="X1976">
        <v>260</v>
      </c>
      <c r="Y1976">
        <v>0</v>
      </c>
      <c r="Z1976">
        <v>0</v>
      </c>
      <c r="AA1976">
        <v>0</v>
      </c>
      <c r="AB1976">
        <v>98</v>
      </c>
      <c r="AC1976">
        <v>0</v>
      </c>
      <c r="AD1976">
        <v>441</v>
      </c>
      <c r="AE1976">
        <v>0</v>
      </c>
      <c r="AF1976">
        <v>0</v>
      </c>
      <c r="AG1976">
        <v>0</v>
      </c>
      <c r="AH1976" t="s">
        <v>89</v>
      </c>
      <c r="AI1976" s="1">
        <v>44217.26121527778</v>
      </c>
      <c r="AJ1976">
        <v>117</v>
      </c>
      <c r="AK1976">
        <v>0</v>
      </c>
      <c r="AL1976">
        <v>0</v>
      </c>
      <c r="AM1976">
        <v>0</v>
      </c>
      <c r="AN1976">
        <v>98</v>
      </c>
      <c r="AO1976">
        <v>0</v>
      </c>
      <c r="AP1976">
        <v>441</v>
      </c>
      <c r="AQ1976">
        <v>0</v>
      </c>
      <c r="AR1976">
        <v>0</v>
      </c>
      <c r="AS1976">
        <v>0</v>
      </c>
      <c r="AT1976" t="s">
        <v>90</v>
      </c>
      <c r="AU1976" s="1">
        <v>44217.36109953704</v>
      </c>
      <c r="AV1976">
        <v>4</v>
      </c>
      <c r="AW1976">
        <v>0</v>
      </c>
      <c r="AX1976">
        <v>0</v>
      </c>
      <c r="AY1976">
        <v>0</v>
      </c>
      <c r="AZ1976">
        <v>98</v>
      </c>
      <c r="BA1976">
        <v>0</v>
      </c>
      <c r="BB1976">
        <v>441</v>
      </c>
      <c r="BC1976">
        <v>0</v>
      </c>
      <c r="BD1976">
        <v>0</v>
      </c>
      <c r="BE1976">
        <v>0</v>
      </c>
    </row>
    <row r="1977" spans="1:57" hidden="1" x14ac:dyDescent="0.45">
      <c r="A1977" t="s">
        <v>4813</v>
      </c>
      <c r="B1977" t="s">
        <v>79</v>
      </c>
      <c r="C1977" t="s">
        <v>4814</v>
      </c>
      <c r="D1977" t="s">
        <v>81</v>
      </c>
      <c r="E1977" s="2" t="str">
        <f>HYPERLINK("capsilon://?command=openfolder&amp;siteaddress=FAM.docvelocity-na8.net&amp;folderid=FXF9B45737-05B1-2D1C-FA2B-0238A10FC54D","FX20126733")</f>
        <v>FX20126733</v>
      </c>
      <c r="F1977" t="s">
        <v>19</v>
      </c>
      <c r="G1977" t="s">
        <v>19</v>
      </c>
      <c r="H1977" t="s">
        <v>82</v>
      </c>
      <c r="I1977" t="s">
        <v>4815</v>
      </c>
      <c r="J1977">
        <v>441</v>
      </c>
      <c r="K1977" t="s">
        <v>84</v>
      </c>
      <c r="L1977" t="s">
        <v>85</v>
      </c>
      <c r="M1977" t="s">
        <v>86</v>
      </c>
      <c r="N1977">
        <v>3</v>
      </c>
      <c r="O1977" s="1">
        <v>44217.238969907405</v>
      </c>
      <c r="P1977" s="1">
        <v>44217.361122685186</v>
      </c>
      <c r="Q1977">
        <v>10429</v>
      </c>
      <c r="R1977">
        <v>125</v>
      </c>
      <c r="S1977" t="b">
        <v>0</v>
      </c>
      <c r="T1977" t="s">
        <v>87</v>
      </c>
      <c r="U1977" t="b">
        <v>0</v>
      </c>
      <c r="V1977" t="s">
        <v>112</v>
      </c>
      <c r="W1977" s="1">
        <v>44217.252696759257</v>
      </c>
      <c r="X1977">
        <v>69</v>
      </c>
      <c r="Y1977">
        <v>0</v>
      </c>
      <c r="Z1977">
        <v>0</v>
      </c>
      <c r="AA1977">
        <v>0</v>
      </c>
      <c r="AB1977">
        <v>98</v>
      </c>
      <c r="AC1977">
        <v>0</v>
      </c>
      <c r="AD1977">
        <v>441</v>
      </c>
      <c r="AE1977">
        <v>0</v>
      </c>
      <c r="AF1977">
        <v>0</v>
      </c>
      <c r="AG1977">
        <v>0</v>
      </c>
      <c r="AH1977" t="s">
        <v>89</v>
      </c>
      <c r="AI1977" s="1">
        <v>44217.261840277781</v>
      </c>
      <c r="AJ1977">
        <v>54</v>
      </c>
      <c r="AK1977">
        <v>0</v>
      </c>
      <c r="AL1977">
        <v>0</v>
      </c>
      <c r="AM1977">
        <v>0</v>
      </c>
      <c r="AN1977">
        <v>98</v>
      </c>
      <c r="AO1977">
        <v>0</v>
      </c>
      <c r="AP1977">
        <v>441</v>
      </c>
      <c r="AQ1977">
        <v>0</v>
      </c>
      <c r="AR1977">
        <v>0</v>
      </c>
      <c r="AS1977">
        <v>0</v>
      </c>
      <c r="AT1977" t="s">
        <v>90</v>
      </c>
      <c r="AU1977" s="1">
        <v>44217.361122685186</v>
      </c>
      <c r="AV1977">
        <v>2</v>
      </c>
      <c r="AW1977">
        <v>0</v>
      </c>
      <c r="AX1977">
        <v>0</v>
      </c>
      <c r="AY1977">
        <v>0</v>
      </c>
      <c r="AZ1977">
        <v>98</v>
      </c>
      <c r="BA1977">
        <v>0</v>
      </c>
      <c r="BB1977">
        <v>441</v>
      </c>
      <c r="BC1977">
        <v>0</v>
      </c>
      <c r="BD1977">
        <v>0</v>
      </c>
      <c r="BE1977">
        <v>0</v>
      </c>
    </row>
    <row r="1978" spans="1:57" hidden="1" x14ac:dyDescent="0.45">
      <c r="A1978" t="s">
        <v>4816</v>
      </c>
      <c r="B1978" t="s">
        <v>79</v>
      </c>
      <c r="C1978" t="s">
        <v>4817</v>
      </c>
      <c r="D1978" t="s">
        <v>81</v>
      </c>
      <c r="E1978" s="2" t="str">
        <f>HYPERLINK("capsilon://?command=openfolder&amp;siteaddress=FAM.docvelocity-na8.net&amp;folderid=FX46443631-1DF1-DE21-497B-66009EECB4B3","FX20035240")</f>
        <v>FX20035240</v>
      </c>
      <c r="F1978" t="s">
        <v>19</v>
      </c>
      <c r="G1978" t="s">
        <v>19</v>
      </c>
      <c r="H1978" t="s">
        <v>82</v>
      </c>
      <c r="I1978" t="s">
        <v>4818</v>
      </c>
      <c r="J1978">
        <v>441</v>
      </c>
      <c r="K1978" t="s">
        <v>84</v>
      </c>
      <c r="L1978" t="s">
        <v>85</v>
      </c>
      <c r="M1978" t="s">
        <v>86</v>
      </c>
      <c r="N1978">
        <v>3</v>
      </c>
      <c r="O1978" s="1">
        <v>44217.242268518516</v>
      </c>
      <c r="P1978" s="1">
        <v>44217.361180555556</v>
      </c>
      <c r="Q1978">
        <v>10163</v>
      </c>
      <c r="R1978">
        <v>111</v>
      </c>
      <c r="S1978" t="b">
        <v>0</v>
      </c>
      <c r="T1978" t="s">
        <v>87</v>
      </c>
      <c r="U1978" t="b">
        <v>0</v>
      </c>
      <c r="V1978" t="s">
        <v>112</v>
      </c>
      <c r="W1978" s="1">
        <v>44217.253425925926</v>
      </c>
      <c r="X1978">
        <v>62</v>
      </c>
      <c r="Y1978">
        <v>0</v>
      </c>
      <c r="Z1978">
        <v>0</v>
      </c>
      <c r="AA1978">
        <v>0</v>
      </c>
      <c r="AB1978">
        <v>98</v>
      </c>
      <c r="AC1978">
        <v>0</v>
      </c>
      <c r="AD1978">
        <v>441</v>
      </c>
      <c r="AE1978">
        <v>0</v>
      </c>
      <c r="AF1978">
        <v>0</v>
      </c>
      <c r="AG1978">
        <v>0</v>
      </c>
      <c r="AH1978" t="s">
        <v>89</v>
      </c>
      <c r="AI1978" s="1">
        <v>44217.262372685182</v>
      </c>
      <c r="AJ1978">
        <v>45</v>
      </c>
      <c r="AK1978">
        <v>0</v>
      </c>
      <c r="AL1978">
        <v>0</v>
      </c>
      <c r="AM1978">
        <v>0</v>
      </c>
      <c r="AN1978">
        <v>98</v>
      </c>
      <c r="AO1978">
        <v>0</v>
      </c>
      <c r="AP1978">
        <v>441</v>
      </c>
      <c r="AQ1978">
        <v>0</v>
      </c>
      <c r="AR1978">
        <v>0</v>
      </c>
      <c r="AS1978">
        <v>0</v>
      </c>
      <c r="AT1978" t="s">
        <v>90</v>
      </c>
      <c r="AU1978" s="1">
        <v>44217.361180555556</v>
      </c>
      <c r="AV1978">
        <v>4</v>
      </c>
      <c r="AW1978">
        <v>0</v>
      </c>
      <c r="AX1978">
        <v>0</v>
      </c>
      <c r="AY1978">
        <v>0</v>
      </c>
      <c r="AZ1978">
        <v>98</v>
      </c>
      <c r="BA1978">
        <v>0</v>
      </c>
      <c r="BB1978">
        <v>441</v>
      </c>
      <c r="BC1978">
        <v>0</v>
      </c>
      <c r="BD1978">
        <v>0</v>
      </c>
      <c r="BE1978">
        <v>0</v>
      </c>
    </row>
    <row r="1979" spans="1:57" hidden="1" x14ac:dyDescent="0.45">
      <c r="A1979" t="s">
        <v>4819</v>
      </c>
      <c r="B1979" t="s">
        <v>79</v>
      </c>
      <c r="C1979" t="s">
        <v>4820</v>
      </c>
      <c r="D1979" t="s">
        <v>81</v>
      </c>
      <c r="E1979" s="2" t="str">
        <f>HYPERLINK("capsilon://?command=openfolder&amp;siteaddress=FAM.docvelocity-na8.net&amp;folderid=FXD6275C69-9432-1A19-83AB-80F89BC88933","FX201223794")</f>
        <v>FX201223794</v>
      </c>
      <c r="F1979" t="s">
        <v>19</v>
      </c>
      <c r="G1979" t="s">
        <v>19</v>
      </c>
      <c r="H1979" t="s">
        <v>82</v>
      </c>
      <c r="I1979" t="s">
        <v>4821</v>
      </c>
      <c r="J1979">
        <v>441</v>
      </c>
      <c r="K1979" t="s">
        <v>84</v>
      </c>
      <c r="L1979" t="s">
        <v>85</v>
      </c>
      <c r="M1979" t="s">
        <v>81</v>
      </c>
      <c r="N1979">
        <v>3</v>
      </c>
      <c r="O1979" s="1">
        <v>44217.246076388888</v>
      </c>
      <c r="P1979" s="1">
        <v>44217.272372685184</v>
      </c>
      <c r="Q1979">
        <v>2152</v>
      </c>
      <c r="R1979">
        <v>120</v>
      </c>
      <c r="S1979" t="b">
        <v>0</v>
      </c>
      <c r="T1979" t="s">
        <v>2541</v>
      </c>
      <c r="U1979" t="b">
        <v>0</v>
      </c>
      <c r="V1979" t="s">
        <v>112</v>
      </c>
      <c r="W1979" s="1">
        <v>44217.254236111112</v>
      </c>
      <c r="X1979">
        <v>69</v>
      </c>
      <c r="Y1979">
        <v>0</v>
      </c>
      <c r="Z1979">
        <v>0</v>
      </c>
      <c r="AA1979">
        <v>0</v>
      </c>
      <c r="AB1979">
        <v>98</v>
      </c>
      <c r="AC1979">
        <v>0</v>
      </c>
      <c r="AD1979">
        <v>441</v>
      </c>
      <c r="AE1979">
        <v>0</v>
      </c>
      <c r="AF1979">
        <v>0</v>
      </c>
      <c r="AG1979">
        <v>0</v>
      </c>
      <c r="AH1979" t="s">
        <v>89</v>
      </c>
      <c r="AI1979" s="1">
        <v>44217.26289351852</v>
      </c>
      <c r="AJ1979">
        <v>44</v>
      </c>
      <c r="AK1979">
        <v>0</v>
      </c>
      <c r="AL1979">
        <v>0</v>
      </c>
      <c r="AM1979">
        <v>0</v>
      </c>
      <c r="AN1979">
        <v>98</v>
      </c>
      <c r="AO1979">
        <v>0</v>
      </c>
      <c r="AP1979">
        <v>441</v>
      </c>
      <c r="AQ1979">
        <v>0</v>
      </c>
      <c r="AR1979">
        <v>0</v>
      </c>
      <c r="AS1979">
        <v>0</v>
      </c>
      <c r="AT1979" t="s">
        <v>2541</v>
      </c>
      <c r="AU1979" s="1">
        <v>44217.272372685184</v>
      </c>
      <c r="AV1979">
        <v>7</v>
      </c>
      <c r="AW1979">
        <v>0</v>
      </c>
      <c r="AX1979">
        <v>0</v>
      </c>
      <c r="AY1979">
        <v>0</v>
      </c>
      <c r="AZ1979">
        <v>98</v>
      </c>
      <c r="BA1979">
        <v>0</v>
      </c>
      <c r="BB1979">
        <v>441</v>
      </c>
      <c r="BC1979">
        <v>0</v>
      </c>
      <c r="BD1979">
        <v>0</v>
      </c>
      <c r="BE1979">
        <v>0</v>
      </c>
    </row>
    <row r="1980" spans="1:57" x14ac:dyDescent="0.45">
      <c r="A1980" t="s">
        <v>4822</v>
      </c>
      <c r="B1980" t="s">
        <v>79</v>
      </c>
      <c r="C1980" t="s">
        <v>3215</v>
      </c>
      <c r="D1980" t="s">
        <v>81</v>
      </c>
      <c r="E1980" s="2" t="str">
        <f>HYPERLINK("capsilon://?command=openfolder&amp;siteaddress=FAM.docvelocity-na8.net&amp;folderid=FX41877318-159C-FB75-4200-00A2F268F47F","FX201228264")</f>
        <v>FX201228264</v>
      </c>
      <c r="F1980" t="s">
        <v>19</v>
      </c>
      <c r="G1980" t="s">
        <v>19</v>
      </c>
      <c r="H1980" t="s">
        <v>82</v>
      </c>
      <c r="I1980" t="s">
        <v>4823</v>
      </c>
      <c r="J1980">
        <v>254</v>
      </c>
      <c r="K1980" t="s">
        <v>84</v>
      </c>
      <c r="L1980" t="s">
        <v>85</v>
      </c>
      <c r="M1980" t="s">
        <v>86</v>
      </c>
      <c r="N1980">
        <v>3</v>
      </c>
      <c r="O1980" s="1">
        <v>44201.439872685187</v>
      </c>
      <c r="P1980" s="1">
        <v>44201.549722222226</v>
      </c>
      <c r="Q1980">
        <v>7888</v>
      </c>
      <c r="R1980">
        <v>1603</v>
      </c>
      <c r="S1980" t="b">
        <v>0</v>
      </c>
      <c r="T1980" t="s">
        <v>87</v>
      </c>
      <c r="U1980" t="b">
        <v>0</v>
      </c>
      <c r="V1980" t="s">
        <v>736</v>
      </c>
      <c r="W1980" s="1">
        <v>44201.482824074075</v>
      </c>
      <c r="X1980">
        <v>1006</v>
      </c>
      <c r="Y1980">
        <v>210</v>
      </c>
      <c r="Z1980">
        <v>0</v>
      </c>
      <c r="AA1980">
        <v>210</v>
      </c>
      <c r="AB1980">
        <v>0</v>
      </c>
      <c r="AC1980">
        <v>37</v>
      </c>
      <c r="AD1980">
        <v>44</v>
      </c>
      <c r="AE1980">
        <v>0</v>
      </c>
      <c r="AF1980">
        <v>0</v>
      </c>
      <c r="AG1980">
        <v>0</v>
      </c>
      <c r="AH1980" t="s">
        <v>267</v>
      </c>
      <c r="AI1980" s="1">
        <v>44201.537129629629</v>
      </c>
      <c r="AJ1980">
        <v>528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44</v>
      </c>
      <c r="AQ1980">
        <v>0</v>
      </c>
      <c r="AR1980">
        <v>0</v>
      </c>
      <c r="AS1980">
        <v>0</v>
      </c>
      <c r="AT1980" t="s">
        <v>90</v>
      </c>
      <c r="AU1980" s="1">
        <v>44201.549722222226</v>
      </c>
      <c r="AV1980">
        <v>69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44</v>
      </c>
      <c r="BC1980">
        <v>0</v>
      </c>
      <c r="BD1980">
        <v>0</v>
      </c>
      <c r="BE1980">
        <v>0</v>
      </c>
    </row>
    <row r="1981" spans="1:57" x14ac:dyDescent="0.45">
      <c r="A1981" t="s">
        <v>4824</v>
      </c>
      <c r="B1981" t="s">
        <v>79</v>
      </c>
      <c r="C1981" t="s">
        <v>554</v>
      </c>
      <c r="D1981" t="s">
        <v>81</v>
      </c>
      <c r="E1981" s="2" t="str">
        <f>HYPERLINK("capsilon://?command=openfolder&amp;siteaddress=FAM.docvelocity-na8.net&amp;folderid=FXD56CD732-A5FB-DC27-C7BE-D4367E3E4BC7","FX210149")</f>
        <v>FX210149</v>
      </c>
      <c r="F1981" t="s">
        <v>19</v>
      </c>
      <c r="G1981" t="s">
        <v>19</v>
      </c>
      <c r="H1981" t="s">
        <v>82</v>
      </c>
      <c r="I1981" t="s">
        <v>4825</v>
      </c>
      <c r="J1981">
        <v>66</v>
      </c>
      <c r="K1981" t="s">
        <v>84</v>
      </c>
      <c r="L1981" t="s">
        <v>85</v>
      </c>
      <c r="M1981" t="s">
        <v>86</v>
      </c>
      <c r="N1981">
        <v>3</v>
      </c>
      <c r="O1981" s="1">
        <v>44217.299363425926</v>
      </c>
      <c r="P1981" s="1">
        <v>44217.36178240741</v>
      </c>
      <c r="Q1981">
        <v>3380</v>
      </c>
      <c r="R1981">
        <v>2013</v>
      </c>
      <c r="S1981" t="b">
        <v>0</v>
      </c>
      <c r="T1981" t="s">
        <v>87</v>
      </c>
      <c r="U1981" t="b">
        <v>0</v>
      </c>
      <c r="V1981" t="s">
        <v>88</v>
      </c>
      <c r="W1981" s="1">
        <v>44217.317708333336</v>
      </c>
      <c r="X1981">
        <v>1568</v>
      </c>
      <c r="Y1981">
        <v>52</v>
      </c>
      <c r="Z1981">
        <v>0</v>
      </c>
      <c r="AA1981">
        <v>52</v>
      </c>
      <c r="AB1981">
        <v>0</v>
      </c>
      <c r="AC1981">
        <v>35</v>
      </c>
      <c r="AD1981">
        <v>14</v>
      </c>
      <c r="AE1981">
        <v>0</v>
      </c>
      <c r="AF1981">
        <v>0</v>
      </c>
      <c r="AG1981">
        <v>0</v>
      </c>
      <c r="AH1981" t="s">
        <v>94</v>
      </c>
      <c r="AI1981" s="1">
        <v>44217.330891203703</v>
      </c>
      <c r="AJ1981">
        <v>393</v>
      </c>
      <c r="AK1981">
        <v>1</v>
      </c>
      <c r="AL1981">
        <v>0</v>
      </c>
      <c r="AM1981">
        <v>1</v>
      </c>
      <c r="AN1981">
        <v>0</v>
      </c>
      <c r="AO1981">
        <v>1</v>
      </c>
      <c r="AP1981">
        <v>13</v>
      </c>
      <c r="AQ1981">
        <v>0</v>
      </c>
      <c r="AR1981">
        <v>0</v>
      </c>
      <c r="AS1981">
        <v>0</v>
      </c>
      <c r="AT1981" t="s">
        <v>90</v>
      </c>
      <c r="AU1981" s="1">
        <v>44217.36178240741</v>
      </c>
      <c r="AV1981">
        <v>52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13</v>
      </c>
      <c r="BC1981">
        <v>0</v>
      </c>
      <c r="BD1981">
        <v>0</v>
      </c>
      <c r="BE1981">
        <v>0</v>
      </c>
    </row>
    <row r="1982" spans="1:57" x14ac:dyDescent="0.45">
      <c r="A1982" t="s">
        <v>4826</v>
      </c>
      <c r="B1982" t="s">
        <v>79</v>
      </c>
      <c r="C1982" t="s">
        <v>1016</v>
      </c>
      <c r="D1982" t="s">
        <v>81</v>
      </c>
      <c r="E1982" s="2" t="str">
        <f>HYPERLINK("capsilon://?command=openfolder&amp;siteaddress=FAM.docvelocity-na8.net&amp;folderid=FX65733EAA-58CC-7068-8335-DFB35735FBF7","FX21011886")</f>
        <v>FX21011886</v>
      </c>
      <c r="F1982" t="s">
        <v>19</v>
      </c>
      <c r="G1982" t="s">
        <v>19</v>
      </c>
      <c r="H1982" t="s">
        <v>82</v>
      </c>
      <c r="I1982" t="s">
        <v>4827</v>
      </c>
      <c r="J1982">
        <v>66</v>
      </c>
      <c r="K1982" t="s">
        <v>84</v>
      </c>
      <c r="L1982" t="s">
        <v>85</v>
      </c>
      <c r="M1982" t="s">
        <v>86</v>
      </c>
      <c r="N1982">
        <v>3</v>
      </c>
      <c r="O1982" s="1">
        <v>44217.301053240742</v>
      </c>
      <c r="P1982" s="1">
        <v>44217.361886574072</v>
      </c>
      <c r="Q1982">
        <v>4378</v>
      </c>
      <c r="R1982">
        <v>878</v>
      </c>
      <c r="S1982" t="b">
        <v>0</v>
      </c>
      <c r="T1982" t="s">
        <v>87</v>
      </c>
      <c r="U1982" t="b">
        <v>0</v>
      </c>
      <c r="V1982" t="s">
        <v>105</v>
      </c>
      <c r="W1982" s="1">
        <v>44217.31527777778</v>
      </c>
      <c r="X1982">
        <v>541</v>
      </c>
      <c r="Y1982">
        <v>52</v>
      </c>
      <c r="Z1982">
        <v>0</v>
      </c>
      <c r="AA1982">
        <v>52</v>
      </c>
      <c r="AB1982">
        <v>0</v>
      </c>
      <c r="AC1982">
        <v>30</v>
      </c>
      <c r="AD1982">
        <v>14</v>
      </c>
      <c r="AE1982">
        <v>0</v>
      </c>
      <c r="AF1982">
        <v>0</v>
      </c>
      <c r="AG1982">
        <v>0</v>
      </c>
      <c r="AH1982" t="s">
        <v>89</v>
      </c>
      <c r="AI1982" s="1">
        <v>44217.331053240741</v>
      </c>
      <c r="AJ1982">
        <v>329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14</v>
      </c>
      <c r="AQ1982">
        <v>0</v>
      </c>
      <c r="AR1982">
        <v>0</v>
      </c>
      <c r="AS1982">
        <v>0</v>
      </c>
      <c r="AT1982" t="s">
        <v>90</v>
      </c>
      <c r="AU1982" s="1">
        <v>44217.361886574072</v>
      </c>
      <c r="AV1982">
        <v>8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14</v>
      </c>
      <c r="BC1982">
        <v>0</v>
      </c>
      <c r="BD1982">
        <v>0</v>
      </c>
      <c r="BE1982">
        <v>0</v>
      </c>
    </row>
    <row r="1983" spans="1:57" x14ac:dyDescent="0.45">
      <c r="A1983" t="s">
        <v>4828</v>
      </c>
      <c r="B1983" t="s">
        <v>79</v>
      </c>
      <c r="C1983" t="s">
        <v>1057</v>
      </c>
      <c r="D1983" t="s">
        <v>81</v>
      </c>
      <c r="E1983" s="2" t="str">
        <f>HYPERLINK("capsilon://?command=openfolder&amp;siteaddress=FAM.docvelocity-na8.net&amp;folderid=FX16F2E662-FD8D-9C43-9F03-7C137A2B94D9","FX201228362")</f>
        <v>FX201228362</v>
      </c>
      <c r="F1983" t="s">
        <v>19</v>
      </c>
      <c r="G1983" t="s">
        <v>19</v>
      </c>
      <c r="H1983" t="s">
        <v>82</v>
      </c>
      <c r="I1983" t="s">
        <v>4829</v>
      </c>
      <c r="J1983">
        <v>66</v>
      </c>
      <c r="K1983" t="s">
        <v>84</v>
      </c>
      <c r="L1983" t="s">
        <v>85</v>
      </c>
      <c r="M1983" t="s">
        <v>86</v>
      </c>
      <c r="N1983">
        <v>3</v>
      </c>
      <c r="O1983" s="1">
        <v>44217.314467592594</v>
      </c>
      <c r="P1983" s="1">
        <v>44217.362118055556</v>
      </c>
      <c r="Q1983">
        <v>2863</v>
      </c>
      <c r="R1983">
        <v>1254</v>
      </c>
      <c r="S1983" t="b">
        <v>0</v>
      </c>
      <c r="T1983" t="s">
        <v>87</v>
      </c>
      <c r="U1983" t="b">
        <v>0</v>
      </c>
      <c r="V1983" t="s">
        <v>105</v>
      </c>
      <c r="W1983" s="1">
        <v>44217.321053240739</v>
      </c>
      <c r="X1983">
        <v>498</v>
      </c>
      <c r="Y1983">
        <v>52</v>
      </c>
      <c r="Z1983">
        <v>0</v>
      </c>
      <c r="AA1983">
        <v>52</v>
      </c>
      <c r="AB1983">
        <v>0</v>
      </c>
      <c r="AC1983">
        <v>34</v>
      </c>
      <c r="AD1983">
        <v>14</v>
      </c>
      <c r="AE1983">
        <v>0</v>
      </c>
      <c r="AF1983">
        <v>0</v>
      </c>
      <c r="AG1983">
        <v>0</v>
      </c>
      <c r="AH1983" t="s">
        <v>94</v>
      </c>
      <c r="AI1983" s="1">
        <v>44217.339409722219</v>
      </c>
      <c r="AJ1983">
        <v>736</v>
      </c>
      <c r="AK1983">
        <v>1</v>
      </c>
      <c r="AL1983">
        <v>0</v>
      </c>
      <c r="AM1983">
        <v>1</v>
      </c>
      <c r="AN1983">
        <v>0</v>
      </c>
      <c r="AO1983">
        <v>0</v>
      </c>
      <c r="AP1983">
        <v>13</v>
      </c>
      <c r="AQ1983">
        <v>0</v>
      </c>
      <c r="AR1983">
        <v>0</v>
      </c>
      <c r="AS1983">
        <v>0</v>
      </c>
      <c r="AT1983" t="s">
        <v>90</v>
      </c>
      <c r="AU1983" s="1">
        <v>44217.362118055556</v>
      </c>
      <c r="AV1983">
        <v>20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13</v>
      </c>
      <c r="BC1983">
        <v>0</v>
      </c>
      <c r="BD1983">
        <v>0</v>
      </c>
      <c r="BE1983">
        <v>0</v>
      </c>
    </row>
    <row r="1984" spans="1:57" x14ac:dyDescent="0.45">
      <c r="A1984" t="s">
        <v>4830</v>
      </c>
      <c r="B1984" t="s">
        <v>79</v>
      </c>
      <c r="C1984" t="s">
        <v>4831</v>
      </c>
      <c r="D1984" t="s">
        <v>81</v>
      </c>
      <c r="E1984" s="2" t="str">
        <f>HYPERLINK("capsilon://?command=openfolder&amp;siteaddress=FAM.docvelocity-na8.net&amp;folderid=FXF43F5434-C9B7-839A-28D2-127706846590","FX210112292")</f>
        <v>FX210112292</v>
      </c>
      <c r="F1984" t="s">
        <v>19</v>
      </c>
      <c r="G1984" t="s">
        <v>19</v>
      </c>
      <c r="H1984" t="s">
        <v>82</v>
      </c>
      <c r="I1984" t="s">
        <v>4832</v>
      </c>
      <c r="J1984">
        <v>76</v>
      </c>
      <c r="K1984" t="s">
        <v>84</v>
      </c>
      <c r="L1984" t="s">
        <v>85</v>
      </c>
      <c r="M1984" t="s">
        <v>86</v>
      </c>
      <c r="N1984">
        <v>3</v>
      </c>
      <c r="O1984" s="1">
        <v>44217.318113425928</v>
      </c>
      <c r="P1984" s="1">
        <v>44217.362222222226</v>
      </c>
      <c r="Q1984">
        <v>2382</v>
      </c>
      <c r="R1984">
        <v>1429</v>
      </c>
      <c r="S1984" t="b">
        <v>0</v>
      </c>
      <c r="T1984" t="s">
        <v>87</v>
      </c>
      <c r="U1984" t="b">
        <v>0</v>
      </c>
      <c r="V1984" t="s">
        <v>98</v>
      </c>
      <c r="W1984" s="1">
        <v>44217.326898148145</v>
      </c>
      <c r="X1984">
        <v>744</v>
      </c>
      <c r="Y1984">
        <v>74</v>
      </c>
      <c r="Z1984">
        <v>0</v>
      </c>
      <c r="AA1984">
        <v>74</v>
      </c>
      <c r="AB1984">
        <v>0</v>
      </c>
      <c r="AC1984">
        <v>33</v>
      </c>
      <c r="AD1984">
        <v>2</v>
      </c>
      <c r="AE1984">
        <v>0</v>
      </c>
      <c r="AF1984">
        <v>0</v>
      </c>
      <c r="AG1984">
        <v>0</v>
      </c>
      <c r="AH1984" t="s">
        <v>89</v>
      </c>
      <c r="AI1984" s="1">
        <v>44217.338888888888</v>
      </c>
      <c r="AJ1984">
        <v>676</v>
      </c>
      <c r="AK1984">
        <v>2</v>
      </c>
      <c r="AL1984">
        <v>0</v>
      </c>
      <c r="AM1984">
        <v>2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 t="s">
        <v>90</v>
      </c>
      <c r="AU1984" s="1">
        <v>44217.362222222226</v>
      </c>
      <c r="AV1984">
        <v>9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</row>
    <row r="1985" spans="1:57" x14ac:dyDescent="0.45">
      <c r="A1985" t="s">
        <v>4833</v>
      </c>
      <c r="B1985" t="s">
        <v>79</v>
      </c>
      <c r="C1985" t="s">
        <v>4834</v>
      </c>
      <c r="D1985" t="s">
        <v>81</v>
      </c>
      <c r="E1985" s="2" t="str">
        <f>HYPERLINK("capsilon://?command=openfolder&amp;siteaddress=FAM.docvelocity-na8.net&amp;folderid=FX17A06F43-6E4A-044B-BE7D-66478093A5CB","FX201227826")</f>
        <v>FX201227826</v>
      </c>
      <c r="F1985" t="s">
        <v>19</v>
      </c>
      <c r="G1985" t="s">
        <v>19</v>
      </c>
      <c r="H1985" t="s">
        <v>82</v>
      </c>
      <c r="I1985" t="s">
        <v>4835</v>
      </c>
      <c r="J1985">
        <v>66</v>
      </c>
      <c r="K1985" t="s">
        <v>84</v>
      </c>
      <c r="L1985" t="s">
        <v>85</v>
      </c>
      <c r="M1985" t="s">
        <v>86</v>
      </c>
      <c r="N1985">
        <v>3</v>
      </c>
      <c r="O1985" s="1">
        <v>44217.335636574076</v>
      </c>
      <c r="P1985" s="1">
        <v>44217.362569444442</v>
      </c>
      <c r="Q1985">
        <v>424</v>
      </c>
      <c r="R1985">
        <v>1903</v>
      </c>
      <c r="S1985" t="b">
        <v>0</v>
      </c>
      <c r="T1985" t="s">
        <v>87</v>
      </c>
      <c r="U1985" t="b">
        <v>0</v>
      </c>
      <c r="V1985" t="s">
        <v>919</v>
      </c>
      <c r="W1985" s="1">
        <v>44217.348645833335</v>
      </c>
      <c r="X1985">
        <v>1086</v>
      </c>
      <c r="Y1985">
        <v>52</v>
      </c>
      <c r="Z1985">
        <v>0</v>
      </c>
      <c r="AA1985">
        <v>52</v>
      </c>
      <c r="AB1985">
        <v>0</v>
      </c>
      <c r="AC1985">
        <v>24</v>
      </c>
      <c r="AD1985">
        <v>14</v>
      </c>
      <c r="AE1985">
        <v>0</v>
      </c>
      <c r="AF1985">
        <v>0</v>
      </c>
      <c r="AG1985">
        <v>0</v>
      </c>
      <c r="AH1985" t="s">
        <v>89</v>
      </c>
      <c r="AI1985" s="1">
        <v>44217.3596412037</v>
      </c>
      <c r="AJ1985">
        <v>787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14</v>
      </c>
      <c r="AQ1985">
        <v>0</v>
      </c>
      <c r="AR1985">
        <v>0</v>
      </c>
      <c r="AS1985">
        <v>0</v>
      </c>
      <c r="AT1985" t="s">
        <v>90</v>
      </c>
      <c r="AU1985" s="1">
        <v>44217.362569444442</v>
      </c>
      <c r="AV1985">
        <v>30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14</v>
      </c>
      <c r="BC1985">
        <v>0</v>
      </c>
      <c r="BD1985">
        <v>0</v>
      </c>
      <c r="BE1985">
        <v>0</v>
      </c>
    </row>
    <row r="1986" spans="1:57" x14ac:dyDescent="0.45">
      <c r="A1986" t="s">
        <v>4836</v>
      </c>
      <c r="B1986" t="s">
        <v>79</v>
      </c>
      <c r="C1986" t="s">
        <v>3215</v>
      </c>
      <c r="D1986" t="s">
        <v>81</v>
      </c>
      <c r="E1986" s="2" t="str">
        <f>HYPERLINK("capsilon://?command=openfolder&amp;siteaddress=FAM.docvelocity-na8.net&amp;folderid=FX41877318-159C-FB75-4200-00A2F268F47F","FX201228264")</f>
        <v>FX201228264</v>
      </c>
      <c r="F1986" t="s">
        <v>19</v>
      </c>
      <c r="G1986" t="s">
        <v>19</v>
      </c>
      <c r="H1986" t="s">
        <v>82</v>
      </c>
      <c r="I1986" t="s">
        <v>4837</v>
      </c>
      <c r="J1986">
        <v>55</v>
      </c>
      <c r="K1986" t="s">
        <v>84</v>
      </c>
      <c r="L1986" t="s">
        <v>85</v>
      </c>
      <c r="M1986" t="s">
        <v>86</v>
      </c>
      <c r="N1986">
        <v>3</v>
      </c>
      <c r="O1986" s="1">
        <v>44201.439942129633</v>
      </c>
      <c r="P1986" s="1">
        <v>44201.552465277775</v>
      </c>
      <c r="Q1986">
        <v>8840</v>
      </c>
      <c r="R1986">
        <v>882</v>
      </c>
      <c r="S1986" t="b">
        <v>0</v>
      </c>
      <c r="T1986" t="s">
        <v>87</v>
      </c>
      <c r="U1986" t="b">
        <v>0</v>
      </c>
      <c r="V1986" t="s">
        <v>88</v>
      </c>
      <c r="W1986" s="1">
        <v>44201.483298611114</v>
      </c>
      <c r="X1986">
        <v>439</v>
      </c>
      <c r="Y1986">
        <v>39</v>
      </c>
      <c r="Z1986">
        <v>0</v>
      </c>
      <c r="AA1986">
        <v>39</v>
      </c>
      <c r="AB1986">
        <v>0</v>
      </c>
      <c r="AC1986">
        <v>16</v>
      </c>
      <c r="AD1986">
        <v>16</v>
      </c>
      <c r="AE1986">
        <v>0</v>
      </c>
      <c r="AF1986">
        <v>0</v>
      </c>
      <c r="AG1986">
        <v>0</v>
      </c>
      <c r="AH1986" t="s">
        <v>128</v>
      </c>
      <c r="AI1986" s="1">
        <v>44201.53533564815</v>
      </c>
      <c r="AJ1986">
        <v>207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16</v>
      </c>
      <c r="AQ1986">
        <v>0</v>
      </c>
      <c r="AR1986">
        <v>0</v>
      </c>
      <c r="AS1986">
        <v>0</v>
      </c>
      <c r="AT1986" t="s">
        <v>90</v>
      </c>
      <c r="AU1986" s="1">
        <v>44201.552465277775</v>
      </c>
      <c r="AV1986">
        <v>236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16</v>
      </c>
      <c r="BC1986">
        <v>0</v>
      </c>
      <c r="BD1986">
        <v>0</v>
      </c>
      <c r="BE1986">
        <v>0</v>
      </c>
    </row>
    <row r="1987" spans="1:57" x14ac:dyDescent="0.45">
      <c r="A1987" t="s">
        <v>4838</v>
      </c>
      <c r="B1987" t="s">
        <v>79</v>
      </c>
      <c r="C1987" t="s">
        <v>4834</v>
      </c>
      <c r="D1987" t="s">
        <v>81</v>
      </c>
      <c r="E1987" s="2" t="str">
        <f>HYPERLINK("capsilon://?command=openfolder&amp;siteaddress=FAM.docvelocity-na8.net&amp;folderid=FX17A06F43-6E4A-044B-BE7D-66478093A5CB","FX201227826")</f>
        <v>FX201227826</v>
      </c>
      <c r="F1987" t="s">
        <v>19</v>
      </c>
      <c r="G1987" t="s">
        <v>19</v>
      </c>
      <c r="H1987" t="s">
        <v>82</v>
      </c>
      <c r="I1987" t="s">
        <v>4839</v>
      </c>
      <c r="J1987">
        <v>66</v>
      </c>
      <c r="K1987" t="s">
        <v>84</v>
      </c>
      <c r="L1987" t="s">
        <v>85</v>
      </c>
      <c r="M1987" t="s">
        <v>86</v>
      </c>
      <c r="N1987">
        <v>3</v>
      </c>
      <c r="O1987" s="1">
        <v>44217.337418981479</v>
      </c>
      <c r="P1987" s="1">
        <v>44217.362916666665</v>
      </c>
      <c r="Q1987">
        <v>1178</v>
      </c>
      <c r="R1987">
        <v>1025</v>
      </c>
      <c r="S1987" t="b">
        <v>0</v>
      </c>
      <c r="T1987" t="s">
        <v>87</v>
      </c>
      <c r="U1987" t="b">
        <v>0</v>
      </c>
      <c r="V1987" t="s">
        <v>88</v>
      </c>
      <c r="W1987" s="1">
        <v>44217.345960648148</v>
      </c>
      <c r="X1987">
        <v>732</v>
      </c>
      <c r="Y1987">
        <v>52</v>
      </c>
      <c r="Z1987">
        <v>0</v>
      </c>
      <c r="AA1987">
        <v>52</v>
      </c>
      <c r="AB1987">
        <v>0</v>
      </c>
      <c r="AC1987">
        <v>36</v>
      </c>
      <c r="AD1987">
        <v>14</v>
      </c>
      <c r="AE1987">
        <v>0</v>
      </c>
      <c r="AF1987">
        <v>0</v>
      </c>
      <c r="AG1987">
        <v>0</v>
      </c>
      <c r="AH1987" t="s">
        <v>108</v>
      </c>
      <c r="AI1987" s="1">
        <v>44217.351238425923</v>
      </c>
      <c r="AJ1987">
        <v>263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13</v>
      </c>
      <c r="AQ1987">
        <v>0</v>
      </c>
      <c r="AR1987">
        <v>0</v>
      </c>
      <c r="AS1987">
        <v>0</v>
      </c>
      <c r="AT1987" t="s">
        <v>90</v>
      </c>
      <c r="AU1987" s="1">
        <v>44217.362916666665</v>
      </c>
      <c r="AV1987">
        <v>30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13</v>
      </c>
      <c r="BC1987">
        <v>0</v>
      </c>
      <c r="BD1987">
        <v>0</v>
      </c>
      <c r="BE1987">
        <v>0</v>
      </c>
    </row>
    <row r="1988" spans="1:57" x14ac:dyDescent="0.45">
      <c r="A1988" t="s">
        <v>4840</v>
      </c>
      <c r="B1988" t="s">
        <v>79</v>
      </c>
      <c r="C1988" t="s">
        <v>4841</v>
      </c>
      <c r="D1988" t="s">
        <v>81</v>
      </c>
      <c r="E1988" s="2" t="str">
        <f>HYPERLINK("capsilon://?command=openfolder&amp;siteaddress=FAM.docvelocity-na8.net&amp;folderid=FX9DF733F3-9CE9-451C-51EE-F91724319CA8","FX210110113")</f>
        <v>FX210110113</v>
      </c>
      <c r="F1988" t="s">
        <v>19</v>
      </c>
      <c r="G1988" t="s">
        <v>19</v>
      </c>
      <c r="H1988" t="s">
        <v>82</v>
      </c>
      <c r="I1988" t="s">
        <v>4842</v>
      </c>
      <c r="J1988">
        <v>38</v>
      </c>
      <c r="K1988" t="s">
        <v>84</v>
      </c>
      <c r="L1988" t="s">
        <v>85</v>
      </c>
      <c r="M1988" t="s">
        <v>86</v>
      </c>
      <c r="N1988">
        <v>3</v>
      </c>
      <c r="O1988" s="1">
        <v>44217.343425925923</v>
      </c>
      <c r="P1988" s="1">
        <v>44217.371979166666</v>
      </c>
      <c r="Q1988">
        <v>1025</v>
      </c>
      <c r="R1988">
        <v>1442</v>
      </c>
      <c r="S1988" t="b">
        <v>0</v>
      </c>
      <c r="T1988" t="s">
        <v>87</v>
      </c>
      <c r="U1988" t="b">
        <v>0</v>
      </c>
      <c r="V1988" t="s">
        <v>88</v>
      </c>
      <c r="W1988" s="1">
        <v>44217.354594907411</v>
      </c>
      <c r="X1988">
        <v>745</v>
      </c>
      <c r="Y1988">
        <v>37</v>
      </c>
      <c r="Z1988">
        <v>0</v>
      </c>
      <c r="AA1988">
        <v>37</v>
      </c>
      <c r="AB1988">
        <v>0</v>
      </c>
      <c r="AC1988">
        <v>22</v>
      </c>
      <c r="AD1988">
        <v>1</v>
      </c>
      <c r="AE1988">
        <v>0</v>
      </c>
      <c r="AF1988">
        <v>0</v>
      </c>
      <c r="AG1988">
        <v>0</v>
      </c>
      <c r="AH1988" t="s">
        <v>94</v>
      </c>
      <c r="AI1988" s="1">
        <v>44217.366608796299</v>
      </c>
      <c r="AJ1988">
        <v>689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 t="s">
        <v>90</v>
      </c>
      <c r="AU1988" s="1">
        <v>44217.371979166666</v>
      </c>
      <c r="AV1988">
        <v>8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</row>
    <row r="1989" spans="1:57" x14ac:dyDescent="0.45">
      <c r="A1989" t="s">
        <v>4843</v>
      </c>
      <c r="B1989" t="s">
        <v>79</v>
      </c>
      <c r="C1989" t="s">
        <v>4844</v>
      </c>
      <c r="D1989" t="s">
        <v>81</v>
      </c>
      <c r="E1989" s="2" t="str">
        <f>HYPERLINK("capsilon://?command=openfolder&amp;siteaddress=FAM.docvelocity-na8.net&amp;folderid=FXD28E63C6-4968-F4EA-356E-DFE9FDED7DFA","FX21017859")</f>
        <v>FX21017859</v>
      </c>
      <c r="F1989" t="s">
        <v>19</v>
      </c>
      <c r="G1989" t="s">
        <v>19</v>
      </c>
      <c r="H1989" t="s">
        <v>82</v>
      </c>
      <c r="I1989" t="s">
        <v>4845</v>
      </c>
      <c r="J1989">
        <v>224</v>
      </c>
      <c r="K1989" t="s">
        <v>84</v>
      </c>
      <c r="L1989" t="s">
        <v>85</v>
      </c>
      <c r="M1989" t="s">
        <v>86</v>
      </c>
      <c r="N1989">
        <v>3</v>
      </c>
      <c r="O1989" s="1">
        <v>44217.348680555559</v>
      </c>
      <c r="P1989" s="1">
        <v>44217.451249999998</v>
      </c>
      <c r="Q1989">
        <v>4843</v>
      </c>
      <c r="R1989">
        <v>4019</v>
      </c>
      <c r="S1989" t="b">
        <v>0</v>
      </c>
      <c r="T1989" t="s">
        <v>87</v>
      </c>
      <c r="U1989" t="b">
        <v>0</v>
      </c>
      <c r="V1989" t="s">
        <v>98</v>
      </c>
      <c r="W1989" s="1">
        <v>44217.381689814814</v>
      </c>
      <c r="X1989">
        <v>2843</v>
      </c>
      <c r="Y1989">
        <v>134</v>
      </c>
      <c r="Z1989">
        <v>0</v>
      </c>
      <c r="AA1989">
        <v>134</v>
      </c>
      <c r="AB1989">
        <v>0</v>
      </c>
      <c r="AC1989">
        <v>95</v>
      </c>
      <c r="AD1989">
        <v>90</v>
      </c>
      <c r="AE1989">
        <v>0</v>
      </c>
      <c r="AF1989">
        <v>0</v>
      </c>
      <c r="AG1989">
        <v>0</v>
      </c>
      <c r="AH1989" t="s">
        <v>108</v>
      </c>
      <c r="AI1989" s="1">
        <v>44217.395983796298</v>
      </c>
      <c r="AJ1989">
        <v>1049</v>
      </c>
      <c r="AK1989">
        <v>3</v>
      </c>
      <c r="AL1989">
        <v>0</v>
      </c>
      <c r="AM1989">
        <v>3</v>
      </c>
      <c r="AN1989">
        <v>0</v>
      </c>
      <c r="AO1989">
        <v>1</v>
      </c>
      <c r="AP1989">
        <v>87</v>
      </c>
      <c r="AQ1989">
        <v>0</v>
      </c>
      <c r="AR1989">
        <v>0</v>
      </c>
      <c r="AS1989">
        <v>0</v>
      </c>
      <c r="AT1989" t="s">
        <v>90</v>
      </c>
      <c r="AU1989" s="1">
        <v>44217.451249999998</v>
      </c>
      <c r="AV1989">
        <v>127</v>
      </c>
      <c r="AW1989">
        <v>2</v>
      </c>
      <c r="AX1989">
        <v>0</v>
      </c>
      <c r="AY1989">
        <v>2</v>
      </c>
      <c r="AZ1989">
        <v>0</v>
      </c>
      <c r="BA1989">
        <v>2</v>
      </c>
      <c r="BB1989">
        <v>85</v>
      </c>
      <c r="BC1989">
        <v>0</v>
      </c>
      <c r="BD1989">
        <v>0</v>
      </c>
      <c r="BE1989">
        <v>0</v>
      </c>
    </row>
    <row r="1990" spans="1:57" x14ac:dyDescent="0.45">
      <c r="A1990" t="s">
        <v>4846</v>
      </c>
      <c r="B1990" t="s">
        <v>79</v>
      </c>
      <c r="C1990" t="s">
        <v>4847</v>
      </c>
      <c r="D1990" t="s">
        <v>81</v>
      </c>
      <c r="E1990" s="2" t="str">
        <f>HYPERLINK("capsilon://?command=openfolder&amp;siteaddress=FAM.docvelocity-na8.net&amp;folderid=FXB4F74945-A97D-0CAD-FAFF-1CB302D552FE","FX20124422")</f>
        <v>FX20124422</v>
      </c>
      <c r="F1990" t="s">
        <v>19</v>
      </c>
      <c r="G1990" t="s">
        <v>19</v>
      </c>
      <c r="H1990" t="s">
        <v>82</v>
      </c>
      <c r="I1990" t="s">
        <v>4848</v>
      </c>
      <c r="J1990">
        <v>31</v>
      </c>
      <c r="K1990" t="s">
        <v>84</v>
      </c>
      <c r="L1990" t="s">
        <v>85</v>
      </c>
      <c r="M1990" t="s">
        <v>86</v>
      </c>
      <c r="N1990">
        <v>3</v>
      </c>
      <c r="O1990" s="1">
        <v>44217.352465277778</v>
      </c>
      <c r="P1990" s="1">
        <v>44217.451898148145</v>
      </c>
      <c r="Q1990">
        <v>6325</v>
      </c>
      <c r="R1990">
        <v>2266</v>
      </c>
      <c r="S1990" t="b">
        <v>0</v>
      </c>
      <c r="T1990" t="s">
        <v>87</v>
      </c>
      <c r="U1990" t="b">
        <v>0</v>
      </c>
      <c r="V1990" t="s">
        <v>112</v>
      </c>
      <c r="W1990" s="1">
        <v>44217.369930555556</v>
      </c>
      <c r="X1990">
        <v>1440</v>
      </c>
      <c r="Y1990">
        <v>30</v>
      </c>
      <c r="Z1990">
        <v>0</v>
      </c>
      <c r="AA1990">
        <v>30</v>
      </c>
      <c r="AB1990">
        <v>0</v>
      </c>
      <c r="AC1990">
        <v>21</v>
      </c>
      <c r="AD1990">
        <v>1</v>
      </c>
      <c r="AE1990">
        <v>0</v>
      </c>
      <c r="AF1990">
        <v>0</v>
      </c>
      <c r="AG1990">
        <v>0</v>
      </c>
      <c r="AH1990" t="s">
        <v>89</v>
      </c>
      <c r="AI1990" s="1">
        <v>44217.386655092596</v>
      </c>
      <c r="AJ1990">
        <v>724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 t="s">
        <v>90</v>
      </c>
      <c r="AU1990" s="1">
        <v>44217.451898148145</v>
      </c>
      <c r="AV1990">
        <v>55</v>
      </c>
      <c r="AW1990">
        <v>1</v>
      </c>
      <c r="AX1990">
        <v>0</v>
      </c>
      <c r="AY1990">
        <v>1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</row>
    <row r="1991" spans="1:57" x14ac:dyDescent="0.45">
      <c r="A1991" t="s">
        <v>4849</v>
      </c>
      <c r="B1991" t="s">
        <v>79</v>
      </c>
      <c r="C1991" t="s">
        <v>1220</v>
      </c>
      <c r="D1991" t="s">
        <v>81</v>
      </c>
      <c r="E1991" s="2" t="str">
        <f>HYPERLINK("capsilon://?command=openfolder&amp;siteaddress=FAM.docvelocity-na8.net&amp;folderid=FX68476497-1A07-2542-3773-3C7E47CB44FA","FX201111788")</f>
        <v>FX201111788</v>
      </c>
      <c r="F1991" t="s">
        <v>19</v>
      </c>
      <c r="G1991" t="s">
        <v>19</v>
      </c>
      <c r="H1991" t="s">
        <v>82</v>
      </c>
      <c r="I1991" t="s">
        <v>4850</v>
      </c>
      <c r="J1991">
        <v>66</v>
      </c>
      <c r="K1991" t="s">
        <v>84</v>
      </c>
      <c r="L1991" t="s">
        <v>85</v>
      </c>
      <c r="M1991" t="s">
        <v>86</v>
      </c>
      <c r="N1991">
        <v>3</v>
      </c>
      <c r="O1991" s="1">
        <v>44217.352893518517</v>
      </c>
      <c r="P1991" s="1">
        <v>44217.452638888892</v>
      </c>
      <c r="Q1991">
        <v>5146</v>
      </c>
      <c r="R1991">
        <v>3472</v>
      </c>
      <c r="S1991" t="b">
        <v>0</v>
      </c>
      <c r="T1991" t="s">
        <v>87</v>
      </c>
      <c r="U1991" t="b">
        <v>0</v>
      </c>
      <c r="V1991" t="s">
        <v>88</v>
      </c>
      <c r="W1991" s="1">
        <v>44217.372893518521</v>
      </c>
      <c r="X1991">
        <v>1580</v>
      </c>
      <c r="Y1991">
        <v>52</v>
      </c>
      <c r="Z1991">
        <v>0</v>
      </c>
      <c r="AA1991">
        <v>52</v>
      </c>
      <c r="AB1991">
        <v>0</v>
      </c>
      <c r="AC1991">
        <v>28</v>
      </c>
      <c r="AD1991">
        <v>14</v>
      </c>
      <c r="AE1991">
        <v>0</v>
      </c>
      <c r="AF1991">
        <v>0</v>
      </c>
      <c r="AG1991">
        <v>0</v>
      </c>
      <c r="AH1991" t="s">
        <v>89</v>
      </c>
      <c r="AI1991" s="1">
        <v>44217.405960648146</v>
      </c>
      <c r="AJ1991">
        <v>1615</v>
      </c>
      <c r="AK1991">
        <v>2</v>
      </c>
      <c r="AL1991">
        <v>0</v>
      </c>
      <c r="AM1991">
        <v>2</v>
      </c>
      <c r="AN1991">
        <v>0</v>
      </c>
      <c r="AO1991">
        <v>0</v>
      </c>
      <c r="AP1991">
        <v>12</v>
      </c>
      <c r="AQ1991">
        <v>0</v>
      </c>
      <c r="AR1991">
        <v>0</v>
      </c>
      <c r="AS1991">
        <v>0</v>
      </c>
      <c r="AT1991" t="s">
        <v>90</v>
      </c>
      <c r="AU1991" s="1">
        <v>44217.452638888892</v>
      </c>
      <c r="AV1991">
        <v>63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12</v>
      </c>
      <c r="BC1991">
        <v>0</v>
      </c>
      <c r="BD1991">
        <v>0</v>
      </c>
      <c r="BE1991">
        <v>0</v>
      </c>
    </row>
    <row r="1992" spans="1:57" x14ac:dyDescent="0.45">
      <c r="A1992" t="s">
        <v>4851</v>
      </c>
      <c r="B1992" t="s">
        <v>79</v>
      </c>
      <c r="C1992" t="s">
        <v>4852</v>
      </c>
      <c r="D1992" t="s">
        <v>81</v>
      </c>
      <c r="E1992" s="2" t="str">
        <f>HYPERLINK("capsilon://?command=openfolder&amp;siteaddress=FAM.docvelocity-na8.net&amp;folderid=FX69A6276F-72F1-A712-9F9F-5D0D1AAA0D50","FX201225888")</f>
        <v>FX201225888</v>
      </c>
      <c r="F1992" t="s">
        <v>19</v>
      </c>
      <c r="G1992" t="s">
        <v>19</v>
      </c>
      <c r="H1992" t="s">
        <v>82</v>
      </c>
      <c r="I1992" t="s">
        <v>4853</v>
      </c>
      <c r="J1992">
        <v>66</v>
      </c>
      <c r="K1992" t="s">
        <v>84</v>
      </c>
      <c r="L1992" t="s">
        <v>85</v>
      </c>
      <c r="M1992" t="s">
        <v>86</v>
      </c>
      <c r="N1992">
        <v>3</v>
      </c>
      <c r="O1992" s="1">
        <v>44201.440196759257</v>
      </c>
      <c r="P1992" s="1">
        <v>44201.553946759261</v>
      </c>
      <c r="Q1992">
        <v>8386</v>
      </c>
      <c r="R1992">
        <v>1442</v>
      </c>
      <c r="S1992" t="b">
        <v>0</v>
      </c>
      <c r="T1992" t="s">
        <v>87</v>
      </c>
      <c r="U1992" t="b">
        <v>0</v>
      </c>
      <c r="V1992" t="s">
        <v>142</v>
      </c>
      <c r="W1992" s="1">
        <v>44201.488206018519</v>
      </c>
      <c r="X1992">
        <v>574</v>
      </c>
      <c r="Y1992">
        <v>52</v>
      </c>
      <c r="Z1992">
        <v>0</v>
      </c>
      <c r="AA1992">
        <v>52</v>
      </c>
      <c r="AB1992">
        <v>0</v>
      </c>
      <c r="AC1992">
        <v>37</v>
      </c>
      <c r="AD1992">
        <v>14</v>
      </c>
      <c r="AE1992">
        <v>0</v>
      </c>
      <c r="AF1992">
        <v>0</v>
      </c>
      <c r="AG1992">
        <v>0</v>
      </c>
      <c r="AH1992" t="s">
        <v>128</v>
      </c>
      <c r="AI1992" s="1">
        <v>44201.543923611112</v>
      </c>
      <c r="AJ1992">
        <v>741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14</v>
      </c>
      <c r="AQ1992">
        <v>0</v>
      </c>
      <c r="AR1992">
        <v>0</v>
      </c>
      <c r="AS1992">
        <v>0</v>
      </c>
      <c r="AT1992" t="s">
        <v>90</v>
      </c>
      <c r="AU1992" s="1">
        <v>44201.553946759261</v>
      </c>
      <c r="AV1992">
        <v>127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14</v>
      </c>
      <c r="BC1992">
        <v>0</v>
      </c>
      <c r="BD1992">
        <v>0</v>
      </c>
      <c r="BE1992">
        <v>0</v>
      </c>
    </row>
    <row r="1993" spans="1:57" hidden="1" x14ac:dyDescent="0.45">
      <c r="A1993" t="s">
        <v>4854</v>
      </c>
      <c r="B1993" t="s">
        <v>79</v>
      </c>
      <c r="C1993" t="s">
        <v>4855</v>
      </c>
      <c r="D1993" t="s">
        <v>81</v>
      </c>
      <c r="E1993" s="2" t="str">
        <f>HYPERLINK("capsilon://?command=openfolder&amp;siteaddress=FAM.docvelocity-na8.net&amp;folderid=FXA747104C-CCD6-5B9B-47E3-C95085EC6812","FX20109191")</f>
        <v>FX20109191</v>
      </c>
      <c r="F1993" t="s">
        <v>19</v>
      </c>
      <c r="G1993" t="s">
        <v>19</v>
      </c>
      <c r="H1993" t="s">
        <v>82</v>
      </c>
      <c r="I1993" t="s">
        <v>4856</v>
      </c>
      <c r="J1993">
        <v>66</v>
      </c>
      <c r="K1993" t="s">
        <v>84</v>
      </c>
      <c r="L1993" t="s">
        <v>85</v>
      </c>
      <c r="M1993" t="s">
        <v>86</v>
      </c>
      <c r="N1993">
        <v>3</v>
      </c>
      <c r="O1993" s="1">
        <v>44217.371898148151</v>
      </c>
      <c r="P1993" s="1">
        <v>44217.452685185184</v>
      </c>
      <c r="Q1993">
        <v>6286</v>
      </c>
      <c r="R1993">
        <v>694</v>
      </c>
      <c r="S1993" t="b">
        <v>0</v>
      </c>
      <c r="T1993" t="s">
        <v>87</v>
      </c>
      <c r="U1993" t="b">
        <v>0</v>
      </c>
      <c r="V1993" t="s">
        <v>919</v>
      </c>
      <c r="W1993" s="1">
        <v>44217.37394675926</v>
      </c>
      <c r="X1993">
        <v>162</v>
      </c>
      <c r="Y1993">
        <v>0</v>
      </c>
      <c r="Z1993">
        <v>0</v>
      </c>
      <c r="AA1993">
        <v>0</v>
      </c>
      <c r="AB1993">
        <v>52</v>
      </c>
      <c r="AC1993">
        <v>0</v>
      </c>
      <c r="AD1993">
        <v>66</v>
      </c>
      <c r="AE1993">
        <v>0</v>
      </c>
      <c r="AF1993">
        <v>0</v>
      </c>
      <c r="AG1993">
        <v>0</v>
      </c>
      <c r="AH1993" t="s">
        <v>94</v>
      </c>
      <c r="AI1993" s="1">
        <v>44217.392824074072</v>
      </c>
      <c r="AJ1993">
        <v>529</v>
      </c>
      <c r="AK1993">
        <v>0</v>
      </c>
      <c r="AL1993">
        <v>0</v>
      </c>
      <c r="AM1993">
        <v>0</v>
      </c>
      <c r="AN1993">
        <v>52</v>
      </c>
      <c r="AO1993">
        <v>0</v>
      </c>
      <c r="AP1993">
        <v>66</v>
      </c>
      <c r="AQ1993">
        <v>0</v>
      </c>
      <c r="AR1993">
        <v>0</v>
      </c>
      <c r="AS1993">
        <v>0</v>
      </c>
      <c r="AT1993" t="s">
        <v>90</v>
      </c>
      <c r="AU1993" s="1">
        <v>44217.452685185184</v>
      </c>
      <c r="AV1993">
        <v>3</v>
      </c>
      <c r="AW1993">
        <v>0</v>
      </c>
      <c r="AX1993">
        <v>0</v>
      </c>
      <c r="AY1993">
        <v>0</v>
      </c>
      <c r="AZ1993">
        <v>52</v>
      </c>
      <c r="BA1993">
        <v>0</v>
      </c>
      <c r="BB1993">
        <v>66</v>
      </c>
      <c r="BC1993">
        <v>0</v>
      </c>
      <c r="BD1993">
        <v>0</v>
      </c>
      <c r="BE1993">
        <v>0</v>
      </c>
    </row>
    <row r="1994" spans="1:57" x14ac:dyDescent="0.45">
      <c r="A1994" t="s">
        <v>4857</v>
      </c>
      <c r="B1994" t="s">
        <v>79</v>
      </c>
      <c r="C1994" t="s">
        <v>4858</v>
      </c>
      <c r="D1994" t="s">
        <v>81</v>
      </c>
      <c r="E1994" s="2" t="str">
        <f>HYPERLINK("capsilon://?command=openfolder&amp;siteaddress=FAM.docvelocity-na8.net&amp;folderid=FX387BD856-0010-0F79-6D06-B3ABBF360D85","FX210111668")</f>
        <v>FX210111668</v>
      </c>
      <c r="F1994" t="s">
        <v>19</v>
      </c>
      <c r="G1994" t="s">
        <v>19</v>
      </c>
      <c r="H1994" t="s">
        <v>82</v>
      </c>
      <c r="I1994" t="s">
        <v>4859</v>
      </c>
      <c r="J1994">
        <v>267</v>
      </c>
      <c r="K1994" t="s">
        <v>84</v>
      </c>
      <c r="L1994" t="s">
        <v>85</v>
      </c>
      <c r="M1994" t="s">
        <v>86</v>
      </c>
      <c r="N1994">
        <v>3</v>
      </c>
      <c r="O1994" s="1">
        <v>44217.372847222221</v>
      </c>
      <c r="P1994" s="1">
        <v>44217.459386574075</v>
      </c>
      <c r="Q1994">
        <v>381</v>
      </c>
      <c r="R1994">
        <v>7096</v>
      </c>
      <c r="S1994" t="b">
        <v>0</v>
      </c>
      <c r="T1994" t="s">
        <v>87</v>
      </c>
      <c r="U1994" t="b">
        <v>0</v>
      </c>
      <c r="V1994" t="s">
        <v>88</v>
      </c>
      <c r="W1994" s="1">
        <v>44217.446539351855</v>
      </c>
      <c r="X1994">
        <v>6363</v>
      </c>
      <c r="Y1994">
        <v>212</v>
      </c>
      <c r="Z1994">
        <v>0</v>
      </c>
      <c r="AA1994">
        <v>212</v>
      </c>
      <c r="AB1994">
        <v>33</v>
      </c>
      <c r="AC1994">
        <v>139</v>
      </c>
      <c r="AD1994">
        <v>55</v>
      </c>
      <c r="AE1994">
        <v>0</v>
      </c>
      <c r="AF1994">
        <v>0</v>
      </c>
      <c r="AG1994">
        <v>0</v>
      </c>
      <c r="AH1994" t="s">
        <v>108</v>
      </c>
      <c r="AI1994" s="1">
        <v>44217.458796296298</v>
      </c>
      <c r="AJ1994">
        <v>698</v>
      </c>
      <c r="AK1994">
        <v>1</v>
      </c>
      <c r="AL1994">
        <v>0</v>
      </c>
      <c r="AM1994">
        <v>1</v>
      </c>
      <c r="AN1994">
        <v>33</v>
      </c>
      <c r="AO1994">
        <v>0</v>
      </c>
      <c r="AP1994">
        <v>54</v>
      </c>
      <c r="AQ1994">
        <v>0</v>
      </c>
      <c r="AR1994">
        <v>0</v>
      </c>
      <c r="AS1994">
        <v>0</v>
      </c>
      <c r="AT1994" t="s">
        <v>90</v>
      </c>
      <c r="AU1994" s="1">
        <v>44217.459386574075</v>
      </c>
      <c r="AV1994">
        <v>23</v>
      </c>
      <c r="AW1994">
        <v>0</v>
      </c>
      <c r="AX1994">
        <v>0</v>
      </c>
      <c r="AY1994">
        <v>0</v>
      </c>
      <c r="AZ1994">
        <v>33</v>
      </c>
      <c r="BA1994">
        <v>0</v>
      </c>
      <c r="BB1994">
        <v>54</v>
      </c>
      <c r="BC1994">
        <v>0</v>
      </c>
      <c r="BD1994">
        <v>0</v>
      </c>
      <c r="BE1994">
        <v>0</v>
      </c>
    </row>
    <row r="1995" spans="1:57" hidden="1" x14ac:dyDescent="0.45">
      <c r="A1995" t="s">
        <v>4860</v>
      </c>
      <c r="B1995" t="s">
        <v>79</v>
      </c>
      <c r="C1995" t="s">
        <v>4861</v>
      </c>
      <c r="D1995" t="s">
        <v>81</v>
      </c>
      <c r="E1995" s="2" t="str">
        <f>HYPERLINK("capsilon://?command=openfolder&amp;siteaddress=FAM.docvelocity-na8.net&amp;folderid=FX165D376F-6F73-C56C-C62E-A5CAD748EC8A","FX20122174")</f>
        <v>FX20122174</v>
      </c>
      <c r="F1995" t="s">
        <v>19</v>
      </c>
      <c r="G1995" t="s">
        <v>19</v>
      </c>
      <c r="H1995" t="s">
        <v>82</v>
      </c>
      <c r="I1995" t="s">
        <v>4862</v>
      </c>
      <c r="J1995">
        <v>66</v>
      </c>
      <c r="K1995" t="s">
        <v>84</v>
      </c>
      <c r="L1995" t="s">
        <v>85</v>
      </c>
      <c r="M1995" t="s">
        <v>86</v>
      </c>
      <c r="N1995">
        <v>3</v>
      </c>
      <c r="O1995" s="1">
        <v>44217.374780092592</v>
      </c>
      <c r="P1995" s="1">
        <v>44217.452731481484</v>
      </c>
      <c r="Q1995">
        <v>6495</v>
      </c>
      <c r="R1995">
        <v>240</v>
      </c>
      <c r="S1995" t="b">
        <v>0</v>
      </c>
      <c r="T1995" t="s">
        <v>87</v>
      </c>
      <c r="U1995" t="b">
        <v>0</v>
      </c>
      <c r="V1995" t="s">
        <v>919</v>
      </c>
      <c r="W1995" s="1">
        <v>44217.376909722225</v>
      </c>
      <c r="X1995">
        <v>173</v>
      </c>
      <c r="Y1995">
        <v>0</v>
      </c>
      <c r="Z1995">
        <v>0</v>
      </c>
      <c r="AA1995">
        <v>0</v>
      </c>
      <c r="AB1995">
        <v>52</v>
      </c>
      <c r="AC1995">
        <v>0</v>
      </c>
      <c r="AD1995">
        <v>66</v>
      </c>
      <c r="AE1995">
        <v>0</v>
      </c>
      <c r="AF1995">
        <v>0</v>
      </c>
      <c r="AG1995">
        <v>0</v>
      </c>
      <c r="AH1995" t="s">
        <v>94</v>
      </c>
      <c r="AI1995" s="1">
        <v>44217.393564814818</v>
      </c>
      <c r="AJ1995">
        <v>64</v>
      </c>
      <c r="AK1995">
        <v>0</v>
      </c>
      <c r="AL1995">
        <v>0</v>
      </c>
      <c r="AM1995">
        <v>0</v>
      </c>
      <c r="AN1995">
        <v>52</v>
      </c>
      <c r="AO1995">
        <v>0</v>
      </c>
      <c r="AP1995">
        <v>66</v>
      </c>
      <c r="AQ1995">
        <v>0</v>
      </c>
      <c r="AR1995">
        <v>0</v>
      </c>
      <c r="AS1995">
        <v>0</v>
      </c>
      <c r="AT1995" t="s">
        <v>90</v>
      </c>
      <c r="AU1995" s="1">
        <v>44217.452731481484</v>
      </c>
      <c r="AV1995">
        <v>3</v>
      </c>
      <c r="AW1995">
        <v>0</v>
      </c>
      <c r="AX1995">
        <v>0</v>
      </c>
      <c r="AY1995">
        <v>0</v>
      </c>
      <c r="AZ1995">
        <v>52</v>
      </c>
      <c r="BA1995">
        <v>0</v>
      </c>
      <c r="BB1995">
        <v>66</v>
      </c>
      <c r="BC1995">
        <v>0</v>
      </c>
      <c r="BD1995">
        <v>0</v>
      </c>
      <c r="BE1995">
        <v>0</v>
      </c>
    </row>
    <row r="1996" spans="1:57" hidden="1" x14ac:dyDescent="0.45">
      <c r="A1996" t="s">
        <v>4863</v>
      </c>
      <c r="B1996" t="s">
        <v>79</v>
      </c>
      <c r="C1996" t="s">
        <v>4090</v>
      </c>
      <c r="D1996" t="s">
        <v>81</v>
      </c>
      <c r="E1996" s="2" t="str">
        <f>HYPERLINK("capsilon://?command=openfolder&amp;siteaddress=FAM.docvelocity-na8.net&amp;folderid=FX07F1F274-556F-CA2F-73C4-CF1473FF7E0F","FX20124208")</f>
        <v>FX20124208</v>
      </c>
      <c r="F1996" t="s">
        <v>19</v>
      </c>
      <c r="G1996" t="s">
        <v>19</v>
      </c>
      <c r="H1996" t="s">
        <v>82</v>
      </c>
      <c r="I1996" t="s">
        <v>4864</v>
      </c>
      <c r="J1996">
        <v>66</v>
      </c>
      <c r="K1996" t="s">
        <v>84</v>
      </c>
      <c r="L1996" t="s">
        <v>85</v>
      </c>
      <c r="M1996" t="s">
        <v>86</v>
      </c>
      <c r="N1996">
        <v>3</v>
      </c>
      <c r="O1996" s="1">
        <v>44217.379004629627</v>
      </c>
      <c r="P1996" s="1">
        <v>44217.452777777777</v>
      </c>
      <c r="Q1996">
        <v>6050</v>
      </c>
      <c r="R1996">
        <v>324</v>
      </c>
      <c r="S1996" t="b">
        <v>0</v>
      </c>
      <c r="T1996" t="s">
        <v>87</v>
      </c>
      <c r="U1996" t="b">
        <v>0</v>
      </c>
      <c r="V1996" t="s">
        <v>919</v>
      </c>
      <c r="W1996" s="1">
        <v>44217.380752314813</v>
      </c>
      <c r="X1996">
        <v>150</v>
      </c>
      <c r="Y1996">
        <v>0</v>
      </c>
      <c r="Z1996">
        <v>0</v>
      </c>
      <c r="AA1996">
        <v>0</v>
      </c>
      <c r="AB1996">
        <v>52</v>
      </c>
      <c r="AC1996">
        <v>0</v>
      </c>
      <c r="AD1996">
        <v>66</v>
      </c>
      <c r="AE1996">
        <v>0</v>
      </c>
      <c r="AF1996">
        <v>0</v>
      </c>
      <c r="AG1996">
        <v>0</v>
      </c>
      <c r="AH1996" t="s">
        <v>94</v>
      </c>
      <c r="AI1996" s="1">
        <v>44217.395555555559</v>
      </c>
      <c r="AJ1996">
        <v>171</v>
      </c>
      <c r="AK1996">
        <v>0</v>
      </c>
      <c r="AL1996">
        <v>0</v>
      </c>
      <c r="AM1996">
        <v>0</v>
      </c>
      <c r="AN1996">
        <v>52</v>
      </c>
      <c r="AO1996">
        <v>0</v>
      </c>
      <c r="AP1996">
        <v>66</v>
      </c>
      <c r="AQ1996">
        <v>0</v>
      </c>
      <c r="AR1996">
        <v>0</v>
      </c>
      <c r="AS1996">
        <v>0</v>
      </c>
      <c r="AT1996" t="s">
        <v>90</v>
      </c>
      <c r="AU1996" s="1">
        <v>44217.452777777777</v>
      </c>
      <c r="AV1996">
        <v>3</v>
      </c>
      <c r="AW1996">
        <v>0</v>
      </c>
      <c r="AX1996">
        <v>0</v>
      </c>
      <c r="AY1996">
        <v>0</v>
      </c>
      <c r="AZ1996">
        <v>52</v>
      </c>
      <c r="BA1996">
        <v>0</v>
      </c>
      <c r="BB1996">
        <v>66</v>
      </c>
      <c r="BC1996">
        <v>0</v>
      </c>
      <c r="BD1996">
        <v>0</v>
      </c>
      <c r="BE1996">
        <v>0</v>
      </c>
    </row>
    <row r="1997" spans="1:57" x14ac:dyDescent="0.45">
      <c r="A1997" t="s">
        <v>4865</v>
      </c>
      <c r="B1997" t="s">
        <v>79</v>
      </c>
      <c r="C1997" t="s">
        <v>3215</v>
      </c>
      <c r="D1997" t="s">
        <v>81</v>
      </c>
      <c r="E1997" s="2" t="str">
        <f>HYPERLINK("capsilon://?command=openfolder&amp;siteaddress=FAM.docvelocity-na8.net&amp;folderid=FX41877318-159C-FB75-4200-00A2F268F47F","FX201228264")</f>
        <v>FX201228264</v>
      </c>
      <c r="F1997" t="s">
        <v>19</v>
      </c>
      <c r="G1997" t="s">
        <v>19</v>
      </c>
      <c r="H1997" t="s">
        <v>82</v>
      </c>
      <c r="I1997" t="s">
        <v>4866</v>
      </c>
      <c r="J1997">
        <v>43</v>
      </c>
      <c r="K1997" t="s">
        <v>84</v>
      </c>
      <c r="L1997" t="s">
        <v>85</v>
      </c>
      <c r="M1997" t="s">
        <v>86</v>
      </c>
      <c r="N1997">
        <v>3</v>
      </c>
      <c r="O1997" s="1">
        <v>44201.440810185188</v>
      </c>
      <c r="P1997" s="1">
        <v>44201.554027777776</v>
      </c>
      <c r="Q1997">
        <v>9191</v>
      </c>
      <c r="R1997">
        <v>591</v>
      </c>
      <c r="S1997" t="b">
        <v>0</v>
      </c>
      <c r="T1997" t="s">
        <v>87</v>
      </c>
      <c r="U1997" t="b">
        <v>0</v>
      </c>
      <c r="V1997" t="s">
        <v>343</v>
      </c>
      <c r="W1997" s="1">
        <v>44201.487303240741</v>
      </c>
      <c r="X1997">
        <v>457</v>
      </c>
      <c r="Y1997">
        <v>39</v>
      </c>
      <c r="Z1997">
        <v>0</v>
      </c>
      <c r="AA1997">
        <v>39</v>
      </c>
      <c r="AB1997">
        <v>0</v>
      </c>
      <c r="AC1997">
        <v>16</v>
      </c>
      <c r="AD1997">
        <v>4</v>
      </c>
      <c r="AE1997">
        <v>0</v>
      </c>
      <c r="AF1997">
        <v>0</v>
      </c>
      <c r="AG1997">
        <v>0</v>
      </c>
      <c r="AH1997" t="s">
        <v>267</v>
      </c>
      <c r="AI1997" s="1">
        <v>44201.538611111115</v>
      </c>
      <c r="AJ1997">
        <v>128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4</v>
      </c>
      <c r="AQ1997">
        <v>0</v>
      </c>
      <c r="AR1997">
        <v>0</v>
      </c>
      <c r="AS1997">
        <v>0</v>
      </c>
      <c r="AT1997" t="s">
        <v>90</v>
      </c>
      <c r="AU1997" s="1">
        <v>44201.554027777776</v>
      </c>
      <c r="AV1997">
        <v>6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4</v>
      </c>
      <c r="BC1997">
        <v>0</v>
      </c>
      <c r="BD1997">
        <v>0</v>
      </c>
      <c r="BE1997">
        <v>0</v>
      </c>
    </row>
    <row r="1998" spans="1:57" hidden="1" x14ac:dyDescent="0.45">
      <c r="A1998" t="s">
        <v>4867</v>
      </c>
      <c r="B1998" t="s">
        <v>79</v>
      </c>
      <c r="C1998" t="s">
        <v>4868</v>
      </c>
      <c r="D1998" t="s">
        <v>81</v>
      </c>
      <c r="E1998" s="2" t="str">
        <f>HYPERLINK("capsilon://?command=openfolder&amp;siteaddress=FAM.docvelocity-na8.net&amp;folderid=FX3EEB2BFF-5FF4-BCF9-A21D-8BA9952733F7","FX21019365")</f>
        <v>FX21019365</v>
      </c>
      <c r="F1998" t="s">
        <v>19</v>
      </c>
      <c r="G1998" t="s">
        <v>19</v>
      </c>
      <c r="H1998" t="s">
        <v>82</v>
      </c>
      <c r="I1998" t="s">
        <v>4869</v>
      </c>
      <c r="J1998">
        <v>187</v>
      </c>
      <c r="K1998" t="s">
        <v>84</v>
      </c>
      <c r="L1998" t="s">
        <v>85</v>
      </c>
      <c r="M1998" t="s">
        <v>86</v>
      </c>
      <c r="N1998">
        <v>1</v>
      </c>
      <c r="O1998" s="1">
        <v>44217.382662037038</v>
      </c>
      <c r="P1998" s="1">
        <v>44217.405972222223</v>
      </c>
      <c r="Q1998">
        <v>10</v>
      </c>
      <c r="R1998">
        <v>2004</v>
      </c>
      <c r="S1998" t="b">
        <v>0</v>
      </c>
      <c r="T1998" t="s">
        <v>87</v>
      </c>
      <c r="U1998" t="b">
        <v>0</v>
      </c>
      <c r="V1998" t="s">
        <v>112</v>
      </c>
      <c r="W1998" s="1">
        <v>44217.405972222223</v>
      </c>
      <c r="X1998">
        <v>1786</v>
      </c>
      <c r="Y1998">
        <v>147</v>
      </c>
      <c r="Z1998">
        <v>0</v>
      </c>
      <c r="AA1998">
        <v>147</v>
      </c>
      <c r="AB1998">
        <v>0</v>
      </c>
      <c r="AC1998">
        <v>29</v>
      </c>
      <c r="AD1998">
        <v>40</v>
      </c>
      <c r="AE1998">
        <v>22</v>
      </c>
      <c r="AF1998">
        <v>0</v>
      </c>
      <c r="AG1998">
        <v>1</v>
      </c>
      <c r="AH1998" t="s">
        <v>87</v>
      </c>
      <c r="AI1998" t="s">
        <v>87</v>
      </c>
      <c r="AJ1998" t="s">
        <v>87</v>
      </c>
      <c r="AK1998" t="s">
        <v>87</v>
      </c>
      <c r="AL1998" t="s">
        <v>87</v>
      </c>
      <c r="AM1998" t="s">
        <v>87</v>
      </c>
      <c r="AN1998" t="s">
        <v>87</v>
      </c>
      <c r="AO1998" t="s">
        <v>87</v>
      </c>
      <c r="AP1998" t="s">
        <v>87</v>
      </c>
      <c r="AQ1998" t="s">
        <v>87</v>
      </c>
      <c r="AR1998" t="s">
        <v>87</v>
      </c>
      <c r="AS1998" t="s">
        <v>87</v>
      </c>
      <c r="AT1998" t="s">
        <v>87</v>
      </c>
      <c r="AU1998" t="s">
        <v>87</v>
      </c>
      <c r="AV1998" t="s">
        <v>87</v>
      </c>
      <c r="AW1998" t="s">
        <v>87</v>
      </c>
      <c r="AX1998" t="s">
        <v>87</v>
      </c>
      <c r="AY1998" t="s">
        <v>87</v>
      </c>
      <c r="AZ1998" t="s">
        <v>87</v>
      </c>
      <c r="BA1998" t="s">
        <v>87</v>
      </c>
      <c r="BB1998" t="s">
        <v>87</v>
      </c>
      <c r="BC1998" t="s">
        <v>87</v>
      </c>
      <c r="BD1998" t="s">
        <v>87</v>
      </c>
      <c r="BE1998" t="s">
        <v>87</v>
      </c>
    </row>
    <row r="1999" spans="1:57" x14ac:dyDescent="0.45">
      <c r="A1999" t="s">
        <v>4870</v>
      </c>
      <c r="B1999" t="s">
        <v>79</v>
      </c>
      <c r="C1999" t="s">
        <v>4871</v>
      </c>
      <c r="D1999" t="s">
        <v>81</v>
      </c>
      <c r="E1999" s="2" t="str">
        <f>HYPERLINK("capsilon://?command=openfolder&amp;siteaddress=FAM.docvelocity-na8.net&amp;folderid=FX9BA5EFB7-3705-3624-44E4-E9E2B485DA8B","FX21016762")</f>
        <v>FX21016762</v>
      </c>
      <c r="F1999" t="s">
        <v>19</v>
      </c>
      <c r="G1999" t="s">
        <v>19</v>
      </c>
      <c r="H1999" t="s">
        <v>82</v>
      </c>
      <c r="I1999" t="s">
        <v>4872</v>
      </c>
      <c r="J1999">
        <v>304</v>
      </c>
      <c r="K1999" t="s">
        <v>84</v>
      </c>
      <c r="L1999" t="s">
        <v>85</v>
      </c>
      <c r="M1999" t="s">
        <v>86</v>
      </c>
      <c r="N1999">
        <v>3</v>
      </c>
      <c r="O1999" s="1">
        <v>44217.389907407407</v>
      </c>
      <c r="P1999" s="1">
        <v>44217.483541666668</v>
      </c>
      <c r="Q1999">
        <v>2203</v>
      </c>
      <c r="R1999">
        <v>5887</v>
      </c>
      <c r="S1999" t="b">
        <v>0</v>
      </c>
      <c r="T1999" t="s">
        <v>87</v>
      </c>
      <c r="U1999" t="b">
        <v>0</v>
      </c>
      <c r="V1999" t="s">
        <v>98</v>
      </c>
      <c r="W1999" s="1">
        <v>44217.444560185184</v>
      </c>
      <c r="X1999">
        <v>4698</v>
      </c>
      <c r="Y1999">
        <v>240</v>
      </c>
      <c r="Z1999">
        <v>0</v>
      </c>
      <c r="AA1999">
        <v>240</v>
      </c>
      <c r="AB1999">
        <v>74</v>
      </c>
      <c r="AC1999">
        <v>134</v>
      </c>
      <c r="AD1999">
        <v>64</v>
      </c>
      <c r="AE1999">
        <v>0</v>
      </c>
      <c r="AF1999">
        <v>0</v>
      </c>
      <c r="AG1999">
        <v>0</v>
      </c>
      <c r="AH1999" t="s">
        <v>108</v>
      </c>
      <c r="AI1999" s="1">
        <v>44217.478275462963</v>
      </c>
      <c r="AJ1999">
        <v>1165</v>
      </c>
      <c r="AK1999">
        <v>6</v>
      </c>
      <c r="AL1999">
        <v>0</v>
      </c>
      <c r="AM1999">
        <v>6</v>
      </c>
      <c r="AN1999">
        <v>74</v>
      </c>
      <c r="AO1999">
        <v>5</v>
      </c>
      <c r="AP1999">
        <v>58</v>
      </c>
      <c r="AQ1999">
        <v>0</v>
      </c>
      <c r="AR1999">
        <v>0</v>
      </c>
      <c r="AS1999">
        <v>0</v>
      </c>
      <c r="AT1999" t="s">
        <v>90</v>
      </c>
      <c r="AU1999" s="1">
        <v>44217.483541666668</v>
      </c>
      <c r="AV1999">
        <v>24</v>
      </c>
      <c r="AW1999">
        <v>0</v>
      </c>
      <c r="AX1999">
        <v>0</v>
      </c>
      <c r="AY1999">
        <v>0</v>
      </c>
      <c r="AZ1999">
        <v>74</v>
      </c>
      <c r="BA1999">
        <v>0</v>
      </c>
      <c r="BB1999">
        <v>58</v>
      </c>
      <c r="BC1999">
        <v>0</v>
      </c>
      <c r="BD1999">
        <v>0</v>
      </c>
      <c r="BE1999">
        <v>0</v>
      </c>
    </row>
    <row r="2000" spans="1:57" x14ac:dyDescent="0.45">
      <c r="A2000" t="s">
        <v>4873</v>
      </c>
      <c r="B2000" t="s">
        <v>79</v>
      </c>
      <c r="C2000" t="s">
        <v>3215</v>
      </c>
      <c r="D2000" t="s">
        <v>81</v>
      </c>
      <c r="E2000" s="2" t="str">
        <f>HYPERLINK("capsilon://?command=openfolder&amp;siteaddress=FAM.docvelocity-na8.net&amp;folderid=FX41877318-159C-FB75-4200-00A2F268F47F","FX201228264")</f>
        <v>FX201228264</v>
      </c>
      <c r="F2000" t="s">
        <v>19</v>
      </c>
      <c r="G2000" t="s">
        <v>19</v>
      </c>
      <c r="H2000" t="s">
        <v>82</v>
      </c>
      <c r="I2000" t="s">
        <v>4874</v>
      </c>
      <c r="J2000">
        <v>55</v>
      </c>
      <c r="K2000" t="s">
        <v>84</v>
      </c>
      <c r="L2000" t="s">
        <v>85</v>
      </c>
      <c r="M2000" t="s">
        <v>86</v>
      </c>
      <c r="N2000">
        <v>3</v>
      </c>
      <c r="O2000" s="1">
        <v>44201.441099537034</v>
      </c>
      <c r="P2000" s="1">
        <v>44201.554097222222</v>
      </c>
      <c r="Q2000">
        <v>9443</v>
      </c>
      <c r="R2000">
        <v>320</v>
      </c>
      <c r="S2000" t="b">
        <v>0</v>
      </c>
      <c r="T2000" t="s">
        <v>87</v>
      </c>
      <c r="U2000" t="b">
        <v>0</v>
      </c>
      <c r="V2000" t="s">
        <v>736</v>
      </c>
      <c r="W2000" s="1">
        <v>44201.485682870371</v>
      </c>
      <c r="X2000">
        <v>246</v>
      </c>
      <c r="Y2000">
        <v>39</v>
      </c>
      <c r="Z2000">
        <v>0</v>
      </c>
      <c r="AA2000">
        <v>39</v>
      </c>
      <c r="AB2000">
        <v>0</v>
      </c>
      <c r="AC2000">
        <v>14</v>
      </c>
      <c r="AD2000">
        <v>16</v>
      </c>
      <c r="AE2000">
        <v>0</v>
      </c>
      <c r="AF2000">
        <v>0</v>
      </c>
      <c r="AG2000">
        <v>0</v>
      </c>
      <c r="AH2000" t="s">
        <v>267</v>
      </c>
      <c r="AI2000" s="1">
        <v>44201.539421296293</v>
      </c>
      <c r="AJ2000">
        <v>69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16</v>
      </c>
      <c r="AQ2000">
        <v>0</v>
      </c>
      <c r="AR2000">
        <v>0</v>
      </c>
      <c r="AS2000">
        <v>0</v>
      </c>
      <c r="AT2000" t="s">
        <v>90</v>
      </c>
      <c r="AU2000" s="1">
        <v>44201.554097222222</v>
      </c>
      <c r="AV2000">
        <v>5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16</v>
      </c>
      <c r="BC2000">
        <v>0</v>
      </c>
      <c r="BD2000">
        <v>0</v>
      </c>
      <c r="BE2000">
        <v>0</v>
      </c>
    </row>
    <row r="2001" spans="1:57" x14ac:dyDescent="0.45">
      <c r="A2001" t="s">
        <v>4875</v>
      </c>
      <c r="B2001" t="s">
        <v>79</v>
      </c>
      <c r="C2001" t="s">
        <v>3215</v>
      </c>
      <c r="D2001" t="s">
        <v>81</v>
      </c>
      <c r="E2001" s="2" t="str">
        <f>HYPERLINK("capsilon://?command=openfolder&amp;siteaddress=FAM.docvelocity-na8.net&amp;folderid=FX41877318-159C-FB75-4200-00A2F268F47F","FX201228264")</f>
        <v>FX201228264</v>
      </c>
      <c r="F2001" t="s">
        <v>19</v>
      </c>
      <c r="G2001" t="s">
        <v>19</v>
      </c>
      <c r="H2001" t="s">
        <v>82</v>
      </c>
      <c r="I2001" t="s">
        <v>4876</v>
      </c>
      <c r="J2001">
        <v>55</v>
      </c>
      <c r="K2001" t="s">
        <v>84</v>
      </c>
      <c r="L2001" t="s">
        <v>85</v>
      </c>
      <c r="M2001" t="s">
        <v>86</v>
      </c>
      <c r="N2001">
        <v>3</v>
      </c>
      <c r="O2001" s="1">
        <v>44201.441724537035</v>
      </c>
      <c r="P2001" s="1">
        <v>44201.554155092592</v>
      </c>
      <c r="Q2001">
        <v>7881</v>
      </c>
      <c r="R2001">
        <v>1833</v>
      </c>
      <c r="S2001" t="b">
        <v>0</v>
      </c>
      <c r="T2001" t="s">
        <v>87</v>
      </c>
      <c r="U2001" t="b">
        <v>0</v>
      </c>
      <c r="V2001" t="s">
        <v>242</v>
      </c>
      <c r="W2001" s="1">
        <v>44201.503240740742</v>
      </c>
      <c r="X2001">
        <v>1749</v>
      </c>
      <c r="Y2001">
        <v>39</v>
      </c>
      <c r="Z2001">
        <v>0</v>
      </c>
      <c r="AA2001">
        <v>39</v>
      </c>
      <c r="AB2001">
        <v>0</v>
      </c>
      <c r="AC2001">
        <v>16</v>
      </c>
      <c r="AD2001">
        <v>16</v>
      </c>
      <c r="AE2001">
        <v>0</v>
      </c>
      <c r="AF2001">
        <v>0</v>
      </c>
      <c r="AG2001">
        <v>0</v>
      </c>
      <c r="AH2001" t="s">
        <v>267</v>
      </c>
      <c r="AI2001" s="1">
        <v>44201.540335648147</v>
      </c>
      <c r="AJ2001">
        <v>79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16</v>
      </c>
      <c r="AQ2001">
        <v>0</v>
      </c>
      <c r="AR2001">
        <v>0</v>
      </c>
      <c r="AS2001">
        <v>0</v>
      </c>
      <c r="AT2001" t="s">
        <v>90</v>
      </c>
      <c r="AU2001" s="1">
        <v>44201.554155092592</v>
      </c>
      <c r="AV2001">
        <v>5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16</v>
      </c>
      <c r="BC2001">
        <v>0</v>
      </c>
      <c r="BD2001">
        <v>0</v>
      </c>
      <c r="BE2001">
        <v>0</v>
      </c>
    </row>
    <row r="2002" spans="1:57" x14ac:dyDescent="0.45">
      <c r="A2002" t="s">
        <v>4877</v>
      </c>
      <c r="B2002" t="s">
        <v>79</v>
      </c>
      <c r="C2002" t="s">
        <v>4519</v>
      </c>
      <c r="D2002" t="s">
        <v>81</v>
      </c>
      <c r="E2002" s="2" t="str">
        <f>HYPERLINK("capsilon://?command=openfolder&amp;siteaddress=FAM.docvelocity-na8.net&amp;folderid=FXC485F9AD-F3E9-83E8-0D78-24D2E3A77ADF","FX210111404")</f>
        <v>FX210111404</v>
      </c>
      <c r="F2002" t="s">
        <v>19</v>
      </c>
      <c r="G2002" t="s">
        <v>19</v>
      </c>
      <c r="H2002" t="s">
        <v>82</v>
      </c>
      <c r="I2002" t="s">
        <v>4878</v>
      </c>
      <c r="J2002">
        <v>66</v>
      </c>
      <c r="K2002" t="s">
        <v>84</v>
      </c>
      <c r="L2002" t="s">
        <v>85</v>
      </c>
      <c r="M2002" t="s">
        <v>86</v>
      </c>
      <c r="N2002">
        <v>3</v>
      </c>
      <c r="O2002" s="1">
        <v>44217.400196759256</v>
      </c>
      <c r="P2002" s="1">
        <v>44217.453310185185</v>
      </c>
      <c r="Q2002">
        <v>2220</v>
      </c>
      <c r="R2002">
        <v>2369</v>
      </c>
      <c r="S2002" t="b">
        <v>0</v>
      </c>
      <c r="T2002" t="s">
        <v>87</v>
      </c>
      <c r="U2002" t="b">
        <v>0</v>
      </c>
      <c r="V2002" t="s">
        <v>419</v>
      </c>
      <c r="W2002" s="1">
        <v>44217.416388888887</v>
      </c>
      <c r="X2002">
        <v>1397</v>
      </c>
      <c r="Y2002">
        <v>52</v>
      </c>
      <c r="Z2002">
        <v>0</v>
      </c>
      <c r="AA2002">
        <v>52</v>
      </c>
      <c r="AB2002">
        <v>0</v>
      </c>
      <c r="AC2002">
        <v>38</v>
      </c>
      <c r="AD2002">
        <v>14</v>
      </c>
      <c r="AE2002">
        <v>0</v>
      </c>
      <c r="AF2002">
        <v>0</v>
      </c>
      <c r="AG2002">
        <v>0</v>
      </c>
      <c r="AH2002" t="s">
        <v>94</v>
      </c>
      <c r="AI2002" s="1">
        <v>44217.428773148145</v>
      </c>
      <c r="AJ2002">
        <v>927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14</v>
      </c>
      <c r="AQ2002">
        <v>0</v>
      </c>
      <c r="AR2002">
        <v>0</v>
      </c>
      <c r="AS2002">
        <v>0</v>
      </c>
      <c r="AT2002" t="s">
        <v>90</v>
      </c>
      <c r="AU2002" s="1">
        <v>44217.453310185185</v>
      </c>
      <c r="AV2002">
        <v>45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14</v>
      </c>
      <c r="BC2002">
        <v>0</v>
      </c>
      <c r="BD2002">
        <v>0</v>
      </c>
      <c r="BE2002">
        <v>0</v>
      </c>
    </row>
    <row r="2003" spans="1:57" x14ac:dyDescent="0.45">
      <c r="A2003" t="s">
        <v>4879</v>
      </c>
      <c r="B2003" t="s">
        <v>79</v>
      </c>
      <c r="C2003" t="s">
        <v>3215</v>
      </c>
      <c r="D2003" t="s">
        <v>81</v>
      </c>
      <c r="E2003" s="2" t="str">
        <f>HYPERLINK("capsilon://?command=openfolder&amp;siteaddress=FAM.docvelocity-na8.net&amp;folderid=FX41877318-159C-FB75-4200-00A2F268F47F","FX201228264")</f>
        <v>FX201228264</v>
      </c>
      <c r="F2003" t="s">
        <v>19</v>
      </c>
      <c r="G2003" t="s">
        <v>19</v>
      </c>
      <c r="H2003" t="s">
        <v>82</v>
      </c>
      <c r="I2003" t="s">
        <v>4880</v>
      </c>
      <c r="J2003">
        <v>55</v>
      </c>
      <c r="K2003" t="s">
        <v>84</v>
      </c>
      <c r="L2003" t="s">
        <v>85</v>
      </c>
      <c r="M2003" t="s">
        <v>86</v>
      </c>
      <c r="N2003">
        <v>3</v>
      </c>
      <c r="O2003" s="1">
        <v>44201.442037037035</v>
      </c>
      <c r="P2003" s="1">
        <v>44201.554212962961</v>
      </c>
      <c r="Q2003">
        <v>8880</v>
      </c>
      <c r="R2003">
        <v>812</v>
      </c>
      <c r="S2003" t="b">
        <v>0</v>
      </c>
      <c r="T2003" t="s">
        <v>87</v>
      </c>
      <c r="U2003" t="b">
        <v>0</v>
      </c>
      <c r="V2003" t="s">
        <v>266</v>
      </c>
      <c r="W2003" s="1">
        <v>44201.487372685187</v>
      </c>
      <c r="X2003">
        <v>359</v>
      </c>
      <c r="Y2003">
        <v>39</v>
      </c>
      <c r="Z2003">
        <v>0</v>
      </c>
      <c r="AA2003">
        <v>39</v>
      </c>
      <c r="AB2003">
        <v>0</v>
      </c>
      <c r="AC2003">
        <v>12</v>
      </c>
      <c r="AD2003">
        <v>16</v>
      </c>
      <c r="AE2003">
        <v>0</v>
      </c>
      <c r="AF2003">
        <v>0</v>
      </c>
      <c r="AG2003">
        <v>0</v>
      </c>
      <c r="AH2003" t="s">
        <v>89</v>
      </c>
      <c r="AI2003" s="1">
        <v>44201.544895833336</v>
      </c>
      <c r="AJ2003">
        <v>448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16</v>
      </c>
      <c r="AQ2003">
        <v>0</v>
      </c>
      <c r="AR2003">
        <v>0</v>
      </c>
      <c r="AS2003">
        <v>0</v>
      </c>
      <c r="AT2003" t="s">
        <v>90</v>
      </c>
      <c r="AU2003" s="1">
        <v>44201.554212962961</v>
      </c>
      <c r="AV2003">
        <v>5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16</v>
      </c>
      <c r="BC2003">
        <v>0</v>
      </c>
      <c r="BD2003">
        <v>0</v>
      </c>
      <c r="BE2003">
        <v>0</v>
      </c>
    </row>
    <row r="2004" spans="1:57" x14ac:dyDescent="0.45">
      <c r="A2004" t="s">
        <v>4881</v>
      </c>
      <c r="B2004" t="s">
        <v>79</v>
      </c>
      <c r="C2004" t="s">
        <v>3215</v>
      </c>
      <c r="D2004" t="s">
        <v>81</v>
      </c>
      <c r="E2004" s="2" t="str">
        <f>HYPERLINK("capsilon://?command=openfolder&amp;siteaddress=FAM.docvelocity-na8.net&amp;folderid=FX41877318-159C-FB75-4200-00A2F268F47F","FX201228264")</f>
        <v>FX201228264</v>
      </c>
      <c r="F2004" t="s">
        <v>19</v>
      </c>
      <c r="G2004" t="s">
        <v>19</v>
      </c>
      <c r="H2004" t="s">
        <v>82</v>
      </c>
      <c r="I2004" t="s">
        <v>4882</v>
      </c>
      <c r="J2004">
        <v>43</v>
      </c>
      <c r="K2004" t="s">
        <v>84</v>
      </c>
      <c r="L2004" t="s">
        <v>85</v>
      </c>
      <c r="M2004" t="s">
        <v>86</v>
      </c>
      <c r="N2004">
        <v>3</v>
      </c>
      <c r="O2004" s="1">
        <v>44201.442546296297</v>
      </c>
      <c r="P2004" s="1">
        <v>44201.554270833331</v>
      </c>
      <c r="Q2004">
        <v>9190</v>
      </c>
      <c r="R2004">
        <v>463</v>
      </c>
      <c r="S2004" t="b">
        <v>0</v>
      </c>
      <c r="T2004" t="s">
        <v>87</v>
      </c>
      <c r="U2004" t="b">
        <v>0</v>
      </c>
      <c r="V2004" t="s">
        <v>88</v>
      </c>
      <c r="W2004" s="1">
        <v>44201.487800925926</v>
      </c>
      <c r="X2004">
        <v>389</v>
      </c>
      <c r="Y2004">
        <v>39</v>
      </c>
      <c r="Z2004">
        <v>0</v>
      </c>
      <c r="AA2004">
        <v>39</v>
      </c>
      <c r="AB2004">
        <v>0</v>
      </c>
      <c r="AC2004">
        <v>15</v>
      </c>
      <c r="AD2004">
        <v>4</v>
      </c>
      <c r="AE2004">
        <v>0</v>
      </c>
      <c r="AF2004">
        <v>0</v>
      </c>
      <c r="AG2004">
        <v>0</v>
      </c>
      <c r="AH2004" t="s">
        <v>267</v>
      </c>
      <c r="AI2004" s="1">
        <v>44201.541145833333</v>
      </c>
      <c r="AJ2004">
        <v>70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4</v>
      </c>
      <c r="AQ2004">
        <v>0</v>
      </c>
      <c r="AR2004">
        <v>0</v>
      </c>
      <c r="AS2004">
        <v>0</v>
      </c>
      <c r="AT2004" t="s">
        <v>90</v>
      </c>
      <c r="AU2004" s="1">
        <v>44201.554270833331</v>
      </c>
      <c r="AV2004">
        <v>4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4</v>
      </c>
      <c r="BC2004">
        <v>0</v>
      </c>
      <c r="BD2004">
        <v>0</v>
      </c>
      <c r="BE2004">
        <v>0</v>
      </c>
    </row>
    <row r="2005" spans="1:57" x14ac:dyDescent="0.45">
      <c r="A2005" t="s">
        <v>4883</v>
      </c>
      <c r="B2005" t="s">
        <v>79</v>
      </c>
      <c r="C2005" t="s">
        <v>4868</v>
      </c>
      <c r="D2005" t="s">
        <v>81</v>
      </c>
      <c r="E2005" s="2" t="str">
        <f>HYPERLINK("capsilon://?command=openfolder&amp;siteaddress=FAM.docvelocity-na8.net&amp;folderid=FX3EEB2BFF-5FF4-BCF9-A21D-8BA9952733F7","FX21019365")</f>
        <v>FX21019365</v>
      </c>
      <c r="F2005" t="s">
        <v>19</v>
      </c>
      <c r="G2005" t="s">
        <v>19</v>
      </c>
      <c r="H2005" t="s">
        <v>82</v>
      </c>
      <c r="I2005" t="s">
        <v>4869</v>
      </c>
      <c r="J2005">
        <v>31</v>
      </c>
      <c r="K2005" t="s">
        <v>84</v>
      </c>
      <c r="L2005" t="s">
        <v>85</v>
      </c>
      <c r="M2005" t="s">
        <v>86</v>
      </c>
      <c r="N2005">
        <v>3</v>
      </c>
      <c r="O2005" s="1">
        <v>44217.406493055554</v>
      </c>
      <c r="P2005" s="1">
        <v>44217.482557870368</v>
      </c>
      <c r="Q2005">
        <v>706</v>
      </c>
      <c r="R2005">
        <v>5866</v>
      </c>
      <c r="S2005" t="b">
        <v>0</v>
      </c>
      <c r="T2005" t="s">
        <v>87</v>
      </c>
      <c r="U2005" t="b">
        <v>1</v>
      </c>
      <c r="V2005" t="s">
        <v>112</v>
      </c>
      <c r="W2005" s="1">
        <v>44217.451678240737</v>
      </c>
      <c r="X2005">
        <v>3903</v>
      </c>
      <c r="Y2005">
        <v>94</v>
      </c>
      <c r="Z2005">
        <v>0</v>
      </c>
      <c r="AA2005">
        <v>94</v>
      </c>
      <c r="AB2005">
        <v>64</v>
      </c>
      <c r="AC2005">
        <v>100</v>
      </c>
      <c r="AD2005">
        <v>-63</v>
      </c>
      <c r="AE2005">
        <v>0</v>
      </c>
      <c r="AF2005">
        <v>0</v>
      </c>
      <c r="AG2005">
        <v>0</v>
      </c>
      <c r="AH2005" t="s">
        <v>89</v>
      </c>
      <c r="AI2005" s="1">
        <v>44217.482256944444</v>
      </c>
      <c r="AJ2005">
        <v>1911</v>
      </c>
      <c r="AK2005">
        <v>1</v>
      </c>
      <c r="AL2005">
        <v>0</v>
      </c>
      <c r="AM2005">
        <v>1</v>
      </c>
      <c r="AN2005">
        <v>64</v>
      </c>
      <c r="AO2005">
        <v>0</v>
      </c>
      <c r="AP2005">
        <v>-64</v>
      </c>
      <c r="AQ2005">
        <v>0</v>
      </c>
      <c r="AR2005">
        <v>0</v>
      </c>
      <c r="AS2005">
        <v>0</v>
      </c>
      <c r="AT2005" t="s">
        <v>90</v>
      </c>
      <c r="AU2005" s="1">
        <v>44217.482557870368</v>
      </c>
      <c r="AV2005">
        <v>19</v>
      </c>
      <c r="AW2005">
        <v>0</v>
      </c>
      <c r="AX2005">
        <v>0</v>
      </c>
      <c r="AY2005">
        <v>0</v>
      </c>
      <c r="AZ2005">
        <v>64</v>
      </c>
      <c r="BA2005">
        <v>0</v>
      </c>
      <c r="BB2005">
        <v>-64</v>
      </c>
      <c r="BC2005">
        <v>0</v>
      </c>
      <c r="BD2005">
        <v>0</v>
      </c>
      <c r="BE2005">
        <v>0</v>
      </c>
    </row>
    <row r="2006" spans="1:57" x14ac:dyDescent="0.45">
      <c r="A2006" t="s">
        <v>4884</v>
      </c>
      <c r="B2006" t="s">
        <v>79</v>
      </c>
      <c r="C2006" t="s">
        <v>4885</v>
      </c>
      <c r="D2006" t="s">
        <v>81</v>
      </c>
      <c r="E2006" s="2" t="str">
        <f>HYPERLINK("capsilon://?command=openfolder&amp;siteaddress=FAM.docvelocity-na8.net&amp;folderid=FX3FEFF788-46C2-DBDD-A3D2-784250AF4938","FX201221498")</f>
        <v>FX201221498</v>
      </c>
      <c r="F2006" t="s">
        <v>19</v>
      </c>
      <c r="G2006" t="s">
        <v>19</v>
      </c>
      <c r="H2006" t="s">
        <v>82</v>
      </c>
      <c r="I2006" t="s">
        <v>4886</v>
      </c>
      <c r="J2006">
        <v>66</v>
      </c>
      <c r="K2006" t="s">
        <v>84</v>
      </c>
      <c r="L2006" t="s">
        <v>85</v>
      </c>
      <c r="M2006" t="s">
        <v>86</v>
      </c>
      <c r="N2006">
        <v>3</v>
      </c>
      <c r="O2006" s="1">
        <v>44217.406782407408</v>
      </c>
      <c r="P2006" s="1">
        <v>44217.453865740739</v>
      </c>
      <c r="Q2006">
        <v>2704</v>
      </c>
      <c r="R2006">
        <v>1364</v>
      </c>
      <c r="S2006" t="b">
        <v>0</v>
      </c>
      <c r="T2006" t="s">
        <v>87</v>
      </c>
      <c r="U2006" t="b">
        <v>0</v>
      </c>
      <c r="V2006" t="s">
        <v>919</v>
      </c>
      <c r="W2006" s="1">
        <v>44217.41778935185</v>
      </c>
      <c r="X2006">
        <v>950</v>
      </c>
      <c r="Y2006">
        <v>62</v>
      </c>
      <c r="Z2006">
        <v>0</v>
      </c>
      <c r="AA2006">
        <v>62</v>
      </c>
      <c r="AB2006">
        <v>0</v>
      </c>
      <c r="AC2006">
        <v>6</v>
      </c>
      <c r="AD2006">
        <v>4</v>
      </c>
      <c r="AE2006">
        <v>0</v>
      </c>
      <c r="AF2006">
        <v>0</v>
      </c>
      <c r="AG2006">
        <v>0</v>
      </c>
      <c r="AH2006" t="s">
        <v>108</v>
      </c>
      <c r="AI2006" s="1">
        <v>44217.422326388885</v>
      </c>
      <c r="AJ2006">
        <v>366</v>
      </c>
      <c r="AK2006">
        <v>1</v>
      </c>
      <c r="AL2006">
        <v>0</v>
      </c>
      <c r="AM2006">
        <v>1</v>
      </c>
      <c r="AN2006">
        <v>0</v>
      </c>
      <c r="AO2006">
        <v>0</v>
      </c>
      <c r="AP2006">
        <v>3</v>
      </c>
      <c r="AQ2006">
        <v>0</v>
      </c>
      <c r="AR2006">
        <v>0</v>
      </c>
      <c r="AS2006">
        <v>0</v>
      </c>
      <c r="AT2006" t="s">
        <v>90</v>
      </c>
      <c r="AU2006" s="1">
        <v>44217.453865740739</v>
      </c>
      <c r="AV2006">
        <v>48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3</v>
      </c>
      <c r="BC2006">
        <v>0</v>
      </c>
      <c r="BD2006">
        <v>0</v>
      </c>
      <c r="BE2006">
        <v>0</v>
      </c>
    </row>
    <row r="2007" spans="1:57" x14ac:dyDescent="0.45">
      <c r="A2007" t="s">
        <v>4887</v>
      </c>
      <c r="B2007" t="s">
        <v>79</v>
      </c>
      <c r="C2007" t="s">
        <v>3215</v>
      </c>
      <c r="D2007" t="s">
        <v>81</v>
      </c>
      <c r="E2007" s="2" t="str">
        <f>HYPERLINK("capsilon://?command=openfolder&amp;siteaddress=FAM.docvelocity-na8.net&amp;folderid=FX41877318-159C-FB75-4200-00A2F268F47F","FX201228264")</f>
        <v>FX201228264</v>
      </c>
      <c r="F2007" t="s">
        <v>19</v>
      </c>
      <c r="G2007" t="s">
        <v>19</v>
      </c>
      <c r="H2007" t="s">
        <v>82</v>
      </c>
      <c r="I2007" t="s">
        <v>4888</v>
      </c>
      <c r="J2007">
        <v>55</v>
      </c>
      <c r="K2007" t="s">
        <v>84</v>
      </c>
      <c r="L2007" t="s">
        <v>85</v>
      </c>
      <c r="M2007" t="s">
        <v>86</v>
      </c>
      <c r="N2007">
        <v>3</v>
      </c>
      <c r="O2007" s="1">
        <v>44201.442962962959</v>
      </c>
      <c r="P2007" s="1">
        <v>44201.554328703707</v>
      </c>
      <c r="Q2007">
        <v>9115</v>
      </c>
      <c r="R2007">
        <v>507</v>
      </c>
      <c r="S2007" t="b">
        <v>0</v>
      </c>
      <c r="T2007" t="s">
        <v>87</v>
      </c>
      <c r="U2007" t="b">
        <v>0</v>
      </c>
      <c r="V2007" t="s">
        <v>262</v>
      </c>
      <c r="W2007" s="1">
        <v>44201.489050925928</v>
      </c>
      <c r="X2007">
        <v>414</v>
      </c>
      <c r="Y2007">
        <v>39</v>
      </c>
      <c r="Z2007">
        <v>0</v>
      </c>
      <c r="AA2007">
        <v>39</v>
      </c>
      <c r="AB2007">
        <v>0</v>
      </c>
      <c r="AC2007">
        <v>15</v>
      </c>
      <c r="AD2007">
        <v>16</v>
      </c>
      <c r="AE2007">
        <v>0</v>
      </c>
      <c r="AF2007">
        <v>0</v>
      </c>
      <c r="AG2007">
        <v>0</v>
      </c>
      <c r="AH2007" t="s">
        <v>267</v>
      </c>
      <c r="AI2007" s="1">
        <v>44201.542187500003</v>
      </c>
      <c r="AJ2007">
        <v>89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16</v>
      </c>
      <c r="AQ2007">
        <v>0</v>
      </c>
      <c r="AR2007">
        <v>0</v>
      </c>
      <c r="AS2007">
        <v>0</v>
      </c>
      <c r="AT2007" t="s">
        <v>90</v>
      </c>
      <c r="AU2007" s="1">
        <v>44201.554328703707</v>
      </c>
      <c r="AV2007">
        <v>4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16</v>
      </c>
      <c r="BC2007">
        <v>0</v>
      </c>
      <c r="BD2007">
        <v>0</v>
      </c>
      <c r="BE2007">
        <v>0</v>
      </c>
    </row>
    <row r="2008" spans="1:57" x14ac:dyDescent="0.45">
      <c r="A2008" t="s">
        <v>4889</v>
      </c>
      <c r="B2008" t="s">
        <v>79</v>
      </c>
      <c r="C2008" t="s">
        <v>4890</v>
      </c>
      <c r="D2008" t="s">
        <v>81</v>
      </c>
      <c r="E2008" s="2" t="str">
        <f>HYPERLINK("capsilon://?command=openfolder&amp;siteaddress=FAM.docvelocity-na8.net&amp;folderid=FXB576C2E6-E384-FC83-CA0F-957A934317FA","FX210112718")</f>
        <v>FX210112718</v>
      </c>
      <c r="F2008" t="s">
        <v>19</v>
      </c>
      <c r="G2008" t="s">
        <v>19</v>
      </c>
      <c r="H2008" t="s">
        <v>82</v>
      </c>
      <c r="I2008" t="s">
        <v>4891</v>
      </c>
      <c r="J2008">
        <v>298</v>
      </c>
      <c r="K2008" t="s">
        <v>84</v>
      </c>
      <c r="L2008" t="s">
        <v>85</v>
      </c>
      <c r="M2008" t="s">
        <v>86</v>
      </c>
      <c r="N2008">
        <v>3</v>
      </c>
      <c r="O2008" s="1">
        <v>44217.409942129627</v>
      </c>
      <c r="P2008" s="1">
        <v>44217.489004629628</v>
      </c>
      <c r="Q2008">
        <v>2993</v>
      </c>
      <c r="R2008">
        <v>3838</v>
      </c>
      <c r="S2008" t="b">
        <v>0</v>
      </c>
      <c r="T2008" t="s">
        <v>87</v>
      </c>
      <c r="U2008" t="b">
        <v>0</v>
      </c>
      <c r="V2008" t="s">
        <v>105</v>
      </c>
      <c r="W2008" s="1">
        <v>44217.44121527778</v>
      </c>
      <c r="X2008">
        <v>2694</v>
      </c>
      <c r="Y2008">
        <v>198</v>
      </c>
      <c r="Z2008">
        <v>0</v>
      </c>
      <c r="AA2008">
        <v>198</v>
      </c>
      <c r="AB2008">
        <v>0</v>
      </c>
      <c r="AC2008">
        <v>108</v>
      </c>
      <c r="AD2008">
        <v>100</v>
      </c>
      <c r="AE2008">
        <v>0</v>
      </c>
      <c r="AF2008">
        <v>0</v>
      </c>
      <c r="AG2008">
        <v>0</v>
      </c>
      <c r="AH2008" t="s">
        <v>132</v>
      </c>
      <c r="AI2008" s="1">
        <v>44217.473379629628</v>
      </c>
      <c r="AJ2008">
        <v>672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100</v>
      </c>
      <c r="AQ2008">
        <v>0</v>
      </c>
      <c r="AR2008">
        <v>0</v>
      </c>
      <c r="AS2008">
        <v>0</v>
      </c>
      <c r="AT2008" t="s">
        <v>90</v>
      </c>
      <c r="AU2008" s="1">
        <v>44217.489004629628</v>
      </c>
      <c r="AV2008">
        <v>472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100</v>
      </c>
      <c r="BC2008">
        <v>0</v>
      </c>
      <c r="BD2008">
        <v>0</v>
      </c>
      <c r="BE2008">
        <v>0</v>
      </c>
    </row>
    <row r="2009" spans="1:57" hidden="1" x14ac:dyDescent="0.45">
      <c r="A2009" t="s">
        <v>4892</v>
      </c>
      <c r="B2009" t="s">
        <v>79</v>
      </c>
      <c r="C2009" t="s">
        <v>2442</v>
      </c>
      <c r="D2009" t="s">
        <v>81</v>
      </c>
      <c r="E2009" s="2" t="str">
        <f>HYPERLINK("capsilon://?command=openfolder&amp;siteaddress=FAM.docvelocity-na8.net&amp;folderid=FX5C80F088-4075-7E83-16D4-3574838A0413","FX201115916")</f>
        <v>FX201115916</v>
      </c>
      <c r="F2009" t="s">
        <v>19</v>
      </c>
      <c r="G2009" t="s">
        <v>19</v>
      </c>
      <c r="H2009" t="s">
        <v>82</v>
      </c>
      <c r="I2009" t="s">
        <v>4893</v>
      </c>
      <c r="J2009">
        <v>66</v>
      </c>
      <c r="K2009" t="s">
        <v>84</v>
      </c>
      <c r="L2009" t="s">
        <v>85</v>
      </c>
      <c r="M2009" t="s">
        <v>86</v>
      </c>
      <c r="N2009">
        <v>3</v>
      </c>
      <c r="O2009" s="1">
        <v>44201.443229166667</v>
      </c>
      <c r="P2009" s="1">
        <v>44201.554375</v>
      </c>
      <c r="Q2009">
        <v>9488</v>
      </c>
      <c r="R2009">
        <v>115</v>
      </c>
      <c r="S2009" t="b">
        <v>0</v>
      </c>
      <c r="T2009" t="s">
        <v>87</v>
      </c>
      <c r="U2009" t="b">
        <v>0</v>
      </c>
      <c r="V2009" t="s">
        <v>736</v>
      </c>
      <c r="W2009" s="1">
        <v>44201.486620370371</v>
      </c>
      <c r="X2009">
        <v>80</v>
      </c>
      <c r="Y2009">
        <v>0</v>
      </c>
      <c r="Z2009">
        <v>0</v>
      </c>
      <c r="AA2009">
        <v>0</v>
      </c>
      <c r="AB2009">
        <v>52</v>
      </c>
      <c r="AC2009">
        <v>0</v>
      </c>
      <c r="AD2009">
        <v>66</v>
      </c>
      <c r="AE2009">
        <v>0</v>
      </c>
      <c r="AF2009">
        <v>0</v>
      </c>
      <c r="AG2009">
        <v>0</v>
      </c>
      <c r="AH2009" t="s">
        <v>267</v>
      </c>
      <c r="AI2009" s="1">
        <v>44201.542569444442</v>
      </c>
      <c r="AJ2009">
        <v>32</v>
      </c>
      <c r="AK2009">
        <v>0</v>
      </c>
      <c r="AL2009">
        <v>0</v>
      </c>
      <c r="AM2009">
        <v>0</v>
      </c>
      <c r="AN2009">
        <v>52</v>
      </c>
      <c r="AO2009">
        <v>0</v>
      </c>
      <c r="AP2009">
        <v>66</v>
      </c>
      <c r="AQ2009">
        <v>0</v>
      </c>
      <c r="AR2009">
        <v>0</v>
      </c>
      <c r="AS2009">
        <v>0</v>
      </c>
      <c r="AT2009" t="s">
        <v>90</v>
      </c>
      <c r="AU2009" s="1">
        <v>44201.554375</v>
      </c>
      <c r="AV2009">
        <v>3</v>
      </c>
      <c r="AW2009">
        <v>0</v>
      </c>
      <c r="AX2009">
        <v>0</v>
      </c>
      <c r="AY2009">
        <v>0</v>
      </c>
      <c r="AZ2009">
        <v>52</v>
      </c>
      <c r="BA2009">
        <v>0</v>
      </c>
      <c r="BB2009">
        <v>66</v>
      </c>
      <c r="BC2009">
        <v>0</v>
      </c>
      <c r="BD2009">
        <v>0</v>
      </c>
      <c r="BE2009">
        <v>0</v>
      </c>
    </row>
    <row r="2010" spans="1:57" x14ac:dyDescent="0.45">
      <c r="A2010" t="s">
        <v>4894</v>
      </c>
      <c r="B2010" t="s">
        <v>79</v>
      </c>
      <c r="C2010" t="s">
        <v>3215</v>
      </c>
      <c r="D2010" t="s">
        <v>81</v>
      </c>
      <c r="E2010" s="2" t="str">
        <f>HYPERLINK("capsilon://?command=openfolder&amp;siteaddress=FAM.docvelocity-na8.net&amp;folderid=FX41877318-159C-FB75-4200-00A2F268F47F","FX201228264")</f>
        <v>FX201228264</v>
      </c>
      <c r="F2010" t="s">
        <v>19</v>
      </c>
      <c r="G2010" t="s">
        <v>19</v>
      </c>
      <c r="H2010" t="s">
        <v>82</v>
      </c>
      <c r="I2010" t="s">
        <v>4895</v>
      </c>
      <c r="J2010">
        <v>55</v>
      </c>
      <c r="K2010" t="s">
        <v>84</v>
      </c>
      <c r="L2010" t="s">
        <v>85</v>
      </c>
      <c r="M2010" t="s">
        <v>86</v>
      </c>
      <c r="N2010">
        <v>3</v>
      </c>
      <c r="O2010" s="1">
        <v>44201.443506944444</v>
      </c>
      <c r="P2010" s="1">
        <v>44201.554513888892</v>
      </c>
      <c r="Q2010">
        <v>9174</v>
      </c>
      <c r="R2010">
        <v>417</v>
      </c>
      <c r="S2010" t="b">
        <v>0</v>
      </c>
      <c r="T2010" t="s">
        <v>87</v>
      </c>
      <c r="U2010" t="b">
        <v>0</v>
      </c>
      <c r="V2010" t="s">
        <v>736</v>
      </c>
      <c r="W2010" s="1">
        <v>44201.489930555559</v>
      </c>
      <c r="X2010">
        <v>285</v>
      </c>
      <c r="Y2010">
        <v>39</v>
      </c>
      <c r="Z2010">
        <v>0</v>
      </c>
      <c r="AA2010">
        <v>39</v>
      </c>
      <c r="AB2010">
        <v>0</v>
      </c>
      <c r="AC2010">
        <v>5</v>
      </c>
      <c r="AD2010">
        <v>16</v>
      </c>
      <c r="AE2010">
        <v>0</v>
      </c>
      <c r="AF2010">
        <v>0</v>
      </c>
      <c r="AG2010">
        <v>0</v>
      </c>
      <c r="AH2010" t="s">
        <v>267</v>
      </c>
      <c r="AI2010" s="1">
        <v>44201.543981481482</v>
      </c>
      <c r="AJ2010">
        <v>121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16</v>
      </c>
      <c r="AQ2010">
        <v>0</v>
      </c>
      <c r="AR2010">
        <v>0</v>
      </c>
      <c r="AS2010">
        <v>0</v>
      </c>
      <c r="AT2010" t="s">
        <v>90</v>
      </c>
      <c r="AU2010" s="1">
        <v>44201.554513888892</v>
      </c>
      <c r="AV2010">
        <v>11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16</v>
      </c>
      <c r="BC2010">
        <v>0</v>
      </c>
      <c r="BD2010">
        <v>0</v>
      </c>
      <c r="BE2010">
        <v>0</v>
      </c>
    </row>
    <row r="2011" spans="1:57" x14ac:dyDescent="0.45">
      <c r="A2011" t="s">
        <v>4896</v>
      </c>
      <c r="B2011" t="s">
        <v>79</v>
      </c>
      <c r="C2011" t="s">
        <v>4897</v>
      </c>
      <c r="D2011" t="s">
        <v>81</v>
      </c>
      <c r="E2011" s="2" t="str">
        <f>HYPERLINK("capsilon://?command=openfolder&amp;siteaddress=FAM.docvelocity-na8.net&amp;folderid=FXB7F2670E-DF5F-A996-275D-D621385E4A34","FX21019441")</f>
        <v>FX21019441</v>
      </c>
      <c r="F2011" t="s">
        <v>19</v>
      </c>
      <c r="G2011" t="s">
        <v>19</v>
      </c>
      <c r="H2011" t="s">
        <v>82</v>
      </c>
      <c r="I2011" t="s">
        <v>4898</v>
      </c>
      <c r="J2011">
        <v>207</v>
      </c>
      <c r="K2011" t="s">
        <v>84</v>
      </c>
      <c r="L2011" t="s">
        <v>85</v>
      </c>
      <c r="M2011" t="s">
        <v>86</v>
      </c>
      <c r="N2011">
        <v>3</v>
      </c>
      <c r="O2011" s="1">
        <v>44217.416979166665</v>
      </c>
      <c r="P2011" s="1">
        <v>44217.535636574074</v>
      </c>
      <c r="Q2011">
        <v>1083</v>
      </c>
      <c r="R2011">
        <v>9169</v>
      </c>
      <c r="S2011" t="b">
        <v>0</v>
      </c>
      <c r="T2011" t="s">
        <v>87</v>
      </c>
      <c r="U2011" t="b">
        <v>0</v>
      </c>
      <c r="V2011" t="s">
        <v>419</v>
      </c>
      <c r="W2011" s="1">
        <v>44217.512650462966</v>
      </c>
      <c r="X2011">
        <v>7555</v>
      </c>
      <c r="Y2011">
        <v>297</v>
      </c>
      <c r="Z2011">
        <v>0</v>
      </c>
      <c r="AA2011">
        <v>297</v>
      </c>
      <c r="AB2011">
        <v>0</v>
      </c>
      <c r="AC2011">
        <v>253</v>
      </c>
      <c r="AD2011">
        <v>-90</v>
      </c>
      <c r="AE2011">
        <v>0</v>
      </c>
      <c r="AF2011">
        <v>0</v>
      </c>
      <c r="AG2011">
        <v>0</v>
      </c>
      <c r="AH2011" t="s">
        <v>267</v>
      </c>
      <c r="AI2011" s="1">
        <v>44217.533807870372</v>
      </c>
      <c r="AJ2011">
        <v>1425</v>
      </c>
      <c r="AK2011">
        <v>5</v>
      </c>
      <c r="AL2011">
        <v>0</v>
      </c>
      <c r="AM2011">
        <v>5</v>
      </c>
      <c r="AN2011">
        <v>0</v>
      </c>
      <c r="AO2011">
        <v>5</v>
      </c>
      <c r="AP2011">
        <v>-95</v>
      </c>
      <c r="AQ2011">
        <v>0</v>
      </c>
      <c r="AR2011">
        <v>0</v>
      </c>
      <c r="AS2011">
        <v>0</v>
      </c>
      <c r="AT2011" t="s">
        <v>90</v>
      </c>
      <c r="AU2011" s="1">
        <v>44217.535636574074</v>
      </c>
      <c r="AV2011">
        <v>27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-95</v>
      </c>
      <c r="BC2011">
        <v>0</v>
      </c>
      <c r="BD2011">
        <v>0</v>
      </c>
      <c r="BE2011">
        <v>0</v>
      </c>
    </row>
    <row r="2012" spans="1:57" x14ac:dyDescent="0.45">
      <c r="A2012" t="s">
        <v>4899</v>
      </c>
      <c r="B2012" t="s">
        <v>79</v>
      </c>
      <c r="C2012" t="s">
        <v>4900</v>
      </c>
      <c r="D2012" t="s">
        <v>81</v>
      </c>
      <c r="E2012" s="2" t="str">
        <f>HYPERLINK("capsilon://?command=openfolder&amp;siteaddress=FAM.docvelocity-na8.net&amp;folderid=FXF154EFCD-3A22-703D-B04B-AA91CE5F9A8F","FX21011134")</f>
        <v>FX21011134</v>
      </c>
      <c r="F2012" t="s">
        <v>19</v>
      </c>
      <c r="G2012" t="s">
        <v>19</v>
      </c>
      <c r="H2012" t="s">
        <v>82</v>
      </c>
      <c r="I2012" t="s">
        <v>4901</v>
      </c>
      <c r="J2012">
        <v>190</v>
      </c>
      <c r="K2012" t="s">
        <v>84</v>
      </c>
      <c r="L2012" t="s">
        <v>85</v>
      </c>
      <c r="M2012" t="s">
        <v>86</v>
      </c>
      <c r="N2012">
        <v>3</v>
      </c>
      <c r="O2012" s="1">
        <v>44201.444340277776</v>
      </c>
      <c r="P2012" s="1">
        <v>44201.55673611111</v>
      </c>
      <c r="Q2012">
        <v>7252</v>
      </c>
      <c r="R2012">
        <v>2459</v>
      </c>
      <c r="S2012" t="b">
        <v>0</v>
      </c>
      <c r="T2012" t="s">
        <v>87</v>
      </c>
      <c r="U2012" t="b">
        <v>0</v>
      </c>
      <c r="V2012" t="s">
        <v>343</v>
      </c>
      <c r="W2012" s="1">
        <v>44201.504629629628</v>
      </c>
      <c r="X2012">
        <v>1496</v>
      </c>
      <c r="Y2012">
        <v>149</v>
      </c>
      <c r="Z2012">
        <v>0</v>
      </c>
      <c r="AA2012">
        <v>149</v>
      </c>
      <c r="AB2012">
        <v>37</v>
      </c>
      <c r="AC2012">
        <v>90</v>
      </c>
      <c r="AD2012">
        <v>41</v>
      </c>
      <c r="AE2012">
        <v>0</v>
      </c>
      <c r="AF2012">
        <v>0</v>
      </c>
      <c r="AG2012">
        <v>0</v>
      </c>
      <c r="AH2012" t="s">
        <v>128</v>
      </c>
      <c r="AI2012" s="1">
        <v>44201.552870370368</v>
      </c>
      <c r="AJ2012">
        <v>772</v>
      </c>
      <c r="AK2012">
        <v>5</v>
      </c>
      <c r="AL2012">
        <v>0</v>
      </c>
      <c r="AM2012">
        <v>5</v>
      </c>
      <c r="AN2012">
        <v>37</v>
      </c>
      <c r="AO2012">
        <v>5</v>
      </c>
      <c r="AP2012">
        <v>36</v>
      </c>
      <c r="AQ2012">
        <v>0</v>
      </c>
      <c r="AR2012">
        <v>0</v>
      </c>
      <c r="AS2012">
        <v>0</v>
      </c>
      <c r="AT2012" t="s">
        <v>90</v>
      </c>
      <c r="AU2012" s="1">
        <v>44201.55673611111</v>
      </c>
      <c r="AV2012">
        <v>191</v>
      </c>
      <c r="AW2012">
        <v>0</v>
      </c>
      <c r="AX2012">
        <v>0</v>
      </c>
      <c r="AY2012">
        <v>0</v>
      </c>
      <c r="AZ2012">
        <v>37</v>
      </c>
      <c r="BA2012">
        <v>0</v>
      </c>
      <c r="BB2012">
        <v>36</v>
      </c>
      <c r="BC2012">
        <v>0</v>
      </c>
      <c r="BD2012">
        <v>0</v>
      </c>
      <c r="BE2012">
        <v>0</v>
      </c>
    </row>
    <row r="2013" spans="1:57" x14ac:dyDescent="0.45">
      <c r="A2013" t="s">
        <v>4902</v>
      </c>
      <c r="B2013" t="s">
        <v>79</v>
      </c>
      <c r="C2013" t="s">
        <v>637</v>
      </c>
      <c r="D2013" t="s">
        <v>81</v>
      </c>
      <c r="E2013" s="2" t="str">
        <f>HYPERLINK("capsilon://?command=openfolder&amp;siteaddress=FAM.docvelocity-na8.net&amp;folderid=FX5F8FECF5-45EC-9467-38C9-D73234213B25","FX21012113")</f>
        <v>FX21012113</v>
      </c>
      <c r="F2013" t="s">
        <v>19</v>
      </c>
      <c r="G2013" t="s">
        <v>19</v>
      </c>
      <c r="H2013" t="s">
        <v>82</v>
      </c>
      <c r="I2013" t="s">
        <v>4903</v>
      </c>
      <c r="J2013">
        <v>26</v>
      </c>
      <c r="K2013" t="s">
        <v>84</v>
      </c>
      <c r="L2013" t="s">
        <v>85</v>
      </c>
      <c r="M2013" t="s">
        <v>86</v>
      </c>
      <c r="N2013">
        <v>3</v>
      </c>
      <c r="O2013" s="1">
        <v>44217.419930555552</v>
      </c>
      <c r="P2013" s="1">
        <v>44217.489062499997</v>
      </c>
      <c r="Q2013">
        <v>5475</v>
      </c>
      <c r="R2013">
        <v>498</v>
      </c>
      <c r="S2013" t="b">
        <v>0</v>
      </c>
      <c r="T2013" t="s">
        <v>87</v>
      </c>
      <c r="U2013" t="b">
        <v>0</v>
      </c>
      <c r="V2013" t="s">
        <v>146</v>
      </c>
      <c r="W2013" s="1">
        <v>44217.440324074072</v>
      </c>
      <c r="X2013">
        <v>385</v>
      </c>
      <c r="Y2013">
        <v>21</v>
      </c>
      <c r="Z2013">
        <v>0</v>
      </c>
      <c r="AA2013">
        <v>21</v>
      </c>
      <c r="AB2013">
        <v>0</v>
      </c>
      <c r="AC2013">
        <v>7</v>
      </c>
      <c r="AD2013">
        <v>5</v>
      </c>
      <c r="AE2013">
        <v>0</v>
      </c>
      <c r="AF2013">
        <v>0</v>
      </c>
      <c r="AG2013">
        <v>0</v>
      </c>
      <c r="AH2013" t="s">
        <v>132</v>
      </c>
      <c r="AI2013" s="1">
        <v>44217.474456018521</v>
      </c>
      <c r="AJ2013">
        <v>92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5</v>
      </c>
      <c r="AQ2013">
        <v>0</v>
      </c>
      <c r="AR2013">
        <v>0</v>
      </c>
      <c r="AS2013">
        <v>0</v>
      </c>
      <c r="AT2013" t="s">
        <v>90</v>
      </c>
      <c r="AU2013" s="1">
        <v>44217.489062499997</v>
      </c>
      <c r="AV2013">
        <v>5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5</v>
      </c>
      <c r="BC2013">
        <v>0</v>
      </c>
      <c r="BD2013">
        <v>0</v>
      </c>
      <c r="BE2013">
        <v>0</v>
      </c>
    </row>
    <row r="2014" spans="1:57" x14ac:dyDescent="0.45">
      <c r="A2014" t="s">
        <v>4904</v>
      </c>
      <c r="B2014" t="s">
        <v>79</v>
      </c>
      <c r="C2014" t="s">
        <v>3215</v>
      </c>
      <c r="D2014" t="s">
        <v>81</v>
      </c>
      <c r="E2014" s="2" t="str">
        <f>HYPERLINK("capsilon://?command=openfolder&amp;siteaddress=FAM.docvelocity-na8.net&amp;folderid=FX41877318-159C-FB75-4200-00A2F268F47F","FX201228264")</f>
        <v>FX201228264</v>
      </c>
      <c r="F2014" t="s">
        <v>19</v>
      </c>
      <c r="G2014" t="s">
        <v>19</v>
      </c>
      <c r="H2014" t="s">
        <v>82</v>
      </c>
      <c r="I2014" t="s">
        <v>4905</v>
      </c>
      <c r="J2014">
        <v>55</v>
      </c>
      <c r="K2014" t="s">
        <v>84</v>
      </c>
      <c r="L2014" t="s">
        <v>85</v>
      </c>
      <c r="M2014" t="s">
        <v>86</v>
      </c>
      <c r="N2014">
        <v>3</v>
      </c>
      <c r="O2014" s="1">
        <v>44201.444363425922</v>
      </c>
      <c r="P2014" s="1">
        <v>44201.556793981479</v>
      </c>
      <c r="Q2014">
        <v>9394</v>
      </c>
      <c r="R2014">
        <v>320</v>
      </c>
      <c r="S2014" t="b">
        <v>0</v>
      </c>
      <c r="T2014" t="s">
        <v>87</v>
      </c>
      <c r="U2014" t="b">
        <v>0</v>
      </c>
      <c r="V2014" t="s">
        <v>266</v>
      </c>
      <c r="W2014" s="1">
        <v>44201.490266203706</v>
      </c>
      <c r="X2014">
        <v>249</v>
      </c>
      <c r="Y2014">
        <v>39</v>
      </c>
      <c r="Z2014">
        <v>0</v>
      </c>
      <c r="AA2014">
        <v>39</v>
      </c>
      <c r="AB2014">
        <v>0</v>
      </c>
      <c r="AC2014">
        <v>12</v>
      </c>
      <c r="AD2014">
        <v>16</v>
      </c>
      <c r="AE2014">
        <v>0</v>
      </c>
      <c r="AF2014">
        <v>0</v>
      </c>
      <c r="AG2014">
        <v>0</v>
      </c>
      <c r="AH2014" t="s">
        <v>267</v>
      </c>
      <c r="AI2014" s="1">
        <v>44201.544756944444</v>
      </c>
      <c r="AJ2014">
        <v>66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16</v>
      </c>
      <c r="AQ2014">
        <v>0</v>
      </c>
      <c r="AR2014">
        <v>0</v>
      </c>
      <c r="AS2014">
        <v>0</v>
      </c>
      <c r="AT2014" t="s">
        <v>90</v>
      </c>
      <c r="AU2014" s="1">
        <v>44201.556793981479</v>
      </c>
      <c r="AV2014">
        <v>5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16</v>
      </c>
      <c r="BC2014">
        <v>0</v>
      </c>
      <c r="BD2014">
        <v>0</v>
      </c>
      <c r="BE2014">
        <v>0</v>
      </c>
    </row>
    <row r="2015" spans="1:57" x14ac:dyDescent="0.45">
      <c r="A2015" t="s">
        <v>4906</v>
      </c>
      <c r="B2015" t="s">
        <v>79</v>
      </c>
      <c r="C2015" t="s">
        <v>4130</v>
      </c>
      <c r="D2015" t="s">
        <v>81</v>
      </c>
      <c r="E2015" s="2" t="str">
        <f>HYPERLINK("capsilon://?command=openfolder&amp;siteaddress=FAM.docvelocity-na8.net&amp;folderid=FX976B85FF-6DD7-85B6-CD55-A144491992C6","FX21018076")</f>
        <v>FX21018076</v>
      </c>
      <c r="F2015" t="s">
        <v>19</v>
      </c>
      <c r="G2015" t="s">
        <v>19</v>
      </c>
      <c r="H2015" t="s">
        <v>82</v>
      </c>
      <c r="I2015" t="s">
        <v>4907</v>
      </c>
      <c r="J2015">
        <v>66</v>
      </c>
      <c r="K2015" t="s">
        <v>84</v>
      </c>
      <c r="L2015" t="s">
        <v>85</v>
      </c>
      <c r="M2015" t="s">
        <v>86</v>
      </c>
      <c r="N2015">
        <v>3</v>
      </c>
      <c r="O2015" s="1">
        <v>44217.426261574074</v>
      </c>
      <c r="P2015" s="1">
        <v>44217.493368055555</v>
      </c>
      <c r="Q2015">
        <v>3677</v>
      </c>
      <c r="R2015">
        <v>2121</v>
      </c>
      <c r="S2015" t="b">
        <v>0</v>
      </c>
      <c r="T2015" t="s">
        <v>87</v>
      </c>
      <c r="U2015" t="b">
        <v>0</v>
      </c>
      <c r="V2015" t="s">
        <v>919</v>
      </c>
      <c r="W2015" s="1">
        <v>44217.454189814816</v>
      </c>
      <c r="X2015">
        <v>1574</v>
      </c>
      <c r="Y2015">
        <v>52</v>
      </c>
      <c r="Z2015">
        <v>0</v>
      </c>
      <c r="AA2015">
        <v>52</v>
      </c>
      <c r="AB2015">
        <v>0</v>
      </c>
      <c r="AC2015">
        <v>18</v>
      </c>
      <c r="AD2015">
        <v>14</v>
      </c>
      <c r="AE2015">
        <v>0</v>
      </c>
      <c r="AF2015">
        <v>0</v>
      </c>
      <c r="AG2015">
        <v>0</v>
      </c>
      <c r="AH2015" t="s">
        <v>132</v>
      </c>
      <c r="AI2015" s="1">
        <v>44217.476504629631</v>
      </c>
      <c r="AJ2015">
        <v>176</v>
      </c>
      <c r="AK2015">
        <v>2</v>
      </c>
      <c r="AL2015">
        <v>0</v>
      </c>
      <c r="AM2015">
        <v>2</v>
      </c>
      <c r="AN2015">
        <v>0</v>
      </c>
      <c r="AO2015">
        <v>1</v>
      </c>
      <c r="AP2015">
        <v>12</v>
      </c>
      <c r="AQ2015">
        <v>0</v>
      </c>
      <c r="AR2015">
        <v>0</v>
      </c>
      <c r="AS2015">
        <v>0</v>
      </c>
      <c r="AT2015" t="s">
        <v>90</v>
      </c>
      <c r="AU2015" s="1">
        <v>44217.493368055555</v>
      </c>
      <c r="AV2015">
        <v>371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12</v>
      </c>
      <c r="BC2015">
        <v>0</v>
      </c>
      <c r="BD2015">
        <v>0</v>
      </c>
      <c r="BE2015">
        <v>0</v>
      </c>
    </row>
    <row r="2016" spans="1:57" x14ac:dyDescent="0.45">
      <c r="A2016" t="s">
        <v>4908</v>
      </c>
      <c r="B2016" t="s">
        <v>79</v>
      </c>
      <c r="C2016" t="s">
        <v>4909</v>
      </c>
      <c r="D2016" t="s">
        <v>81</v>
      </c>
      <c r="E2016" s="2" t="str">
        <f>HYPERLINK("capsilon://?command=openfolder&amp;siteaddress=FAM.docvelocity-na8.net&amp;folderid=FX62508729-5D64-3EA3-06A6-7DFF6EFE2EB9","FX21019570")</f>
        <v>FX21019570</v>
      </c>
      <c r="F2016" t="s">
        <v>19</v>
      </c>
      <c r="G2016" t="s">
        <v>19</v>
      </c>
      <c r="H2016" t="s">
        <v>82</v>
      </c>
      <c r="I2016" t="s">
        <v>4910</v>
      </c>
      <c r="J2016">
        <v>526</v>
      </c>
      <c r="K2016" t="s">
        <v>84</v>
      </c>
      <c r="L2016" t="s">
        <v>85</v>
      </c>
      <c r="M2016" t="s">
        <v>86</v>
      </c>
      <c r="N2016">
        <v>3</v>
      </c>
      <c r="O2016" s="1">
        <v>44217.428460648145</v>
      </c>
      <c r="P2016" s="1">
        <v>44217.676481481481</v>
      </c>
      <c r="Q2016">
        <v>7643</v>
      </c>
      <c r="R2016">
        <v>13786</v>
      </c>
      <c r="S2016" t="b">
        <v>0</v>
      </c>
      <c r="T2016" t="s">
        <v>87</v>
      </c>
      <c r="U2016" t="b">
        <v>0</v>
      </c>
      <c r="V2016" t="s">
        <v>171</v>
      </c>
      <c r="W2016" s="1">
        <v>44217.563252314816</v>
      </c>
      <c r="X2016">
        <v>10620</v>
      </c>
      <c r="Y2016">
        <v>643</v>
      </c>
      <c r="Z2016">
        <v>0</v>
      </c>
      <c r="AA2016">
        <v>643</v>
      </c>
      <c r="AB2016">
        <v>74</v>
      </c>
      <c r="AC2016">
        <v>577</v>
      </c>
      <c r="AD2016">
        <v>-117</v>
      </c>
      <c r="AE2016">
        <v>0</v>
      </c>
      <c r="AF2016">
        <v>0</v>
      </c>
      <c r="AG2016">
        <v>0</v>
      </c>
      <c r="AH2016" t="s">
        <v>267</v>
      </c>
      <c r="AI2016" s="1">
        <v>44217.598946759259</v>
      </c>
      <c r="AJ2016">
        <v>2943</v>
      </c>
      <c r="AK2016">
        <v>2</v>
      </c>
      <c r="AL2016">
        <v>0</v>
      </c>
      <c r="AM2016">
        <v>2</v>
      </c>
      <c r="AN2016">
        <v>37</v>
      </c>
      <c r="AO2016">
        <v>2</v>
      </c>
      <c r="AP2016">
        <v>-119</v>
      </c>
      <c r="AQ2016">
        <v>0</v>
      </c>
      <c r="AR2016">
        <v>0</v>
      </c>
      <c r="AS2016">
        <v>0</v>
      </c>
      <c r="AT2016" t="s">
        <v>549</v>
      </c>
      <c r="AU2016" s="1">
        <v>44217.676481481481</v>
      </c>
      <c r="AV2016">
        <v>177</v>
      </c>
      <c r="AW2016">
        <v>0</v>
      </c>
      <c r="AX2016">
        <v>0</v>
      </c>
      <c r="AY2016">
        <v>0</v>
      </c>
      <c r="AZ2016">
        <v>37</v>
      </c>
      <c r="BA2016">
        <v>0</v>
      </c>
      <c r="BB2016">
        <v>-119</v>
      </c>
      <c r="BC2016">
        <v>0</v>
      </c>
      <c r="BD2016">
        <v>0</v>
      </c>
      <c r="BE2016">
        <v>0</v>
      </c>
    </row>
    <row r="2017" spans="1:57" hidden="1" x14ac:dyDescent="0.45">
      <c r="A2017" t="s">
        <v>4911</v>
      </c>
      <c r="B2017" t="s">
        <v>79</v>
      </c>
      <c r="C2017" t="s">
        <v>4912</v>
      </c>
      <c r="D2017" t="s">
        <v>81</v>
      </c>
      <c r="E2017" s="2" t="str">
        <f>HYPERLINK("capsilon://?command=openfolder&amp;siteaddress=FAM.docvelocity-na8.net&amp;folderid=FX6306865F-1F14-F1A0-11E4-638F3036D58A","FX210112423")</f>
        <v>FX210112423</v>
      </c>
      <c r="F2017" t="s">
        <v>19</v>
      </c>
      <c r="G2017" t="s">
        <v>19</v>
      </c>
      <c r="H2017" t="s">
        <v>82</v>
      </c>
      <c r="I2017" t="s">
        <v>4913</v>
      </c>
      <c r="J2017">
        <v>240</v>
      </c>
      <c r="K2017" t="s">
        <v>84</v>
      </c>
      <c r="L2017" t="s">
        <v>85</v>
      </c>
      <c r="M2017" t="s">
        <v>86</v>
      </c>
      <c r="N2017">
        <v>1</v>
      </c>
      <c r="O2017" s="1">
        <v>44217.43005787037</v>
      </c>
      <c r="P2017" s="1">
        <v>44217.496192129627</v>
      </c>
      <c r="Q2017">
        <v>1102</v>
      </c>
      <c r="R2017">
        <v>4612</v>
      </c>
      <c r="S2017" t="b">
        <v>0</v>
      </c>
      <c r="T2017" t="s">
        <v>87</v>
      </c>
      <c r="U2017" t="b">
        <v>0</v>
      </c>
      <c r="V2017" t="s">
        <v>343</v>
      </c>
      <c r="W2017" s="1">
        <v>44217.496192129627</v>
      </c>
      <c r="X2017">
        <v>1389</v>
      </c>
      <c r="Y2017">
        <v>72</v>
      </c>
      <c r="Z2017">
        <v>0</v>
      </c>
      <c r="AA2017">
        <v>72</v>
      </c>
      <c r="AB2017">
        <v>142</v>
      </c>
      <c r="AC2017">
        <v>1</v>
      </c>
      <c r="AD2017">
        <v>168</v>
      </c>
      <c r="AE2017">
        <v>71</v>
      </c>
      <c r="AF2017">
        <v>0</v>
      </c>
      <c r="AG2017">
        <v>3</v>
      </c>
      <c r="AH2017" t="s">
        <v>87</v>
      </c>
      <c r="AI2017" t="s">
        <v>87</v>
      </c>
      <c r="AJ2017" t="s">
        <v>87</v>
      </c>
      <c r="AK2017" t="s">
        <v>87</v>
      </c>
      <c r="AL2017" t="s">
        <v>87</v>
      </c>
      <c r="AM2017" t="s">
        <v>87</v>
      </c>
      <c r="AN2017" t="s">
        <v>87</v>
      </c>
      <c r="AO2017" t="s">
        <v>87</v>
      </c>
      <c r="AP2017" t="s">
        <v>87</v>
      </c>
      <c r="AQ2017" t="s">
        <v>87</v>
      </c>
      <c r="AR2017" t="s">
        <v>87</v>
      </c>
      <c r="AS2017" t="s">
        <v>87</v>
      </c>
      <c r="AT2017" t="s">
        <v>87</v>
      </c>
      <c r="AU2017" t="s">
        <v>87</v>
      </c>
      <c r="AV2017" t="s">
        <v>87</v>
      </c>
      <c r="AW2017" t="s">
        <v>87</v>
      </c>
      <c r="AX2017" t="s">
        <v>87</v>
      </c>
      <c r="AY2017" t="s">
        <v>87</v>
      </c>
      <c r="AZ2017" t="s">
        <v>87</v>
      </c>
      <c r="BA2017" t="s">
        <v>87</v>
      </c>
      <c r="BB2017" t="s">
        <v>87</v>
      </c>
      <c r="BC2017" t="s">
        <v>87</v>
      </c>
      <c r="BD2017" t="s">
        <v>87</v>
      </c>
      <c r="BE2017" t="s">
        <v>87</v>
      </c>
    </row>
    <row r="2018" spans="1:57" hidden="1" x14ac:dyDescent="0.45">
      <c r="A2018" t="s">
        <v>4914</v>
      </c>
      <c r="B2018" t="s">
        <v>79</v>
      </c>
      <c r="C2018" t="s">
        <v>2375</v>
      </c>
      <c r="D2018" t="s">
        <v>81</v>
      </c>
      <c r="E2018" s="2" t="str">
        <f>HYPERLINK("capsilon://?command=openfolder&amp;siteaddress=FAM.docvelocity-na8.net&amp;folderid=FXBD9E2A42-4FC0-6C33-0968-62724F269A30","FX20127789")</f>
        <v>FX20127789</v>
      </c>
      <c r="F2018" t="s">
        <v>19</v>
      </c>
      <c r="G2018" t="s">
        <v>19</v>
      </c>
      <c r="H2018" t="s">
        <v>82</v>
      </c>
      <c r="I2018" t="s">
        <v>4915</v>
      </c>
      <c r="J2018">
        <v>66</v>
      </c>
      <c r="K2018" t="s">
        <v>84</v>
      </c>
      <c r="L2018" t="s">
        <v>85</v>
      </c>
      <c r="M2018" t="s">
        <v>86</v>
      </c>
      <c r="N2018">
        <v>3</v>
      </c>
      <c r="O2018" s="1">
        <v>44217.432152777779</v>
      </c>
      <c r="P2018" s="1">
        <v>44217.493402777778</v>
      </c>
      <c r="Q2018">
        <v>5105</v>
      </c>
      <c r="R2018">
        <v>187</v>
      </c>
      <c r="S2018" t="b">
        <v>0</v>
      </c>
      <c r="T2018" t="s">
        <v>87</v>
      </c>
      <c r="U2018" t="b">
        <v>0</v>
      </c>
      <c r="V2018" t="s">
        <v>179</v>
      </c>
      <c r="W2018" s="1">
        <v>44217.443414351852</v>
      </c>
      <c r="X2018">
        <v>148</v>
      </c>
      <c r="Y2018">
        <v>0</v>
      </c>
      <c r="Z2018">
        <v>0</v>
      </c>
      <c r="AA2018">
        <v>0</v>
      </c>
      <c r="AB2018">
        <v>52</v>
      </c>
      <c r="AC2018">
        <v>0</v>
      </c>
      <c r="AD2018">
        <v>66</v>
      </c>
      <c r="AE2018">
        <v>0</v>
      </c>
      <c r="AF2018">
        <v>0</v>
      </c>
      <c r="AG2018">
        <v>0</v>
      </c>
      <c r="AH2018" t="s">
        <v>132</v>
      </c>
      <c r="AI2018" s="1">
        <v>44217.47693287037</v>
      </c>
      <c r="AJ2018">
        <v>36</v>
      </c>
      <c r="AK2018">
        <v>0</v>
      </c>
      <c r="AL2018">
        <v>0</v>
      </c>
      <c r="AM2018">
        <v>0</v>
      </c>
      <c r="AN2018">
        <v>52</v>
      </c>
      <c r="AO2018">
        <v>0</v>
      </c>
      <c r="AP2018">
        <v>66</v>
      </c>
      <c r="AQ2018">
        <v>0</v>
      </c>
      <c r="AR2018">
        <v>0</v>
      </c>
      <c r="AS2018">
        <v>0</v>
      </c>
      <c r="AT2018" t="s">
        <v>90</v>
      </c>
      <c r="AU2018" s="1">
        <v>44217.493402777778</v>
      </c>
      <c r="AV2018">
        <v>3</v>
      </c>
      <c r="AW2018">
        <v>0</v>
      </c>
      <c r="AX2018">
        <v>0</v>
      </c>
      <c r="AY2018">
        <v>0</v>
      </c>
      <c r="AZ2018">
        <v>52</v>
      </c>
      <c r="BA2018">
        <v>0</v>
      </c>
      <c r="BB2018">
        <v>66</v>
      </c>
      <c r="BC2018">
        <v>0</v>
      </c>
      <c r="BD2018">
        <v>0</v>
      </c>
      <c r="BE2018">
        <v>0</v>
      </c>
    </row>
    <row r="2019" spans="1:57" x14ac:dyDescent="0.45">
      <c r="A2019" t="s">
        <v>4916</v>
      </c>
      <c r="B2019" t="s">
        <v>79</v>
      </c>
      <c r="C2019" t="s">
        <v>4917</v>
      </c>
      <c r="D2019" t="s">
        <v>81</v>
      </c>
      <c r="E2019" s="2" t="str">
        <f>HYPERLINK("capsilon://?command=openfolder&amp;siteaddress=FAM.docvelocity-na8.net&amp;folderid=FXCF985B09-006F-3EAF-DFA5-819DA7FF2B33","FX21011124")</f>
        <v>FX21011124</v>
      </c>
      <c r="F2019" t="s">
        <v>19</v>
      </c>
      <c r="G2019" t="s">
        <v>19</v>
      </c>
      <c r="H2019" t="s">
        <v>82</v>
      </c>
      <c r="I2019" t="s">
        <v>4918</v>
      </c>
      <c r="J2019">
        <v>446</v>
      </c>
      <c r="K2019" t="s">
        <v>84</v>
      </c>
      <c r="L2019" t="s">
        <v>85</v>
      </c>
      <c r="M2019" t="s">
        <v>86</v>
      </c>
      <c r="N2019">
        <v>3</v>
      </c>
      <c r="O2019" s="1">
        <v>44201.446574074071</v>
      </c>
      <c r="P2019" s="1">
        <v>44201.570185185185</v>
      </c>
      <c r="Q2019">
        <v>6200</v>
      </c>
      <c r="R2019">
        <v>4480</v>
      </c>
      <c r="S2019" t="b">
        <v>0</v>
      </c>
      <c r="T2019" t="s">
        <v>87</v>
      </c>
      <c r="U2019" t="b">
        <v>0</v>
      </c>
      <c r="V2019" t="s">
        <v>88</v>
      </c>
      <c r="W2019" s="1">
        <v>44201.514062499999</v>
      </c>
      <c r="X2019">
        <v>2268</v>
      </c>
      <c r="Y2019">
        <v>328</v>
      </c>
      <c r="Z2019">
        <v>0</v>
      </c>
      <c r="AA2019">
        <v>328</v>
      </c>
      <c r="AB2019">
        <v>0</v>
      </c>
      <c r="AC2019">
        <v>108</v>
      </c>
      <c r="AD2019">
        <v>118</v>
      </c>
      <c r="AE2019">
        <v>0</v>
      </c>
      <c r="AF2019">
        <v>0</v>
      </c>
      <c r="AG2019">
        <v>0</v>
      </c>
      <c r="AH2019" t="s">
        <v>94</v>
      </c>
      <c r="AI2019" s="1">
        <v>44201.569432870368</v>
      </c>
      <c r="AJ2019">
        <v>2177</v>
      </c>
      <c r="AK2019">
        <v>0</v>
      </c>
      <c r="AL2019">
        <v>0</v>
      </c>
      <c r="AM2019">
        <v>0</v>
      </c>
      <c r="AN2019">
        <v>0</v>
      </c>
      <c r="AO2019">
        <v>3</v>
      </c>
      <c r="AP2019">
        <v>118</v>
      </c>
      <c r="AQ2019">
        <v>0</v>
      </c>
      <c r="AR2019">
        <v>0</v>
      </c>
      <c r="AS2019">
        <v>0</v>
      </c>
      <c r="AT2019" t="s">
        <v>90</v>
      </c>
      <c r="AU2019" s="1">
        <v>44201.570185185185</v>
      </c>
      <c r="AV2019">
        <v>35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118</v>
      </c>
      <c r="BC2019">
        <v>0</v>
      </c>
      <c r="BD2019">
        <v>0</v>
      </c>
      <c r="BE2019">
        <v>0</v>
      </c>
    </row>
    <row r="2020" spans="1:57" hidden="1" x14ac:dyDescent="0.45">
      <c r="A2020" t="s">
        <v>4919</v>
      </c>
      <c r="B2020" t="s">
        <v>79</v>
      </c>
      <c r="C2020" t="s">
        <v>860</v>
      </c>
      <c r="D2020" t="s">
        <v>81</v>
      </c>
      <c r="E2020" s="2" t="str">
        <f>HYPERLINK("capsilon://?command=openfolder&amp;siteaddress=FAM.docvelocity-na8.net&amp;folderid=FX48C27D9D-F061-736A-B308-A28705A383F0","FX201115439")</f>
        <v>FX201115439</v>
      </c>
      <c r="F2020" t="s">
        <v>19</v>
      </c>
      <c r="G2020" t="s">
        <v>19</v>
      </c>
      <c r="H2020" t="s">
        <v>82</v>
      </c>
      <c r="I2020" t="s">
        <v>4920</v>
      </c>
      <c r="J2020">
        <v>66</v>
      </c>
      <c r="K2020" t="s">
        <v>84</v>
      </c>
      <c r="L2020" t="s">
        <v>85</v>
      </c>
      <c r="M2020" t="s">
        <v>86</v>
      </c>
      <c r="N2020">
        <v>3</v>
      </c>
      <c r="O2020" s="1">
        <v>44217.432384259257</v>
      </c>
      <c r="P2020" s="1">
        <v>44217.493460648147</v>
      </c>
      <c r="Q2020">
        <v>5071</v>
      </c>
      <c r="R2020">
        <v>206</v>
      </c>
      <c r="S2020" t="b">
        <v>0</v>
      </c>
      <c r="T2020" t="s">
        <v>87</v>
      </c>
      <c r="U2020" t="b">
        <v>0</v>
      </c>
      <c r="V2020" t="s">
        <v>179</v>
      </c>
      <c r="W2020" s="1">
        <v>44217.4453125</v>
      </c>
      <c r="X2020">
        <v>163</v>
      </c>
      <c r="Y2020">
        <v>0</v>
      </c>
      <c r="Z2020">
        <v>0</v>
      </c>
      <c r="AA2020">
        <v>0</v>
      </c>
      <c r="AB2020">
        <v>52</v>
      </c>
      <c r="AC2020">
        <v>0</v>
      </c>
      <c r="AD2020">
        <v>66</v>
      </c>
      <c r="AE2020">
        <v>0</v>
      </c>
      <c r="AF2020">
        <v>0</v>
      </c>
      <c r="AG2020">
        <v>0</v>
      </c>
      <c r="AH2020" t="s">
        <v>132</v>
      </c>
      <c r="AI2020" s="1">
        <v>44217.477384259262</v>
      </c>
      <c r="AJ2020">
        <v>39</v>
      </c>
      <c r="AK2020">
        <v>0</v>
      </c>
      <c r="AL2020">
        <v>0</v>
      </c>
      <c r="AM2020">
        <v>0</v>
      </c>
      <c r="AN2020">
        <v>52</v>
      </c>
      <c r="AO2020">
        <v>0</v>
      </c>
      <c r="AP2020">
        <v>66</v>
      </c>
      <c r="AQ2020">
        <v>0</v>
      </c>
      <c r="AR2020">
        <v>0</v>
      </c>
      <c r="AS2020">
        <v>0</v>
      </c>
      <c r="AT2020" t="s">
        <v>90</v>
      </c>
      <c r="AU2020" s="1">
        <v>44217.493460648147</v>
      </c>
      <c r="AV2020">
        <v>4</v>
      </c>
      <c r="AW2020">
        <v>0</v>
      </c>
      <c r="AX2020">
        <v>0</v>
      </c>
      <c r="AY2020">
        <v>0</v>
      </c>
      <c r="AZ2020">
        <v>52</v>
      </c>
      <c r="BA2020">
        <v>0</v>
      </c>
      <c r="BB2020">
        <v>66</v>
      </c>
      <c r="BC2020">
        <v>0</v>
      </c>
      <c r="BD2020">
        <v>0</v>
      </c>
      <c r="BE2020">
        <v>0</v>
      </c>
    </row>
    <row r="2021" spans="1:57" x14ac:dyDescent="0.45">
      <c r="A2021" t="s">
        <v>4921</v>
      </c>
      <c r="B2021" t="s">
        <v>79</v>
      </c>
      <c r="C2021" t="s">
        <v>4922</v>
      </c>
      <c r="D2021" t="s">
        <v>81</v>
      </c>
      <c r="E2021" s="2" t="str">
        <f>HYPERLINK("capsilon://?command=openfolder&amp;siteaddress=FAM.docvelocity-na8.net&amp;folderid=FXD45E6307-0DF0-6698-328B-A22E052EBB51","FX21018360")</f>
        <v>FX21018360</v>
      </c>
      <c r="F2021" t="s">
        <v>19</v>
      </c>
      <c r="G2021" t="s">
        <v>19</v>
      </c>
      <c r="H2021" t="s">
        <v>82</v>
      </c>
      <c r="I2021" t="s">
        <v>4923</v>
      </c>
      <c r="J2021">
        <v>190</v>
      </c>
      <c r="K2021" t="s">
        <v>84</v>
      </c>
      <c r="L2021" t="s">
        <v>85</v>
      </c>
      <c r="M2021" t="s">
        <v>86</v>
      </c>
      <c r="N2021">
        <v>3</v>
      </c>
      <c r="O2021" s="1">
        <v>44217.432789351849</v>
      </c>
      <c r="P2021" s="1">
        <v>44217.533194444448</v>
      </c>
      <c r="Q2021">
        <v>3162</v>
      </c>
      <c r="R2021">
        <v>5513</v>
      </c>
      <c r="S2021" t="b">
        <v>0</v>
      </c>
      <c r="T2021" t="s">
        <v>87</v>
      </c>
      <c r="U2021" t="b">
        <v>0</v>
      </c>
      <c r="V2021" t="s">
        <v>98</v>
      </c>
      <c r="W2021" s="1">
        <v>44217.501400462963</v>
      </c>
      <c r="X2021">
        <v>4910</v>
      </c>
      <c r="Y2021">
        <v>192</v>
      </c>
      <c r="Z2021">
        <v>0</v>
      </c>
      <c r="AA2021">
        <v>192</v>
      </c>
      <c r="AB2021">
        <v>0</v>
      </c>
      <c r="AC2021">
        <v>162</v>
      </c>
      <c r="AD2021">
        <v>-2</v>
      </c>
      <c r="AE2021">
        <v>0</v>
      </c>
      <c r="AF2021">
        <v>0</v>
      </c>
      <c r="AG2021">
        <v>0</v>
      </c>
      <c r="AH2021" t="s">
        <v>132</v>
      </c>
      <c r="AI2021" s="1">
        <v>44217.510694444441</v>
      </c>
      <c r="AJ2021">
        <v>577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-2</v>
      </c>
      <c r="AQ2021">
        <v>0</v>
      </c>
      <c r="AR2021">
        <v>0</v>
      </c>
      <c r="AS2021">
        <v>0</v>
      </c>
      <c r="AT2021" t="s">
        <v>90</v>
      </c>
      <c r="AU2021" s="1">
        <v>44217.533194444448</v>
      </c>
      <c r="AV2021">
        <v>26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-2</v>
      </c>
      <c r="BC2021">
        <v>0</v>
      </c>
      <c r="BD2021">
        <v>0</v>
      </c>
      <c r="BE2021">
        <v>0</v>
      </c>
    </row>
    <row r="2022" spans="1:57" x14ac:dyDescent="0.45">
      <c r="A2022" t="s">
        <v>4924</v>
      </c>
      <c r="B2022" t="s">
        <v>79</v>
      </c>
      <c r="C2022" t="s">
        <v>4925</v>
      </c>
      <c r="D2022" t="s">
        <v>81</v>
      </c>
      <c r="E2022" s="2" t="str">
        <f>HYPERLINK("capsilon://?command=openfolder&amp;siteaddress=FAM.docvelocity-na8.net&amp;folderid=FXE94DB6C8-6278-DE91-FF65-78223B39E78A","FX21018667")</f>
        <v>FX21018667</v>
      </c>
      <c r="F2022" t="s">
        <v>19</v>
      </c>
      <c r="G2022" t="s">
        <v>19</v>
      </c>
      <c r="H2022" t="s">
        <v>82</v>
      </c>
      <c r="I2022" t="s">
        <v>4926</v>
      </c>
      <c r="J2022">
        <v>181</v>
      </c>
      <c r="K2022" t="s">
        <v>84</v>
      </c>
      <c r="L2022" t="s">
        <v>85</v>
      </c>
      <c r="M2022" t="s">
        <v>86</v>
      </c>
      <c r="N2022">
        <v>3</v>
      </c>
      <c r="O2022" s="1">
        <v>44217.43377314815</v>
      </c>
      <c r="P2022" s="1">
        <v>44217.494062500002</v>
      </c>
      <c r="Q2022">
        <v>2818</v>
      </c>
      <c r="R2022">
        <v>2391</v>
      </c>
      <c r="S2022" t="b">
        <v>0</v>
      </c>
      <c r="T2022" t="s">
        <v>87</v>
      </c>
      <c r="U2022" t="b">
        <v>0</v>
      </c>
      <c r="V2022" t="s">
        <v>179</v>
      </c>
      <c r="W2022" s="1">
        <v>44217.469293981485</v>
      </c>
      <c r="X2022">
        <v>1989</v>
      </c>
      <c r="Y2022">
        <v>171</v>
      </c>
      <c r="Z2022">
        <v>0</v>
      </c>
      <c r="AA2022">
        <v>171</v>
      </c>
      <c r="AB2022">
        <v>0</v>
      </c>
      <c r="AC2022">
        <v>90</v>
      </c>
      <c r="AD2022">
        <v>10</v>
      </c>
      <c r="AE2022">
        <v>0</v>
      </c>
      <c r="AF2022">
        <v>0</v>
      </c>
      <c r="AG2022">
        <v>0</v>
      </c>
      <c r="AH2022" t="s">
        <v>132</v>
      </c>
      <c r="AI2022" s="1">
        <v>44217.483958333331</v>
      </c>
      <c r="AJ2022">
        <v>270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10</v>
      </c>
      <c r="AQ2022">
        <v>0</v>
      </c>
      <c r="AR2022">
        <v>0</v>
      </c>
      <c r="AS2022">
        <v>0</v>
      </c>
      <c r="AT2022" t="s">
        <v>90</v>
      </c>
      <c r="AU2022" s="1">
        <v>44217.494062500002</v>
      </c>
      <c r="AV2022">
        <v>51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10</v>
      </c>
      <c r="BC2022">
        <v>0</v>
      </c>
      <c r="BD2022">
        <v>0</v>
      </c>
      <c r="BE2022">
        <v>0</v>
      </c>
    </row>
    <row r="2023" spans="1:57" hidden="1" x14ac:dyDescent="0.45">
      <c r="A2023" t="s">
        <v>4927</v>
      </c>
      <c r="B2023" t="s">
        <v>79</v>
      </c>
      <c r="C2023" t="s">
        <v>921</v>
      </c>
      <c r="D2023" t="s">
        <v>81</v>
      </c>
      <c r="E2023" s="2" t="str">
        <f>HYPERLINK("capsilon://?command=openfolder&amp;siteaddress=FAM.docvelocity-na8.net&amp;folderid=FX7869493A-6EAD-4F63-AA2C-4C1AC1EF43A8","FX20123027")</f>
        <v>FX20123027</v>
      </c>
      <c r="F2023" t="s">
        <v>19</v>
      </c>
      <c r="G2023" t="s">
        <v>19</v>
      </c>
      <c r="H2023" t="s">
        <v>82</v>
      </c>
      <c r="I2023" t="s">
        <v>4928</v>
      </c>
      <c r="J2023">
        <v>66</v>
      </c>
      <c r="K2023" t="s">
        <v>84</v>
      </c>
      <c r="L2023" t="s">
        <v>85</v>
      </c>
      <c r="M2023" t="s">
        <v>86</v>
      </c>
      <c r="N2023">
        <v>3</v>
      </c>
      <c r="O2023" s="1">
        <v>44217.43445601852</v>
      </c>
      <c r="P2023" s="1">
        <v>44217.494108796294</v>
      </c>
      <c r="Q2023">
        <v>5009</v>
      </c>
      <c r="R2023">
        <v>145</v>
      </c>
      <c r="S2023" t="b">
        <v>0</v>
      </c>
      <c r="T2023" t="s">
        <v>87</v>
      </c>
      <c r="U2023" t="b">
        <v>0</v>
      </c>
      <c r="V2023" t="s">
        <v>179</v>
      </c>
      <c r="W2023" s="1">
        <v>44217.446273148147</v>
      </c>
      <c r="X2023">
        <v>82</v>
      </c>
      <c r="Y2023">
        <v>0</v>
      </c>
      <c r="Z2023">
        <v>0</v>
      </c>
      <c r="AA2023">
        <v>0</v>
      </c>
      <c r="AB2023">
        <v>52</v>
      </c>
      <c r="AC2023">
        <v>0</v>
      </c>
      <c r="AD2023">
        <v>66</v>
      </c>
      <c r="AE2023">
        <v>0</v>
      </c>
      <c r="AF2023">
        <v>0</v>
      </c>
      <c r="AG2023">
        <v>0</v>
      </c>
      <c r="AH2023" t="s">
        <v>89</v>
      </c>
      <c r="AI2023" s="1">
        <v>44217.48296296296</v>
      </c>
      <c r="AJ2023">
        <v>60</v>
      </c>
      <c r="AK2023">
        <v>0</v>
      </c>
      <c r="AL2023">
        <v>0</v>
      </c>
      <c r="AM2023">
        <v>0</v>
      </c>
      <c r="AN2023">
        <v>52</v>
      </c>
      <c r="AO2023">
        <v>0</v>
      </c>
      <c r="AP2023">
        <v>66</v>
      </c>
      <c r="AQ2023">
        <v>0</v>
      </c>
      <c r="AR2023">
        <v>0</v>
      </c>
      <c r="AS2023">
        <v>0</v>
      </c>
      <c r="AT2023" t="s">
        <v>90</v>
      </c>
      <c r="AU2023" s="1">
        <v>44217.494108796294</v>
      </c>
      <c r="AV2023">
        <v>3</v>
      </c>
      <c r="AW2023">
        <v>0</v>
      </c>
      <c r="AX2023">
        <v>0</v>
      </c>
      <c r="AY2023">
        <v>0</v>
      </c>
      <c r="AZ2023">
        <v>52</v>
      </c>
      <c r="BA2023">
        <v>0</v>
      </c>
      <c r="BB2023">
        <v>66</v>
      </c>
      <c r="BC2023">
        <v>0</v>
      </c>
      <c r="BD2023">
        <v>0</v>
      </c>
      <c r="BE2023">
        <v>0</v>
      </c>
    </row>
    <row r="2024" spans="1:57" hidden="1" x14ac:dyDescent="0.45">
      <c r="A2024" t="s">
        <v>4929</v>
      </c>
      <c r="B2024" t="s">
        <v>79</v>
      </c>
      <c r="C2024" t="s">
        <v>4930</v>
      </c>
      <c r="D2024" t="s">
        <v>81</v>
      </c>
      <c r="E2024" s="2" t="str">
        <f>HYPERLINK("capsilon://?command=openfolder&amp;siteaddress=FAM.docvelocity-na8.net&amp;folderid=FX13C1D690-E3E5-CB4A-5E15-E025396ABADD","FX20124959")</f>
        <v>FX20124959</v>
      </c>
      <c r="F2024" t="s">
        <v>19</v>
      </c>
      <c r="G2024" t="s">
        <v>19</v>
      </c>
      <c r="H2024" t="s">
        <v>82</v>
      </c>
      <c r="I2024" t="s">
        <v>4931</v>
      </c>
      <c r="J2024">
        <v>66</v>
      </c>
      <c r="K2024" t="s">
        <v>84</v>
      </c>
      <c r="L2024" t="s">
        <v>85</v>
      </c>
      <c r="M2024" t="s">
        <v>86</v>
      </c>
      <c r="N2024">
        <v>1</v>
      </c>
      <c r="O2024" s="1">
        <v>44217.44027777778</v>
      </c>
      <c r="P2024" s="1">
        <v>44217.448576388888</v>
      </c>
      <c r="Q2024">
        <v>542</v>
      </c>
      <c r="R2024">
        <v>175</v>
      </c>
      <c r="S2024" t="b">
        <v>0</v>
      </c>
      <c r="T2024" t="s">
        <v>87</v>
      </c>
      <c r="U2024" t="b">
        <v>0</v>
      </c>
      <c r="V2024" t="s">
        <v>88</v>
      </c>
      <c r="W2024" s="1">
        <v>44217.448576388888</v>
      </c>
      <c r="X2024">
        <v>175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66</v>
      </c>
      <c r="AE2024">
        <v>52</v>
      </c>
      <c r="AF2024">
        <v>0</v>
      </c>
      <c r="AG2024">
        <v>1</v>
      </c>
      <c r="AH2024" t="s">
        <v>87</v>
      </c>
      <c r="AI2024" t="s">
        <v>87</v>
      </c>
      <c r="AJ2024" t="s">
        <v>87</v>
      </c>
      <c r="AK2024" t="s">
        <v>87</v>
      </c>
      <c r="AL2024" t="s">
        <v>87</v>
      </c>
      <c r="AM2024" t="s">
        <v>87</v>
      </c>
      <c r="AN2024" t="s">
        <v>87</v>
      </c>
      <c r="AO2024" t="s">
        <v>87</v>
      </c>
      <c r="AP2024" t="s">
        <v>87</v>
      </c>
      <c r="AQ2024" t="s">
        <v>87</v>
      </c>
      <c r="AR2024" t="s">
        <v>87</v>
      </c>
      <c r="AS2024" t="s">
        <v>87</v>
      </c>
      <c r="AT2024" t="s">
        <v>87</v>
      </c>
      <c r="AU2024" t="s">
        <v>87</v>
      </c>
      <c r="AV2024" t="s">
        <v>87</v>
      </c>
      <c r="AW2024" t="s">
        <v>87</v>
      </c>
      <c r="AX2024" t="s">
        <v>87</v>
      </c>
      <c r="AY2024" t="s">
        <v>87</v>
      </c>
      <c r="AZ2024" t="s">
        <v>87</v>
      </c>
      <c r="BA2024" t="s">
        <v>87</v>
      </c>
      <c r="BB2024" t="s">
        <v>87</v>
      </c>
      <c r="BC2024" t="s">
        <v>87</v>
      </c>
      <c r="BD2024" t="s">
        <v>87</v>
      </c>
      <c r="BE2024" t="s">
        <v>87</v>
      </c>
    </row>
    <row r="2025" spans="1:57" x14ac:dyDescent="0.45">
      <c r="A2025" t="s">
        <v>4932</v>
      </c>
      <c r="B2025" t="s">
        <v>79</v>
      </c>
      <c r="C2025" t="s">
        <v>4933</v>
      </c>
      <c r="D2025" t="s">
        <v>81</v>
      </c>
      <c r="E2025" s="2" t="str">
        <f>HYPERLINK("capsilon://?command=openfolder&amp;siteaddress=FAM.docvelocity-na8.net&amp;folderid=FX5D306109-549E-BAA8-6AC7-ED9239D9F374","FX210110312")</f>
        <v>FX210110312</v>
      </c>
      <c r="F2025" t="s">
        <v>19</v>
      </c>
      <c r="G2025" t="s">
        <v>19</v>
      </c>
      <c r="H2025" t="s">
        <v>82</v>
      </c>
      <c r="I2025" t="s">
        <v>4934</v>
      </c>
      <c r="J2025">
        <v>189</v>
      </c>
      <c r="K2025" t="s">
        <v>84</v>
      </c>
      <c r="L2025" t="s">
        <v>85</v>
      </c>
      <c r="M2025" t="s">
        <v>86</v>
      </c>
      <c r="N2025">
        <v>3</v>
      </c>
      <c r="O2025" s="1">
        <v>44217.444224537037</v>
      </c>
      <c r="P2025" s="1">
        <v>44217.535312499997</v>
      </c>
      <c r="Q2025">
        <v>3683</v>
      </c>
      <c r="R2025">
        <v>4187</v>
      </c>
      <c r="S2025" t="b">
        <v>0</v>
      </c>
      <c r="T2025" t="s">
        <v>87</v>
      </c>
      <c r="U2025" t="b">
        <v>0</v>
      </c>
      <c r="V2025" t="s">
        <v>88</v>
      </c>
      <c r="W2025" s="1">
        <v>44217.470335648148</v>
      </c>
      <c r="X2025">
        <v>1880</v>
      </c>
      <c r="Y2025">
        <v>170</v>
      </c>
      <c r="Z2025">
        <v>0</v>
      </c>
      <c r="AA2025">
        <v>170</v>
      </c>
      <c r="AB2025">
        <v>0</v>
      </c>
      <c r="AC2025">
        <v>74</v>
      </c>
      <c r="AD2025">
        <v>19</v>
      </c>
      <c r="AE2025">
        <v>0</v>
      </c>
      <c r="AF2025">
        <v>0</v>
      </c>
      <c r="AG2025">
        <v>0</v>
      </c>
      <c r="AH2025" t="s">
        <v>89</v>
      </c>
      <c r="AI2025" s="1">
        <v>44217.507569444446</v>
      </c>
      <c r="AJ2025">
        <v>2125</v>
      </c>
      <c r="AK2025">
        <v>2</v>
      </c>
      <c r="AL2025">
        <v>0</v>
      </c>
      <c r="AM2025">
        <v>2</v>
      </c>
      <c r="AN2025">
        <v>0</v>
      </c>
      <c r="AO2025">
        <v>0</v>
      </c>
      <c r="AP2025">
        <v>17</v>
      </c>
      <c r="AQ2025">
        <v>0</v>
      </c>
      <c r="AR2025">
        <v>0</v>
      </c>
      <c r="AS2025">
        <v>0</v>
      </c>
      <c r="AT2025" t="s">
        <v>90</v>
      </c>
      <c r="AU2025" s="1">
        <v>44217.535312499997</v>
      </c>
      <c r="AV2025">
        <v>182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17</v>
      </c>
      <c r="BC2025">
        <v>0</v>
      </c>
      <c r="BD2025">
        <v>0</v>
      </c>
      <c r="BE2025">
        <v>0</v>
      </c>
    </row>
    <row r="2026" spans="1:57" x14ac:dyDescent="0.45">
      <c r="A2026" t="s">
        <v>4935</v>
      </c>
      <c r="B2026" t="s">
        <v>79</v>
      </c>
      <c r="C2026" t="s">
        <v>2576</v>
      </c>
      <c r="D2026" t="s">
        <v>81</v>
      </c>
      <c r="E2026" s="2" t="str">
        <f>HYPERLINK("capsilon://?command=openfolder&amp;siteaddress=FAM.docvelocity-na8.net&amp;folderid=FX077B41FC-8AC6-6181-B0ED-DBE7A609539B","FX21014849")</f>
        <v>FX21014849</v>
      </c>
      <c r="F2026" t="s">
        <v>19</v>
      </c>
      <c r="G2026" t="s">
        <v>19</v>
      </c>
      <c r="H2026" t="s">
        <v>82</v>
      </c>
      <c r="I2026" t="s">
        <v>4936</v>
      </c>
      <c r="J2026">
        <v>66</v>
      </c>
      <c r="K2026" t="s">
        <v>84</v>
      </c>
      <c r="L2026" t="s">
        <v>85</v>
      </c>
      <c r="M2026" t="s">
        <v>86</v>
      </c>
      <c r="N2026">
        <v>3</v>
      </c>
      <c r="O2026" s="1">
        <v>44217.445138888892</v>
      </c>
      <c r="P2026" s="1">
        <v>44217.494664351849</v>
      </c>
      <c r="Q2026">
        <v>2833</v>
      </c>
      <c r="R2026">
        <v>1446</v>
      </c>
      <c r="S2026" t="b">
        <v>0</v>
      </c>
      <c r="T2026" t="s">
        <v>87</v>
      </c>
      <c r="U2026" t="b">
        <v>0</v>
      </c>
      <c r="V2026" t="s">
        <v>112</v>
      </c>
      <c r="W2026" s="1">
        <v>44217.463229166664</v>
      </c>
      <c r="X2026">
        <v>997</v>
      </c>
      <c r="Y2026">
        <v>52</v>
      </c>
      <c r="Z2026">
        <v>0</v>
      </c>
      <c r="AA2026">
        <v>52</v>
      </c>
      <c r="AB2026">
        <v>0</v>
      </c>
      <c r="AC2026">
        <v>30</v>
      </c>
      <c r="AD2026">
        <v>14</v>
      </c>
      <c r="AE2026">
        <v>0</v>
      </c>
      <c r="AF2026">
        <v>0</v>
      </c>
      <c r="AG2026">
        <v>0</v>
      </c>
      <c r="AH2026" t="s">
        <v>132</v>
      </c>
      <c r="AI2026" s="1">
        <v>44217.488611111112</v>
      </c>
      <c r="AJ2026">
        <v>401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14</v>
      </c>
      <c r="AQ2026">
        <v>0</v>
      </c>
      <c r="AR2026">
        <v>0</v>
      </c>
      <c r="AS2026">
        <v>0</v>
      </c>
      <c r="AT2026" t="s">
        <v>90</v>
      </c>
      <c r="AU2026" s="1">
        <v>44217.494664351849</v>
      </c>
      <c r="AV2026">
        <v>48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14</v>
      </c>
      <c r="BC2026">
        <v>0</v>
      </c>
      <c r="BD2026">
        <v>0</v>
      </c>
      <c r="BE2026">
        <v>0</v>
      </c>
    </row>
    <row r="2027" spans="1:57" x14ac:dyDescent="0.45">
      <c r="A2027" t="s">
        <v>4937</v>
      </c>
      <c r="B2027" t="s">
        <v>79</v>
      </c>
      <c r="C2027" t="s">
        <v>4938</v>
      </c>
      <c r="D2027" t="s">
        <v>81</v>
      </c>
      <c r="E2027" s="2" t="str">
        <f>HYPERLINK("capsilon://?command=openfolder&amp;siteaddress=FAM.docvelocity-na8.net&amp;folderid=FX30DCFA27-5B4C-23A4-8127-2DA98FF4F398","FX210112344")</f>
        <v>FX210112344</v>
      </c>
      <c r="F2027" t="s">
        <v>19</v>
      </c>
      <c r="G2027" t="s">
        <v>19</v>
      </c>
      <c r="H2027" t="s">
        <v>82</v>
      </c>
      <c r="I2027" t="s">
        <v>4939</v>
      </c>
      <c r="J2027">
        <v>369</v>
      </c>
      <c r="K2027" t="s">
        <v>84</v>
      </c>
      <c r="L2027" t="s">
        <v>85</v>
      </c>
      <c r="M2027" t="s">
        <v>86</v>
      </c>
      <c r="N2027">
        <v>3</v>
      </c>
      <c r="O2027" s="1">
        <v>44217.44871527778</v>
      </c>
      <c r="P2027" s="1">
        <v>44217.537314814814</v>
      </c>
      <c r="Q2027">
        <v>1622</v>
      </c>
      <c r="R2027">
        <v>6033</v>
      </c>
      <c r="S2027" t="b">
        <v>0</v>
      </c>
      <c r="T2027" t="s">
        <v>87</v>
      </c>
      <c r="U2027" t="b">
        <v>0</v>
      </c>
      <c r="V2027" t="s">
        <v>171</v>
      </c>
      <c r="W2027" s="1">
        <v>44217.508726851855</v>
      </c>
      <c r="X2027">
        <v>4765</v>
      </c>
      <c r="Y2027">
        <v>378</v>
      </c>
      <c r="Z2027">
        <v>0</v>
      </c>
      <c r="AA2027">
        <v>378</v>
      </c>
      <c r="AB2027">
        <v>37</v>
      </c>
      <c r="AC2027">
        <v>312</v>
      </c>
      <c r="AD2027">
        <v>-9</v>
      </c>
      <c r="AE2027">
        <v>0</v>
      </c>
      <c r="AF2027">
        <v>0</v>
      </c>
      <c r="AG2027">
        <v>0</v>
      </c>
      <c r="AH2027" t="s">
        <v>132</v>
      </c>
      <c r="AI2027" s="1">
        <v>44217.523541666669</v>
      </c>
      <c r="AJ2027">
        <v>1109</v>
      </c>
      <c r="AK2027">
        <v>0</v>
      </c>
      <c r="AL2027">
        <v>0</v>
      </c>
      <c r="AM2027">
        <v>0</v>
      </c>
      <c r="AN2027">
        <v>37</v>
      </c>
      <c r="AO2027">
        <v>0</v>
      </c>
      <c r="AP2027">
        <v>-9</v>
      </c>
      <c r="AQ2027">
        <v>0</v>
      </c>
      <c r="AR2027">
        <v>0</v>
      </c>
      <c r="AS2027">
        <v>0</v>
      </c>
      <c r="AT2027" t="s">
        <v>90</v>
      </c>
      <c r="AU2027" s="1">
        <v>44217.537314814814</v>
      </c>
      <c r="AV2027">
        <v>144</v>
      </c>
      <c r="AW2027">
        <v>0</v>
      </c>
      <c r="AX2027">
        <v>0</v>
      </c>
      <c r="AY2027">
        <v>0</v>
      </c>
      <c r="AZ2027">
        <v>37</v>
      </c>
      <c r="BA2027">
        <v>0</v>
      </c>
      <c r="BB2027">
        <v>-9</v>
      </c>
      <c r="BC2027">
        <v>0</v>
      </c>
      <c r="BD2027">
        <v>0</v>
      </c>
      <c r="BE2027">
        <v>0</v>
      </c>
    </row>
    <row r="2028" spans="1:57" x14ac:dyDescent="0.45">
      <c r="A2028" t="s">
        <v>4940</v>
      </c>
      <c r="B2028" t="s">
        <v>79</v>
      </c>
      <c r="C2028" t="s">
        <v>4930</v>
      </c>
      <c r="D2028" t="s">
        <v>81</v>
      </c>
      <c r="E2028" s="2" t="str">
        <f>HYPERLINK("capsilon://?command=openfolder&amp;siteaddress=FAM.docvelocity-na8.net&amp;folderid=FX13C1D690-E3E5-CB4A-5E15-E025396ABADD","FX20124959")</f>
        <v>FX20124959</v>
      </c>
      <c r="F2028" t="s">
        <v>19</v>
      </c>
      <c r="G2028" t="s">
        <v>19</v>
      </c>
      <c r="H2028" t="s">
        <v>82</v>
      </c>
      <c r="I2028" t="s">
        <v>4931</v>
      </c>
      <c r="J2028">
        <v>38</v>
      </c>
      <c r="K2028" t="s">
        <v>84</v>
      </c>
      <c r="L2028" t="s">
        <v>85</v>
      </c>
      <c r="M2028" t="s">
        <v>86</v>
      </c>
      <c r="N2028">
        <v>3</v>
      </c>
      <c r="O2028" s="1">
        <v>44217.448958333334</v>
      </c>
      <c r="P2028" s="1">
        <v>44217.482615740744</v>
      </c>
      <c r="Q2028">
        <v>1874</v>
      </c>
      <c r="R2028">
        <v>1034</v>
      </c>
      <c r="S2028" t="b">
        <v>0</v>
      </c>
      <c r="T2028" t="s">
        <v>87</v>
      </c>
      <c r="U2028" t="b">
        <v>1</v>
      </c>
      <c r="V2028" t="s">
        <v>168</v>
      </c>
      <c r="W2028" s="1">
        <v>44217.45894675926</v>
      </c>
      <c r="X2028">
        <v>860</v>
      </c>
      <c r="Y2028">
        <v>37</v>
      </c>
      <c r="Z2028">
        <v>0</v>
      </c>
      <c r="AA2028">
        <v>37</v>
      </c>
      <c r="AB2028">
        <v>0</v>
      </c>
      <c r="AC2028">
        <v>34</v>
      </c>
      <c r="AD2028">
        <v>1</v>
      </c>
      <c r="AE2028">
        <v>0</v>
      </c>
      <c r="AF2028">
        <v>0</v>
      </c>
      <c r="AG2028">
        <v>0</v>
      </c>
      <c r="AH2028" t="s">
        <v>108</v>
      </c>
      <c r="AI2028" s="1">
        <v>44217.464780092596</v>
      </c>
      <c r="AJ2028">
        <v>170</v>
      </c>
      <c r="AK2028">
        <v>1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 t="s">
        <v>90</v>
      </c>
      <c r="AU2028" s="1">
        <v>44217.482615740744</v>
      </c>
      <c r="AV2028">
        <v>4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</row>
    <row r="2029" spans="1:57" x14ac:dyDescent="0.45">
      <c r="A2029" t="s">
        <v>4941</v>
      </c>
      <c r="B2029" t="s">
        <v>79</v>
      </c>
      <c r="C2029" t="s">
        <v>4942</v>
      </c>
      <c r="D2029" t="s">
        <v>81</v>
      </c>
      <c r="E2029" s="2" t="str">
        <f>HYPERLINK("capsilon://?command=openfolder&amp;siteaddress=FAM.docvelocity-na8.net&amp;folderid=FX69349A83-9AA6-88FE-9929-B14CA16F26C9","FX201224261")</f>
        <v>FX201224261</v>
      </c>
      <c r="F2029" t="s">
        <v>19</v>
      </c>
      <c r="G2029" t="s">
        <v>19</v>
      </c>
      <c r="H2029" t="s">
        <v>82</v>
      </c>
      <c r="I2029" t="s">
        <v>4943</v>
      </c>
      <c r="J2029">
        <v>770</v>
      </c>
      <c r="K2029" t="s">
        <v>84</v>
      </c>
      <c r="L2029" t="s">
        <v>85</v>
      </c>
      <c r="M2029" t="s">
        <v>86</v>
      </c>
      <c r="N2029">
        <v>3</v>
      </c>
      <c r="O2029" s="1">
        <v>44217.453449074077</v>
      </c>
      <c r="P2029" s="1">
        <v>44217.569178240738</v>
      </c>
      <c r="Q2029">
        <v>1900</v>
      </c>
      <c r="R2029">
        <v>8099</v>
      </c>
      <c r="S2029" t="b">
        <v>0</v>
      </c>
      <c r="T2029" t="s">
        <v>87</v>
      </c>
      <c r="U2029" t="b">
        <v>0</v>
      </c>
      <c r="V2029" t="s">
        <v>919</v>
      </c>
      <c r="W2029" s="1">
        <v>44217.524108796293</v>
      </c>
      <c r="X2029">
        <v>6040</v>
      </c>
      <c r="Y2029">
        <v>629</v>
      </c>
      <c r="Z2029">
        <v>0</v>
      </c>
      <c r="AA2029">
        <v>629</v>
      </c>
      <c r="AB2029">
        <v>42</v>
      </c>
      <c r="AC2029">
        <v>167</v>
      </c>
      <c r="AD2029">
        <v>141</v>
      </c>
      <c r="AE2029">
        <v>0</v>
      </c>
      <c r="AF2029">
        <v>0</v>
      </c>
      <c r="AG2029">
        <v>0</v>
      </c>
      <c r="AH2029" t="s">
        <v>267</v>
      </c>
      <c r="AI2029" s="1">
        <v>44217.557245370372</v>
      </c>
      <c r="AJ2029">
        <v>2024</v>
      </c>
      <c r="AK2029">
        <v>3</v>
      </c>
      <c r="AL2029">
        <v>0</v>
      </c>
      <c r="AM2029">
        <v>3</v>
      </c>
      <c r="AN2029">
        <v>42</v>
      </c>
      <c r="AO2029">
        <v>3</v>
      </c>
      <c r="AP2029">
        <v>138</v>
      </c>
      <c r="AQ2029">
        <v>0</v>
      </c>
      <c r="AR2029">
        <v>0</v>
      </c>
      <c r="AS2029">
        <v>0</v>
      </c>
      <c r="AT2029" t="s">
        <v>90</v>
      </c>
      <c r="AU2029" s="1">
        <v>44217.569178240738</v>
      </c>
      <c r="AV2029">
        <v>35</v>
      </c>
      <c r="AW2029">
        <v>0</v>
      </c>
      <c r="AX2029">
        <v>0</v>
      </c>
      <c r="AY2029">
        <v>0</v>
      </c>
      <c r="AZ2029">
        <v>42</v>
      </c>
      <c r="BA2029">
        <v>0</v>
      </c>
      <c r="BB2029">
        <v>138</v>
      </c>
      <c r="BC2029">
        <v>0</v>
      </c>
      <c r="BD2029">
        <v>0</v>
      </c>
      <c r="BE2029">
        <v>0</v>
      </c>
    </row>
    <row r="2030" spans="1:57" x14ac:dyDescent="0.45">
      <c r="A2030" t="s">
        <v>4944</v>
      </c>
      <c r="B2030" t="s">
        <v>79</v>
      </c>
      <c r="C2030" t="s">
        <v>4945</v>
      </c>
      <c r="D2030" t="s">
        <v>81</v>
      </c>
      <c r="E2030" s="2" t="str">
        <f>HYPERLINK("capsilon://?command=openfolder&amp;siteaddress=FAM.docvelocity-na8.net&amp;folderid=FX0CCCF0D0-C65E-1E6D-C1C3-674E5CC571E3","FX2101895")</f>
        <v>FX2101895</v>
      </c>
      <c r="F2030" t="s">
        <v>19</v>
      </c>
      <c r="G2030" t="s">
        <v>19</v>
      </c>
      <c r="H2030" t="s">
        <v>82</v>
      </c>
      <c r="I2030" t="s">
        <v>4946</v>
      </c>
      <c r="J2030">
        <v>266</v>
      </c>
      <c r="K2030" t="s">
        <v>84</v>
      </c>
      <c r="L2030" t="s">
        <v>85</v>
      </c>
      <c r="M2030" t="s">
        <v>86</v>
      </c>
      <c r="N2030">
        <v>3</v>
      </c>
      <c r="O2030" s="1">
        <v>44217.456134259257</v>
      </c>
      <c r="P2030" s="1">
        <v>44217.537615740737</v>
      </c>
      <c r="Q2030">
        <v>3832</v>
      </c>
      <c r="R2030">
        <v>3208</v>
      </c>
      <c r="S2030" t="b">
        <v>0</v>
      </c>
      <c r="T2030" t="s">
        <v>87</v>
      </c>
      <c r="U2030" t="b">
        <v>0</v>
      </c>
      <c r="V2030" t="s">
        <v>160</v>
      </c>
      <c r="W2030" s="1">
        <v>44217.485891203702</v>
      </c>
      <c r="X2030">
        <v>2548</v>
      </c>
      <c r="Y2030">
        <v>209</v>
      </c>
      <c r="Z2030">
        <v>0</v>
      </c>
      <c r="AA2030">
        <v>209</v>
      </c>
      <c r="AB2030">
        <v>37</v>
      </c>
      <c r="AC2030">
        <v>188</v>
      </c>
      <c r="AD2030">
        <v>57</v>
      </c>
      <c r="AE2030">
        <v>0</v>
      </c>
      <c r="AF2030">
        <v>0</v>
      </c>
      <c r="AG2030">
        <v>0</v>
      </c>
      <c r="AH2030" t="s">
        <v>132</v>
      </c>
      <c r="AI2030" s="1">
        <v>44217.495706018519</v>
      </c>
      <c r="AJ2030">
        <v>612</v>
      </c>
      <c r="AK2030">
        <v>3</v>
      </c>
      <c r="AL2030">
        <v>0</v>
      </c>
      <c r="AM2030">
        <v>3</v>
      </c>
      <c r="AN2030">
        <v>37</v>
      </c>
      <c r="AO2030">
        <v>2</v>
      </c>
      <c r="AP2030">
        <v>54</v>
      </c>
      <c r="AQ2030">
        <v>0</v>
      </c>
      <c r="AR2030">
        <v>0</v>
      </c>
      <c r="AS2030">
        <v>0</v>
      </c>
      <c r="AT2030" t="s">
        <v>90</v>
      </c>
      <c r="AU2030" s="1">
        <v>44217.537615740737</v>
      </c>
      <c r="AV2030">
        <v>25</v>
      </c>
      <c r="AW2030">
        <v>0</v>
      </c>
      <c r="AX2030">
        <v>0</v>
      </c>
      <c r="AY2030">
        <v>0</v>
      </c>
      <c r="AZ2030">
        <v>37</v>
      </c>
      <c r="BA2030">
        <v>0</v>
      </c>
      <c r="BB2030">
        <v>54</v>
      </c>
      <c r="BC2030">
        <v>0</v>
      </c>
      <c r="BD2030">
        <v>0</v>
      </c>
      <c r="BE2030">
        <v>0</v>
      </c>
    </row>
    <row r="2031" spans="1:57" hidden="1" x14ac:dyDescent="0.45">
      <c r="A2031" t="s">
        <v>4947</v>
      </c>
      <c r="B2031" t="s">
        <v>79</v>
      </c>
      <c r="C2031" t="s">
        <v>4133</v>
      </c>
      <c r="D2031" t="s">
        <v>81</v>
      </c>
      <c r="E2031" s="2" t="str">
        <f>HYPERLINK("capsilon://?command=openfolder&amp;siteaddress=FAM.docvelocity-na8.net&amp;folderid=FXE11191F6-99F3-A1F5-58D8-8B3285AAF28E","FX20123668")</f>
        <v>FX20123668</v>
      </c>
      <c r="F2031" t="s">
        <v>19</v>
      </c>
      <c r="G2031" t="s">
        <v>19</v>
      </c>
      <c r="H2031" t="s">
        <v>82</v>
      </c>
      <c r="I2031" t="s">
        <v>4948</v>
      </c>
      <c r="J2031">
        <v>93</v>
      </c>
      <c r="K2031" t="s">
        <v>84</v>
      </c>
      <c r="L2031" t="s">
        <v>85</v>
      </c>
      <c r="M2031" t="s">
        <v>86</v>
      </c>
      <c r="N2031">
        <v>1</v>
      </c>
      <c r="O2031" s="1">
        <v>44217.456886574073</v>
      </c>
      <c r="P2031" s="1">
        <v>44217.463333333333</v>
      </c>
      <c r="Q2031">
        <v>179</v>
      </c>
      <c r="R2031">
        <v>378</v>
      </c>
      <c r="S2031" t="b">
        <v>0</v>
      </c>
      <c r="T2031" t="s">
        <v>87</v>
      </c>
      <c r="U2031" t="b">
        <v>0</v>
      </c>
      <c r="V2031" t="s">
        <v>168</v>
      </c>
      <c r="W2031" s="1">
        <v>44217.463333333333</v>
      </c>
      <c r="X2031">
        <v>378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93</v>
      </c>
      <c r="AE2031">
        <v>89</v>
      </c>
      <c r="AF2031">
        <v>0</v>
      </c>
      <c r="AG2031">
        <v>2</v>
      </c>
      <c r="AH2031" t="s">
        <v>87</v>
      </c>
      <c r="AI2031" t="s">
        <v>87</v>
      </c>
      <c r="AJ2031" t="s">
        <v>87</v>
      </c>
      <c r="AK2031" t="s">
        <v>87</v>
      </c>
      <c r="AL2031" t="s">
        <v>87</v>
      </c>
      <c r="AM2031" t="s">
        <v>87</v>
      </c>
      <c r="AN2031" t="s">
        <v>87</v>
      </c>
      <c r="AO2031" t="s">
        <v>87</v>
      </c>
      <c r="AP2031" t="s">
        <v>87</v>
      </c>
      <c r="AQ2031" t="s">
        <v>87</v>
      </c>
      <c r="AR2031" t="s">
        <v>87</v>
      </c>
      <c r="AS2031" t="s">
        <v>87</v>
      </c>
      <c r="AT2031" t="s">
        <v>87</v>
      </c>
      <c r="AU2031" t="s">
        <v>87</v>
      </c>
      <c r="AV2031" t="s">
        <v>87</v>
      </c>
      <c r="AW2031" t="s">
        <v>87</v>
      </c>
      <c r="AX2031" t="s">
        <v>87</v>
      </c>
      <c r="AY2031" t="s">
        <v>87</v>
      </c>
      <c r="AZ2031" t="s">
        <v>87</v>
      </c>
      <c r="BA2031" t="s">
        <v>87</v>
      </c>
      <c r="BB2031" t="s">
        <v>87</v>
      </c>
      <c r="BC2031" t="s">
        <v>87</v>
      </c>
      <c r="BD2031" t="s">
        <v>87</v>
      </c>
      <c r="BE2031" t="s">
        <v>87</v>
      </c>
    </row>
    <row r="2032" spans="1:57" x14ac:dyDescent="0.45">
      <c r="A2032" t="s">
        <v>4949</v>
      </c>
      <c r="B2032" t="s">
        <v>79</v>
      </c>
      <c r="C2032" t="s">
        <v>4950</v>
      </c>
      <c r="D2032" t="s">
        <v>81</v>
      </c>
      <c r="E2032" s="2" t="str">
        <f>HYPERLINK("capsilon://?command=openfolder&amp;siteaddress=FAM.docvelocity-na8.net&amp;folderid=FXCF75E303-DEA8-6155-F5B5-BA9773633B50","FX210111331")</f>
        <v>FX210111331</v>
      </c>
      <c r="F2032" t="s">
        <v>19</v>
      </c>
      <c r="G2032" t="s">
        <v>19</v>
      </c>
      <c r="H2032" t="s">
        <v>82</v>
      </c>
      <c r="I2032" t="s">
        <v>4951</v>
      </c>
      <c r="J2032">
        <v>313</v>
      </c>
      <c r="K2032" t="s">
        <v>84</v>
      </c>
      <c r="L2032" t="s">
        <v>85</v>
      </c>
      <c r="M2032" t="s">
        <v>86</v>
      </c>
      <c r="N2032">
        <v>3</v>
      </c>
      <c r="O2032" s="1">
        <v>44217.458032407405</v>
      </c>
      <c r="P2032" s="1">
        <v>44217.539317129631</v>
      </c>
      <c r="Q2032">
        <v>2664</v>
      </c>
      <c r="R2032">
        <v>4359</v>
      </c>
      <c r="S2032" t="b">
        <v>0</v>
      </c>
      <c r="T2032" t="s">
        <v>87</v>
      </c>
      <c r="U2032" t="b">
        <v>0</v>
      </c>
      <c r="V2032" t="s">
        <v>112</v>
      </c>
      <c r="W2032" s="1">
        <v>44217.50304398148</v>
      </c>
      <c r="X2032">
        <v>3439</v>
      </c>
      <c r="Y2032">
        <v>299</v>
      </c>
      <c r="Z2032">
        <v>0</v>
      </c>
      <c r="AA2032">
        <v>299</v>
      </c>
      <c r="AB2032">
        <v>0</v>
      </c>
      <c r="AC2032">
        <v>125</v>
      </c>
      <c r="AD2032">
        <v>14</v>
      </c>
      <c r="AE2032">
        <v>0</v>
      </c>
      <c r="AF2032">
        <v>0</v>
      </c>
      <c r="AG2032">
        <v>0</v>
      </c>
      <c r="AH2032" t="s">
        <v>108</v>
      </c>
      <c r="AI2032" s="1">
        <v>44217.513194444444</v>
      </c>
      <c r="AJ2032">
        <v>774</v>
      </c>
      <c r="AK2032">
        <v>2</v>
      </c>
      <c r="AL2032">
        <v>0</v>
      </c>
      <c r="AM2032">
        <v>2</v>
      </c>
      <c r="AN2032">
        <v>0</v>
      </c>
      <c r="AO2032">
        <v>1</v>
      </c>
      <c r="AP2032">
        <v>12</v>
      </c>
      <c r="AQ2032">
        <v>0</v>
      </c>
      <c r="AR2032">
        <v>0</v>
      </c>
      <c r="AS2032">
        <v>0</v>
      </c>
      <c r="AT2032" t="s">
        <v>90</v>
      </c>
      <c r="AU2032" s="1">
        <v>44217.539317129631</v>
      </c>
      <c r="AV2032">
        <v>146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12</v>
      </c>
      <c r="BC2032">
        <v>0</v>
      </c>
      <c r="BD2032">
        <v>0</v>
      </c>
      <c r="BE2032">
        <v>0</v>
      </c>
    </row>
    <row r="2033" spans="1:57" hidden="1" x14ac:dyDescent="0.45">
      <c r="A2033" t="s">
        <v>4952</v>
      </c>
      <c r="B2033" t="s">
        <v>79</v>
      </c>
      <c r="C2033" t="s">
        <v>4953</v>
      </c>
      <c r="D2033" t="s">
        <v>81</v>
      </c>
      <c r="E2033" s="2" t="str">
        <f>HYPERLINK("capsilon://?command=openfolder&amp;siteaddress=FAM.docvelocity-na8.net&amp;folderid=FX69A63EF3-99DF-ACB1-7429-5BC930FE8789","FX201116626")</f>
        <v>FX201116626</v>
      </c>
      <c r="F2033" t="s">
        <v>19</v>
      </c>
      <c r="G2033" t="s">
        <v>19</v>
      </c>
      <c r="H2033" t="s">
        <v>82</v>
      </c>
      <c r="I2033" t="s">
        <v>4954</v>
      </c>
      <c r="J2033">
        <v>66</v>
      </c>
      <c r="K2033" t="s">
        <v>84</v>
      </c>
      <c r="L2033" t="s">
        <v>85</v>
      </c>
      <c r="M2033" t="s">
        <v>86</v>
      </c>
      <c r="N2033">
        <v>3</v>
      </c>
      <c r="O2033" s="1">
        <v>44217.460555555554</v>
      </c>
      <c r="P2033" s="1">
        <v>44217.494699074072</v>
      </c>
      <c r="Q2033">
        <v>2667</v>
      </c>
      <c r="R2033">
        <v>283</v>
      </c>
      <c r="S2033" t="b">
        <v>0</v>
      </c>
      <c r="T2033" t="s">
        <v>87</v>
      </c>
      <c r="U2033" t="b">
        <v>0</v>
      </c>
      <c r="V2033" t="s">
        <v>179</v>
      </c>
      <c r="W2033" s="1">
        <v>44217.471215277779</v>
      </c>
      <c r="X2033">
        <v>140</v>
      </c>
      <c r="Y2033">
        <v>0</v>
      </c>
      <c r="Z2033">
        <v>0</v>
      </c>
      <c r="AA2033">
        <v>0</v>
      </c>
      <c r="AB2033">
        <v>104</v>
      </c>
      <c r="AC2033">
        <v>0</v>
      </c>
      <c r="AD2033">
        <v>66</v>
      </c>
      <c r="AE2033">
        <v>0</v>
      </c>
      <c r="AF2033">
        <v>0</v>
      </c>
      <c r="AG2033">
        <v>0</v>
      </c>
      <c r="AH2033" t="s">
        <v>94</v>
      </c>
      <c r="AI2033" s="1">
        <v>44217.485891203702</v>
      </c>
      <c r="AJ2033">
        <v>103</v>
      </c>
      <c r="AK2033">
        <v>0</v>
      </c>
      <c r="AL2033">
        <v>0</v>
      </c>
      <c r="AM2033">
        <v>0</v>
      </c>
      <c r="AN2033">
        <v>52</v>
      </c>
      <c r="AO2033">
        <v>0</v>
      </c>
      <c r="AP2033">
        <v>66</v>
      </c>
      <c r="AQ2033">
        <v>0</v>
      </c>
      <c r="AR2033">
        <v>0</v>
      </c>
      <c r="AS2033">
        <v>0</v>
      </c>
      <c r="AT2033" t="s">
        <v>90</v>
      </c>
      <c r="AU2033" s="1">
        <v>44217.494699074072</v>
      </c>
      <c r="AV2033">
        <v>2</v>
      </c>
      <c r="AW2033">
        <v>0</v>
      </c>
      <c r="AX2033">
        <v>0</v>
      </c>
      <c r="AY2033">
        <v>0</v>
      </c>
      <c r="AZ2033">
        <v>52</v>
      </c>
      <c r="BA2033">
        <v>0</v>
      </c>
      <c r="BB2033">
        <v>66</v>
      </c>
      <c r="BC2033">
        <v>0</v>
      </c>
      <c r="BD2033">
        <v>0</v>
      </c>
      <c r="BE2033">
        <v>0</v>
      </c>
    </row>
    <row r="2034" spans="1:57" hidden="1" x14ac:dyDescent="0.45">
      <c r="A2034" t="s">
        <v>4955</v>
      </c>
      <c r="B2034" t="s">
        <v>79</v>
      </c>
      <c r="C2034" t="s">
        <v>4953</v>
      </c>
      <c r="D2034" t="s">
        <v>81</v>
      </c>
      <c r="E2034" s="2" t="str">
        <f>HYPERLINK("capsilon://?command=openfolder&amp;siteaddress=FAM.docvelocity-na8.net&amp;folderid=FX69A63EF3-99DF-ACB1-7429-5BC930FE8789","FX201116626")</f>
        <v>FX201116626</v>
      </c>
      <c r="F2034" t="s">
        <v>19</v>
      </c>
      <c r="G2034" t="s">
        <v>19</v>
      </c>
      <c r="H2034" t="s">
        <v>82</v>
      </c>
      <c r="I2034" t="s">
        <v>4956</v>
      </c>
      <c r="J2034">
        <v>66</v>
      </c>
      <c r="K2034" t="s">
        <v>84</v>
      </c>
      <c r="L2034" t="s">
        <v>85</v>
      </c>
      <c r="M2034" t="s">
        <v>86</v>
      </c>
      <c r="N2034">
        <v>3</v>
      </c>
      <c r="O2034" s="1">
        <v>44217.460775462961</v>
      </c>
      <c r="P2034" s="1">
        <v>44217.539444444446</v>
      </c>
      <c r="Q2034">
        <v>6427</v>
      </c>
      <c r="R2034">
        <v>370</v>
      </c>
      <c r="S2034" t="b">
        <v>0</v>
      </c>
      <c r="T2034" t="s">
        <v>87</v>
      </c>
      <c r="U2034" t="b">
        <v>0</v>
      </c>
      <c r="V2034" t="s">
        <v>88</v>
      </c>
      <c r="W2034" s="1">
        <v>44217.474050925928</v>
      </c>
      <c r="X2034">
        <v>320</v>
      </c>
      <c r="Y2034">
        <v>0</v>
      </c>
      <c r="Z2034">
        <v>0</v>
      </c>
      <c r="AA2034">
        <v>0</v>
      </c>
      <c r="AB2034">
        <v>52</v>
      </c>
      <c r="AC2034">
        <v>0</v>
      </c>
      <c r="AD2034">
        <v>66</v>
      </c>
      <c r="AE2034">
        <v>0</v>
      </c>
      <c r="AF2034">
        <v>0</v>
      </c>
      <c r="AG2034">
        <v>0</v>
      </c>
      <c r="AH2034" t="s">
        <v>132</v>
      </c>
      <c r="AI2034" s="1">
        <v>44217.495949074073</v>
      </c>
      <c r="AJ2034">
        <v>20</v>
      </c>
      <c r="AK2034">
        <v>0</v>
      </c>
      <c r="AL2034">
        <v>0</v>
      </c>
      <c r="AM2034">
        <v>0</v>
      </c>
      <c r="AN2034">
        <v>52</v>
      </c>
      <c r="AO2034">
        <v>0</v>
      </c>
      <c r="AP2034">
        <v>66</v>
      </c>
      <c r="AQ2034">
        <v>0</v>
      </c>
      <c r="AR2034">
        <v>0</v>
      </c>
      <c r="AS2034">
        <v>0</v>
      </c>
      <c r="AT2034" t="s">
        <v>90</v>
      </c>
      <c r="AU2034" s="1">
        <v>44217.539444444446</v>
      </c>
      <c r="AV2034">
        <v>10</v>
      </c>
      <c r="AW2034">
        <v>0</v>
      </c>
      <c r="AX2034">
        <v>0</v>
      </c>
      <c r="AY2034">
        <v>0</v>
      </c>
      <c r="AZ2034">
        <v>52</v>
      </c>
      <c r="BA2034">
        <v>0</v>
      </c>
      <c r="BB2034">
        <v>66</v>
      </c>
      <c r="BC2034">
        <v>0</v>
      </c>
      <c r="BD2034">
        <v>0</v>
      </c>
      <c r="BE2034">
        <v>0</v>
      </c>
    </row>
    <row r="2035" spans="1:57" x14ac:dyDescent="0.45">
      <c r="A2035" t="s">
        <v>4957</v>
      </c>
      <c r="B2035" t="s">
        <v>79</v>
      </c>
      <c r="C2035" t="s">
        <v>4958</v>
      </c>
      <c r="D2035" t="s">
        <v>81</v>
      </c>
      <c r="E2035" s="2" t="str">
        <f>HYPERLINK("capsilon://?command=openfolder&amp;siteaddress=FAM.docvelocity-na8.net&amp;folderid=FX5755519A-AC80-1E17-109C-670977599F16","FX210113345")</f>
        <v>FX210113345</v>
      </c>
      <c r="F2035" t="s">
        <v>19</v>
      </c>
      <c r="G2035" t="s">
        <v>19</v>
      </c>
      <c r="H2035" t="s">
        <v>82</v>
      </c>
      <c r="I2035" t="s">
        <v>4959</v>
      </c>
      <c r="J2035">
        <v>214</v>
      </c>
      <c r="K2035" t="s">
        <v>84</v>
      </c>
      <c r="L2035" t="s">
        <v>85</v>
      </c>
      <c r="M2035" t="s">
        <v>86</v>
      </c>
      <c r="N2035">
        <v>3</v>
      </c>
      <c r="O2035" s="1">
        <v>44217.461712962962</v>
      </c>
      <c r="P2035" s="1">
        <v>44217.540289351855</v>
      </c>
      <c r="Q2035">
        <v>5882</v>
      </c>
      <c r="R2035">
        <v>907</v>
      </c>
      <c r="S2035" t="b">
        <v>0</v>
      </c>
      <c r="T2035" t="s">
        <v>87</v>
      </c>
      <c r="U2035" t="b">
        <v>0</v>
      </c>
      <c r="V2035" t="s">
        <v>242</v>
      </c>
      <c r="W2035" s="1">
        <v>44217.477870370371</v>
      </c>
      <c r="X2035">
        <v>641</v>
      </c>
      <c r="Y2035">
        <v>157</v>
      </c>
      <c r="Z2035">
        <v>0</v>
      </c>
      <c r="AA2035">
        <v>157</v>
      </c>
      <c r="AB2035">
        <v>0</v>
      </c>
      <c r="AC2035">
        <v>59</v>
      </c>
      <c r="AD2035">
        <v>57</v>
      </c>
      <c r="AE2035">
        <v>0</v>
      </c>
      <c r="AF2035">
        <v>0</v>
      </c>
      <c r="AG2035">
        <v>0</v>
      </c>
      <c r="AH2035" t="s">
        <v>132</v>
      </c>
      <c r="AI2035" s="1">
        <v>44217.498194444444</v>
      </c>
      <c r="AJ2035">
        <v>193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57</v>
      </c>
      <c r="AQ2035">
        <v>0</v>
      </c>
      <c r="AR2035">
        <v>0</v>
      </c>
      <c r="AS2035">
        <v>0</v>
      </c>
      <c r="AT2035" t="s">
        <v>90</v>
      </c>
      <c r="AU2035" s="1">
        <v>44217.540289351855</v>
      </c>
      <c r="AV2035">
        <v>73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57</v>
      </c>
      <c r="BC2035">
        <v>0</v>
      </c>
      <c r="BD2035">
        <v>0</v>
      </c>
      <c r="BE2035">
        <v>0</v>
      </c>
    </row>
    <row r="2036" spans="1:57" x14ac:dyDescent="0.45">
      <c r="A2036" t="s">
        <v>4960</v>
      </c>
      <c r="B2036" t="s">
        <v>79</v>
      </c>
      <c r="C2036" t="s">
        <v>4133</v>
      </c>
      <c r="D2036" t="s">
        <v>81</v>
      </c>
      <c r="E2036" s="2" t="str">
        <f>HYPERLINK("capsilon://?command=openfolder&amp;siteaddress=FAM.docvelocity-na8.net&amp;folderid=FXE11191F6-99F3-A1F5-58D8-8B3285AAF28E","FX20123668")</f>
        <v>FX20123668</v>
      </c>
      <c r="F2036" t="s">
        <v>19</v>
      </c>
      <c r="G2036" t="s">
        <v>19</v>
      </c>
      <c r="H2036" t="s">
        <v>82</v>
      </c>
      <c r="I2036" t="s">
        <v>4948</v>
      </c>
      <c r="J2036">
        <v>161</v>
      </c>
      <c r="K2036" t="s">
        <v>84</v>
      </c>
      <c r="L2036" t="s">
        <v>85</v>
      </c>
      <c r="M2036" t="s">
        <v>86</v>
      </c>
      <c r="N2036">
        <v>3</v>
      </c>
      <c r="O2036" s="1">
        <v>44217.464467592596</v>
      </c>
      <c r="P2036" s="1">
        <v>44217.483252314814</v>
      </c>
      <c r="Q2036">
        <v>175</v>
      </c>
      <c r="R2036">
        <v>1448</v>
      </c>
      <c r="S2036" t="b">
        <v>0</v>
      </c>
      <c r="T2036" t="s">
        <v>87</v>
      </c>
      <c r="U2036" t="b">
        <v>1</v>
      </c>
      <c r="V2036" t="s">
        <v>168</v>
      </c>
      <c r="W2036" s="1">
        <v>44217.477199074077</v>
      </c>
      <c r="X2036">
        <v>1097</v>
      </c>
      <c r="Y2036">
        <v>123</v>
      </c>
      <c r="Z2036">
        <v>0</v>
      </c>
      <c r="AA2036">
        <v>123</v>
      </c>
      <c r="AB2036">
        <v>0</v>
      </c>
      <c r="AC2036">
        <v>43</v>
      </c>
      <c r="AD2036">
        <v>38</v>
      </c>
      <c r="AE2036">
        <v>0</v>
      </c>
      <c r="AF2036">
        <v>0</v>
      </c>
      <c r="AG2036">
        <v>0</v>
      </c>
      <c r="AH2036" t="s">
        <v>132</v>
      </c>
      <c r="AI2036" s="1">
        <v>44217.480821759258</v>
      </c>
      <c r="AJ2036">
        <v>296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38</v>
      </c>
      <c r="AQ2036">
        <v>0</v>
      </c>
      <c r="AR2036">
        <v>0</v>
      </c>
      <c r="AS2036">
        <v>0</v>
      </c>
      <c r="AT2036" t="s">
        <v>90</v>
      </c>
      <c r="AU2036" s="1">
        <v>44217.483252314814</v>
      </c>
      <c r="AV2036">
        <v>55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38</v>
      </c>
      <c r="BC2036">
        <v>0</v>
      </c>
      <c r="BD2036">
        <v>0</v>
      </c>
      <c r="BE2036">
        <v>0</v>
      </c>
    </row>
    <row r="2037" spans="1:57" x14ac:dyDescent="0.45">
      <c r="A2037" t="s">
        <v>4961</v>
      </c>
      <c r="B2037" t="s">
        <v>79</v>
      </c>
      <c r="C2037" t="s">
        <v>1833</v>
      </c>
      <c r="D2037" t="s">
        <v>81</v>
      </c>
      <c r="E2037" s="2" t="str">
        <f>HYPERLINK("capsilon://?command=openfolder&amp;siteaddress=FAM.docvelocity-na8.net&amp;folderid=FX6F83D6BB-8C97-E18C-2C9B-B11AB460085E","FX21012777")</f>
        <v>FX21012777</v>
      </c>
      <c r="F2037" t="s">
        <v>19</v>
      </c>
      <c r="G2037" t="s">
        <v>19</v>
      </c>
      <c r="H2037" t="s">
        <v>82</v>
      </c>
      <c r="I2037" t="s">
        <v>4962</v>
      </c>
      <c r="J2037">
        <v>66</v>
      </c>
      <c r="K2037" t="s">
        <v>84</v>
      </c>
      <c r="L2037" t="s">
        <v>85</v>
      </c>
      <c r="M2037" t="s">
        <v>86</v>
      </c>
      <c r="N2037">
        <v>3</v>
      </c>
      <c r="O2037" s="1">
        <v>44217.467488425929</v>
      </c>
      <c r="P2037" s="1">
        <v>44217.540370370371</v>
      </c>
      <c r="Q2037">
        <v>5613</v>
      </c>
      <c r="R2037">
        <v>684</v>
      </c>
      <c r="S2037" t="b">
        <v>0</v>
      </c>
      <c r="T2037" t="s">
        <v>87</v>
      </c>
      <c r="U2037" t="b">
        <v>0</v>
      </c>
      <c r="V2037" t="s">
        <v>259</v>
      </c>
      <c r="W2037" s="1">
        <v>44217.475798611114</v>
      </c>
      <c r="X2037">
        <v>448</v>
      </c>
      <c r="Y2037">
        <v>52</v>
      </c>
      <c r="Z2037">
        <v>0</v>
      </c>
      <c r="AA2037">
        <v>52</v>
      </c>
      <c r="AB2037">
        <v>0</v>
      </c>
      <c r="AC2037">
        <v>30</v>
      </c>
      <c r="AD2037">
        <v>14</v>
      </c>
      <c r="AE2037">
        <v>0</v>
      </c>
      <c r="AF2037">
        <v>0</v>
      </c>
      <c r="AG2037">
        <v>0</v>
      </c>
      <c r="AH2037" t="s">
        <v>132</v>
      </c>
      <c r="AI2037" s="1">
        <v>44217.500868055555</v>
      </c>
      <c r="AJ2037">
        <v>230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14</v>
      </c>
      <c r="AQ2037">
        <v>0</v>
      </c>
      <c r="AR2037">
        <v>0</v>
      </c>
      <c r="AS2037">
        <v>0</v>
      </c>
      <c r="AT2037" t="s">
        <v>90</v>
      </c>
      <c r="AU2037" s="1">
        <v>44217.540370370371</v>
      </c>
      <c r="AV2037">
        <v>6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14</v>
      </c>
      <c r="BC2037">
        <v>0</v>
      </c>
      <c r="BD2037">
        <v>0</v>
      </c>
      <c r="BE2037">
        <v>0</v>
      </c>
    </row>
    <row r="2038" spans="1:57" hidden="1" x14ac:dyDescent="0.45">
      <c r="A2038" t="s">
        <v>4963</v>
      </c>
      <c r="B2038" t="s">
        <v>79</v>
      </c>
      <c r="C2038" t="s">
        <v>4964</v>
      </c>
      <c r="D2038" t="s">
        <v>81</v>
      </c>
      <c r="E2038" s="2" t="str">
        <f>HYPERLINK("capsilon://?command=openfolder&amp;siteaddress=FAM.docvelocity-na8.net&amp;folderid=FXBE8A74A7-F028-6F87-9586-3C79CDBDD065","FX210111348")</f>
        <v>FX210111348</v>
      </c>
      <c r="F2038" t="s">
        <v>19</v>
      </c>
      <c r="G2038" t="s">
        <v>19</v>
      </c>
      <c r="H2038" t="s">
        <v>82</v>
      </c>
      <c r="I2038" t="s">
        <v>4965</v>
      </c>
      <c r="J2038">
        <v>232</v>
      </c>
      <c r="K2038" t="s">
        <v>84</v>
      </c>
      <c r="L2038" t="s">
        <v>85</v>
      </c>
      <c r="M2038" t="s">
        <v>86</v>
      </c>
      <c r="N2038">
        <v>1</v>
      </c>
      <c r="O2038" s="1">
        <v>44217.468124999999</v>
      </c>
      <c r="P2038" s="1">
        <v>44217.520208333335</v>
      </c>
      <c r="Q2038">
        <v>4293</v>
      </c>
      <c r="R2038">
        <v>207</v>
      </c>
      <c r="S2038" t="b">
        <v>0</v>
      </c>
      <c r="T2038" t="s">
        <v>87</v>
      </c>
      <c r="U2038" t="b">
        <v>0</v>
      </c>
      <c r="V2038" t="s">
        <v>179</v>
      </c>
      <c r="W2038" s="1">
        <v>44217.520208333335</v>
      </c>
      <c r="X2038">
        <v>94</v>
      </c>
      <c r="Y2038">
        <v>161</v>
      </c>
      <c r="Z2038">
        <v>0</v>
      </c>
      <c r="AA2038">
        <v>161</v>
      </c>
      <c r="AB2038">
        <v>0</v>
      </c>
      <c r="AC2038">
        <v>0</v>
      </c>
      <c r="AD2038">
        <v>71</v>
      </c>
      <c r="AE2038">
        <v>0</v>
      </c>
      <c r="AF2038">
        <v>0</v>
      </c>
      <c r="AG2038">
        <v>2</v>
      </c>
      <c r="AH2038" t="s">
        <v>87</v>
      </c>
      <c r="AI2038" t="s">
        <v>87</v>
      </c>
      <c r="AJ2038" t="s">
        <v>87</v>
      </c>
      <c r="AK2038" t="s">
        <v>87</v>
      </c>
      <c r="AL2038" t="s">
        <v>87</v>
      </c>
      <c r="AM2038" t="s">
        <v>87</v>
      </c>
      <c r="AN2038" t="s">
        <v>87</v>
      </c>
      <c r="AO2038" t="s">
        <v>87</v>
      </c>
      <c r="AP2038" t="s">
        <v>87</v>
      </c>
      <c r="AQ2038" t="s">
        <v>87</v>
      </c>
      <c r="AR2038" t="s">
        <v>87</v>
      </c>
      <c r="AS2038" t="s">
        <v>87</v>
      </c>
      <c r="AT2038" t="s">
        <v>87</v>
      </c>
      <c r="AU2038" t="s">
        <v>87</v>
      </c>
      <c r="AV2038" t="s">
        <v>87</v>
      </c>
      <c r="AW2038" t="s">
        <v>87</v>
      </c>
      <c r="AX2038" t="s">
        <v>87</v>
      </c>
      <c r="AY2038" t="s">
        <v>87</v>
      </c>
      <c r="AZ2038" t="s">
        <v>87</v>
      </c>
      <c r="BA2038" t="s">
        <v>87</v>
      </c>
      <c r="BB2038" t="s">
        <v>87</v>
      </c>
      <c r="BC2038" t="s">
        <v>87</v>
      </c>
      <c r="BD2038" t="s">
        <v>87</v>
      </c>
      <c r="BE2038" t="s">
        <v>87</v>
      </c>
    </row>
    <row r="2039" spans="1:57" x14ac:dyDescent="0.45">
      <c r="A2039" t="s">
        <v>4966</v>
      </c>
      <c r="B2039" t="s">
        <v>79</v>
      </c>
      <c r="C2039" t="s">
        <v>4967</v>
      </c>
      <c r="D2039" t="s">
        <v>81</v>
      </c>
      <c r="E2039" s="2" t="str">
        <f>HYPERLINK("capsilon://?command=openfolder&amp;siteaddress=FAM.docvelocity-na8.net&amp;folderid=FXF56EB2CE-CBBB-604B-3CCC-4B2F064DEC80","FX210111482")</f>
        <v>FX210111482</v>
      </c>
      <c r="F2039" t="s">
        <v>19</v>
      </c>
      <c r="G2039" t="s">
        <v>19</v>
      </c>
      <c r="H2039" t="s">
        <v>82</v>
      </c>
      <c r="I2039" t="s">
        <v>4968</v>
      </c>
      <c r="J2039">
        <v>146</v>
      </c>
      <c r="K2039" t="s">
        <v>84</v>
      </c>
      <c r="L2039" t="s">
        <v>85</v>
      </c>
      <c r="M2039" t="s">
        <v>86</v>
      </c>
      <c r="N2039">
        <v>3</v>
      </c>
      <c r="O2039" s="1">
        <v>44217.469236111108</v>
      </c>
      <c r="P2039" s="1">
        <v>44217.540567129632</v>
      </c>
      <c r="Q2039">
        <v>4178</v>
      </c>
      <c r="R2039">
        <v>1985</v>
      </c>
      <c r="S2039" t="b">
        <v>0</v>
      </c>
      <c r="T2039" t="s">
        <v>87</v>
      </c>
      <c r="U2039" t="b">
        <v>0</v>
      </c>
      <c r="V2039" t="s">
        <v>88</v>
      </c>
      <c r="W2039" s="1">
        <v>44217.493726851855</v>
      </c>
      <c r="X2039">
        <v>1699</v>
      </c>
      <c r="Y2039">
        <v>133</v>
      </c>
      <c r="Z2039">
        <v>0</v>
      </c>
      <c r="AA2039">
        <v>133</v>
      </c>
      <c r="AB2039">
        <v>0</v>
      </c>
      <c r="AC2039">
        <v>99</v>
      </c>
      <c r="AD2039">
        <v>13</v>
      </c>
      <c r="AE2039">
        <v>0</v>
      </c>
      <c r="AF2039">
        <v>0</v>
      </c>
      <c r="AG2039">
        <v>0</v>
      </c>
      <c r="AH2039" t="s">
        <v>132</v>
      </c>
      <c r="AI2039" s="1">
        <v>44217.504004629627</v>
      </c>
      <c r="AJ2039">
        <v>270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13</v>
      </c>
      <c r="AQ2039">
        <v>0</v>
      </c>
      <c r="AR2039">
        <v>0</v>
      </c>
      <c r="AS2039">
        <v>0</v>
      </c>
      <c r="AT2039" t="s">
        <v>90</v>
      </c>
      <c r="AU2039" s="1">
        <v>44217.540567129632</v>
      </c>
      <c r="AV2039">
        <v>16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13</v>
      </c>
      <c r="BC2039">
        <v>0</v>
      </c>
      <c r="BD2039">
        <v>0</v>
      </c>
      <c r="BE2039">
        <v>0</v>
      </c>
    </row>
    <row r="2040" spans="1:57" hidden="1" x14ac:dyDescent="0.45">
      <c r="A2040" t="s">
        <v>4969</v>
      </c>
      <c r="B2040" t="s">
        <v>79</v>
      </c>
      <c r="C2040" t="s">
        <v>4970</v>
      </c>
      <c r="D2040" t="s">
        <v>81</v>
      </c>
      <c r="E2040" s="2" t="str">
        <f>HYPERLINK("capsilon://?command=openfolder&amp;siteaddress=FAM.docvelocity-na8.net&amp;folderid=FXFA5B8AE4-4DF6-8925-C680-9D474A95E462","FX210110347")</f>
        <v>FX210110347</v>
      </c>
      <c r="F2040" t="s">
        <v>19</v>
      </c>
      <c r="G2040" t="s">
        <v>19</v>
      </c>
      <c r="H2040" t="s">
        <v>82</v>
      </c>
      <c r="I2040" t="s">
        <v>4971</v>
      </c>
      <c r="J2040">
        <v>145</v>
      </c>
      <c r="K2040" t="s">
        <v>84</v>
      </c>
      <c r="L2040" t="s">
        <v>85</v>
      </c>
      <c r="M2040" t="s">
        <v>86</v>
      </c>
      <c r="N2040">
        <v>1</v>
      </c>
      <c r="O2040" s="1">
        <v>44217.472002314818</v>
      </c>
      <c r="P2040" s="1">
        <v>44217.525972222225</v>
      </c>
      <c r="Q2040">
        <v>334</v>
      </c>
      <c r="R2040">
        <v>4329</v>
      </c>
      <c r="S2040" t="b">
        <v>0</v>
      </c>
      <c r="T2040" t="s">
        <v>87</v>
      </c>
      <c r="U2040" t="b">
        <v>0</v>
      </c>
      <c r="V2040" t="s">
        <v>242</v>
      </c>
      <c r="W2040" s="1">
        <v>44217.525972222225</v>
      </c>
      <c r="X2040">
        <v>4329</v>
      </c>
      <c r="Y2040">
        <v>133</v>
      </c>
      <c r="Z2040">
        <v>0</v>
      </c>
      <c r="AA2040">
        <v>133</v>
      </c>
      <c r="AB2040">
        <v>0</v>
      </c>
      <c r="AC2040">
        <v>103</v>
      </c>
      <c r="AD2040">
        <v>12</v>
      </c>
      <c r="AE2040">
        <v>27</v>
      </c>
      <c r="AF2040">
        <v>0</v>
      </c>
      <c r="AG2040">
        <v>2</v>
      </c>
      <c r="AH2040" t="s">
        <v>87</v>
      </c>
      <c r="AI2040" t="s">
        <v>87</v>
      </c>
      <c r="AJ2040" t="s">
        <v>87</v>
      </c>
      <c r="AK2040" t="s">
        <v>87</v>
      </c>
      <c r="AL2040" t="s">
        <v>87</v>
      </c>
      <c r="AM2040" t="s">
        <v>87</v>
      </c>
      <c r="AN2040" t="s">
        <v>87</v>
      </c>
      <c r="AO2040" t="s">
        <v>87</v>
      </c>
      <c r="AP2040" t="s">
        <v>87</v>
      </c>
      <c r="AQ2040" t="s">
        <v>87</v>
      </c>
      <c r="AR2040" t="s">
        <v>87</v>
      </c>
      <c r="AS2040" t="s">
        <v>87</v>
      </c>
      <c r="AT2040" t="s">
        <v>87</v>
      </c>
      <c r="AU2040" t="s">
        <v>87</v>
      </c>
      <c r="AV2040" t="s">
        <v>87</v>
      </c>
      <c r="AW2040" t="s">
        <v>87</v>
      </c>
      <c r="AX2040" t="s">
        <v>87</v>
      </c>
      <c r="AY2040" t="s">
        <v>87</v>
      </c>
      <c r="AZ2040" t="s">
        <v>87</v>
      </c>
      <c r="BA2040" t="s">
        <v>87</v>
      </c>
      <c r="BB2040" t="s">
        <v>87</v>
      </c>
      <c r="BC2040" t="s">
        <v>87</v>
      </c>
      <c r="BD2040" t="s">
        <v>87</v>
      </c>
      <c r="BE2040" t="s">
        <v>87</v>
      </c>
    </row>
    <row r="2041" spans="1:57" hidden="1" x14ac:dyDescent="0.45">
      <c r="A2041" t="s">
        <v>4972</v>
      </c>
      <c r="B2041" t="s">
        <v>79</v>
      </c>
      <c r="C2041" t="s">
        <v>4973</v>
      </c>
      <c r="D2041" t="s">
        <v>81</v>
      </c>
      <c r="E2041" s="2" t="str">
        <f>HYPERLINK("capsilon://?command=openfolder&amp;siteaddress=FAM.docvelocity-na8.net&amp;folderid=FXA7A37B1A-422A-1AD1-9918-26AEF3C0D785","FX201113020")</f>
        <v>FX201113020</v>
      </c>
      <c r="F2041" t="s">
        <v>19</v>
      </c>
      <c r="G2041" t="s">
        <v>19</v>
      </c>
      <c r="H2041" t="s">
        <v>82</v>
      </c>
      <c r="I2041" t="s">
        <v>4974</v>
      </c>
      <c r="J2041">
        <v>222</v>
      </c>
      <c r="K2041" t="s">
        <v>84</v>
      </c>
      <c r="L2041" t="s">
        <v>85</v>
      </c>
      <c r="M2041" t="s">
        <v>86</v>
      </c>
      <c r="N2041">
        <v>1</v>
      </c>
      <c r="O2041" s="1">
        <v>44217.474664351852</v>
      </c>
      <c r="P2041" s="1">
        <v>44217.502523148149</v>
      </c>
      <c r="Q2041">
        <v>220</v>
      </c>
      <c r="R2041">
        <v>2187</v>
      </c>
      <c r="S2041" t="b">
        <v>0</v>
      </c>
      <c r="T2041" t="s">
        <v>87</v>
      </c>
      <c r="U2041" t="b">
        <v>0</v>
      </c>
      <c r="V2041" t="s">
        <v>168</v>
      </c>
      <c r="W2041" s="1">
        <v>44217.502523148149</v>
      </c>
      <c r="X2041">
        <v>2187</v>
      </c>
      <c r="Y2041">
        <v>157</v>
      </c>
      <c r="Z2041">
        <v>0</v>
      </c>
      <c r="AA2041">
        <v>157</v>
      </c>
      <c r="AB2041">
        <v>0</v>
      </c>
      <c r="AC2041">
        <v>60</v>
      </c>
      <c r="AD2041">
        <v>65</v>
      </c>
      <c r="AE2041">
        <v>49</v>
      </c>
      <c r="AF2041">
        <v>0</v>
      </c>
      <c r="AG2041">
        <v>3</v>
      </c>
      <c r="AH2041" t="s">
        <v>87</v>
      </c>
      <c r="AI2041" t="s">
        <v>87</v>
      </c>
      <c r="AJ2041" t="s">
        <v>87</v>
      </c>
      <c r="AK2041" t="s">
        <v>87</v>
      </c>
      <c r="AL2041" t="s">
        <v>87</v>
      </c>
      <c r="AM2041" t="s">
        <v>87</v>
      </c>
      <c r="AN2041" t="s">
        <v>87</v>
      </c>
      <c r="AO2041" t="s">
        <v>87</v>
      </c>
      <c r="AP2041" t="s">
        <v>87</v>
      </c>
      <c r="AQ2041" t="s">
        <v>87</v>
      </c>
      <c r="AR2041" t="s">
        <v>87</v>
      </c>
      <c r="AS2041" t="s">
        <v>87</v>
      </c>
      <c r="AT2041" t="s">
        <v>87</v>
      </c>
      <c r="AU2041" t="s">
        <v>87</v>
      </c>
      <c r="AV2041" t="s">
        <v>87</v>
      </c>
      <c r="AW2041" t="s">
        <v>87</v>
      </c>
      <c r="AX2041" t="s">
        <v>87</v>
      </c>
      <c r="AY2041" t="s">
        <v>87</v>
      </c>
      <c r="AZ2041" t="s">
        <v>87</v>
      </c>
      <c r="BA2041" t="s">
        <v>87</v>
      </c>
      <c r="BB2041" t="s">
        <v>87</v>
      </c>
      <c r="BC2041" t="s">
        <v>87</v>
      </c>
      <c r="BD2041" t="s">
        <v>87</v>
      </c>
      <c r="BE2041" t="s">
        <v>87</v>
      </c>
    </row>
    <row r="2042" spans="1:57" hidden="1" x14ac:dyDescent="0.45">
      <c r="A2042" t="s">
        <v>4975</v>
      </c>
      <c r="B2042" t="s">
        <v>79</v>
      </c>
      <c r="C2042" t="s">
        <v>4976</v>
      </c>
      <c r="D2042" t="s">
        <v>81</v>
      </c>
      <c r="E2042" s="2" t="str">
        <f>HYPERLINK("capsilon://?command=openfolder&amp;siteaddress=FAM.docvelocity-na8.net&amp;folderid=FXEFBBCDA3-C254-6081-0650-C984EBAE2649","FX2011153")</f>
        <v>FX2011153</v>
      </c>
      <c r="F2042" t="s">
        <v>19</v>
      </c>
      <c r="G2042" t="s">
        <v>19</v>
      </c>
      <c r="H2042" t="s">
        <v>82</v>
      </c>
      <c r="I2042" t="s">
        <v>4977</v>
      </c>
      <c r="J2042">
        <v>66</v>
      </c>
      <c r="K2042" t="s">
        <v>84</v>
      </c>
      <c r="L2042" t="s">
        <v>85</v>
      </c>
      <c r="M2042" t="s">
        <v>86</v>
      </c>
      <c r="N2042">
        <v>3</v>
      </c>
      <c r="O2042" s="1">
        <v>44201.457268518519</v>
      </c>
      <c r="P2042" s="1">
        <v>44201.556840277779</v>
      </c>
      <c r="Q2042">
        <v>8534</v>
      </c>
      <c r="R2042">
        <v>69</v>
      </c>
      <c r="S2042" t="b">
        <v>0</v>
      </c>
      <c r="T2042" t="s">
        <v>87</v>
      </c>
      <c r="U2042" t="b">
        <v>0</v>
      </c>
      <c r="V2042" t="s">
        <v>142</v>
      </c>
      <c r="W2042" s="1">
        <v>44201.488692129627</v>
      </c>
      <c r="X2042">
        <v>41</v>
      </c>
      <c r="Y2042">
        <v>0</v>
      </c>
      <c r="Z2042">
        <v>0</v>
      </c>
      <c r="AA2042">
        <v>0</v>
      </c>
      <c r="AB2042">
        <v>52</v>
      </c>
      <c r="AC2042">
        <v>0</v>
      </c>
      <c r="AD2042">
        <v>66</v>
      </c>
      <c r="AE2042">
        <v>0</v>
      </c>
      <c r="AF2042">
        <v>0</v>
      </c>
      <c r="AG2042">
        <v>0</v>
      </c>
      <c r="AH2042" t="s">
        <v>267</v>
      </c>
      <c r="AI2042" s="1">
        <v>44201.545046296298</v>
      </c>
      <c r="AJ2042">
        <v>25</v>
      </c>
      <c r="AK2042">
        <v>0</v>
      </c>
      <c r="AL2042">
        <v>0</v>
      </c>
      <c r="AM2042">
        <v>0</v>
      </c>
      <c r="AN2042">
        <v>52</v>
      </c>
      <c r="AO2042">
        <v>0</v>
      </c>
      <c r="AP2042">
        <v>66</v>
      </c>
      <c r="AQ2042">
        <v>0</v>
      </c>
      <c r="AR2042">
        <v>0</v>
      </c>
      <c r="AS2042">
        <v>0</v>
      </c>
      <c r="AT2042" t="s">
        <v>90</v>
      </c>
      <c r="AU2042" s="1">
        <v>44201.556840277779</v>
      </c>
      <c r="AV2042">
        <v>3</v>
      </c>
      <c r="AW2042">
        <v>0</v>
      </c>
      <c r="AX2042">
        <v>0</v>
      </c>
      <c r="AY2042">
        <v>0</v>
      </c>
      <c r="AZ2042">
        <v>52</v>
      </c>
      <c r="BA2042">
        <v>0</v>
      </c>
      <c r="BB2042">
        <v>66</v>
      </c>
      <c r="BC2042">
        <v>0</v>
      </c>
      <c r="BD2042">
        <v>0</v>
      </c>
      <c r="BE2042">
        <v>0</v>
      </c>
    </row>
    <row r="2043" spans="1:57" x14ac:dyDescent="0.45">
      <c r="A2043" t="s">
        <v>4978</v>
      </c>
      <c r="B2043" t="s">
        <v>79</v>
      </c>
      <c r="C2043" t="s">
        <v>4979</v>
      </c>
      <c r="D2043" t="s">
        <v>81</v>
      </c>
      <c r="E2043" s="2" t="str">
        <f>HYPERLINK("capsilon://?command=openfolder&amp;siteaddress=FAM.docvelocity-na8.net&amp;folderid=FXDD2F775C-1B8F-D9F0-BCF5-EDE2FEDF4CD5","FX210112574")</f>
        <v>FX210112574</v>
      </c>
      <c r="F2043" t="s">
        <v>19</v>
      </c>
      <c r="G2043" t="s">
        <v>19</v>
      </c>
      <c r="H2043" t="s">
        <v>82</v>
      </c>
      <c r="I2043" t="s">
        <v>4980</v>
      </c>
      <c r="J2043">
        <v>319</v>
      </c>
      <c r="K2043" t="s">
        <v>84</v>
      </c>
      <c r="L2043" t="s">
        <v>85</v>
      </c>
      <c r="M2043" t="s">
        <v>86</v>
      </c>
      <c r="N2043">
        <v>3</v>
      </c>
      <c r="O2043" s="1">
        <v>44217.476331018515</v>
      </c>
      <c r="P2043" s="1">
        <v>44217.548634259256</v>
      </c>
      <c r="Q2043">
        <v>1880</v>
      </c>
      <c r="R2043">
        <v>4367</v>
      </c>
      <c r="S2043" t="b">
        <v>0</v>
      </c>
      <c r="T2043" t="s">
        <v>87</v>
      </c>
      <c r="U2043" t="b">
        <v>0</v>
      </c>
      <c r="V2043" t="s">
        <v>255</v>
      </c>
      <c r="W2043" s="1">
        <v>44217.492210648146</v>
      </c>
      <c r="X2043">
        <v>1273</v>
      </c>
      <c r="Y2043">
        <v>273</v>
      </c>
      <c r="Z2043">
        <v>0</v>
      </c>
      <c r="AA2043">
        <v>273</v>
      </c>
      <c r="AB2043">
        <v>21</v>
      </c>
      <c r="AC2043">
        <v>128</v>
      </c>
      <c r="AD2043">
        <v>46</v>
      </c>
      <c r="AE2043">
        <v>0</v>
      </c>
      <c r="AF2043">
        <v>0</v>
      </c>
      <c r="AG2043">
        <v>0</v>
      </c>
      <c r="AH2043" t="s">
        <v>89</v>
      </c>
      <c r="AI2043" s="1">
        <v>44217.542233796295</v>
      </c>
      <c r="AJ2043">
        <v>2994</v>
      </c>
      <c r="AK2043">
        <v>1</v>
      </c>
      <c r="AL2043">
        <v>0</v>
      </c>
      <c r="AM2043">
        <v>1</v>
      </c>
      <c r="AN2043">
        <v>21</v>
      </c>
      <c r="AO2043">
        <v>0</v>
      </c>
      <c r="AP2043">
        <v>45</v>
      </c>
      <c r="AQ2043">
        <v>0</v>
      </c>
      <c r="AR2043">
        <v>0</v>
      </c>
      <c r="AS2043">
        <v>0</v>
      </c>
      <c r="AT2043" t="s">
        <v>90</v>
      </c>
      <c r="AU2043" s="1">
        <v>44217.548634259256</v>
      </c>
      <c r="AV2043">
        <v>100</v>
      </c>
      <c r="AW2043">
        <v>0</v>
      </c>
      <c r="AX2043">
        <v>0</v>
      </c>
      <c r="AY2043">
        <v>0</v>
      </c>
      <c r="AZ2043">
        <v>21</v>
      </c>
      <c r="BA2043">
        <v>0</v>
      </c>
      <c r="BB2043">
        <v>45</v>
      </c>
      <c r="BC2043">
        <v>0</v>
      </c>
      <c r="BD2043">
        <v>0</v>
      </c>
      <c r="BE2043">
        <v>0</v>
      </c>
    </row>
    <row r="2044" spans="1:57" x14ac:dyDescent="0.45">
      <c r="A2044" t="s">
        <v>4981</v>
      </c>
      <c r="B2044" t="s">
        <v>79</v>
      </c>
      <c r="C2044" t="s">
        <v>4982</v>
      </c>
      <c r="D2044" t="s">
        <v>81</v>
      </c>
      <c r="E2044" s="2" t="str">
        <f>HYPERLINK("capsilon://?command=openfolder&amp;siteaddress=FAM.docvelocity-na8.net&amp;folderid=FXEB353DF6-9D7F-80FF-B31A-8B1AA2B44FB9","FX21012505")</f>
        <v>FX21012505</v>
      </c>
      <c r="F2044" t="s">
        <v>19</v>
      </c>
      <c r="G2044" t="s">
        <v>19</v>
      </c>
      <c r="H2044" t="s">
        <v>82</v>
      </c>
      <c r="I2044" t="s">
        <v>4983</v>
      </c>
      <c r="J2044">
        <v>100</v>
      </c>
      <c r="K2044" t="s">
        <v>84</v>
      </c>
      <c r="L2044" t="s">
        <v>85</v>
      </c>
      <c r="M2044" t="s">
        <v>86</v>
      </c>
      <c r="N2044">
        <v>3</v>
      </c>
      <c r="O2044" s="1">
        <v>44217.485671296294</v>
      </c>
      <c r="P2044" s="1">
        <v>44217.541342592594</v>
      </c>
      <c r="Q2044">
        <v>2852</v>
      </c>
      <c r="R2044">
        <v>1958</v>
      </c>
      <c r="S2044" t="b">
        <v>0</v>
      </c>
      <c r="T2044" t="s">
        <v>87</v>
      </c>
      <c r="U2044" t="b">
        <v>0</v>
      </c>
      <c r="V2044" t="s">
        <v>242</v>
      </c>
      <c r="W2044" s="1">
        <v>44217.501527777778</v>
      </c>
      <c r="X2044">
        <v>1350</v>
      </c>
      <c r="Y2044">
        <v>74</v>
      </c>
      <c r="Z2044">
        <v>0</v>
      </c>
      <c r="AA2044">
        <v>74</v>
      </c>
      <c r="AB2044">
        <v>0</v>
      </c>
      <c r="AC2044">
        <v>53</v>
      </c>
      <c r="AD2044">
        <v>26</v>
      </c>
      <c r="AE2044">
        <v>0</v>
      </c>
      <c r="AF2044">
        <v>0</v>
      </c>
      <c r="AG2044">
        <v>0</v>
      </c>
      <c r="AH2044" t="s">
        <v>267</v>
      </c>
      <c r="AI2044" s="1">
        <v>44217.51730324074</v>
      </c>
      <c r="AJ2044">
        <v>542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26</v>
      </c>
      <c r="AQ2044">
        <v>0</v>
      </c>
      <c r="AR2044">
        <v>0</v>
      </c>
      <c r="AS2044">
        <v>0</v>
      </c>
      <c r="AT2044" t="s">
        <v>90</v>
      </c>
      <c r="AU2044" s="1">
        <v>44217.541342592594</v>
      </c>
      <c r="AV2044">
        <v>66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26</v>
      </c>
      <c r="BC2044">
        <v>0</v>
      </c>
      <c r="BD2044">
        <v>0</v>
      </c>
      <c r="BE2044">
        <v>0</v>
      </c>
    </row>
    <row r="2045" spans="1:57" x14ac:dyDescent="0.45">
      <c r="A2045" t="s">
        <v>4984</v>
      </c>
      <c r="B2045" t="s">
        <v>79</v>
      </c>
      <c r="C2045" t="s">
        <v>4985</v>
      </c>
      <c r="D2045" t="s">
        <v>81</v>
      </c>
      <c r="E2045" s="2" t="str">
        <f>HYPERLINK("capsilon://?command=openfolder&amp;siteaddress=FAM.docvelocity-na8.net&amp;folderid=FX2F4D58E0-DE6F-9498-1279-FCA7F8CAD254","FX210112440")</f>
        <v>FX210112440</v>
      </c>
      <c r="F2045" t="s">
        <v>19</v>
      </c>
      <c r="G2045" t="s">
        <v>19</v>
      </c>
      <c r="H2045" t="s">
        <v>82</v>
      </c>
      <c r="I2045" t="s">
        <v>4986</v>
      </c>
      <c r="J2045">
        <v>130</v>
      </c>
      <c r="K2045" t="s">
        <v>84</v>
      </c>
      <c r="L2045" t="s">
        <v>85</v>
      </c>
      <c r="M2045" t="s">
        <v>86</v>
      </c>
      <c r="N2045">
        <v>3</v>
      </c>
      <c r="O2045" s="1">
        <v>44217.485983796294</v>
      </c>
      <c r="P2045" s="1">
        <v>44217.54896990741</v>
      </c>
      <c r="Q2045">
        <v>3617</v>
      </c>
      <c r="R2045">
        <v>1825</v>
      </c>
      <c r="S2045" t="b">
        <v>0</v>
      </c>
      <c r="T2045" t="s">
        <v>87</v>
      </c>
      <c r="U2045" t="b">
        <v>0</v>
      </c>
      <c r="V2045" t="s">
        <v>160</v>
      </c>
      <c r="W2045" s="1">
        <v>44217.504432870373</v>
      </c>
      <c r="X2045">
        <v>1591</v>
      </c>
      <c r="Y2045">
        <v>123</v>
      </c>
      <c r="Z2045">
        <v>0</v>
      </c>
      <c r="AA2045">
        <v>123</v>
      </c>
      <c r="AB2045">
        <v>0</v>
      </c>
      <c r="AC2045">
        <v>113</v>
      </c>
      <c r="AD2045">
        <v>7</v>
      </c>
      <c r="AE2045">
        <v>0</v>
      </c>
      <c r="AF2045">
        <v>0</v>
      </c>
      <c r="AG2045">
        <v>0</v>
      </c>
      <c r="AH2045" t="s">
        <v>132</v>
      </c>
      <c r="AI2045" s="1">
        <v>44217.545138888891</v>
      </c>
      <c r="AJ2045">
        <v>201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7</v>
      </c>
      <c r="AQ2045">
        <v>0</v>
      </c>
      <c r="AR2045">
        <v>0</v>
      </c>
      <c r="AS2045">
        <v>0</v>
      </c>
      <c r="AT2045" t="s">
        <v>90</v>
      </c>
      <c r="AU2045" s="1">
        <v>44217.54896990741</v>
      </c>
      <c r="AV2045">
        <v>28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7</v>
      </c>
      <c r="BC2045">
        <v>0</v>
      </c>
      <c r="BD2045">
        <v>0</v>
      </c>
      <c r="BE2045">
        <v>0</v>
      </c>
    </row>
    <row r="2046" spans="1:57" x14ac:dyDescent="0.45">
      <c r="A2046" t="s">
        <v>4987</v>
      </c>
      <c r="B2046" t="s">
        <v>79</v>
      </c>
      <c r="C2046" t="s">
        <v>4793</v>
      </c>
      <c r="D2046" t="s">
        <v>81</v>
      </c>
      <c r="E2046" s="2" t="str">
        <f>HYPERLINK("capsilon://?command=openfolder&amp;siteaddress=FAM.docvelocity-na8.net&amp;folderid=FX52BB72DC-D89D-701D-6932-291B22C51300","FX201226108")</f>
        <v>FX201226108</v>
      </c>
      <c r="F2046" t="s">
        <v>19</v>
      </c>
      <c r="G2046" t="s">
        <v>19</v>
      </c>
      <c r="H2046" t="s">
        <v>82</v>
      </c>
      <c r="I2046" t="s">
        <v>4794</v>
      </c>
      <c r="J2046">
        <v>324</v>
      </c>
      <c r="K2046" t="s">
        <v>84</v>
      </c>
      <c r="L2046" t="s">
        <v>85</v>
      </c>
      <c r="M2046" t="s">
        <v>86</v>
      </c>
      <c r="N2046">
        <v>3</v>
      </c>
      <c r="O2046" s="1">
        <v>44201.459398148145</v>
      </c>
      <c r="P2046" s="1">
        <v>44201.53534722222</v>
      </c>
      <c r="Q2046">
        <v>1153</v>
      </c>
      <c r="R2046">
        <v>5409</v>
      </c>
      <c r="S2046" t="b">
        <v>0</v>
      </c>
      <c r="T2046" t="s">
        <v>87</v>
      </c>
      <c r="U2046" t="b">
        <v>1</v>
      </c>
      <c r="V2046" t="s">
        <v>98</v>
      </c>
      <c r="W2046" s="1">
        <v>44201.511493055557</v>
      </c>
      <c r="X2046">
        <v>3777</v>
      </c>
      <c r="Y2046">
        <v>301</v>
      </c>
      <c r="Z2046">
        <v>0</v>
      </c>
      <c r="AA2046">
        <v>301</v>
      </c>
      <c r="AB2046">
        <v>6</v>
      </c>
      <c r="AC2046">
        <v>169</v>
      </c>
      <c r="AD2046">
        <v>23</v>
      </c>
      <c r="AE2046">
        <v>0</v>
      </c>
      <c r="AF2046">
        <v>0</v>
      </c>
      <c r="AG2046">
        <v>0</v>
      </c>
      <c r="AH2046" t="s">
        <v>128</v>
      </c>
      <c r="AI2046" s="1">
        <v>44201.53292824074</v>
      </c>
      <c r="AJ2046">
        <v>1224</v>
      </c>
      <c r="AK2046">
        <v>0</v>
      </c>
      <c r="AL2046">
        <v>0</v>
      </c>
      <c r="AM2046">
        <v>0</v>
      </c>
      <c r="AN2046">
        <v>6</v>
      </c>
      <c r="AO2046">
        <v>0</v>
      </c>
      <c r="AP2046">
        <v>23</v>
      </c>
      <c r="AQ2046">
        <v>0</v>
      </c>
      <c r="AR2046">
        <v>0</v>
      </c>
      <c r="AS2046">
        <v>0</v>
      </c>
      <c r="AT2046" t="s">
        <v>90</v>
      </c>
      <c r="AU2046" s="1">
        <v>44201.53534722222</v>
      </c>
      <c r="AV2046">
        <v>172</v>
      </c>
      <c r="AW2046">
        <v>0</v>
      </c>
      <c r="AX2046">
        <v>0</v>
      </c>
      <c r="AY2046">
        <v>0</v>
      </c>
      <c r="AZ2046">
        <v>6</v>
      </c>
      <c r="BA2046">
        <v>0</v>
      </c>
      <c r="BB2046">
        <v>23</v>
      </c>
      <c r="BC2046">
        <v>0</v>
      </c>
      <c r="BD2046">
        <v>0</v>
      </c>
      <c r="BE2046">
        <v>0</v>
      </c>
    </row>
    <row r="2047" spans="1:57" x14ac:dyDescent="0.45">
      <c r="A2047" t="s">
        <v>4988</v>
      </c>
      <c r="B2047" t="s">
        <v>79</v>
      </c>
      <c r="C2047" t="s">
        <v>4989</v>
      </c>
      <c r="D2047" t="s">
        <v>81</v>
      </c>
      <c r="E2047" s="2" t="str">
        <f>HYPERLINK("capsilon://?command=openfolder&amp;siteaddress=FAM.docvelocity-na8.net&amp;folderid=FXE47C00C6-8B12-8EE6-D163-1849DF031E08","FX210113028")</f>
        <v>FX210113028</v>
      </c>
      <c r="F2047" t="s">
        <v>19</v>
      </c>
      <c r="G2047" t="s">
        <v>19</v>
      </c>
      <c r="H2047" t="s">
        <v>82</v>
      </c>
      <c r="I2047" t="s">
        <v>4990</v>
      </c>
      <c r="J2047">
        <v>421</v>
      </c>
      <c r="K2047" t="s">
        <v>84</v>
      </c>
      <c r="L2047" t="s">
        <v>85</v>
      </c>
      <c r="M2047" t="s">
        <v>86</v>
      </c>
      <c r="N2047">
        <v>3</v>
      </c>
      <c r="O2047" s="1">
        <v>44217.491018518522</v>
      </c>
      <c r="P2047" s="1">
        <v>44217.569641203707</v>
      </c>
      <c r="Q2047">
        <v>1816</v>
      </c>
      <c r="R2047">
        <v>4977</v>
      </c>
      <c r="S2047" t="b">
        <v>0</v>
      </c>
      <c r="T2047" t="s">
        <v>87</v>
      </c>
      <c r="U2047" t="b">
        <v>0</v>
      </c>
      <c r="V2047" t="s">
        <v>105</v>
      </c>
      <c r="W2047" s="1">
        <v>44217.54078703704</v>
      </c>
      <c r="X2047">
        <v>4268</v>
      </c>
      <c r="Y2047">
        <v>393</v>
      </c>
      <c r="Z2047">
        <v>0</v>
      </c>
      <c r="AA2047">
        <v>393</v>
      </c>
      <c r="AB2047">
        <v>0</v>
      </c>
      <c r="AC2047">
        <v>129</v>
      </c>
      <c r="AD2047">
        <v>28</v>
      </c>
      <c r="AE2047">
        <v>0</v>
      </c>
      <c r="AF2047">
        <v>0</v>
      </c>
      <c r="AG2047">
        <v>0</v>
      </c>
      <c r="AH2047" t="s">
        <v>132</v>
      </c>
      <c r="AI2047" s="1">
        <v>44217.552905092591</v>
      </c>
      <c r="AJ2047">
        <v>670</v>
      </c>
      <c r="AK2047">
        <v>0</v>
      </c>
      <c r="AL2047">
        <v>0</v>
      </c>
      <c r="AM2047">
        <v>0</v>
      </c>
      <c r="AN2047">
        <v>0</v>
      </c>
      <c r="AO2047">
        <v>4</v>
      </c>
      <c r="AP2047">
        <v>28</v>
      </c>
      <c r="AQ2047">
        <v>0</v>
      </c>
      <c r="AR2047">
        <v>0</v>
      </c>
      <c r="AS2047">
        <v>0</v>
      </c>
      <c r="AT2047" t="s">
        <v>90</v>
      </c>
      <c r="AU2047" s="1">
        <v>44217.569641203707</v>
      </c>
      <c r="AV2047">
        <v>39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28</v>
      </c>
      <c r="BC2047">
        <v>0</v>
      </c>
      <c r="BD2047">
        <v>0</v>
      </c>
      <c r="BE2047">
        <v>0</v>
      </c>
    </row>
    <row r="2048" spans="1:57" x14ac:dyDescent="0.45">
      <c r="A2048" t="s">
        <v>4991</v>
      </c>
      <c r="B2048" t="s">
        <v>79</v>
      </c>
      <c r="C2048" t="s">
        <v>1491</v>
      </c>
      <c r="D2048" t="s">
        <v>81</v>
      </c>
      <c r="E2048" s="2" t="str">
        <f>HYPERLINK("capsilon://?command=openfolder&amp;siteaddress=FAM.docvelocity-na8.net&amp;folderid=FX9A2AF898-6D21-94AE-B855-C0A0FB820866","FX21012816")</f>
        <v>FX21012816</v>
      </c>
      <c r="F2048" t="s">
        <v>19</v>
      </c>
      <c r="G2048" t="s">
        <v>19</v>
      </c>
      <c r="H2048" t="s">
        <v>82</v>
      </c>
      <c r="I2048" t="s">
        <v>4992</v>
      </c>
      <c r="J2048">
        <v>66</v>
      </c>
      <c r="K2048" t="s">
        <v>84</v>
      </c>
      <c r="L2048" t="s">
        <v>85</v>
      </c>
      <c r="M2048" t="s">
        <v>86</v>
      </c>
      <c r="N2048">
        <v>3</v>
      </c>
      <c r="O2048" s="1">
        <v>44217.491574074076</v>
      </c>
      <c r="P2048" s="1">
        <v>44217.569710648146</v>
      </c>
      <c r="Q2048">
        <v>5975</v>
      </c>
      <c r="R2048">
        <v>776</v>
      </c>
      <c r="S2048" t="b">
        <v>0</v>
      </c>
      <c r="T2048" t="s">
        <v>87</v>
      </c>
      <c r="U2048" t="b">
        <v>0</v>
      </c>
      <c r="V2048" t="s">
        <v>255</v>
      </c>
      <c r="W2048" s="1">
        <v>44217.500057870369</v>
      </c>
      <c r="X2048">
        <v>677</v>
      </c>
      <c r="Y2048">
        <v>52</v>
      </c>
      <c r="Z2048">
        <v>0</v>
      </c>
      <c r="AA2048">
        <v>52</v>
      </c>
      <c r="AB2048">
        <v>0</v>
      </c>
      <c r="AC2048">
        <v>40</v>
      </c>
      <c r="AD2048">
        <v>14</v>
      </c>
      <c r="AE2048">
        <v>0</v>
      </c>
      <c r="AF2048">
        <v>0</v>
      </c>
      <c r="AG2048">
        <v>0</v>
      </c>
      <c r="AH2048" t="s">
        <v>132</v>
      </c>
      <c r="AI2048" s="1">
        <v>44217.55400462963</v>
      </c>
      <c r="AJ2048">
        <v>94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14</v>
      </c>
      <c r="AQ2048">
        <v>0</v>
      </c>
      <c r="AR2048">
        <v>0</v>
      </c>
      <c r="AS2048">
        <v>0</v>
      </c>
      <c r="AT2048" t="s">
        <v>90</v>
      </c>
      <c r="AU2048" s="1">
        <v>44217.569710648146</v>
      </c>
      <c r="AV2048">
        <v>5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14</v>
      </c>
      <c r="BC2048">
        <v>0</v>
      </c>
      <c r="BD2048">
        <v>0</v>
      </c>
      <c r="BE2048">
        <v>0</v>
      </c>
    </row>
    <row r="2049" spans="1:57" hidden="1" x14ac:dyDescent="0.45">
      <c r="A2049" t="s">
        <v>4993</v>
      </c>
      <c r="B2049" t="s">
        <v>79</v>
      </c>
      <c r="C2049" t="s">
        <v>4994</v>
      </c>
      <c r="D2049" t="s">
        <v>81</v>
      </c>
      <c r="E2049" s="2" t="str">
        <f>HYPERLINK("capsilon://?command=openfolder&amp;siteaddress=FAM.docvelocity-na8.net&amp;folderid=FX659CA059-056A-7EEA-556B-018FB35F1F80","FX201114696")</f>
        <v>FX201114696</v>
      </c>
      <c r="F2049" t="s">
        <v>19</v>
      </c>
      <c r="G2049" t="s">
        <v>19</v>
      </c>
      <c r="H2049" t="s">
        <v>82</v>
      </c>
      <c r="I2049" t="s">
        <v>4995</v>
      </c>
      <c r="J2049">
        <v>10</v>
      </c>
      <c r="K2049" t="s">
        <v>84</v>
      </c>
      <c r="L2049" t="s">
        <v>85</v>
      </c>
      <c r="M2049" t="s">
        <v>81</v>
      </c>
      <c r="N2049">
        <v>1</v>
      </c>
      <c r="O2049" s="1">
        <v>44217.492256944446</v>
      </c>
      <c r="P2049" s="1">
        <v>44217.49255787037</v>
      </c>
      <c r="Q2049">
        <v>19</v>
      </c>
      <c r="R2049">
        <v>7</v>
      </c>
      <c r="S2049" t="b">
        <v>0</v>
      </c>
      <c r="T2049" t="s">
        <v>2779</v>
      </c>
      <c r="U2049" t="b">
        <v>0</v>
      </c>
      <c r="V2049" t="s">
        <v>2779</v>
      </c>
      <c r="W2049" s="1">
        <v>44217.49255787037</v>
      </c>
      <c r="X2049">
        <v>7</v>
      </c>
      <c r="Y2049">
        <v>6</v>
      </c>
      <c r="Z2049">
        <v>0</v>
      </c>
      <c r="AA2049">
        <v>6</v>
      </c>
      <c r="AB2049">
        <v>0</v>
      </c>
      <c r="AC2049">
        <v>0</v>
      </c>
      <c r="AD2049">
        <v>4</v>
      </c>
      <c r="AE2049">
        <v>0</v>
      </c>
      <c r="AF2049">
        <v>0</v>
      </c>
      <c r="AG2049">
        <v>0</v>
      </c>
      <c r="AH2049" t="s">
        <v>87</v>
      </c>
      <c r="AI2049" t="s">
        <v>87</v>
      </c>
      <c r="AJ2049" t="s">
        <v>87</v>
      </c>
      <c r="AK2049" t="s">
        <v>87</v>
      </c>
      <c r="AL2049" t="s">
        <v>87</v>
      </c>
      <c r="AM2049" t="s">
        <v>87</v>
      </c>
      <c r="AN2049" t="s">
        <v>87</v>
      </c>
      <c r="AO2049" t="s">
        <v>87</v>
      </c>
      <c r="AP2049" t="s">
        <v>87</v>
      </c>
      <c r="AQ2049" t="s">
        <v>87</v>
      </c>
      <c r="AR2049" t="s">
        <v>87</v>
      </c>
      <c r="AS2049" t="s">
        <v>87</v>
      </c>
      <c r="AT2049" t="s">
        <v>87</v>
      </c>
      <c r="AU2049" t="s">
        <v>87</v>
      </c>
      <c r="AV2049" t="s">
        <v>87</v>
      </c>
      <c r="AW2049" t="s">
        <v>87</v>
      </c>
      <c r="AX2049" t="s">
        <v>87</v>
      </c>
      <c r="AY2049" t="s">
        <v>87</v>
      </c>
      <c r="AZ2049" t="s">
        <v>87</v>
      </c>
      <c r="BA2049" t="s">
        <v>87</v>
      </c>
      <c r="BB2049" t="s">
        <v>87</v>
      </c>
      <c r="BC2049" t="s">
        <v>87</v>
      </c>
      <c r="BD2049" t="s">
        <v>87</v>
      </c>
      <c r="BE2049" t="s">
        <v>87</v>
      </c>
    </row>
    <row r="2050" spans="1:57" x14ac:dyDescent="0.45">
      <c r="A2050" t="s">
        <v>4996</v>
      </c>
      <c r="B2050" t="s">
        <v>79</v>
      </c>
      <c r="C2050" t="s">
        <v>4912</v>
      </c>
      <c r="D2050" t="s">
        <v>81</v>
      </c>
      <c r="E2050" s="2" t="str">
        <f>HYPERLINK("capsilon://?command=openfolder&amp;siteaddress=FAM.docvelocity-na8.net&amp;folderid=FX6306865F-1F14-F1A0-11E4-638F3036D58A","FX210112423")</f>
        <v>FX210112423</v>
      </c>
      <c r="F2050" t="s">
        <v>19</v>
      </c>
      <c r="G2050" t="s">
        <v>19</v>
      </c>
      <c r="H2050" t="s">
        <v>82</v>
      </c>
      <c r="I2050" t="s">
        <v>4913</v>
      </c>
      <c r="J2050">
        <v>210</v>
      </c>
      <c r="K2050" t="s">
        <v>84</v>
      </c>
      <c r="L2050" t="s">
        <v>85</v>
      </c>
      <c r="M2050" t="s">
        <v>86</v>
      </c>
      <c r="N2050">
        <v>3</v>
      </c>
      <c r="O2050" s="1">
        <v>44217.497499999998</v>
      </c>
      <c r="P2050" s="1">
        <v>44217.532881944448</v>
      </c>
      <c r="Q2050">
        <v>305</v>
      </c>
      <c r="R2050">
        <v>2752</v>
      </c>
      <c r="S2050" t="b">
        <v>0</v>
      </c>
      <c r="T2050" t="s">
        <v>87</v>
      </c>
      <c r="U2050" t="b">
        <v>1</v>
      </c>
      <c r="V2050" t="s">
        <v>343</v>
      </c>
      <c r="W2050" s="1">
        <v>44217.521099537036</v>
      </c>
      <c r="X2050">
        <v>2026</v>
      </c>
      <c r="Y2050">
        <v>199</v>
      </c>
      <c r="Z2050">
        <v>0</v>
      </c>
      <c r="AA2050">
        <v>199</v>
      </c>
      <c r="AB2050">
        <v>71</v>
      </c>
      <c r="AC2050">
        <v>35</v>
      </c>
      <c r="AD2050">
        <v>11</v>
      </c>
      <c r="AE2050">
        <v>0</v>
      </c>
      <c r="AF2050">
        <v>0</v>
      </c>
      <c r="AG2050">
        <v>0</v>
      </c>
      <c r="AH2050" t="s">
        <v>132</v>
      </c>
      <c r="AI2050" s="1">
        <v>44217.531377314815</v>
      </c>
      <c r="AJ2050">
        <v>676</v>
      </c>
      <c r="AK2050">
        <v>2</v>
      </c>
      <c r="AL2050">
        <v>0</v>
      </c>
      <c r="AM2050">
        <v>2</v>
      </c>
      <c r="AN2050">
        <v>71</v>
      </c>
      <c r="AO2050">
        <v>1</v>
      </c>
      <c r="AP2050">
        <v>9</v>
      </c>
      <c r="AQ2050">
        <v>0</v>
      </c>
      <c r="AR2050">
        <v>0</v>
      </c>
      <c r="AS2050">
        <v>0</v>
      </c>
      <c r="AT2050" t="s">
        <v>90</v>
      </c>
      <c r="AU2050" s="1">
        <v>44217.532881944448</v>
      </c>
      <c r="AV2050">
        <v>50</v>
      </c>
      <c r="AW2050">
        <v>0</v>
      </c>
      <c r="AX2050">
        <v>0</v>
      </c>
      <c r="AY2050">
        <v>0</v>
      </c>
      <c r="AZ2050">
        <v>71</v>
      </c>
      <c r="BA2050">
        <v>0</v>
      </c>
      <c r="BB2050">
        <v>9</v>
      </c>
      <c r="BC2050">
        <v>0</v>
      </c>
      <c r="BD2050">
        <v>0</v>
      </c>
      <c r="BE2050">
        <v>0</v>
      </c>
    </row>
    <row r="2051" spans="1:57" hidden="1" x14ac:dyDescent="0.45">
      <c r="A2051" t="s">
        <v>4997</v>
      </c>
      <c r="B2051" t="s">
        <v>79</v>
      </c>
      <c r="C2051" t="s">
        <v>4998</v>
      </c>
      <c r="D2051" t="s">
        <v>81</v>
      </c>
      <c r="E2051" s="2" t="str">
        <f>HYPERLINK("capsilon://?command=openfolder&amp;siteaddress=FAM.docvelocity-na8.net&amp;folderid=FX6D27775C-1E6F-6947-0B57-BD97053382A0","FX20118843")</f>
        <v>FX20118843</v>
      </c>
      <c r="F2051" t="s">
        <v>19</v>
      </c>
      <c r="G2051" t="s">
        <v>19</v>
      </c>
      <c r="H2051" t="s">
        <v>82</v>
      </c>
      <c r="I2051" t="s">
        <v>4999</v>
      </c>
      <c r="J2051">
        <v>508</v>
      </c>
      <c r="K2051" t="s">
        <v>183</v>
      </c>
      <c r="L2051" t="s">
        <v>19</v>
      </c>
      <c r="M2051" t="s">
        <v>81</v>
      </c>
      <c r="N2051">
        <v>0</v>
      </c>
      <c r="O2051" s="1">
        <v>44201.460046296299</v>
      </c>
      <c r="P2051" s="1">
        <v>44201.463425925926</v>
      </c>
      <c r="Q2051">
        <v>292</v>
      </c>
      <c r="R2051">
        <v>0</v>
      </c>
      <c r="S2051" t="b">
        <v>0</v>
      </c>
      <c r="T2051" t="s">
        <v>87</v>
      </c>
      <c r="U2051" t="b">
        <v>0</v>
      </c>
      <c r="V2051" t="s">
        <v>87</v>
      </c>
      <c r="W2051" t="s">
        <v>87</v>
      </c>
      <c r="X2051" t="s">
        <v>87</v>
      </c>
      <c r="Y2051" t="s">
        <v>87</v>
      </c>
      <c r="Z2051" t="s">
        <v>87</v>
      </c>
      <c r="AA2051" t="s">
        <v>87</v>
      </c>
      <c r="AB2051" t="s">
        <v>87</v>
      </c>
      <c r="AC2051" t="s">
        <v>87</v>
      </c>
      <c r="AD2051" t="s">
        <v>87</v>
      </c>
      <c r="AE2051" t="s">
        <v>87</v>
      </c>
      <c r="AF2051" t="s">
        <v>87</v>
      </c>
      <c r="AG2051" t="s">
        <v>87</v>
      </c>
      <c r="AH2051" t="s">
        <v>87</v>
      </c>
      <c r="AI2051" t="s">
        <v>87</v>
      </c>
      <c r="AJ2051" t="s">
        <v>87</v>
      </c>
      <c r="AK2051" t="s">
        <v>87</v>
      </c>
      <c r="AL2051" t="s">
        <v>87</v>
      </c>
      <c r="AM2051" t="s">
        <v>87</v>
      </c>
      <c r="AN2051" t="s">
        <v>87</v>
      </c>
      <c r="AO2051" t="s">
        <v>87</v>
      </c>
      <c r="AP2051" t="s">
        <v>87</v>
      </c>
      <c r="AQ2051" t="s">
        <v>87</v>
      </c>
      <c r="AR2051" t="s">
        <v>87</v>
      </c>
      <c r="AS2051" t="s">
        <v>87</v>
      </c>
      <c r="AT2051" t="s">
        <v>87</v>
      </c>
      <c r="AU2051" t="s">
        <v>87</v>
      </c>
      <c r="AV2051" t="s">
        <v>87</v>
      </c>
      <c r="AW2051" t="s">
        <v>87</v>
      </c>
      <c r="AX2051" t="s">
        <v>87</v>
      </c>
      <c r="AY2051" t="s">
        <v>87</v>
      </c>
      <c r="AZ2051" t="s">
        <v>87</v>
      </c>
      <c r="BA2051" t="s">
        <v>87</v>
      </c>
      <c r="BB2051" t="s">
        <v>87</v>
      </c>
      <c r="BC2051" t="s">
        <v>87</v>
      </c>
      <c r="BD2051" t="s">
        <v>87</v>
      </c>
      <c r="BE2051" t="s">
        <v>87</v>
      </c>
    </row>
    <row r="2052" spans="1:57" x14ac:dyDescent="0.45">
      <c r="A2052" t="s">
        <v>5000</v>
      </c>
      <c r="B2052" t="s">
        <v>79</v>
      </c>
      <c r="C2052" t="s">
        <v>4973</v>
      </c>
      <c r="D2052" t="s">
        <v>81</v>
      </c>
      <c r="E2052" s="2" t="str">
        <f>HYPERLINK("capsilon://?command=openfolder&amp;siteaddress=FAM.docvelocity-na8.net&amp;folderid=FXA7A37B1A-422A-1AD1-9918-26AEF3C0D785","FX201113020")</f>
        <v>FX201113020</v>
      </c>
      <c r="F2052" t="s">
        <v>19</v>
      </c>
      <c r="G2052" t="s">
        <v>19</v>
      </c>
      <c r="H2052" t="s">
        <v>82</v>
      </c>
      <c r="I2052" t="s">
        <v>4974</v>
      </c>
      <c r="J2052">
        <v>144</v>
      </c>
      <c r="K2052" t="s">
        <v>84</v>
      </c>
      <c r="L2052" t="s">
        <v>85</v>
      </c>
      <c r="M2052" t="s">
        <v>86</v>
      </c>
      <c r="N2052">
        <v>3</v>
      </c>
      <c r="O2052" s="1">
        <v>44217.503564814811</v>
      </c>
      <c r="P2052" s="1">
        <v>44217.547465277778</v>
      </c>
      <c r="Q2052">
        <v>1387</v>
      </c>
      <c r="R2052">
        <v>2406</v>
      </c>
      <c r="S2052" t="b">
        <v>0</v>
      </c>
      <c r="T2052" t="s">
        <v>87</v>
      </c>
      <c r="U2052" t="b">
        <v>1</v>
      </c>
      <c r="V2052" t="s">
        <v>142</v>
      </c>
      <c r="W2052" s="1">
        <v>44217.519733796296</v>
      </c>
      <c r="X2052">
        <v>1395</v>
      </c>
      <c r="Y2052">
        <v>298</v>
      </c>
      <c r="Z2052">
        <v>0</v>
      </c>
      <c r="AA2052">
        <v>298</v>
      </c>
      <c r="AB2052">
        <v>0</v>
      </c>
      <c r="AC2052">
        <v>23</v>
      </c>
      <c r="AD2052">
        <v>-154</v>
      </c>
      <c r="AE2052">
        <v>0</v>
      </c>
      <c r="AF2052">
        <v>0</v>
      </c>
      <c r="AG2052">
        <v>0</v>
      </c>
      <c r="AH2052" t="s">
        <v>132</v>
      </c>
      <c r="AI2052" s="1">
        <v>44217.542800925927</v>
      </c>
      <c r="AJ2052">
        <v>986</v>
      </c>
      <c r="AK2052">
        <v>0</v>
      </c>
      <c r="AL2052">
        <v>0</v>
      </c>
      <c r="AM2052">
        <v>0</v>
      </c>
      <c r="AN2052">
        <v>0</v>
      </c>
      <c r="AO2052">
        <v>6</v>
      </c>
      <c r="AP2052">
        <v>-154</v>
      </c>
      <c r="AQ2052">
        <v>0</v>
      </c>
      <c r="AR2052">
        <v>0</v>
      </c>
      <c r="AS2052">
        <v>0</v>
      </c>
      <c r="AT2052" t="s">
        <v>90</v>
      </c>
      <c r="AU2052" s="1">
        <v>44217.547465277778</v>
      </c>
      <c r="AV2052">
        <v>25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-154</v>
      </c>
      <c r="BC2052">
        <v>0</v>
      </c>
      <c r="BD2052">
        <v>0</v>
      </c>
      <c r="BE2052">
        <v>0</v>
      </c>
    </row>
    <row r="2053" spans="1:57" x14ac:dyDescent="0.45">
      <c r="A2053" t="s">
        <v>5001</v>
      </c>
      <c r="B2053" t="s">
        <v>79</v>
      </c>
      <c r="C2053" t="s">
        <v>5002</v>
      </c>
      <c r="D2053" t="s">
        <v>81</v>
      </c>
      <c r="E2053" s="2" t="str">
        <f>HYPERLINK("capsilon://?command=openfolder&amp;siteaddress=FAM.docvelocity-na8.net&amp;folderid=FXFB80D08B-D754-0EBC-CCE3-6A51E2BBAEC4","FX210110797")</f>
        <v>FX210110797</v>
      </c>
      <c r="F2053" t="s">
        <v>19</v>
      </c>
      <c r="G2053" t="s">
        <v>19</v>
      </c>
      <c r="H2053" t="s">
        <v>82</v>
      </c>
      <c r="I2053" t="s">
        <v>5003</v>
      </c>
      <c r="J2053">
        <v>211</v>
      </c>
      <c r="K2053" t="s">
        <v>84</v>
      </c>
      <c r="L2053" t="s">
        <v>85</v>
      </c>
      <c r="M2053" t="s">
        <v>86</v>
      </c>
      <c r="N2053">
        <v>3</v>
      </c>
      <c r="O2053" s="1">
        <v>44217.504479166666</v>
      </c>
      <c r="P2053" s="1">
        <v>44217.570902777778</v>
      </c>
      <c r="Q2053">
        <v>4149</v>
      </c>
      <c r="R2053">
        <v>1590</v>
      </c>
      <c r="S2053" t="b">
        <v>0</v>
      </c>
      <c r="T2053" t="s">
        <v>87</v>
      </c>
      <c r="U2053" t="b">
        <v>0</v>
      </c>
      <c r="V2053" t="s">
        <v>242</v>
      </c>
      <c r="W2053" s="1">
        <v>44217.516724537039</v>
      </c>
      <c r="X2053">
        <v>1000</v>
      </c>
      <c r="Y2053">
        <v>181</v>
      </c>
      <c r="Z2053">
        <v>0</v>
      </c>
      <c r="AA2053">
        <v>181</v>
      </c>
      <c r="AB2053">
        <v>0</v>
      </c>
      <c r="AC2053">
        <v>67</v>
      </c>
      <c r="AD2053">
        <v>30</v>
      </c>
      <c r="AE2053">
        <v>0</v>
      </c>
      <c r="AF2053">
        <v>0</v>
      </c>
      <c r="AG2053">
        <v>0</v>
      </c>
      <c r="AH2053" t="s">
        <v>132</v>
      </c>
      <c r="AI2053" s="1">
        <v>44217.559664351851</v>
      </c>
      <c r="AJ2053">
        <v>488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30</v>
      </c>
      <c r="AQ2053">
        <v>0</v>
      </c>
      <c r="AR2053">
        <v>0</v>
      </c>
      <c r="AS2053">
        <v>0</v>
      </c>
      <c r="AT2053" t="s">
        <v>90</v>
      </c>
      <c r="AU2053" s="1">
        <v>44217.570902777778</v>
      </c>
      <c r="AV2053">
        <v>102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30</v>
      </c>
      <c r="BC2053">
        <v>0</v>
      </c>
      <c r="BD2053">
        <v>0</v>
      </c>
      <c r="BE2053">
        <v>0</v>
      </c>
    </row>
    <row r="2054" spans="1:57" x14ac:dyDescent="0.45">
      <c r="A2054" t="s">
        <v>5004</v>
      </c>
      <c r="B2054" t="s">
        <v>79</v>
      </c>
      <c r="C2054" t="s">
        <v>2160</v>
      </c>
      <c r="D2054" t="s">
        <v>81</v>
      </c>
      <c r="E2054" s="2" t="str">
        <f>HYPERLINK("capsilon://?command=openfolder&amp;siteaddress=FAM.docvelocity-na8.net&amp;folderid=FXB93939A7-F534-8086-9B91-C7F6193F6F90","FX201229042")</f>
        <v>FX201229042</v>
      </c>
      <c r="F2054" t="s">
        <v>19</v>
      </c>
      <c r="G2054" t="s">
        <v>19</v>
      </c>
      <c r="H2054" t="s">
        <v>82</v>
      </c>
      <c r="I2054" t="s">
        <v>5005</v>
      </c>
      <c r="J2054">
        <v>328</v>
      </c>
      <c r="K2054" t="s">
        <v>84</v>
      </c>
      <c r="L2054" t="s">
        <v>85</v>
      </c>
      <c r="M2054" t="s">
        <v>86</v>
      </c>
      <c r="N2054">
        <v>3</v>
      </c>
      <c r="O2054" s="1">
        <v>44201.460844907408</v>
      </c>
      <c r="P2054" s="1">
        <v>44201.559282407405</v>
      </c>
      <c r="Q2054">
        <v>5439</v>
      </c>
      <c r="R2054">
        <v>3066</v>
      </c>
      <c r="S2054" t="b">
        <v>0</v>
      </c>
      <c r="T2054" t="s">
        <v>87</v>
      </c>
      <c r="U2054" t="b">
        <v>0</v>
      </c>
      <c r="V2054" t="s">
        <v>142</v>
      </c>
      <c r="W2054" s="1">
        <v>44201.515243055554</v>
      </c>
      <c r="X2054">
        <v>2293</v>
      </c>
      <c r="Y2054">
        <v>299</v>
      </c>
      <c r="Z2054">
        <v>0</v>
      </c>
      <c r="AA2054">
        <v>299</v>
      </c>
      <c r="AB2054">
        <v>0</v>
      </c>
      <c r="AC2054">
        <v>99</v>
      </c>
      <c r="AD2054">
        <v>29</v>
      </c>
      <c r="AE2054">
        <v>0</v>
      </c>
      <c r="AF2054">
        <v>0</v>
      </c>
      <c r="AG2054">
        <v>0</v>
      </c>
      <c r="AH2054" t="s">
        <v>267</v>
      </c>
      <c r="AI2054" s="1">
        <v>44201.552106481482</v>
      </c>
      <c r="AJ2054">
        <v>547</v>
      </c>
      <c r="AK2054">
        <v>2</v>
      </c>
      <c r="AL2054">
        <v>0</v>
      </c>
      <c r="AM2054">
        <v>2</v>
      </c>
      <c r="AN2054">
        <v>0</v>
      </c>
      <c r="AO2054">
        <v>1</v>
      </c>
      <c r="AP2054">
        <v>27</v>
      </c>
      <c r="AQ2054">
        <v>0</v>
      </c>
      <c r="AR2054">
        <v>0</v>
      </c>
      <c r="AS2054">
        <v>0</v>
      </c>
      <c r="AT2054" t="s">
        <v>90</v>
      </c>
      <c r="AU2054" s="1">
        <v>44201.559282407405</v>
      </c>
      <c r="AV2054">
        <v>210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27</v>
      </c>
      <c r="BC2054">
        <v>0</v>
      </c>
      <c r="BD2054">
        <v>0</v>
      </c>
      <c r="BE2054">
        <v>0</v>
      </c>
    </row>
    <row r="2055" spans="1:57" hidden="1" x14ac:dyDescent="0.45">
      <c r="A2055" t="s">
        <v>5006</v>
      </c>
      <c r="B2055" t="s">
        <v>79</v>
      </c>
      <c r="C2055" t="s">
        <v>445</v>
      </c>
      <c r="D2055" t="s">
        <v>81</v>
      </c>
      <c r="E2055" s="2" t="str">
        <f>HYPERLINK("capsilon://?command=openfolder&amp;siteaddress=FAM.docvelocity-na8.net&amp;folderid=FXF403B8C9-DBD0-2B41-FB20-1964E3CB0752","FX201224297")</f>
        <v>FX201224297</v>
      </c>
      <c r="F2055" t="s">
        <v>19</v>
      </c>
      <c r="G2055" t="s">
        <v>19</v>
      </c>
      <c r="H2055" t="s">
        <v>82</v>
      </c>
      <c r="I2055" t="s">
        <v>5007</v>
      </c>
      <c r="J2055">
        <v>20</v>
      </c>
      <c r="K2055" t="s">
        <v>84</v>
      </c>
      <c r="L2055" t="s">
        <v>85</v>
      </c>
      <c r="M2055" t="s">
        <v>86</v>
      </c>
      <c r="N2055">
        <v>3</v>
      </c>
      <c r="O2055" s="1">
        <v>44217.511400462965</v>
      </c>
      <c r="P2055" s="1">
        <v>44217.570949074077</v>
      </c>
      <c r="Q2055">
        <v>4696</v>
      </c>
      <c r="R2055">
        <v>449</v>
      </c>
      <c r="S2055" t="b">
        <v>0</v>
      </c>
      <c r="T2055" t="s">
        <v>87</v>
      </c>
      <c r="U2055" t="b">
        <v>0</v>
      </c>
      <c r="V2055" t="s">
        <v>146</v>
      </c>
      <c r="W2055" s="1">
        <v>44217.515023148146</v>
      </c>
      <c r="X2055">
        <v>64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20</v>
      </c>
      <c r="AE2055">
        <v>0</v>
      </c>
      <c r="AF2055">
        <v>0</v>
      </c>
      <c r="AG2055">
        <v>0</v>
      </c>
      <c r="AH2055" t="s">
        <v>267</v>
      </c>
      <c r="AI2055" s="1">
        <v>44217.559166666666</v>
      </c>
      <c r="AJ2055">
        <v>165</v>
      </c>
      <c r="AK2055">
        <v>0</v>
      </c>
      <c r="AL2055">
        <v>0</v>
      </c>
      <c r="AM2055">
        <v>0</v>
      </c>
      <c r="AN2055">
        <v>9</v>
      </c>
      <c r="AO2055">
        <v>0</v>
      </c>
      <c r="AP2055">
        <v>20</v>
      </c>
      <c r="AQ2055">
        <v>0</v>
      </c>
      <c r="AR2055">
        <v>0</v>
      </c>
      <c r="AS2055">
        <v>0</v>
      </c>
      <c r="AT2055" t="s">
        <v>90</v>
      </c>
      <c r="AU2055" s="1">
        <v>44217.570949074077</v>
      </c>
      <c r="AV2055">
        <v>3</v>
      </c>
      <c r="AW2055">
        <v>0</v>
      </c>
      <c r="AX2055">
        <v>0</v>
      </c>
      <c r="AY2055">
        <v>0</v>
      </c>
      <c r="AZ2055">
        <v>9</v>
      </c>
      <c r="BA2055">
        <v>0</v>
      </c>
      <c r="BB2055">
        <v>20</v>
      </c>
      <c r="BC2055">
        <v>0</v>
      </c>
      <c r="BD2055">
        <v>0</v>
      </c>
      <c r="BE2055">
        <v>0</v>
      </c>
    </row>
    <row r="2056" spans="1:57" hidden="1" x14ac:dyDescent="0.45">
      <c r="A2056" t="s">
        <v>5008</v>
      </c>
      <c r="B2056" t="s">
        <v>79</v>
      </c>
      <c r="C2056" t="s">
        <v>445</v>
      </c>
      <c r="D2056" t="s">
        <v>81</v>
      </c>
      <c r="E2056" s="2" t="str">
        <f>HYPERLINK("capsilon://?command=openfolder&amp;siteaddress=FAM.docvelocity-na8.net&amp;folderid=FXF403B8C9-DBD0-2B41-FB20-1964E3CB0752","FX201224297")</f>
        <v>FX201224297</v>
      </c>
      <c r="F2056" t="s">
        <v>19</v>
      </c>
      <c r="G2056" t="s">
        <v>19</v>
      </c>
      <c r="H2056" t="s">
        <v>82</v>
      </c>
      <c r="I2056" t="s">
        <v>5009</v>
      </c>
      <c r="J2056">
        <v>20</v>
      </c>
      <c r="K2056" t="s">
        <v>84</v>
      </c>
      <c r="L2056" t="s">
        <v>85</v>
      </c>
      <c r="M2056" t="s">
        <v>86</v>
      </c>
      <c r="N2056">
        <v>3</v>
      </c>
      <c r="O2056" s="1">
        <v>44217.511770833335</v>
      </c>
      <c r="P2056" s="1">
        <v>44217.570983796293</v>
      </c>
      <c r="Q2056">
        <v>4804</v>
      </c>
      <c r="R2056">
        <v>312</v>
      </c>
      <c r="S2056" t="b">
        <v>0</v>
      </c>
      <c r="T2056" t="s">
        <v>87</v>
      </c>
      <c r="U2056" t="b">
        <v>0</v>
      </c>
      <c r="V2056" t="s">
        <v>255</v>
      </c>
      <c r="W2056" s="1">
        <v>44217.515011574076</v>
      </c>
      <c r="X2056">
        <v>196</v>
      </c>
      <c r="Y2056">
        <v>0</v>
      </c>
      <c r="Z2056">
        <v>0</v>
      </c>
      <c r="AA2056">
        <v>0</v>
      </c>
      <c r="AB2056">
        <v>9</v>
      </c>
      <c r="AC2056">
        <v>0</v>
      </c>
      <c r="AD2056">
        <v>20</v>
      </c>
      <c r="AE2056">
        <v>0</v>
      </c>
      <c r="AF2056">
        <v>0</v>
      </c>
      <c r="AG2056">
        <v>0</v>
      </c>
      <c r="AH2056" t="s">
        <v>267</v>
      </c>
      <c r="AI2056" s="1">
        <v>44217.560277777775</v>
      </c>
      <c r="AJ2056">
        <v>95</v>
      </c>
      <c r="AK2056">
        <v>0</v>
      </c>
      <c r="AL2056">
        <v>0</v>
      </c>
      <c r="AM2056">
        <v>0</v>
      </c>
      <c r="AN2056">
        <v>9</v>
      </c>
      <c r="AO2056">
        <v>0</v>
      </c>
      <c r="AP2056">
        <v>20</v>
      </c>
      <c r="AQ2056">
        <v>0</v>
      </c>
      <c r="AR2056">
        <v>0</v>
      </c>
      <c r="AS2056">
        <v>0</v>
      </c>
      <c r="AT2056" t="s">
        <v>90</v>
      </c>
      <c r="AU2056" s="1">
        <v>44217.570983796293</v>
      </c>
      <c r="AV2056">
        <v>3</v>
      </c>
      <c r="AW2056">
        <v>0</v>
      </c>
      <c r="AX2056">
        <v>0</v>
      </c>
      <c r="AY2056">
        <v>0</v>
      </c>
      <c r="AZ2056">
        <v>9</v>
      </c>
      <c r="BA2056">
        <v>0</v>
      </c>
      <c r="BB2056">
        <v>20</v>
      </c>
      <c r="BC2056">
        <v>0</v>
      </c>
      <c r="BD2056">
        <v>0</v>
      </c>
      <c r="BE2056">
        <v>0</v>
      </c>
    </row>
    <row r="2057" spans="1:57" hidden="1" x14ac:dyDescent="0.45">
      <c r="A2057" t="s">
        <v>5010</v>
      </c>
      <c r="B2057" t="s">
        <v>79</v>
      </c>
      <c r="C2057" t="s">
        <v>875</v>
      </c>
      <c r="D2057" t="s">
        <v>81</v>
      </c>
      <c r="E2057" s="2" t="str">
        <f>HYPERLINK("capsilon://?command=openfolder&amp;siteaddress=FAM.docvelocity-na8.net&amp;folderid=FX8CAE4260-A543-E6DB-E579-8D4ED85DC75D","FX20124809")</f>
        <v>FX20124809</v>
      </c>
      <c r="F2057" t="s">
        <v>19</v>
      </c>
      <c r="G2057" t="s">
        <v>19</v>
      </c>
      <c r="H2057" t="s">
        <v>82</v>
      </c>
      <c r="I2057" t="s">
        <v>5011</v>
      </c>
      <c r="J2057">
        <v>66</v>
      </c>
      <c r="K2057" t="s">
        <v>84</v>
      </c>
      <c r="L2057" t="s">
        <v>85</v>
      </c>
      <c r="M2057" t="s">
        <v>86</v>
      </c>
      <c r="N2057">
        <v>3</v>
      </c>
      <c r="O2057" s="1">
        <v>44217.516030092593</v>
      </c>
      <c r="P2057" s="1">
        <v>44217.571018518516</v>
      </c>
      <c r="Q2057">
        <v>4590</v>
      </c>
      <c r="R2057">
        <v>161</v>
      </c>
      <c r="S2057" t="b">
        <v>0</v>
      </c>
      <c r="T2057" t="s">
        <v>87</v>
      </c>
      <c r="U2057" t="b">
        <v>0</v>
      </c>
      <c r="V2057" t="s">
        <v>146</v>
      </c>
      <c r="W2057" s="1">
        <v>44217.51761574074</v>
      </c>
      <c r="X2057">
        <v>136</v>
      </c>
      <c r="Y2057">
        <v>0</v>
      </c>
      <c r="Z2057">
        <v>0</v>
      </c>
      <c r="AA2057">
        <v>0</v>
      </c>
      <c r="AB2057">
        <v>52</v>
      </c>
      <c r="AC2057">
        <v>0</v>
      </c>
      <c r="AD2057">
        <v>66</v>
      </c>
      <c r="AE2057">
        <v>0</v>
      </c>
      <c r="AF2057">
        <v>0</v>
      </c>
      <c r="AG2057">
        <v>0</v>
      </c>
      <c r="AH2057" t="s">
        <v>132</v>
      </c>
      <c r="AI2057" s="1">
        <v>44217.559942129628</v>
      </c>
      <c r="AJ2057">
        <v>23</v>
      </c>
      <c r="AK2057">
        <v>0</v>
      </c>
      <c r="AL2057">
        <v>0</v>
      </c>
      <c r="AM2057">
        <v>0</v>
      </c>
      <c r="AN2057">
        <v>52</v>
      </c>
      <c r="AO2057">
        <v>0</v>
      </c>
      <c r="AP2057">
        <v>66</v>
      </c>
      <c r="AQ2057">
        <v>0</v>
      </c>
      <c r="AR2057">
        <v>0</v>
      </c>
      <c r="AS2057">
        <v>0</v>
      </c>
      <c r="AT2057" t="s">
        <v>90</v>
      </c>
      <c r="AU2057" s="1">
        <v>44217.571018518516</v>
      </c>
      <c r="AV2057">
        <v>2</v>
      </c>
      <c r="AW2057">
        <v>0</v>
      </c>
      <c r="AX2057">
        <v>0</v>
      </c>
      <c r="AY2057">
        <v>0</v>
      </c>
      <c r="AZ2057">
        <v>52</v>
      </c>
      <c r="BA2057">
        <v>0</v>
      </c>
      <c r="BB2057">
        <v>66</v>
      </c>
      <c r="BC2057">
        <v>0</v>
      </c>
      <c r="BD2057">
        <v>0</v>
      </c>
      <c r="BE2057">
        <v>0</v>
      </c>
    </row>
    <row r="2058" spans="1:57" x14ac:dyDescent="0.45">
      <c r="A2058" t="s">
        <v>5012</v>
      </c>
      <c r="B2058" t="s">
        <v>79</v>
      </c>
      <c r="C2058" t="s">
        <v>5013</v>
      </c>
      <c r="D2058" t="s">
        <v>81</v>
      </c>
      <c r="E2058" s="2" t="str">
        <f>HYPERLINK("capsilon://?command=openfolder&amp;siteaddress=FAM.docvelocity-na8.net&amp;folderid=FXE8E547A3-70D2-DBC9-27E7-06837432E5AF","FX210113433")</f>
        <v>FX210113433</v>
      </c>
      <c r="F2058" t="s">
        <v>19</v>
      </c>
      <c r="G2058" t="s">
        <v>19</v>
      </c>
      <c r="H2058" t="s">
        <v>82</v>
      </c>
      <c r="I2058" t="s">
        <v>5014</v>
      </c>
      <c r="J2058">
        <v>38</v>
      </c>
      <c r="K2058" t="s">
        <v>84</v>
      </c>
      <c r="L2058" t="s">
        <v>85</v>
      </c>
      <c r="M2058" t="s">
        <v>86</v>
      </c>
      <c r="N2058">
        <v>3</v>
      </c>
      <c r="O2058" s="1">
        <v>44217.519629629627</v>
      </c>
      <c r="P2058" s="1">
        <v>44217.571087962962</v>
      </c>
      <c r="Q2058">
        <v>3601</v>
      </c>
      <c r="R2058">
        <v>845</v>
      </c>
      <c r="S2058" t="b">
        <v>0</v>
      </c>
      <c r="T2058" t="s">
        <v>87</v>
      </c>
      <c r="U2058" t="b">
        <v>0</v>
      </c>
      <c r="V2058" t="s">
        <v>146</v>
      </c>
      <c r="W2058" s="1">
        <v>44217.528182870374</v>
      </c>
      <c r="X2058">
        <v>737</v>
      </c>
      <c r="Y2058">
        <v>37</v>
      </c>
      <c r="Z2058">
        <v>0</v>
      </c>
      <c r="AA2058">
        <v>37</v>
      </c>
      <c r="AB2058">
        <v>0</v>
      </c>
      <c r="AC2058">
        <v>9</v>
      </c>
      <c r="AD2058">
        <v>1</v>
      </c>
      <c r="AE2058">
        <v>0</v>
      </c>
      <c r="AF2058">
        <v>0</v>
      </c>
      <c r="AG2058">
        <v>0</v>
      </c>
      <c r="AH2058" t="s">
        <v>132</v>
      </c>
      <c r="AI2058" s="1">
        <v>44217.561145833337</v>
      </c>
      <c r="AJ2058">
        <v>103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0</v>
      </c>
      <c r="AT2058" t="s">
        <v>90</v>
      </c>
      <c r="AU2058" s="1">
        <v>44217.571087962962</v>
      </c>
      <c r="AV2058">
        <v>5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1</v>
      </c>
      <c r="BC2058">
        <v>0</v>
      </c>
      <c r="BD2058">
        <v>0</v>
      </c>
      <c r="BE2058">
        <v>0</v>
      </c>
    </row>
    <row r="2059" spans="1:57" x14ac:dyDescent="0.45">
      <c r="A2059" t="s">
        <v>5015</v>
      </c>
      <c r="B2059" t="s">
        <v>79</v>
      </c>
      <c r="C2059" t="s">
        <v>4964</v>
      </c>
      <c r="D2059" t="s">
        <v>81</v>
      </c>
      <c r="E2059" s="2" t="str">
        <f>HYPERLINK("capsilon://?command=openfolder&amp;siteaddress=FAM.docvelocity-na8.net&amp;folderid=FXBE8A74A7-F028-6F87-9586-3C79CDBDD065","FX210111348")</f>
        <v>FX210111348</v>
      </c>
      <c r="F2059" t="s">
        <v>19</v>
      </c>
      <c r="G2059" t="s">
        <v>19</v>
      </c>
      <c r="H2059" t="s">
        <v>82</v>
      </c>
      <c r="I2059" t="s">
        <v>4965</v>
      </c>
      <c r="J2059">
        <v>74</v>
      </c>
      <c r="K2059" t="s">
        <v>84</v>
      </c>
      <c r="L2059" t="s">
        <v>85</v>
      </c>
      <c r="M2059" t="s">
        <v>86</v>
      </c>
      <c r="N2059">
        <v>3</v>
      </c>
      <c r="O2059" s="1">
        <v>44217.521435185183</v>
      </c>
      <c r="P2059" s="1">
        <v>44217.644143518519</v>
      </c>
      <c r="Q2059">
        <v>3840</v>
      </c>
      <c r="R2059">
        <v>6762</v>
      </c>
      <c r="S2059" t="b">
        <v>0</v>
      </c>
      <c r="T2059" t="s">
        <v>87</v>
      </c>
      <c r="U2059" t="b">
        <v>1</v>
      </c>
      <c r="V2059" t="s">
        <v>168</v>
      </c>
      <c r="W2059" s="1">
        <v>44217.589618055557</v>
      </c>
      <c r="X2059">
        <v>5886</v>
      </c>
      <c r="Y2059">
        <v>261</v>
      </c>
      <c r="Z2059">
        <v>0</v>
      </c>
      <c r="AA2059">
        <v>261</v>
      </c>
      <c r="AB2059">
        <v>0</v>
      </c>
      <c r="AC2059">
        <v>256</v>
      </c>
      <c r="AD2059">
        <v>-187</v>
      </c>
      <c r="AE2059">
        <v>0</v>
      </c>
      <c r="AF2059">
        <v>0</v>
      </c>
      <c r="AG2059">
        <v>0</v>
      </c>
      <c r="AH2059" t="s">
        <v>132</v>
      </c>
      <c r="AI2059" s="1">
        <v>44217.604375000003</v>
      </c>
      <c r="AJ2059">
        <v>626</v>
      </c>
      <c r="AK2059">
        <v>3</v>
      </c>
      <c r="AL2059">
        <v>0</v>
      </c>
      <c r="AM2059">
        <v>3</v>
      </c>
      <c r="AN2059">
        <v>0</v>
      </c>
      <c r="AO2059">
        <v>2</v>
      </c>
      <c r="AP2059">
        <v>-190</v>
      </c>
      <c r="AQ2059">
        <v>0</v>
      </c>
      <c r="AR2059">
        <v>0</v>
      </c>
      <c r="AS2059">
        <v>0</v>
      </c>
      <c r="AT2059" t="s">
        <v>549</v>
      </c>
      <c r="AU2059" s="1">
        <v>44217.644143518519</v>
      </c>
      <c r="AV2059">
        <v>250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-190</v>
      </c>
      <c r="BC2059">
        <v>0</v>
      </c>
      <c r="BD2059">
        <v>0</v>
      </c>
      <c r="BE2059">
        <v>0</v>
      </c>
    </row>
    <row r="2060" spans="1:57" x14ac:dyDescent="0.45">
      <c r="A2060" t="s">
        <v>5016</v>
      </c>
      <c r="B2060" t="s">
        <v>79</v>
      </c>
      <c r="C2060" t="s">
        <v>1631</v>
      </c>
      <c r="D2060" t="s">
        <v>81</v>
      </c>
      <c r="E2060" s="2" t="str">
        <f>HYPERLINK("capsilon://?command=openfolder&amp;siteaddress=FAM.docvelocity-na8.net&amp;folderid=FX7ADA080F-954E-0547-72AB-0286AF906F3F","FX21014120")</f>
        <v>FX21014120</v>
      </c>
      <c r="F2060" t="s">
        <v>19</v>
      </c>
      <c r="G2060" t="s">
        <v>19</v>
      </c>
      <c r="H2060" t="s">
        <v>82</v>
      </c>
      <c r="I2060" t="s">
        <v>5017</v>
      </c>
      <c r="J2060">
        <v>52</v>
      </c>
      <c r="K2060" t="s">
        <v>84</v>
      </c>
      <c r="L2060" t="s">
        <v>85</v>
      </c>
      <c r="M2060" t="s">
        <v>86</v>
      </c>
      <c r="N2060">
        <v>3</v>
      </c>
      <c r="O2060" s="1">
        <v>44217.522627314815</v>
      </c>
      <c r="P2060" s="1">
        <v>44217.571273148147</v>
      </c>
      <c r="Q2060">
        <v>3688</v>
      </c>
      <c r="R2060">
        <v>515</v>
      </c>
      <c r="S2060" t="b">
        <v>0</v>
      </c>
      <c r="T2060" t="s">
        <v>87</v>
      </c>
      <c r="U2060" t="b">
        <v>0</v>
      </c>
      <c r="V2060" t="s">
        <v>142</v>
      </c>
      <c r="W2060" s="1">
        <v>44217.531307870369</v>
      </c>
      <c r="X2060">
        <v>299</v>
      </c>
      <c r="Y2060">
        <v>53</v>
      </c>
      <c r="Z2060">
        <v>0</v>
      </c>
      <c r="AA2060">
        <v>53</v>
      </c>
      <c r="AB2060">
        <v>0</v>
      </c>
      <c r="AC2060">
        <v>20</v>
      </c>
      <c r="AD2060">
        <v>-1</v>
      </c>
      <c r="AE2060">
        <v>0</v>
      </c>
      <c r="AF2060">
        <v>0</v>
      </c>
      <c r="AG2060">
        <v>0</v>
      </c>
      <c r="AH2060" t="s">
        <v>267</v>
      </c>
      <c r="AI2060" s="1">
        <v>44217.562615740739</v>
      </c>
      <c r="AJ2060">
        <v>201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-1</v>
      </c>
      <c r="AQ2060">
        <v>0</v>
      </c>
      <c r="AR2060">
        <v>0</v>
      </c>
      <c r="AS2060">
        <v>0</v>
      </c>
      <c r="AT2060" t="s">
        <v>90</v>
      </c>
      <c r="AU2060" s="1">
        <v>44217.571273148147</v>
      </c>
      <c r="AV2060">
        <v>15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-1</v>
      </c>
      <c r="BC2060">
        <v>0</v>
      </c>
      <c r="BD2060">
        <v>0</v>
      </c>
      <c r="BE2060">
        <v>0</v>
      </c>
    </row>
    <row r="2061" spans="1:57" x14ac:dyDescent="0.45">
      <c r="A2061" t="s">
        <v>5018</v>
      </c>
      <c r="B2061" t="s">
        <v>79</v>
      </c>
      <c r="C2061" t="s">
        <v>1631</v>
      </c>
      <c r="D2061" t="s">
        <v>81</v>
      </c>
      <c r="E2061" s="2" t="str">
        <f>HYPERLINK("capsilon://?command=openfolder&amp;siteaddress=FAM.docvelocity-na8.net&amp;folderid=FX7ADA080F-954E-0547-72AB-0286AF906F3F","FX21014120")</f>
        <v>FX21014120</v>
      </c>
      <c r="F2061" t="s">
        <v>19</v>
      </c>
      <c r="G2061" t="s">
        <v>19</v>
      </c>
      <c r="H2061" t="s">
        <v>82</v>
      </c>
      <c r="I2061" t="s">
        <v>5019</v>
      </c>
      <c r="J2061">
        <v>47</v>
      </c>
      <c r="K2061" t="s">
        <v>84</v>
      </c>
      <c r="L2061" t="s">
        <v>85</v>
      </c>
      <c r="M2061" t="s">
        <v>86</v>
      </c>
      <c r="N2061">
        <v>3</v>
      </c>
      <c r="O2061" s="1">
        <v>44217.523877314816</v>
      </c>
      <c r="P2061" s="1">
        <v>44217.571342592593</v>
      </c>
      <c r="Q2061">
        <v>3684</v>
      </c>
      <c r="R2061">
        <v>417</v>
      </c>
      <c r="S2061" t="b">
        <v>0</v>
      </c>
      <c r="T2061" t="s">
        <v>87</v>
      </c>
      <c r="U2061" t="b">
        <v>0</v>
      </c>
      <c r="V2061" t="s">
        <v>259</v>
      </c>
      <c r="W2061" s="1">
        <v>44217.529467592591</v>
      </c>
      <c r="X2061">
        <v>311</v>
      </c>
      <c r="Y2061">
        <v>48</v>
      </c>
      <c r="Z2061">
        <v>0</v>
      </c>
      <c r="AA2061">
        <v>48</v>
      </c>
      <c r="AB2061">
        <v>0</v>
      </c>
      <c r="AC2061">
        <v>22</v>
      </c>
      <c r="AD2061">
        <v>-1</v>
      </c>
      <c r="AE2061">
        <v>0</v>
      </c>
      <c r="AF2061">
        <v>0</v>
      </c>
      <c r="AG2061">
        <v>0</v>
      </c>
      <c r="AH2061" t="s">
        <v>132</v>
      </c>
      <c r="AI2061" s="1">
        <v>44217.562083333331</v>
      </c>
      <c r="AJ2061">
        <v>80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-1</v>
      </c>
      <c r="AQ2061">
        <v>0</v>
      </c>
      <c r="AR2061">
        <v>0</v>
      </c>
      <c r="AS2061">
        <v>0</v>
      </c>
      <c r="AT2061" t="s">
        <v>90</v>
      </c>
      <c r="AU2061" s="1">
        <v>44217.571342592593</v>
      </c>
      <c r="AV2061">
        <v>5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-1</v>
      </c>
      <c r="BC2061">
        <v>0</v>
      </c>
      <c r="BD2061">
        <v>0</v>
      </c>
      <c r="BE2061">
        <v>0</v>
      </c>
    </row>
    <row r="2062" spans="1:57" x14ac:dyDescent="0.45">
      <c r="A2062" t="s">
        <v>5020</v>
      </c>
      <c r="B2062" t="s">
        <v>79</v>
      </c>
      <c r="C2062" t="s">
        <v>5021</v>
      </c>
      <c r="D2062" t="s">
        <v>81</v>
      </c>
      <c r="E2062" s="2" t="str">
        <f>HYPERLINK("capsilon://?command=openfolder&amp;siteaddress=FAM.docvelocity-na8.net&amp;folderid=FX24CF20C8-728D-2D61-0D3A-346862CAA4E6","FX210111941")</f>
        <v>FX210111941</v>
      </c>
      <c r="F2062" t="s">
        <v>19</v>
      </c>
      <c r="G2062" t="s">
        <v>19</v>
      </c>
      <c r="H2062" t="s">
        <v>82</v>
      </c>
      <c r="I2062" t="s">
        <v>5022</v>
      </c>
      <c r="J2062">
        <v>52</v>
      </c>
      <c r="K2062" t="s">
        <v>84</v>
      </c>
      <c r="L2062" t="s">
        <v>85</v>
      </c>
      <c r="M2062" t="s">
        <v>86</v>
      </c>
      <c r="N2062">
        <v>3</v>
      </c>
      <c r="O2062" s="1">
        <v>44217.524699074071</v>
      </c>
      <c r="P2062" s="1">
        <v>44217.571423611109</v>
      </c>
      <c r="Q2062">
        <v>3734</v>
      </c>
      <c r="R2062">
        <v>303</v>
      </c>
      <c r="S2062" t="b">
        <v>0</v>
      </c>
      <c r="T2062" t="s">
        <v>87</v>
      </c>
      <c r="U2062" t="b">
        <v>0</v>
      </c>
      <c r="V2062" t="s">
        <v>142</v>
      </c>
      <c r="W2062" s="1">
        <v>44217.52783564815</v>
      </c>
      <c r="X2062">
        <v>188</v>
      </c>
      <c r="Y2062">
        <v>42</v>
      </c>
      <c r="Z2062">
        <v>0</v>
      </c>
      <c r="AA2062">
        <v>42</v>
      </c>
      <c r="AB2062">
        <v>0</v>
      </c>
      <c r="AC2062">
        <v>20</v>
      </c>
      <c r="AD2062">
        <v>10</v>
      </c>
      <c r="AE2062">
        <v>0</v>
      </c>
      <c r="AF2062">
        <v>0</v>
      </c>
      <c r="AG2062">
        <v>0</v>
      </c>
      <c r="AH2062" t="s">
        <v>132</v>
      </c>
      <c r="AI2062" s="1">
        <v>44217.563356481478</v>
      </c>
      <c r="AJ2062">
        <v>109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10</v>
      </c>
      <c r="AQ2062">
        <v>0</v>
      </c>
      <c r="AR2062">
        <v>0</v>
      </c>
      <c r="AS2062">
        <v>0</v>
      </c>
      <c r="AT2062" t="s">
        <v>90</v>
      </c>
      <c r="AU2062" s="1">
        <v>44217.571423611109</v>
      </c>
      <c r="AV2062">
        <v>6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10</v>
      </c>
      <c r="BC2062">
        <v>0</v>
      </c>
      <c r="BD2062">
        <v>0</v>
      </c>
      <c r="BE2062">
        <v>0</v>
      </c>
    </row>
    <row r="2063" spans="1:57" hidden="1" x14ac:dyDescent="0.45">
      <c r="A2063" t="s">
        <v>5023</v>
      </c>
      <c r="B2063" t="s">
        <v>79</v>
      </c>
      <c r="C2063" t="s">
        <v>4970</v>
      </c>
      <c r="D2063" t="s">
        <v>81</v>
      </c>
      <c r="E2063" s="2" t="str">
        <f>HYPERLINK("capsilon://?command=openfolder&amp;siteaddress=FAM.docvelocity-na8.net&amp;folderid=FXFA5B8AE4-4DF6-8925-C680-9D474A95E462","FX210110347")</f>
        <v>FX210110347</v>
      </c>
      <c r="F2063" t="s">
        <v>19</v>
      </c>
      <c r="G2063" t="s">
        <v>19</v>
      </c>
      <c r="H2063" t="s">
        <v>82</v>
      </c>
      <c r="I2063" t="s">
        <v>4971</v>
      </c>
      <c r="J2063">
        <v>62</v>
      </c>
      <c r="K2063" t="s">
        <v>84</v>
      </c>
      <c r="L2063" t="s">
        <v>85</v>
      </c>
      <c r="M2063" t="s">
        <v>81</v>
      </c>
      <c r="N2063">
        <v>1</v>
      </c>
      <c r="O2063" s="1">
        <v>44217.526597222219</v>
      </c>
      <c r="P2063" s="1">
        <v>44217.540405092594</v>
      </c>
      <c r="Q2063">
        <v>72</v>
      </c>
      <c r="R2063">
        <v>1121</v>
      </c>
      <c r="S2063" t="b">
        <v>0</v>
      </c>
      <c r="T2063" t="s">
        <v>259</v>
      </c>
      <c r="U2063" t="b">
        <v>1</v>
      </c>
      <c r="V2063" t="s">
        <v>259</v>
      </c>
      <c r="W2063" s="1">
        <v>44217.540405092594</v>
      </c>
      <c r="X2063">
        <v>1079</v>
      </c>
      <c r="Y2063">
        <v>89</v>
      </c>
      <c r="Z2063">
        <v>0</v>
      </c>
      <c r="AA2063">
        <v>89</v>
      </c>
      <c r="AB2063">
        <v>0</v>
      </c>
      <c r="AC2063">
        <v>126</v>
      </c>
      <c r="AD2063">
        <v>-27</v>
      </c>
      <c r="AE2063">
        <v>0</v>
      </c>
      <c r="AF2063">
        <v>0</v>
      </c>
      <c r="AG2063">
        <v>0</v>
      </c>
      <c r="AH2063" t="s">
        <v>87</v>
      </c>
      <c r="AI2063" t="s">
        <v>87</v>
      </c>
      <c r="AJ2063" t="s">
        <v>87</v>
      </c>
      <c r="AK2063" t="s">
        <v>87</v>
      </c>
      <c r="AL2063" t="s">
        <v>87</v>
      </c>
      <c r="AM2063" t="s">
        <v>87</v>
      </c>
      <c r="AN2063" t="s">
        <v>87</v>
      </c>
      <c r="AO2063" t="s">
        <v>87</v>
      </c>
      <c r="AP2063" t="s">
        <v>87</v>
      </c>
      <c r="AQ2063" t="s">
        <v>87</v>
      </c>
      <c r="AR2063" t="s">
        <v>87</v>
      </c>
      <c r="AS2063" t="s">
        <v>87</v>
      </c>
      <c r="AT2063" t="s">
        <v>87</v>
      </c>
      <c r="AU2063" t="s">
        <v>87</v>
      </c>
      <c r="AV2063" t="s">
        <v>87</v>
      </c>
      <c r="AW2063" t="s">
        <v>87</v>
      </c>
      <c r="AX2063" t="s">
        <v>87</v>
      </c>
      <c r="AY2063" t="s">
        <v>87</v>
      </c>
      <c r="AZ2063" t="s">
        <v>87</v>
      </c>
      <c r="BA2063" t="s">
        <v>87</v>
      </c>
      <c r="BB2063" t="s">
        <v>87</v>
      </c>
      <c r="BC2063" t="s">
        <v>87</v>
      </c>
      <c r="BD2063" t="s">
        <v>87</v>
      </c>
      <c r="BE2063" t="s">
        <v>87</v>
      </c>
    </row>
    <row r="2064" spans="1:57" hidden="1" x14ac:dyDescent="0.45">
      <c r="A2064" t="s">
        <v>5024</v>
      </c>
      <c r="B2064" t="s">
        <v>79</v>
      </c>
      <c r="C2064" t="s">
        <v>2430</v>
      </c>
      <c r="D2064" t="s">
        <v>81</v>
      </c>
      <c r="E2064" s="2" t="str">
        <f>HYPERLINK("capsilon://?command=openfolder&amp;siteaddress=FAM.docvelocity-na8.net&amp;folderid=FXCD6FD811-83D3-8E74-A9D0-5CC068DBE8E9","FX201229388")</f>
        <v>FX201229388</v>
      </c>
      <c r="F2064" t="s">
        <v>19</v>
      </c>
      <c r="G2064" t="s">
        <v>19</v>
      </c>
      <c r="H2064" t="s">
        <v>82</v>
      </c>
      <c r="I2064" t="s">
        <v>5025</v>
      </c>
      <c r="J2064">
        <v>31</v>
      </c>
      <c r="K2064" t="s">
        <v>84</v>
      </c>
      <c r="L2064" t="s">
        <v>85</v>
      </c>
      <c r="M2064" t="s">
        <v>86</v>
      </c>
      <c r="N2064">
        <v>1</v>
      </c>
      <c r="O2064" s="1">
        <v>44217.529756944445</v>
      </c>
      <c r="P2064" s="1">
        <v>44217.554930555554</v>
      </c>
      <c r="Q2064">
        <v>71</v>
      </c>
      <c r="R2064">
        <v>2104</v>
      </c>
      <c r="S2064" t="b">
        <v>0</v>
      </c>
      <c r="T2064" t="s">
        <v>87</v>
      </c>
      <c r="U2064" t="b">
        <v>0</v>
      </c>
      <c r="V2064" t="s">
        <v>146</v>
      </c>
      <c r="W2064" s="1">
        <v>44217.554930555554</v>
      </c>
      <c r="X2064">
        <v>1296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31</v>
      </c>
      <c r="AE2064">
        <v>27</v>
      </c>
      <c r="AF2064">
        <v>0</v>
      </c>
      <c r="AG2064">
        <v>4</v>
      </c>
      <c r="AH2064" t="s">
        <v>87</v>
      </c>
      <c r="AI2064" t="s">
        <v>87</v>
      </c>
      <c r="AJ2064" t="s">
        <v>87</v>
      </c>
      <c r="AK2064" t="s">
        <v>87</v>
      </c>
      <c r="AL2064" t="s">
        <v>87</v>
      </c>
      <c r="AM2064" t="s">
        <v>87</v>
      </c>
      <c r="AN2064" t="s">
        <v>87</v>
      </c>
      <c r="AO2064" t="s">
        <v>87</v>
      </c>
      <c r="AP2064" t="s">
        <v>87</v>
      </c>
      <c r="AQ2064" t="s">
        <v>87</v>
      </c>
      <c r="AR2064" t="s">
        <v>87</v>
      </c>
      <c r="AS2064" t="s">
        <v>87</v>
      </c>
      <c r="AT2064" t="s">
        <v>87</v>
      </c>
      <c r="AU2064" t="s">
        <v>87</v>
      </c>
      <c r="AV2064" t="s">
        <v>87</v>
      </c>
      <c r="AW2064" t="s">
        <v>87</v>
      </c>
      <c r="AX2064" t="s">
        <v>87</v>
      </c>
      <c r="AY2064" t="s">
        <v>87</v>
      </c>
      <c r="AZ2064" t="s">
        <v>87</v>
      </c>
      <c r="BA2064" t="s">
        <v>87</v>
      </c>
      <c r="BB2064" t="s">
        <v>87</v>
      </c>
      <c r="BC2064" t="s">
        <v>87</v>
      </c>
      <c r="BD2064" t="s">
        <v>87</v>
      </c>
      <c r="BE2064" t="s">
        <v>87</v>
      </c>
    </row>
    <row r="2065" spans="1:57" x14ac:dyDescent="0.45">
      <c r="A2065" t="s">
        <v>5026</v>
      </c>
      <c r="B2065" t="s">
        <v>79</v>
      </c>
      <c r="C2065" t="s">
        <v>442</v>
      </c>
      <c r="D2065" t="s">
        <v>81</v>
      </c>
      <c r="E2065" s="2" t="str">
        <f>HYPERLINK("capsilon://?command=openfolder&amp;siteaddress=FAM.docvelocity-na8.net&amp;folderid=FX4A1920FC-25A5-7C14-09FE-D4F5CF9E70C3","FX201225769")</f>
        <v>FX201225769</v>
      </c>
      <c r="F2065" t="s">
        <v>19</v>
      </c>
      <c r="G2065" t="s">
        <v>19</v>
      </c>
      <c r="H2065" t="s">
        <v>82</v>
      </c>
      <c r="I2065" t="s">
        <v>5027</v>
      </c>
      <c r="J2065">
        <v>52</v>
      </c>
      <c r="K2065" t="s">
        <v>84</v>
      </c>
      <c r="L2065" t="s">
        <v>85</v>
      </c>
      <c r="M2065" t="s">
        <v>86</v>
      </c>
      <c r="N2065">
        <v>3</v>
      </c>
      <c r="O2065" s="1">
        <v>44217.530104166668</v>
      </c>
      <c r="P2065" s="1">
        <v>44217.571516203701</v>
      </c>
      <c r="Q2065">
        <v>2446</v>
      </c>
      <c r="R2065">
        <v>1132</v>
      </c>
      <c r="S2065" t="b">
        <v>0</v>
      </c>
      <c r="T2065" t="s">
        <v>87</v>
      </c>
      <c r="U2065" t="b">
        <v>0</v>
      </c>
      <c r="V2065" t="s">
        <v>343</v>
      </c>
      <c r="W2065" s="1">
        <v>44217.541481481479</v>
      </c>
      <c r="X2065">
        <v>930</v>
      </c>
      <c r="Y2065">
        <v>42</v>
      </c>
      <c r="Z2065">
        <v>0</v>
      </c>
      <c r="AA2065">
        <v>42</v>
      </c>
      <c r="AB2065">
        <v>0</v>
      </c>
      <c r="AC2065">
        <v>22</v>
      </c>
      <c r="AD2065">
        <v>10</v>
      </c>
      <c r="AE2065">
        <v>0</v>
      </c>
      <c r="AF2065">
        <v>0</v>
      </c>
      <c r="AG2065">
        <v>0</v>
      </c>
      <c r="AH2065" t="s">
        <v>267</v>
      </c>
      <c r="AI2065" s="1">
        <v>44217.564872685187</v>
      </c>
      <c r="AJ2065">
        <v>194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10</v>
      </c>
      <c r="AQ2065">
        <v>0</v>
      </c>
      <c r="AR2065">
        <v>0</v>
      </c>
      <c r="AS2065">
        <v>0</v>
      </c>
      <c r="AT2065" t="s">
        <v>90</v>
      </c>
      <c r="AU2065" s="1">
        <v>44217.571516203701</v>
      </c>
      <c r="AV2065">
        <v>8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10</v>
      </c>
      <c r="BC2065">
        <v>0</v>
      </c>
      <c r="BD2065">
        <v>0</v>
      </c>
      <c r="BE2065">
        <v>0</v>
      </c>
    </row>
    <row r="2066" spans="1:57" x14ac:dyDescent="0.45">
      <c r="A2066" t="s">
        <v>5028</v>
      </c>
      <c r="B2066" t="s">
        <v>79</v>
      </c>
      <c r="C2066" t="s">
        <v>442</v>
      </c>
      <c r="D2066" t="s">
        <v>81</v>
      </c>
      <c r="E2066" s="2" t="str">
        <f>HYPERLINK("capsilon://?command=openfolder&amp;siteaddress=FAM.docvelocity-na8.net&amp;folderid=FX4A1920FC-25A5-7C14-09FE-D4F5CF9E70C3","FX201225769")</f>
        <v>FX201225769</v>
      </c>
      <c r="F2066" t="s">
        <v>19</v>
      </c>
      <c r="G2066" t="s">
        <v>19</v>
      </c>
      <c r="H2066" t="s">
        <v>82</v>
      </c>
      <c r="I2066" t="s">
        <v>5029</v>
      </c>
      <c r="J2066">
        <v>52</v>
      </c>
      <c r="K2066" t="s">
        <v>84</v>
      </c>
      <c r="L2066" t="s">
        <v>85</v>
      </c>
      <c r="M2066" t="s">
        <v>86</v>
      </c>
      <c r="N2066">
        <v>3</v>
      </c>
      <c r="O2066" s="1">
        <v>44217.531099537038</v>
      </c>
      <c r="P2066" s="1">
        <v>44217.572083333333</v>
      </c>
      <c r="Q2066">
        <v>3206</v>
      </c>
      <c r="R2066">
        <v>335</v>
      </c>
      <c r="S2066" t="b">
        <v>0</v>
      </c>
      <c r="T2066" t="s">
        <v>87</v>
      </c>
      <c r="U2066" t="b">
        <v>0</v>
      </c>
      <c r="V2066" t="s">
        <v>255</v>
      </c>
      <c r="W2066" s="1">
        <v>44217.53534722222</v>
      </c>
      <c r="X2066">
        <v>191</v>
      </c>
      <c r="Y2066">
        <v>42</v>
      </c>
      <c r="Z2066">
        <v>0</v>
      </c>
      <c r="AA2066">
        <v>42</v>
      </c>
      <c r="AB2066">
        <v>0</v>
      </c>
      <c r="AC2066">
        <v>14</v>
      </c>
      <c r="AD2066">
        <v>10</v>
      </c>
      <c r="AE2066">
        <v>0</v>
      </c>
      <c r="AF2066">
        <v>0</v>
      </c>
      <c r="AG2066">
        <v>0</v>
      </c>
      <c r="AH2066" t="s">
        <v>132</v>
      </c>
      <c r="AI2066" s="1">
        <v>44217.565023148149</v>
      </c>
      <c r="AJ2066">
        <v>96</v>
      </c>
      <c r="AK2066">
        <v>2</v>
      </c>
      <c r="AL2066">
        <v>0</v>
      </c>
      <c r="AM2066">
        <v>2</v>
      </c>
      <c r="AN2066">
        <v>0</v>
      </c>
      <c r="AO2066">
        <v>1</v>
      </c>
      <c r="AP2066">
        <v>8</v>
      </c>
      <c r="AQ2066">
        <v>0</v>
      </c>
      <c r="AR2066">
        <v>0</v>
      </c>
      <c r="AS2066">
        <v>0</v>
      </c>
      <c r="AT2066" t="s">
        <v>90</v>
      </c>
      <c r="AU2066" s="1">
        <v>44217.572083333333</v>
      </c>
      <c r="AV2066">
        <v>48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8</v>
      </c>
      <c r="BC2066">
        <v>0</v>
      </c>
      <c r="BD2066">
        <v>0</v>
      </c>
      <c r="BE2066">
        <v>0</v>
      </c>
    </row>
    <row r="2067" spans="1:57" x14ac:dyDescent="0.45">
      <c r="A2067" t="s">
        <v>5030</v>
      </c>
      <c r="B2067" t="s">
        <v>79</v>
      </c>
      <c r="C2067" t="s">
        <v>5031</v>
      </c>
      <c r="D2067" t="s">
        <v>81</v>
      </c>
      <c r="E2067" s="2" t="str">
        <f>HYPERLINK("capsilon://?command=openfolder&amp;siteaddress=FAM.docvelocity-na8.net&amp;folderid=FX8644D069-425C-698D-F7A0-220324A7F337","FX21019712")</f>
        <v>FX21019712</v>
      </c>
      <c r="F2067" t="s">
        <v>19</v>
      </c>
      <c r="G2067" t="s">
        <v>19</v>
      </c>
      <c r="H2067" t="s">
        <v>82</v>
      </c>
      <c r="I2067" t="s">
        <v>5032</v>
      </c>
      <c r="J2067">
        <v>121</v>
      </c>
      <c r="K2067" t="s">
        <v>84</v>
      </c>
      <c r="L2067" t="s">
        <v>85</v>
      </c>
      <c r="M2067" t="s">
        <v>86</v>
      </c>
      <c r="N2067">
        <v>3</v>
      </c>
      <c r="O2067" s="1">
        <v>44217.542997685188</v>
      </c>
      <c r="P2067" s="1">
        <v>44217.57236111111</v>
      </c>
      <c r="Q2067">
        <v>1208</v>
      </c>
      <c r="R2067">
        <v>1329</v>
      </c>
      <c r="S2067" t="b">
        <v>0</v>
      </c>
      <c r="T2067" t="s">
        <v>87</v>
      </c>
      <c r="U2067" t="b">
        <v>0</v>
      </c>
      <c r="V2067" t="s">
        <v>142</v>
      </c>
      <c r="W2067" s="1">
        <v>44217.556145833332</v>
      </c>
      <c r="X2067">
        <v>1135</v>
      </c>
      <c r="Y2067">
        <v>91</v>
      </c>
      <c r="Z2067">
        <v>0</v>
      </c>
      <c r="AA2067">
        <v>91</v>
      </c>
      <c r="AB2067">
        <v>21</v>
      </c>
      <c r="AC2067">
        <v>63</v>
      </c>
      <c r="AD2067">
        <v>30</v>
      </c>
      <c r="AE2067">
        <v>0</v>
      </c>
      <c r="AF2067">
        <v>0</v>
      </c>
      <c r="AG2067">
        <v>0</v>
      </c>
      <c r="AH2067" t="s">
        <v>132</v>
      </c>
      <c r="AI2067" s="1">
        <v>44217.567013888889</v>
      </c>
      <c r="AJ2067">
        <v>171</v>
      </c>
      <c r="AK2067">
        <v>2</v>
      </c>
      <c r="AL2067">
        <v>0</v>
      </c>
      <c r="AM2067">
        <v>2</v>
      </c>
      <c r="AN2067">
        <v>21</v>
      </c>
      <c r="AO2067">
        <v>1</v>
      </c>
      <c r="AP2067">
        <v>28</v>
      </c>
      <c r="AQ2067">
        <v>0</v>
      </c>
      <c r="AR2067">
        <v>0</v>
      </c>
      <c r="AS2067">
        <v>0</v>
      </c>
      <c r="AT2067" t="s">
        <v>90</v>
      </c>
      <c r="AU2067" s="1">
        <v>44217.57236111111</v>
      </c>
      <c r="AV2067">
        <v>23</v>
      </c>
      <c r="AW2067">
        <v>0</v>
      </c>
      <c r="AX2067">
        <v>0</v>
      </c>
      <c r="AY2067">
        <v>0</v>
      </c>
      <c r="AZ2067">
        <v>21</v>
      </c>
      <c r="BA2067">
        <v>0</v>
      </c>
      <c r="BB2067">
        <v>28</v>
      </c>
      <c r="BC2067">
        <v>0</v>
      </c>
      <c r="BD2067">
        <v>0</v>
      </c>
      <c r="BE2067">
        <v>0</v>
      </c>
    </row>
    <row r="2068" spans="1:57" x14ac:dyDescent="0.45">
      <c r="A2068" t="s">
        <v>5033</v>
      </c>
      <c r="B2068" t="s">
        <v>79</v>
      </c>
      <c r="C2068" t="s">
        <v>5034</v>
      </c>
      <c r="D2068" t="s">
        <v>81</v>
      </c>
      <c r="E2068" s="2" t="str">
        <f>HYPERLINK("capsilon://?command=openfolder&amp;siteaddress=FAM.docvelocity-na8.net&amp;folderid=FX49BB7668-69F5-D2BF-2BB4-4AFFD4F9A4F3","FX201227072")</f>
        <v>FX201227072</v>
      </c>
      <c r="F2068" t="s">
        <v>19</v>
      </c>
      <c r="G2068" t="s">
        <v>19</v>
      </c>
      <c r="H2068" t="s">
        <v>82</v>
      </c>
      <c r="I2068" t="s">
        <v>5035</v>
      </c>
      <c r="J2068">
        <v>66</v>
      </c>
      <c r="K2068" t="s">
        <v>84</v>
      </c>
      <c r="L2068" t="s">
        <v>85</v>
      </c>
      <c r="M2068" t="s">
        <v>86</v>
      </c>
      <c r="N2068">
        <v>3</v>
      </c>
      <c r="O2068" s="1">
        <v>44217.543240740742</v>
      </c>
      <c r="P2068" s="1">
        <v>44217.57240740741</v>
      </c>
      <c r="Q2068">
        <v>2295</v>
      </c>
      <c r="R2068">
        <v>225</v>
      </c>
      <c r="S2068" t="b">
        <v>0</v>
      </c>
      <c r="T2068" t="s">
        <v>87</v>
      </c>
      <c r="U2068" t="b">
        <v>0</v>
      </c>
      <c r="V2068" t="s">
        <v>179</v>
      </c>
      <c r="W2068" s="1">
        <v>44217.545543981483</v>
      </c>
      <c r="X2068">
        <v>198</v>
      </c>
      <c r="Y2068">
        <v>52</v>
      </c>
      <c r="Z2068">
        <v>0</v>
      </c>
      <c r="AA2068">
        <v>52</v>
      </c>
      <c r="AB2068">
        <v>52</v>
      </c>
      <c r="AC2068">
        <v>0</v>
      </c>
      <c r="AD2068">
        <v>14</v>
      </c>
      <c r="AE2068">
        <v>0</v>
      </c>
      <c r="AF2068">
        <v>0</v>
      </c>
      <c r="AG2068">
        <v>0</v>
      </c>
      <c r="AH2068" t="s">
        <v>132</v>
      </c>
      <c r="AI2068" s="1">
        <v>44217.567303240743</v>
      </c>
      <c r="AJ2068">
        <v>24</v>
      </c>
      <c r="AK2068">
        <v>0</v>
      </c>
      <c r="AL2068">
        <v>0</v>
      </c>
      <c r="AM2068">
        <v>0</v>
      </c>
      <c r="AN2068">
        <v>52</v>
      </c>
      <c r="AO2068">
        <v>0</v>
      </c>
      <c r="AP2068">
        <v>14</v>
      </c>
      <c r="AQ2068">
        <v>0</v>
      </c>
      <c r="AR2068">
        <v>0</v>
      </c>
      <c r="AS2068">
        <v>0</v>
      </c>
      <c r="AT2068" t="s">
        <v>90</v>
      </c>
      <c r="AU2068" s="1">
        <v>44217.57240740741</v>
      </c>
      <c r="AV2068">
        <v>3</v>
      </c>
      <c r="AW2068">
        <v>0</v>
      </c>
      <c r="AX2068">
        <v>0</v>
      </c>
      <c r="AY2068">
        <v>0</v>
      </c>
      <c r="AZ2068">
        <v>52</v>
      </c>
      <c r="BA2068">
        <v>0</v>
      </c>
      <c r="BB2068">
        <v>14</v>
      </c>
      <c r="BC2068">
        <v>0</v>
      </c>
      <c r="BD2068">
        <v>0</v>
      </c>
      <c r="BE2068">
        <v>0</v>
      </c>
    </row>
    <row r="2069" spans="1:57" hidden="1" x14ac:dyDescent="0.45">
      <c r="A2069" t="s">
        <v>5036</v>
      </c>
      <c r="B2069" t="s">
        <v>79</v>
      </c>
      <c r="C2069" t="s">
        <v>875</v>
      </c>
      <c r="D2069" t="s">
        <v>81</v>
      </c>
      <c r="E2069" s="2" t="str">
        <f>HYPERLINK("capsilon://?command=openfolder&amp;siteaddress=FAM.docvelocity-na8.net&amp;folderid=FX8CAE4260-A543-E6DB-E579-8D4ED85DC75D","FX20124809")</f>
        <v>FX20124809</v>
      </c>
      <c r="F2069" t="s">
        <v>19</v>
      </c>
      <c r="G2069" t="s">
        <v>19</v>
      </c>
      <c r="H2069" t="s">
        <v>82</v>
      </c>
      <c r="I2069" t="s">
        <v>5037</v>
      </c>
      <c r="J2069">
        <v>66</v>
      </c>
      <c r="K2069" t="s">
        <v>84</v>
      </c>
      <c r="L2069" t="s">
        <v>85</v>
      </c>
      <c r="M2069" t="s">
        <v>86</v>
      </c>
      <c r="N2069">
        <v>3</v>
      </c>
      <c r="O2069" s="1">
        <v>44217.543495370373</v>
      </c>
      <c r="P2069" s="1">
        <v>44217.572442129633</v>
      </c>
      <c r="Q2069">
        <v>2376</v>
      </c>
      <c r="R2069">
        <v>125</v>
      </c>
      <c r="S2069" t="b">
        <v>0</v>
      </c>
      <c r="T2069" t="s">
        <v>87</v>
      </c>
      <c r="U2069" t="b">
        <v>0</v>
      </c>
      <c r="V2069" t="s">
        <v>259</v>
      </c>
      <c r="W2069" s="1">
        <v>44217.544814814813</v>
      </c>
      <c r="X2069">
        <v>101</v>
      </c>
      <c r="Y2069">
        <v>0</v>
      </c>
      <c r="Z2069">
        <v>0</v>
      </c>
      <c r="AA2069">
        <v>0</v>
      </c>
      <c r="AB2069">
        <v>52</v>
      </c>
      <c r="AC2069">
        <v>0</v>
      </c>
      <c r="AD2069">
        <v>66</v>
      </c>
      <c r="AE2069">
        <v>0</v>
      </c>
      <c r="AF2069">
        <v>0</v>
      </c>
      <c r="AG2069">
        <v>0</v>
      </c>
      <c r="AH2069" t="s">
        <v>132</v>
      </c>
      <c r="AI2069" s="1">
        <v>44217.567569444444</v>
      </c>
      <c r="AJ2069">
        <v>22</v>
      </c>
      <c r="AK2069">
        <v>0</v>
      </c>
      <c r="AL2069">
        <v>0</v>
      </c>
      <c r="AM2069">
        <v>0</v>
      </c>
      <c r="AN2069">
        <v>52</v>
      </c>
      <c r="AO2069">
        <v>0</v>
      </c>
      <c r="AP2069">
        <v>66</v>
      </c>
      <c r="AQ2069">
        <v>0</v>
      </c>
      <c r="AR2069">
        <v>0</v>
      </c>
      <c r="AS2069">
        <v>0</v>
      </c>
      <c r="AT2069" t="s">
        <v>90</v>
      </c>
      <c r="AU2069" s="1">
        <v>44217.572442129633</v>
      </c>
      <c r="AV2069">
        <v>2</v>
      </c>
      <c r="AW2069">
        <v>0</v>
      </c>
      <c r="AX2069">
        <v>0</v>
      </c>
      <c r="AY2069">
        <v>0</v>
      </c>
      <c r="AZ2069">
        <v>52</v>
      </c>
      <c r="BA2069">
        <v>0</v>
      </c>
      <c r="BB2069">
        <v>66</v>
      </c>
      <c r="BC2069">
        <v>0</v>
      </c>
      <c r="BD2069">
        <v>0</v>
      </c>
      <c r="BE2069">
        <v>0</v>
      </c>
    </row>
    <row r="2070" spans="1:57" hidden="1" x14ac:dyDescent="0.45">
      <c r="A2070" t="s">
        <v>5038</v>
      </c>
      <c r="B2070" t="s">
        <v>79</v>
      </c>
      <c r="C2070" t="s">
        <v>1631</v>
      </c>
      <c r="D2070" t="s">
        <v>81</v>
      </c>
      <c r="E2070" s="2" t="str">
        <f>HYPERLINK("capsilon://?command=openfolder&amp;siteaddress=FAM.docvelocity-na8.net&amp;folderid=FX7ADA080F-954E-0547-72AB-0286AF906F3F","FX21014120")</f>
        <v>FX21014120</v>
      </c>
      <c r="F2070" t="s">
        <v>19</v>
      </c>
      <c r="G2070" t="s">
        <v>19</v>
      </c>
      <c r="H2070" t="s">
        <v>82</v>
      </c>
      <c r="I2070" t="s">
        <v>5039</v>
      </c>
      <c r="J2070">
        <v>62</v>
      </c>
      <c r="K2070" t="s">
        <v>84</v>
      </c>
      <c r="L2070" t="s">
        <v>85</v>
      </c>
      <c r="M2070" t="s">
        <v>86</v>
      </c>
      <c r="N2070">
        <v>1</v>
      </c>
      <c r="O2070" s="1">
        <v>44217.547442129631</v>
      </c>
      <c r="P2070" s="1">
        <v>44217.586215277777</v>
      </c>
      <c r="Q2070">
        <v>1</v>
      </c>
      <c r="R2070">
        <v>3349</v>
      </c>
      <c r="S2070" t="b">
        <v>0</v>
      </c>
      <c r="T2070" t="s">
        <v>87</v>
      </c>
      <c r="U2070" t="b">
        <v>0</v>
      </c>
      <c r="V2070" t="s">
        <v>179</v>
      </c>
      <c r="W2070" s="1">
        <v>44217.586215277777</v>
      </c>
      <c r="X2070">
        <v>3349</v>
      </c>
      <c r="Y2070">
        <v>58</v>
      </c>
      <c r="Z2070">
        <v>0</v>
      </c>
      <c r="AA2070">
        <v>58</v>
      </c>
      <c r="AB2070">
        <v>0</v>
      </c>
      <c r="AC2070">
        <v>0</v>
      </c>
      <c r="AD2070">
        <v>4</v>
      </c>
      <c r="AE2070">
        <v>58</v>
      </c>
      <c r="AF2070">
        <v>0</v>
      </c>
      <c r="AG2070">
        <v>38</v>
      </c>
      <c r="AH2070" t="s">
        <v>87</v>
      </c>
      <c r="AI2070" t="s">
        <v>87</v>
      </c>
      <c r="AJ2070" t="s">
        <v>87</v>
      </c>
      <c r="AK2070" t="s">
        <v>87</v>
      </c>
      <c r="AL2070" t="s">
        <v>87</v>
      </c>
      <c r="AM2070" t="s">
        <v>87</v>
      </c>
      <c r="AN2070" t="s">
        <v>87</v>
      </c>
      <c r="AO2070" t="s">
        <v>87</v>
      </c>
      <c r="AP2070" t="s">
        <v>87</v>
      </c>
      <c r="AQ2070" t="s">
        <v>87</v>
      </c>
      <c r="AR2070" t="s">
        <v>87</v>
      </c>
      <c r="AS2070" t="s">
        <v>87</v>
      </c>
      <c r="AT2070" t="s">
        <v>87</v>
      </c>
      <c r="AU2070" t="s">
        <v>87</v>
      </c>
      <c r="AV2070" t="s">
        <v>87</v>
      </c>
      <c r="AW2070" t="s">
        <v>87</v>
      </c>
      <c r="AX2070" t="s">
        <v>87</v>
      </c>
      <c r="AY2070" t="s">
        <v>87</v>
      </c>
      <c r="AZ2070" t="s">
        <v>87</v>
      </c>
      <c r="BA2070" t="s">
        <v>87</v>
      </c>
      <c r="BB2070" t="s">
        <v>87</v>
      </c>
      <c r="BC2070" t="s">
        <v>87</v>
      </c>
      <c r="BD2070" t="s">
        <v>87</v>
      </c>
      <c r="BE2070" t="s">
        <v>87</v>
      </c>
    </row>
    <row r="2071" spans="1:57" x14ac:dyDescent="0.45">
      <c r="A2071" t="s">
        <v>5040</v>
      </c>
      <c r="B2071" t="s">
        <v>79</v>
      </c>
      <c r="C2071" t="s">
        <v>2430</v>
      </c>
      <c r="D2071" t="s">
        <v>81</v>
      </c>
      <c r="E2071" s="2" t="str">
        <f>HYPERLINK("capsilon://?command=openfolder&amp;siteaddress=FAM.docvelocity-na8.net&amp;folderid=FXCD6FD811-83D3-8E74-A9D0-5CC068DBE8E9","FX201229388")</f>
        <v>FX201229388</v>
      </c>
      <c r="F2071" t="s">
        <v>19</v>
      </c>
      <c r="G2071" t="s">
        <v>19</v>
      </c>
      <c r="H2071" t="s">
        <v>82</v>
      </c>
      <c r="I2071" t="s">
        <v>5025</v>
      </c>
      <c r="J2071">
        <v>124</v>
      </c>
      <c r="K2071" t="s">
        <v>84</v>
      </c>
      <c r="L2071" t="s">
        <v>85</v>
      </c>
      <c r="M2071" t="s">
        <v>86</v>
      </c>
      <c r="N2071">
        <v>3</v>
      </c>
      <c r="O2071" s="1">
        <v>44217.555671296293</v>
      </c>
      <c r="P2071" s="1">
        <v>44217.652638888889</v>
      </c>
      <c r="Q2071">
        <v>4130</v>
      </c>
      <c r="R2071">
        <v>4248</v>
      </c>
      <c r="S2071" t="b">
        <v>0</v>
      </c>
      <c r="T2071" t="s">
        <v>87</v>
      </c>
      <c r="U2071" t="b">
        <v>1</v>
      </c>
      <c r="V2071" t="s">
        <v>259</v>
      </c>
      <c r="W2071" s="1">
        <v>44217.587824074071</v>
      </c>
      <c r="X2071">
        <v>2750</v>
      </c>
      <c r="Y2071">
        <v>147</v>
      </c>
      <c r="Z2071">
        <v>0</v>
      </c>
      <c r="AA2071">
        <v>147</v>
      </c>
      <c r="AB2071">
        <v>0</v>
      </c>
      <c r="AC2071">
        <v>72</v>
      </c>
      <c r="AD2071">
        <v>-23</v>
      </c>
      <c r="AE2071">
        <v>0</v>
      </c>
      <c r="AF2071">
        <v>0</v>
      </c>
      <c r="AG2071">
        <v>0</v>
      </c>
      <c r="AH2071" t="s">
        <v>132</v>
      </c>
      <c r="AI2071" s="1">
        <v>44217.597118055557</v>
      </c>
      <c r="AJ2071">
        <v>757</v>
      </c>
      <c r="AK2071">
        <v>0</v>
      </c>
      <c r="AL2071">
        <v>0</v>
      </c>
      <c r="AM2071">
        <v>0</v>
      </c>
      <c r="AN2071">
        <v>39</v>
      </c>
      <c r="AO2071">
        <v>1</v>
      </c>
      <c r="AP2071">
        <v>-23</v>
      </c>
      <c r="AQ2071">
        <v>0</v>
      </c>
      <c r="AR2071">
        <v>0</v>
      </c>
      <c r="AS2071">
        <v>0</v>
      </c>
      <c r="AT2071" t="s">
        <v>549</v>
      </c>
      <c r="AU2071" s="1">
        <v>44217.652638888889</v>
      </c>
      <c r="AV2071">
        <v>733</v>
      </c>
      <c r="AW2071">
        <v>0</v>
      </c>
      <c r="AX2071">
        <v>0</v>
      </c>
      <c r="AY2071">
        <v>0</v>
      </c>
      <c r="AZ2071">
        <v>147</v>
      </c>
      <c r="BA2071">
        <v>0</v>
      </c>
      <c r="BB2071">
        <v>-23</v>
      </c>
      <c r="BC2071">
        <v>0</v>
      </c>
      <c r="BD2071">
        <v>0</v>
      </c>
      <c r="BE2071">
        <v>0</v>
      </c>
    </row>
    <row r="2072" spans="1:57" x14ac:dyDescent="0.45">
      <c r="A2072" t="s">
        <v>5041</v>
      </c>
      <c r="B2072" t="s">
        <v>79</v>
      </c>
      <c r="C2072" t="s">
        <v>5042</v>
      </c>
      <c r="D2072" t="s">
        <v>81</v>
      </c>
      <c r="E2072" s="2" t="str">
        <f>HYPERLINK("capsilon://?command=openfolder&amp;siteaddress=FAM.docvelocity-na8.net&amp;folderid=FX576D7ADB-7419-73C3-9C6A-BAB2695D840E","FX210112126")</f>
        <v>FX210112126</v>
      </c>
      <c r="F2072" t="s">
        <v>19</v>
      </c>
      <c r="G2072" t="s">
        <v>19</v>
      </c>
      <c r="H2072" t="s">
        <v>82</v>
      </c>
      <c r="I2072" t="s">
        <v>5043</v>
      </c>
      <c r="J2072">
        <v>38</v>
      </c>
      <c r="K2072" t="s">
        <v>84</v>
      </c>
      <c r="L2072" t="s">
        <v>85</v>
      </c>
      <c r="M2072" t="s">
        <v>86</v>
      </c>
      <c r="N2072">
        <v>3</v>
      </c>
      <c r="O2072" s="1">
        <v>44217.558136574073</v>
      </c>
      <c r="P2072" s="1">
        <v>44217.596817129626</v>
      </c>
      <c r="Q2072">
        <v>699</v>
      </c>
      <c r="R2072">
        <v>2643</v>
      </c>
      <c r="S2072" t="b">
        <v>0</v>
      </c>
      <c r="T2072" t="s">
        <v>87</v>
      </c>
      <c r="U2072" t="b">
        <v>0</v>
      </c>
      <c r="V2072" t="s">
        <v>242</v>
      </c>
      <c r="W2072" s="1">
        <v>44217.585474537038</v>
      </c>
      <c r="X2072">
        <v>2357</v>
      </c>
      <c r="Y2072">
        <v>37</v>
      </c>
      <c r="Z2072">
        <v>0</v>
      </c>
      <c r="AA2072">
        <v>37</v>
      </c>
      <c r="AB2072">
        <v>0</v>
      </c>
      <c r="AC2072">
        <v>21</v>
      </c>
      <c r="AD2072">
        <v>1</v>
      </c>
      <c r="AE2072">
        <v>0</v>
      </c>
      <c r="AF2072">
        <v>0</v>
      </c>
      <c r="AG2072">
        <v>0</v>
      </c>
      <c r="AH2072" t="s">
        <v>132</v>
      </c>
      <c r="AI2072" s="1">
        <v>44217.588356481479</v>
      </c>
      <c r="AJ2072">
        <v>234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0</v>
      </c>
      <c r="AS2072">
        <v>0</v>
      </c>
      <c r="AT2072" t="s">
        <v>549</v>
      </c>
      <c r="AU2072" s="1">
        <v>44217.596817129626</v>
      </c>
      <c r="AV2072">
        <v>52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</row>
    <row r="2073" spans="1:57" hidden="1" x14ac:dyDescent="0.45">
      <c r="A2073" t="s">
        <v>5044</v>
      </c>
      <c r="B2073" t="s">
        <v>79</v>
      </c>
      <c r="C2073" t="s">
        <v>2472</v>
      </c>
      <c r="D2073" t="s">
        <v>81</v>
      </c>
      <c r="E2073" s="2" t="str">
        <f>HYPERLINK("capsilon://?command=openfolder&amp;siteaddress=FAM.docvelocity-na8.net&amp;folderid=FXCC5CEFAA-7297-6936-DCF4-A77F4E3DFB31","FX201110096")</f>
        <v>FX201110096</v>
      </c>
      <c r="F2073" t="s">
        <v>19</v>
      </c>
      <c r="G2073" t="s">
        <v>19</v>
      </c>
      <c r="H2073" t="s">
        <v>82</v>
      </c>
      <c r="I2073" t="s">
        <v>5045</v>
      </c>
      <c r="J2073">
        <v>66</v>
      </c>
      <c r="K2073" t="s">
        <v>84</v>
      </c>
      <c r="L2073" t="s">
        <v>85</v>
      </c>
      <c r="M2073" t="s">
        <v>86</v>
      </c>
      <c r="N2073">
        <v>3</v>
      </c>
      <c r="O2073" s="1">
        <v>44217.558831018519</v>
      </c>
      <c r="P2073" s="1">
        <v>44217.572476851848</v>
      </c>
      <c r="Q2073">
        <v>840</v>
      </c>
      <c r="R2073">
        <v>339</v>
      </c>
      <c r="S2073" t="b">
        <v>0</v>
      </c>
      <c r="T2073" t="s">
        <v>87</v>
      </c>
      <c r="U2073" t="b">
        <v>0</v>
      </c>
      <c r="V2073" t="s">
        <v>146</v>
      </c>
      <c r="W2073" s="1">
        <v>44217.56</v>
      </c>
      <c r="X2073">
        <v>100</v>
      </c>
      <c r="Y2073">
        <v>0</v>
      </c>
      <c r="Z2073">
        <v>0</v>
      </c>
      <c r="AA2073">
        <v>0</v>
      </c>
      <c r="AB2073">
        <v>52</v>
      </c>
      <c r="AC2073">
        <v>0</v>
      </c>
      <c r="AD2073">
        <v>66</v>
      </c>
      <c r="AE2073">
        <v>0</v>
      </c>
      <c r="AF2073">
        <v>0</v>
      </c>
      <c r="AG2073">
        <v>0</v>
      </c>
      <c r="AH2073" t="s">
        <v>132</v>
      </c>
      <c r="AI2073" s="1">
        <v>44217.570324074077</v>
      </c>
      <c r="AJ2073">
        <v>237</v>
      </c>
      <c r="AK2073">
        <v>0</v>
      </c>
      <c r="AL2073">
        <v>0</v>
      </c>
      <c r="AM2073">
        <v>0</v>
      </c>
      <c r="AN2073">
        <v>52</v>
      </c>
      <c r="AO2073">
        <v>0</v>
      </c>
      <c r="AP2073">
        <v>66</v>
      </c>
      <c r="AQ2073">
        <v>0</v>
      </c>
      <c r="AR2073">
        <v>0</v>
      </c>
      <c r="AS2073">
        <v>0</v>
      </c>
      <c r="AT2073" t="s">
        <v>90</v>
      </c>
      <c r="AU2073" s="1">
        <v>44217.572476851848</v>
      </c>
      <c r="AV2073">
        <v>2</v>
      </c>
      <c r="AW2073">
        <v>0</v>
      </c>
      <c r="AX2073">
        <v>0</v>
      </c>
      <c r="AY2073">
        <v>0</v>
      </c>
      <c r="AZ2073">
        <v>52</v>
      </c>
      <c r="BA2073">
        <v>0</v>
      </c>
      <c r="BB2073">
        <v>66</v>
      </c>
      <c r="BC2073">
        <v>0</v>
      </c>
      <c r="BD2073">
        <v>0</v>
      </c>
      <c r="BE2073">
        <v>0</v>
      </c>
    </row>
    <row r="2074" spans="1:57" x14ac:dyDescent="0.45">
      <c r="A2074" t="s">
        <v>5046</v>
      </c>
      <c r="B2074" t="s">
        <v>79</v>
      </c>
      <c r="C2074" t="s">
        <v>5047</v>
      </c>
      <c r="D2074" t="s">
        <v>81</v>
      </c>
      <c r="E2074" s="2" t="str">
        <f>HYPERLINK("capsilon://?command=openfolder&amp;siteaddress=FAM.docvelocity-na8.net&amp;folderid=FXCA9484A6-6FE3-7D7A-26E4-8A417F43798F","FX210112287")</f>
        <v>FX210112287</v>
      </c>
      <c r="F2074" t="s">
        <v>19</v>
      </c>
      <c r="G2074" t="s">
        <v>19</v>
      </c>
      <c r="H2074" t="s">
        <v>82</v>
      </c>
      <c r="I2074" t="s">
        <v>5048</v>
      </c>
      <c r="J2074">
        <v>286</v>
      </c>
      <c r="K2074" t="s">
        <v>84</v>
      </c>
      <c r="L2074" t="s">
        <v>85</v>
      </c>
      <c r="M2074" t="s">
        <v>86</v>
      </c>
      <c r="N2074">
        <v>3</v>
      </c>
      <c r="O2074" s="1">
        <v>44217.559374999997</v>
      </c>
      <c r="P2074" s="1">
        <v>44217.680763888886</v>
      </c>
      <c r="Q2074">
        <v>6917</v>
      </c>
      <c r="R2074">
        <v>3571</v>
      </c>
      <c r="S2074" t="b">
        <v>0</v>
      </c>
      <c r="T2074" t="s">
        <v>87</v>
      </c>
      <c r="U2074" t="b">
        <v>0</v>
      </c>
      <c r="V2074" t="s">
        <v>146</v>
      </c>
      <c r="W2074" s="1">
        <v>44217.593946759262</v>
      </c>
      <c r="X2074">
        <v>2932</v>
      </c>
      <c r="Y2074">
        <v>209</v>
      </c>
      <c r="Z2074">
        <v>0</v>
      </c>
      <c r="AA2074">
        <v>209</v>
      </c>
      <c r="AB2074">
        <v>37</v>
      </c>
      <c r="AC2074">
        <v>111</v>
      </c>
      <c r="AD2074">
        <v>77</v>
      </c>
      <c r="AE2074">
        <v>0</v>
      </c>
      <c r="AF2074">
        <v>0</v>
      </c>
      <c r="AG2074">
        <v>0</v>
      </c>
      <c r="AH2074" t="s">
        <v>132</v>
      </c>
      <c r="AI2074" s="1">
        <v>44217.608136574076</v>
      </c>
      <c r="AJ2074">
        <v>270</v>
      </c>
      <c r="AK2074">
        <v>0</v>
      </c>
      <c r="AL2074">
        <v>0</v>
      </c>
      <c r="AM2074">
        <v>0</v>
      </c>
      <c r="AN2074">
        <v>37</v>
      </c>
      <c r="AO2074">
        <v>0</v>
      </c>
      <c r="AP2074">
        <v>77</v>
      </c>
      <c r="AQ2074">
        <v>0</v>
      </c>
      <c r="AR2074">
        <v>0</v>
      </c>
      <c r="AS2074">
        <v>0</v>
      </c>
      <c r="AT2074" t="s">
        <v>549</v>
      </c>
      <c r="AU2074" s="1">
        <v>44217.680763888886</v>
      </c>
      <c r="AV2074">
        <v>369</v>
      </c>
      <c r="AW2074">
        <v>0</v>
      </c>
      <c r="AX2074">
        <v>0</v>
      </c>
      <c r="AY2074">
        <v>0</v>
      </c>
      <c r="AZ2074">
        <v>37</v>
      </c>
      <c r="BA2074">
        <v>0</v>
      </c>
      <c r="BB2074">
        <v>77</v>
      </c>
      <c r="BC2074">
        <v>0</v>
      </c>
      <c r="BD2074">
        <v>0</v>
      </c>
      <c r="BE2074">
        <v>0</v>
      </c>
    </row>
    <row r="2075" spans="1:57" hidden="1" x14ac:dyDescent="0.45">
      <c r="A2075" t="s">
        <v>5049</v>
      </c>
      <c r="B2075" t="s">
        <v>79</v>
      </c>
      <c r="C2075" t="s">
        <v>3404</v>
      </c>
      <c r="D2075" t="s">
        <v>81</v>
      </c>
      <c r="E2075" s="2" t="str">
        <f>HYPERLINK("capsilon://?command=openfolder&amp;siteaddress=FAM.docvelocity-na8.net&amp;folderid=FXAF4D9EA1-147F-2B01-498F-3FC326AD865B","FX201222847")</f>
        <v>FX201222847</v>
      </c>
      <c r="F2075" t="s">
        <v>19</v>
      </c>
      <c r="G2075" t="s">
        <v>19</v>
      </c>
      <c r="H2075" t="s">
        <v>82</v>
      </c>
      <c r="I2075" t="s">
        <v>5050</v>
      </c>
      <c r="J2075">
        <v>329</v>
      </c>
      <c r="K2075" t="s">
        <v>84</v>
      </c>
      <c r="L2075" t="s">
        <v>85</v>
      </c>
      <c r="M2075" t="s">
        <v>86</v>
      </c>
      <c r="N2075">
        <v>1</v>
      </c>
      <c r="O2075" s="1">
        <v>44217.560960648145</v>
      </c>
      <c r="P2075" s="1">
        <v>44217.578935185185</v>
      </c>
      <c r="Q2075">
        <v>131</v>
      </c>
      <c r="R2075">
        <v>1422</v>
      </c>
      <c r="S2075" t="b">
        <v>0</v>
      </c>
      <c r="T2075" t="s">
        <v>87</v>
      </c>
      <c r="U2075" t="b">
        <v>0</v>
      </c>
      <c r="V2075" t="s">
        <v>142</v>
      </c>
      <c r="W2075" s="1">
        <v>44217.578935185185</v>
      </c>
      <c r="X2075">
        <v>1363</v>
      </c>
      <c r="Y2075">
        <v>237</v>
      </c>
      <c r="Z2075">
        <v>0</v>
      </c>
      <c r="AA2075">
        <v>237</v>
      </c>
      <c r="AB2075">
        <v>0</v>
      </c>
      <c r="AC2075">
        <v>116</v>
      </c>
      <c r="AD2075">
        <v>92</v>
      </c>
      <c r="AE2075">
        <v>56</v>
      </c>
      <c r="AF2075">
        <v>0</v>
      </c>
      <c r="AG2075">
        <v>2</v>
      </c>
      <c r="AH2075" t="s">
        <v>87</v>
      </c>
      <c r="AI2075" t="s">
        <v>87</v>
      </c>
      <c r="AJ2075" t="s">
        <v>87</v>
      </c>
      <c r="AK2075" t="s">
        <v>87</v>
      </c>
      <c r="AL2075" t="s">
        <v>87</v>
      </c>
      <c r="AM2075" t="s">
        <v>87</v>
      </c>
      <c r="AN2075" t="s">
        <v>87</v>
      </c>
      <c r="AO2075" t="s">
        <v>87</v>
      </c>
      <c r="AP2075" t="s">
        <v>87</v>
      </c>
      <c r="AQ2075" t="s">
        <v>87</v>
      </c>
      <c r="AR2075" t="s">
        <v>87</v>
      </c>
      <c r="AS2075" t="s">
        <v>87</v>
      </c>
      <c r="AT2075" t="s">
        <v>87</v>
      </c>
      <c r="AU2075" t="s">
        <v>87</v>
      </c>
      <c r="AV2075" t="s">
        <v>87</v>
      </c>
      <c r="AW2075" t="s">
        <v>87</v>
      </c>
      <c r="AX2075" t="s">
        <v>87</v>
      </c>
      <c r="AY2075" t="s">
        <v>87</v>
      </c>
      <c r="AZ2075" t="s">
        <v>87</v>
      </c>
      <c r="BA2075" t="s">
        <v>87</v>
      </c>
      <c r="BB2075" t="s">
        <v>87</v>
      </c>
      <c r="BC2075" t="s">
        <v>87</v>
      </c>
      <c r="BD2075" t="s">
        <v>87</v>
      </c>
      <c r="BE2075" t="s">
        <v>87</v>
      </c>
    </row>
    <row r="2076" spans="1:57" x14ac:dyDescent="0.45">
      <c r="A2076" t="s">
        <v>5051</v>
      </c>
      <c r="B2076" t="s">
        <v>79</v>
      </c>
      <c r="C2076" t="s">
        <v>3229</v>
      </c>
      <c r="D2076" t="s">
        <v>81</v>
      </c>
      <c r="E2076" s="2" t="str">
        <f>HYPERLINK("capsilon://?command=openfolder&amp;siteaddress=FAM.docvelocity-na8.net&amp;folderid=FX0B0090AF-DE64-95CC-4C39-C02D4CF348D9","FX201229213")</f>
        <v>FX201229213</v>
      </c>
      <c r="F2076" t="s">
        <v>19</v>
      </c>
      <c r="G2076" t="s">
        <v>19</v>
      </c>
      <c r="H2076" t="s">
        <v>82</v>
      </c>
      <c r="I2076" t="s">
        <v>5052</v>
      </c>
      <c r="J2076">
        <v>38</v>
      </c>
      <c r="K2076" t="s">
        <v>84</v>
      </c>
      <c r="L2076" t="s">
        <v>85</v>
      </c>
      <c r="M2076" t="s">
        <v>86</v>
      </c>
      <c r="N2076">
        <v>3</v>
      </c>
      <c r="O2076" s="1">
        <v>44201.465729166666</v>
      </c>
      <c r="P2076" s="1">
        <v>44201.560266203705</v>
      </c>
      <c r="Q2076">
        <v>7702</v>
      </c>
      <c r="R2076">
        <v>466</v>
      </c>
      <c r="S2076" t="b">
        <v>0</v>
      </c>
      <c r="T2076" t="s">
        <v>87</v>
      </c>
      <c r="U2076" t="b">
        <v>0</v>
      </c>
      <c r="V2076" t="s">
        <v>262</v>
      </c>
      <c r="W2076" s="1">
        <v>44201.492766203701</v>
      </c>
      <c r="X2076">
        <v>320</v>
      </c>
      <c r="Y2076">
        <v>37</v>
      </c>
      <c r="Z2076">
        <v>0</v>
      </c>
      <c r="AA2076">
        <v>37</v>
      </c>
      <c r="AB2076">
        <v>0</v>
      </c>
      <c r="AC2076">
        <v>12</v>
      </c>
      <c r="AD2076">
        <v>1</v>
      </c>
      <c r="AE2076">
        <v>0</v>
      </c>
      <c r="AF2076">
        <v>0</v>
      </c>
      <c r="AG2076">
        <v>0</v>
      </c>
      <c r="AH2076" t="s">
        <v>267</v>
      </c>
      <c r="AI2076" s="1">
        <v>44201.545763888891</v>
      </c>
      <c r="AJ2076">
        <v>61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0</v>
      </c>
      <c r="AR2076">
        <v>0</v>
      </c>
      <c r="AS2076">
        <v>0</v>
      </c>
      <c r="AT2076" t="s">
        <v>90</v>
      </c>
      <c r="AU2076" s="1">
        <v>44201.560266203705</v>
      </c>
      <c r="AV2076">
        <v>85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0</v>
      </c>
    </row>
    <row r="2077" spans="1:57" x14ac:dyDescent="0.45">
      <c r="A2077" t="s">
        <v>5053</v>
      </c>
      <c r="B2077" t="s">
        <v>79</v>
      </c>
      <c r="C2077" t="s">
        <v>237</v>
      </c>
      <c r="D2077" t="s">
        <v>81</v>
      </c>
      <c r="E2077" s="2" t="str">
        <f>HYPERLINK("capsilon://?command=openfolder&amp;siteaddress=FAM.docvelocity-na8.net&amp;folderid=FX77FE708E-F5BC-62CF-9850-6EA68E72E9E1","FX201113642")</f>
        <v>FX201113642</v>
      </c>
      <c r="F2077" t="s">
        <v>19</v>
      </c>
      <c r="G2077" t="s">
        <v>19</v>
      </c>
      <c r="H2077" t="s">
        <v>82</v>
      </c>
      <c r="I2077" t="s">
        <v>5054</v>
      </c>
      <c r="J2077">
        <v>66</v>
      </c>
      <c r="K2077" t="s">
        <v>84</v>
      </c>
      <c r="L2077" t="s">
        <v>85</v>
      </c>
      <c r="M2077" t="s">
        <v>86</v>
      </c>
      <c r="N2077">
        <v>3</v>
      </c>
      <c r="O2077" s="1">
        <v>44217.5703125</v>
      </c>
      <c r="P2077" s="1">
        <v>44217.596921296295</v>
      </c>
      <c r="Q2077">
        <v>2089</v>
      </c>
      <c r="R2077">
        <v>210</v>
      </c>
      <c r="S2077" t="b">
        <v>0</v>
      </c>
      <c r="T2077" t="s">
        <v>87</v>
      </c>
      <c r="U2077" t="b">
        <v>0</v>
      </c>
      <c r="V2077" t="s">
        <v>160</v>
      </c>
      <c r="W2077" s="1">
        <v>44217.571747685186</v>
      </c>
      <c r="X2077">
        <v>124</v>
      </c>
      <c r="Y2077">
        <v>51</v>
      </c>
      <c r="Z2077">
        <v>0</v>
      </c>
      <c r="AA2077">
        <v>51</v>
      </c>
      <c r="AB2077">
        <v>52</v>
      </c>
      <c r="AC2077">
        <v>1</v>
      </c>
      <c r="AD2077">
        <v>15</v>
      </c>
      <c r="AE2077">
        <v>0</v>
      </c>
      <c r="AF2077">
        <v>0</v>
      </c>
      <c r="AG2077">
        <v>0</v>
      </c>
      <c r="AH2077" t="s">
        <v>132</v>
      </c>
      <c r="AI2077" s="1">
        <v>44217.574861111112</v>
      </c>
      <c r="AJ2077">
        <v>78</v>
      </c>
      <c r="AK2077">
        <v>0</v>
      </c>
      <c r="AL2077">
        <v>0</v>
      </c>
      <c r="AM2077">
        <v>0</v>
      </c>
      <c r="AN2077">
        <v>52</v>
      </c>
      <c r="AO2077">
        <v>0</v>
      </c>
      <c r="AP2077">
        <v>15</v>
      </c>
      <c r="AQ2077">
        <v>0</v>
      </c>
      <c r="AR2077">
        <v>0</v>
      </c>
      <c r="AS2077">
        <v>0</v>
      </c>
      <c r="AT2077" t="s">
        <v>549</v>
      </c>
      <c r="AU2077" s="1">
        <v>44217.596921296295</v>
      </c>
      <c r="AV2077">
        <v>8</v>
      </c>
      <c r="AW2077">
        <v>0</v>
      </c>
      <c r="AX2077">
        <v>0</v>
      </c>
      <c r="AY2077">
        <v>0</v>
      </c>
      <c r="AZ2077">
        <v>52</v>
      </c>
      <c r="BA2077">
        <v>0</v>
      </c>
      <c r="BB2077">
        <v>15</v>
      </c>
      <c r="BC2077">
        <v>0</v>
      </c>
      <c r="BD2077">
        <v>0</v>
      </c>
      <c r="BE2077">
        <v>0</v>
      </c>
    </row>
    <row r="2078" spans="1:57" hidden="1" x14ac:dyDescent="0.45">
      <c r="A2078" t="s">
        <v>5055</v>
      </c>
      <c r="B2078" t="s">
        <v>79</v>
      </c>
      <c r="C2078" t="s">
        <v>237</v>
      </c>
      <c r="D2078" t="s">
        <v>81</v>
      </c>
      <c r="E2078" s="2" t="str">
        <f>HYPERLINK("capsilon://?command=openfolder&amp;siteaddress=FAM.docvelocity-na8.net&amp;folderid=FX77FE708E-F5BC-62CF-9850-6EA68E72E9E1","FX201113642")</f>
        <v>FX201113642</v>
      </c>
      <c r="F2078" t="s">
        <v>19</v>
      </c>
      <c r="G2078" t="s">
        <v>19</v>
      </c>
      <c r="H2078" t="s">
        <v>82</v>
      </c>
      <c r="I2078" t="s">
        <v>5056</v>
      </c>
      <c r="J2078">
        <v>66</v>
      </c>
      <c r="K2078" t="s">
        <v>84</v>
      </c>
      <c r="L2078" t="s">
        <v>85</v>
      </c>
      <c r="M2078" t="s">
        <v>86</v>
      </c>
      <c r="N2078">
        <v>3</v>
      </c>
      <c r="O2078" s="1">
        <v>44217.571909722225</v>
      </c>
      <c r="P2078" s="1">
        <v>44217.596979166665</v>
      </c>
      <c r="Q2078">
        <v>2039</v>
      </c>
      <c r="R2078">
        <v>127</v>
      </c>
      <c r="S2078" t="b">
        <v>0</v>
      </c>
      <c r="T2078" t="s">
        <v>87</v>
      </c>
      <c r="U2078" t="b">
        <v>0</v>
      </c>
      <c r="V2078" t="s">
        <v>160</v>
      </c>
      <c r="W2078" s="1">
        <v>44217.572777777779</v>
      </c>
      <c r="X2078">
        <v>73</v>
      </c>
      <c r="Y2078">
        <v>0</v>
      </c>
      <c r="Z2078">
        <v>0</v>
      </c>
      <c r="AA2078">
        <v>0</v>
      </c>
      <c r="AB2078">
        <v>52</v>
      </c>
      <c r="AC2078">
        <v>0</v>
      </c>
      <c r="AD2078">
        <v>66</v>
      </c>
      <c r="AE2078">
        <v>0</v>
      </c>
      <c r="AF2078">
        <v>0</v>
      </c>
      <c r="AG2078">
        <v>0</v>
      </c>
      <c r="AH2078" t="s">
        <v>132</v>
      </c>
      <c r="AI2078" s="1">
        <v>44217.575439814813</v>
      </c>
      <c r="AJ2078">
        <v>49</v>
      </c>
      <c r="AK2078">
        <v>0</v>
      </c>
      <c r="AL2078">
        <v>0</v>
      </c>
      <c r="AM2078">
        <v>0</v>
      </c>
      <c r="AN2078">
        <v>52</v>
      </c>
      <c r="AO2078">
        <v>0</v>
      </c>
      <c r="AP2078">
        <v>66</v>
      </c>
      <c r="AQ2078">
        <v>0</v>
      </c>
      <c r="AR2078">
        <v>0</v>
      </c>
      <c r="AS2078">
        <v>0</v>
      </c>
      <c r="AT2078" t="s">
        <v>549</v>
      </c>
      <c r="AU2078" s="1">
        <v>44217.596979166665</v>
      </c>
      <c r="AV2078">
        <v>5</v>
      </c>
      <c r="AW2078">
        <v>0</v>
      </c>
      <c r="AX2078">
        <v>0</v>
      </c>
      <c r="AY2078">
        <v>0</v>
      </c>
      <c r="AZ2078">
        <v>52</v>
      </c>
      <c r="BA2078">
        <v>0</v>
      </c>
      <c r="BB2078">
        <v>66</v>
      </c>
      <c r="BC2078">
        <v>0</v>
      </c>
      <c r="BD2078">
        <v>0</v>
      </c>
      <c r="BE2078">
        <v>0</v>
      </c>
    </row>
    <row r="2079" spans="1:57" x14ac:dyDescent="0.45">
      <c r="A2079" t="s">
        <v>5057</v>
      </c>
      <c r="B2079" t="s">
        <v>79</v>
      </c>
      <c r="C2079" t="s">
        <v>5058</v>
      </c>
      <c r="D2079" t="s">
        <v>81</v>
      </c>
      <c r="E2079" s="2" t="str">
        <f>HYPERLINK("capsilon://?command=openfolder&amp;siteaddress=FAM.docvelocity-na8.net&amp;folderid=FX7324B021-AAB2-B5B8-BEFE-4CC3182D4C7B","FX21017803")</f>
        <v>FX21017803</v>
      </c>
      <c r="F2079" t="s">
        <v>19</v>
      </c>
      <c r="G2079" t="s">
        <v>19</v>
      </c>
      <c r="H2079" t="s">
        <v>82</v>
      </c>
      <c r="I2079" t="s">
        <v>5059</v>
      </c>
      <c r="J2079">
        <v>569</v>
      </c>
      <c r="K2079" t="s">
        <v>84</v>
      </c>
      <c r="L2079" t="s">
        <v>85</v>
      </c>
      <c r="M2079" t="s">
        <v>86</v>
      </c>
      <c r="N2079">
        <v>3</v>
      </c>
      <c r="O2079" s="1">
        <v>44217.573784722219</v>
      </c>
      <c r="P2079" s="1">
        <v>44217.683576388888</v>
      </c>
      <c r="Q2079">
        <v>4287</v>
      </c>
      <c r="R2079">
        <v>5199</v>
      </c>
      <c r="S2079" t="b">
        <v>0</v>
      </c>
      <c r="T2079" t="s">
        <v>87</v>
      </c>
      <c r="U2079" t="b">
        <v>0</v>
      </c>
      <c r="V2079" t="s">
        <v>160</v>
      </c>
      <c r="W2079" s="1">
        <v>44217.624386574076</v>
      </c>
      <c r="X2079">
        <v>4343</v>
      </c>
      <c r="Y2079">
        <v>427</v>
      </c>
      <c r="Z2079">
        <v>0</v>
      </c>
      <c r="AA2079">
        <v>427</v>
      </c>
      <c r="AB2079">
        <v>37</v>
      </c>
      <c r="AC2079">
        <v>350</v>
      </c>
      <c r="AD2079">
        <v>142</v>
      </c>
      <c r="AE2079">
        <v>0</v>
      </c>
      <c r="AF2079">
        <v>0</v>
      </c>
      <c r="AG2079">
        <v>0</v>
      </c>
      <c r="AH2079" t="s">
        <v>132</v>
      </c>
      <c r="AI2079" s="1">
        <v>44217.635729166665</v>
      </c>
      <c r="AJ2079">
        <v>536</v>
      </c>
      <c r="AK2079">
        <v>0</v>
      </c>
      <c r="AL2079">
        <v>0</v>
      </c>
      <c r="AM2079">
        <v>0</v>
      </c>
      <c r="AN2079">
        <v>37</v>
      </c>
      <c r="AO2079">
        <v>0</v>
      </c>
      <c r="AP2079">
        <v>142</v>
      </c>
      <c r="AQ2079">
        <v>0</v>
      </c>
      <c r="AR2079">
        <v>0</v>
      </c>
      <c r="AS2079">
        <v>0</v>
      </c>
      <c r="AT2079" t="s">
        <v>549</v>
      </c>
      <c r="AU2079" s="1">
        <v>44217.683576388888</v>
      </c>
      <c r="AV2079">
        <v>242</v>
      </c>
      <c r="AW2079">
        <v>0</v>
      </c>
      <c r="AX2079">
        <v>0</v>
      </c>
      <c r="AY2079">
        <v>0</v>
      </c>
      <c r="AZ2079">
        <v>37</v>
      </c>
      <c r="BA2079">
        <v>0</v>
      </c>
      <c r="BB2079">
        <v>142</v>
      </c>
      <c r="BC2079">
        <v>0</v>
      </c>
      <c r="BD2079">
        <v>0</v>
      </c>
      <c r="BE2079">
        <v>0</v>
      </c>
    </row>
    <row r="2080" spans="1:57" x14ac:dyDescent="0.45">
      <c r="A2080" t="s">
        <v>5060</v>
      </c>
      <c r="B2080" t="s">
        <v>79</v>
      </c>
      <c r="C2080" t="s">
        <v>2433</v>
      </c>
      <c r="D2080" t="s">
        <v>81</v>
      </c>
      <c r="E2080" s="2" t="str">
        <f>HYPERLINK("capsilon://?command=openfolder&amp;siteaddress=FAM.docvelocity-na8.net&amp;folderid=FX274738A2-6DBA-1468-B4C5-1AD565C45D06","FX21016489")</f>
        <v>FX21016489</v>
      </c>
      <c r="F2080" t="s">
        <v>19</v>
      </c>
      <c r="G2080" t="s">
        <v>19</v>
      </c>
      <c r="H2080" t="s">
        <v>82</v>
      </c>
      <c r="I2080" t="s">
        <v>5061</v>
      </c>
      <c r="J2080">
        <v>66</v>
      </c>
      <c r="K2080" t="s">
        <v>84</v>
      </c>
      <c r="L2080" t="s">
        <v>85</v>
      </c>
      <c r="M2080" t="s">
        <v>86</v>
      </c>
      <c r="N2080">
        <v>3</v>
      </c>
      <c r="O2080" s="1">
        <v>44217.57849537037</v>
      </c>
      <c r="P2080" s="1">
        <v>44217.688032407408</v>
      </c>
      <c r="Q2080">
        <v>7068</v>
      </c>
      <c r="R2080">
        <v>2396</v>
      </c>
      <c r="S2080" t="b">
        <v>0</v>
      </c>
      <c r="T2080" t="s">
        <v>87</v>
      </c>
      <c r="U2080" t="b">
        <v>0</v>
      </c>
      <c r="V2080" t="s">
        <v>171</v>
      </c>
      <c r="W2080" s="1">
        <v>44217.600092592591</v>
      </c>
      <c r="X2080">
        <v>1865</v>
      </c>
      <c r="Y2080">
        <v>52</v>
      </c>
      <c r="Z2080">
        <v>0</v>
      </c>
      <c r="AA2080">
        <v>52</v>
      </c>
      <c r="AB2080">
        <v>0</v>
      </c>
      <c r="AC2080">
        <v>44</v>
      </c>
      <c r="AD2080">
        <v>14</v>
      </c>
      <c r="AE2080">
        <v>0</v>
      </c>
      <c r="AF2080">
        <v>0</v>
      </c>
      <c r="AG2080">
        <v>0</v>
      </c>
      <c r="AH2080" t="s">
        <v>132</v>
      </c>
      <c r="AI2080" s="1">
        <v>44217.609884259262</v>
      </c>
      <c r="AJ2080">
        <v>151</v>
      </c>
      <c r="AK2080">
        <v>1</v>
      </c>
      <c r="AL2080">
        <v>0</v>
      </c>
      <c r="AM2080">
        <v>1</v>
      </c>
      <c r="AN2080">
        <v>0</v>
      </c>
      <c r="AO2080">
        <v>1</v>
      </c>
      <c r="AP2080">
        <v>13</v>
      </c>
      <c r="AQ2080">
        <v>0</v>
      </c>
      <c r="AR2080">
        <v>0</v>
      </c>
      <c r="AS2080">
        <v>0</v>
      </c>
      <c r="AT2080" t="s">
        <v>549</v>
      </c>
      <c r="AU2080" s="1">
        <v>44217.688032407408</v>
      </c>
      <c r="AV2080">
        <v>380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13</v>
      </c>
      <c r="BC2080">
        <v>0</v>
      </c>
      <c r="BD2080">
        <v>0</v>
      </c>
      <c r="BE2080">
        <v>0</v>
      </c>
    </row>
    <row r="2081" spans="1:57" x14ac:dyDescent="0.45">
      <c r="A2081" t="s">
        <v>5062</v>
      </c>
      <c r="B2081" t="s">
        <v>79</v>
      </c>
      <c r="C2081" t="s">
        <v>2277</v>
      </c>
      <c r="D2081" t="s">
        <v>81</v>
      </c>
      <c r="E2081" s="2" t="str">
        <f>HYPERLINK("capsilon://?command=openfolder&amp;siteaddress=FAM.docvelocity-na8.net&amp;folderid=FX75E5B3FB-B179-806A-D012-377E07D9E09F","FX21015621")</f>
        <v>FX21015621</v>
      </c>
      <c r="F2081" t="s">
        <v>19</v>
      </c>
      <c r="G2081" t="s">
        <v>19</v>
      </c>
      <c r="H2081" t="s">
        <v>82</v>
      </c>
      <c r="I2081" t="s">
        <v>5063</v>
      </c>
      <c r="J2081">
        <v>66</v>
      </c>
      <c r="K2081" t="s">
        <v>84</v>
      </c>
      <c r="L2081" t="s">
        <v>85</v>
      </c>
      <c r="M2081" t="s">
        <v>86</v>
      </c>
      <c r="N2081">
        <v>3</v>
      </c>
      <c r="O2081" s="1">
        <v>44217.578923611109</v>
      </c>
      <c r="P2081" s="1">
        <v>44217.688252314816</v>
      </c>
      <c r="Q2081">
        <v>8271</v>
      </c>
      <c r="R2081">
        <v>1175</v>
      </c>
      <c r="S2081" t="b">
        <v>0</v>
      </c>
      <c r="T2081" t="s">
        <v>87</v>
      </c>
      <c r="U2081" t="b">
        <v>0</v>
      </c>
      <c r="V2081" t="s">
        <v>142</v>
      </c>
      <c r="W2081" s="1">
        <v>44217.587384259263</v>
      </c>
      <c r="X2081">
        <v>689</v>
      </c>
      <c r="Y2081">
        <v>52</v>
      </c>
      <c r="Z2081">
        <v>0</v>
      </c>
      <c r="AA2081">
        <v>52</v>
      </c>
      <c r="AB2081">
        <v>0</v>
      </c>
      <c r="AC2081">
        <v>40</v>
      </c>
      <c r="AD2081">
        <v>14</v>
      </c>
      <c r="AE2081">
        <v>0</v>
      </c>
      <c r="AF2081">
        <v>0</v>
      </c>
      <c r="AG2081">
        <v>0</v>
      </c>
      <c r="AH2081" t="s">
        <v>267</v>
      </c>
      <c r="AI2081" s="1">
        <v>44217.614293981482</v>
      </c>
      <c r="AJ2081">
        <v>441</v>
      </c>
      <c r="AK2081">
        <v>1</v>
      </c>
      <c r="AL2081">
        <v>0</v>
      </c>
      <c r="AM2081">
        <v>1</v>
      </c>
      <c r="AN2081">
        <v>0</v>
      </c>
      <c r="AO2081">
        <v>1</v>
      </c>
      <c r="AP2081">
        <v>13</v>
      </c>
      <c r="AQ2081">
        <v>0</v>
      </c>
      <c r="AR2081">
        <v>0</v>
      </c>
      <c r="AS2081">
        <v>0</v>
      </c>
      <c r="AT2081" t="s">
        <v>549</v>
      </c>
      <c r="AU2081" s="1">
        <v>44217.688252314816</v>
      </c>
      <c r="AV2081">
        <v>17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13</v>
      </c>
      <c r="BC2081">
        <v>0</v>
      </c>
      <c r="BD2081">
        <v>0</v>
      </c>
      <c r="BE2081">
        <v>0</v>
      </c>
    </row>
    <row r="2082" spans="1:57" x14ac:dyDescent="0.45">
      <c r="A2082" t="s">
        <v>5064</v>
      </c>
      <c r="B2082" t="s">
        <v>79</v>
      </c>
      <c r="C2082" t="s">
        <v>5065</v>
      </c>
      <c r="D2082" t="s">
        <v>81</v>
      </c>
      <c r="E2082" s="2" t="str">
        <f>HYPERLINK("capsilon://?command=openfolder&amp;siteaddress=FAM.docvelocity-na8.net&amp;folderid=FXC47E0C34-EEBE-46D2-D70B-31CD6188EAC4","FX210111894")</f>
        <v>FX210111894</v>
      </c>
      <c r="F2082" t="s">
        <v>19</v>
      </c>
      <c r="G2082" t="s">
        <v>19</v>
      </c>
      <c r="H2082" t="s">
        <v>82</v>
      </c>
      <c r="I2082" t="s">
        <v>5066</v>
      </c>
      <c r="J2082">
        <v>206</v>
      </c>
      <c r="K2082" t="s">
        <v>84</v>
      </c>
      <c r="L2082" t="s">
        <v>85</v>
      </c>
      <c r="M2082" t="s">
        <v>86</v>
      </c>
      <c r="N2082">
        <v>3</v>
      </c>
      <c r="O2082" s="1">
        <v>44217.579259259262</v>
      </c>
      <c r="P2082" s="1">
        <v>44217.691944444443</v>
      </c>
      <c r="Q2082">
        <v>8419</v>
      </c>
      <c r="R2082">
        <v>1317</v>
      </c>
      <c r="S2082" t="b">
        <v>0</v>
      </c>
      <c r="T2082" t="s">
        <v>87</v>
      </c>
      <c r="U2082" t="b">
        <v>0</v>
      </c>
      <c r="V2082" t="s">
        <v>255</v>
      </c>
      <c r="W2082" s="1">
        <v>44217.590358796297</v>
      </c>
      <c r="X2082">
        <v>749</v>
      </c>
      <c r="Y2082">
        <v>155</v>
      </c>
      <c r="Z2082">
        <v>0</v>
      </c>
      <c r="AA2082">
        <v>155</v>
      </c>
      <c r="AB2082">
        <v>0</v>
      </c>
      <c r="AC2082">
        <v>86</v>
      </c>
      <c r="AD2082">
        <v>51</v>
      </c>
      <c r="AE2082">
        <v>0</v>
      </c>
      <c r="AF2082">
        <v>0</v>
      </c>
      <c r="AG2082">
        <v>0</v>
      </c>
      <c r="AH2082" t="s">
        <v>132</v>
      </c>
      <c r="AI2082" s="1">
        <v>44217.61278935185</v>
      </c>
      <c r="AJ2082">
        <v>250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51</v>
      </c>
      <c r="AQ2082">
        <v>0</v>
      </c>
      <c r="AR2082">
        <v>0</v>
      </c>
      <c r="AS2082">
        <v>0</v>
      </c>
      <c r="AT2082" t="s">
        <v>549</v>
      </c>
      <c r="AU2082" s="1">
        <v>44217.691944444443</v>
      </c>
      <c r="AV2082">
        <v>318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51</v>
      </c>
      <c r="BC2082">
        <v>0</v>
      </c>
      <c r="BD2082">
        <v>0</v>
      </c>
      <c r="BE2082">
        <v>0</v>
      </c>
    </row>
    <row r="2083" spans="1:57" x14ac:dyDescent="0.45">
      <c r="A2083" t="s">
        <v>5067</v>
      </c>
      <c r="B2083" t="s">
        <v>79</v>
      </c>
      <c r="C2083" t="s">
        <v>3404</v>
      </c>
      <c r="D2083" t="s">
        <v>81</v>
      </c>
      <c r="E2083" s="2" t="str">
        <f>HYPERLINK("capsilon://?command=openfolder&amp;siteaddress=FAM.docvelocity-na8.net&amp;folderid=FXAF4D9EA1-147F-2B01-498F-3FC326AD865B","FX201222847")</f>
        <v>FX201222847</v>
      </c>
      <c r="F2083" t="s">
        <v>19</v>
      </c>
      <c r="G2083" t="s">
        <v>19</v>
      </c>
      <c r="H2083" t="s">
        <v>82</v>
      </c>
      <c r="I2083" t="s">
        <v>5050</v>
      </c>
      <c r="J2083">
        <v>120</v>
      </c>
      <c r="K2083" t="s">
        <v>84</v>
      </c>
      <c r="L2083" t="s">
        <v>85</v>
      </c>
      <c r="M2083" t="s">
        <v>86</v>
      </c>
      <c r="N2083">
        <v>3</v>
      </c>
      <c r="O2083" s="1">
        <v>44217.580046296294</v>
      </c>
      <c r="P2083" s="1">
        <v>44217.653958333336</v>
      </c>
      <c r="Q2083">
        <v>4019</v>
      </c>
      <c r="R2083">
        <v>2367</v>
      </c>
      <c r="S2083" t="b">
        <v>0</v>
      </c>
      <c r="T2083" t="s">
        <v>87</v>
      </c>
      <c r="U2083" t="b">
        <v>1</v>
      </c>
      <c r="V2083" t="s">
        <v>142</v>
      </c>
      <c r="W2083" s="1">
        <v>44217.597256944442</v>
      </c>
      <c r="X2083">
        <v>555</v>
      </c>
      <c r="Y2083">
        <v>113</v>
      </c>
      <c r="Z2083">
        <v>0</v>
      </c>
      <c r="AA2083">
        <v>113</v>
      </c>
      <c r="AB2083">
        <v>0</v>
      </c>
      <c r="AC2083">
        <v>30</v>
      </c>
      <c r="AD2083">
        <v>7</v>
      </c>
      <c r="AE2083">
        <v>0</v>
      </c>
      <c r="AF2083">
        <v>0</v>
      </c>
      <c r="AG2083">
        <v>0</v>
      </c>
      <c r="AH2083" t="s">
        <v>267</v>
      </c>
      <c r="AI2083" s="1">
        <v>44217.609178240738</v>
      </c>
      <c r="AJ2083">
        <v>883</v>
      </c>
      <c r="AK2083">
        <v>4</v>
      </c>
      <c r="AL2083">
        <v>0</v>
      </c>
      <c r="AM2083">
        <v>4</v>
      </c>
      <c r="AN2083">
        <v>0</v>
      </c>
      <c r="AO2083">
        <v>4</v>
      </c>
      <c r="AP2083">
        <v>3</v>
      </c>
      <c r="AQ2083">
        <v>0</v>
      </c>
      <c r="AR2083">
        <v>0</v>
      </c>
      <c r="AS2083">
        <v>0</v>
      </c>
      <c r="AT2083" t="s">
        <v>549</v>
      </c>
      <c r="AU2083" s="1">
        <v>44217.653958333336</v>
      </c>
      <c r="AV2083">
        <v>113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3</v>
      </c>
      <c r="BC2083">
        <v>0</v>
      </c>
      <c r="BD2083">
        <v>0</v>
      </c>
      <c r="BE2083">
        <v>0</v>
      </c>
    </row>
    <row r="2084" spans="1:57" x14ac:dyDescent="0.45">
      <c r="A2084" t="s">
        <v>5068</v>
      </c>
      <c r="B2084" t="s">
        <v>79</v>
      </c>
      <c r="C2084" t="s">
        <v>5069</v>
      </c>
      <c r="D2084" t="s">
        <v>81</v>
      </c>
      <c r="E2084" s="2" t="str">
        <f>HYPERLINK("capsilon://?command=openfolder&amp;siteaddress=FAM.docvelocity-na8.net&amp;folderid=FX729F9483-8652-AD29-3A14-0DC39F98B5C9","FX210113485")</f>
        <v>FX210113485</v>
      </c>
      <c r="F2084" t="s">
        <v>19</v>
      </c>
      <c r="G2084" t="s">
        <v>19</v>
      </c>
      <c r="H2084" t="s">
        <v>82</v>
      </c>
      <c r="I2084" t="s">
        <v>5070</v>
      </c>
      <c r="J2084">
        <v>333</v>
      </c>
      <c r="K2084" t="s">
        <v>84</v>
      </c>
      <c r="L2084" t="s">
        <v>85</v>
      </c>
      <c r="M2084" t="s">
        <v>86</v>
      </c>
      <c r="N2084">
        <v>3</v>
      </c>
      <c r="O2084" s="1">
        <v>44217.582546296297</v>
      </c>
      <c r="P2084" s="1">
        <v>44218.349363425928</v>
      </c>
      <c r="Q2084">
        <v>62838</v>
      </c>
      <c r="R2084">
        <v>3415</v>
      </c>
      <c r="S2084" t="b">
        <v>0</v>
      </c>
      <c r="T2084" t="s">
        <v>87</v>
      </c>
      <c r="U2084" t="b">
        <v>0</v>
      </c>
      <c r="V2084" t="s">
        <v>343</v>
      </c>
      <c r="W2084" s="1">
        <v>44217.613009259258</v>
      </c>
      <c r="X2084">
        <v>2510</v>
      </c>
      <c r="Y2084">
        <v>306</v>
      </c>
      <c r="Z2084">
        <v>0</v>
      </c>
      <c r="AA2084">
        <v>306</v>
      </c>
      <c r="AB2084">
        <v>0</v>
      </c>
      <c r="AC2084">
        <v>62</v>
      </c>
      <c r="AD2084">
        <v>27</v>
      </c>
      <c r="AE2084">
        <v>0</v>
      </c>
      <c r="AF2084">
        <v>0</v>
      </c>
      <c r="AG2084">
        <v>0</v>
      </c>
      <c r="AH2084" t="s">
        <v>267</v>
      </c>
      <c r="AI2084" s="1">
        <v>44217.622812499998</v>
      </c>
      <c r="AJ2084">
        <v>735</v>
      </c>
      <c r="AK2084">
        <v>2</v>
      </c>
      <c r="AL2084">
        <v>0</v>
      </c>
      <c r="AM2084">
        <v>2</v>
      </c>
      <c r="AN2084">
        <v>0</v>
      </c>
      <c r="AO2084">
        <v>2</v>
      </c>
      <c r="AP2084">
        <v>25</v>
      </c>
      <c r="AQ2084">
        <v>0</v>
      </c>
      <c r="AR2084">
        <v>0</v>
      </c>
      <c r="AS2084">
        <v>0</v>
      </c>
      <c r="AT2084" t="s">
        <v>90</v>
      </c>
      <c r="AU2084" s="1">
        <v>44218.349363425928</v>
      </c>
      <c r="AV2084">
        <v>29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25</v>
      </c>
      <c r="BC2084">
        <v>0</v>
      </c>
      <c r="BD2084">
        <v>0</v>
      </c>
      <c r="BE2084">
        <v>0</v>
      </c>
    </row>
    <row r="2085" spans="1:57" x14ac:dyDescent="0.45">
      <c r="A2085" t="s">
        <v>5071</v>
      </c>
      <c r="B2085" t="s">
        <v>79</v>
      </c>
      <c r="C2085" t="s">
        <v>5072</v>
      </c>
      <c r="D2085" t="s">
        <v>81</v>
      </c>
      <c r="E2085" s="2" t="str">
        <f>HYPERLINK("capsilon://?command=openfolder&amp;siteaddress=FAM.docvelocity-na8.net&amp;folderid=FX33C931AE-8B4A-D84E-85CB-E6CBFECEE05F","FX210111134")</f>
        <v>FX210111134</v>
      </c>
      <c r="F2085" t="s">
        <v>19</v>
      </c>
      <c r="G2085" t="s">
        <v>19</v>
      </c>
      <c r="H2085" t="s">
        <v>82</v>
      </c>
      <c r="I2085" t="s">
        <v>5073</v>
      </c>
      <c r="J2085">
        <v>130</v>
      </c>
      <c r="K2085" t="s">
        <v>84</v>
      </c>
      <c r="L2085" t="s">
        <v>85</v>
      </c>
      <c r="M2085" t="s">
        <v>86</v>
      </c>
      <c r="N2085">
        <v>3</v>
      </c>
      <c r="O2085" s="1">
        <v>44217.583483796298</v>
      </c>
      <c r="P2085" s="1">
        <v>44218.359178240738</v>
      </c>
      <c r="Q2085">
        <v>65505</v>
      </c>
      <c r="R2085">
        <v>1515</v>
      </c>
      <c r="S2085" t="b">
        <v>0</v>
      </c>
      <c r="T2085" t="s">
        <v>87</v>
      </c>
      <c r="U2085" t="b">
        <v>0</v>
      </c>
      <c r="V2085" t="s">
        <v>242</v>
      </c>
      <c r="W2085" s="1">
        <v>44217.59480324074</v>
      </c>
      <c r="X2085">
        <v>805</v>
      </c>
      <c r="Y2085">
        <v>115</v>
      </c>
      <c r="Z2085">
        <v>0</v>
      </c>
      <c r="AA2085">
        <v>115</v>
      </c>
      <c r="AB2085">
        <v>0</v>
      </c>
      <c r="AC2085">
        <v>43</v>
      </c>
      <c r="AD2085">
        <v>15</v>
      </c>
      <c r="AE2085">
        <v>0</v>
      </c>
      <c r="AF2085">
        <v>0</v>
      </c>
      <c r="AG2085">
        <v>0</v>
      </c>
      <c r="AH2085" t="s">
        <v>132</v>
      </c>
      <c r="AI2085" s="1">
        <v>44217.614733796298</v>
      </c>
      <c r="AJ2085">
        <v>167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15</v>
      </c>
      <c r="AQ2085">
        <v>0</v>
      </c>
      <c r="AR2085">
        <v>0</v>
      </c>
      <c r="AS2085">
        <v>0</v>
      </c>
      <c r="AT2085" t="s">
        <v>90</v>
      </c>
      <c r="AU2085" s="1">
        <v>44218.359178240738</v>
      </c>
      <c r="AV2085">
        <v>57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15</v>
      </c>
      <c r="BC2085">
        <v>0</v>
      </c>
      <c r="BD2085">
        <v>0</v>
      </c>
      <c r="BE2085">
        <v>0</v>
      </c>
    </row>
    <row r="2086" spans="1:57" hidden="1" x14ac:dyDescent="0.45">
      <c r="A2086" t="s">
        <v>5074</v>
      </c>
      <c r="B2086" t="s">
        <v>79</v>
      </c>
      <c r="C2086" t="s">
        <v>3818</v>
      </c>
      <c r="D2086" t="s">
        <v>81</v>
      </c>
      <c r="E2086" s="2" t="str">
        <f>HYPERLINK("capsilon://?command=openfolder&amp;siteaddress=FAM.docvelocity-na8.net&amp;folderid=FX9B9BF4AD-6D7A-9E57-624C-798B6222C92B","FX20125969")</f>
        <v>FX20125969</v>
      </c>
      <c r="F2086" t="s">
        <v>19</v>
      </c>
      <c r="G2086" t="s">
        <v>19</v>
      </c>
      <c r="H2086" t="s">
        <v>82</v>
      </c>
      <c r="I2086" t="s">
        <v>5075</v>
      </c>
      <c r="J2086">
        <v>26</v>
      </c>
      <c r="K2086" t="s">
        <v>84</v>
      </c>
      <c r="L2086" t="s">
        <v>85</v>
      </c>
      <c r="M2086" t="s">
        <v>86</v>
      </c>
      <c r="N2086">
        <v>1</v>
      </c>
      <c r="O2086" s="1">
        <v>44217.586284722223</v>
      </c>
      <c r="P2086" s="1">
        <v>44217.588078703702</v>
      </c>
      <c r="Q2086">
        <v>96</v>
      </c>
      <c r="R2086">
        <v>59</v>
      </c>
      <c r="S2086" t="b">
        <v>0</v>
      </c>
      <c r="T2086" t="s">
        <v>87</v>
      </c>
      <c r="U2086" t="b">
        <v>0</v>
      </c>
      <c r="V2086" t="s">
        <v>142</v>
      </c>
      <c r="W2086" s="1">
        <v>44217.588078703702</v>
      </c>
      <c r="X2086">
        <v>59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26</v>
      </c>
      <c r="AE2086">
        <v>21</v>
      </c>
      <c r="AF2086">
        <v>0</v>
      </c>
      <c r="AG2086">
        <v>1</v>
      </c>
      <c r="AH2086" t="s">
        <v>87</v>
      </c>
      <c r="AI2086" t="s">
        <v>87</v>
      </c>
      <c r="AJ2086" t="s">
        <v>87</v>
      </c>
      <c r="AK2086" t="s">
        <v>87</v>
      </c>
      <c r="AL2086" t="s">
        <v>87</v>
      </c>
      <c r="AM2086" t="s">
        <v>87</v>
      </c>
      <c r="AN2086" t="s">
        <v>87</v>
      </c>
      <c r="AO2086" t="s">
        <v>87</v>
      </c>
      <c r="AP2086" t="s">
        <v>87</v>
      </c>
      <c r="AQ2086" t="s">
        <v>87</v>
      </c>
      <c r="AR2086" t="s">
        <v>87</v>
      </c>
      <c r="AS2086" t="s">
        <v>87</v>
      </c>
      <c r="AT2086" t="s">
        <v>87</v>
      </c>
      <c r="AU2086" t="s">
        <v>87</v>
      </c>
      <c r="AV2086" t="s">
        <v>87</v>
      </c>
      <c r="AW2086" t="s">
        <v>87</v>
      </c>
      <c r="AX2086" t="s">
        <v>87</v>
      </c>
      <c r="AY2086" t="s">
        <v>87</v>
      </c>
      <c r="AZ2086" t="s">
        <v>87</v>
      </c>
      <c r="BA2086" t="s">
        <v>87</v>
      </c>
      <c r="BB2086" t="s">
        <v>87</v>
      </c>
      <c r="BC2086" t="s">
        <v>87</v>
      </c>
      <c r="BD2086" t="s">
        <v>87</v>
      </c>
      <c r="BE2086" t="s">
        <v>87</v>
      </c>
    </row>
    <row r="2087" spans="1:57" x14ac:dyDescent="0.45">
      <c r="A2087" t="s">
        <v>5076</v>
      </c>
      <c r="B2087" t="s">
        <v>79</v>
      </c>
      <c r="C2087" t="s">
        <v>5077</v>
      </c>
      <c r="D2087" t="s">
        <v>81</v>
      </c>
      <c r="E2087" s="2" t="str">
        <f>HYPERLINK("capsilon://?command=openfolder&amp;siteaddress=FAM.docvelocity-na8.net&amp;folderid=FX2B15BBB9-4F1F-497C-6262-5F276803ACB2","FX210112568")</f>
        <v>FX210112568</v>
      </c>
      <c r="F2087" t="s">
        <v>19</v>
      </c>
      <c r="G2087" t="s">
        <v>19</v>
      </c>
      <c r="H2087" t="s">
        <v>82</v>
      </c>
      <c r="I2087" t="s">
        <v>5078</v>
      </c>
      <c r="J2087">
        <v>292</v>
      </c>
      <c r="K2087" t="s">
        <v>84</v>
      </c>
      <c r="L2087" t="s">
        <v>85</v>
      </c>
      <c r="M2087" t="s">
        <v>86</v>
      </c>
      <c r="N2087">
        <v>3</v>
      </c>
      <c r="O2087" s="1">
        <v>44217.586481481485</v>
      </c>
      <c r="P2087" s="1">
        <v>44218.360636574071</v>
      </c>
      <c r="Q2087">
        <v>63307</v>
      </c>
      <c r="R2087">
        <v>3580</v>
      </c>
      <c r="S2087" t="b">
        <v>0</v>
      </c>
      <c r="T2087" t="s">
        <v>87</v>
      </c>
      <c r="U2087" t="b">
        <v>0</v>
      </c>
      <c r="V2087" t="s">
        <v>259</v>
      </c>
      <c r="W2087" s="1">
        <v>44217.620659722219</v>
      </c>
      <c r="X2087">
        <v>2836</v>
      </c>
      <c r="Y2087">
        <v>221</v>
      </c>
      <c r="Z2087">
        <v>0</v>
      </c>
      <c r="AA2087">
        <v>221</v>
      </c>
      <c r="AB2087">
        <v>0</v>
      </c>
      <c r="AC2087">
        <v>126</v>
      </c>
      <c r="AD2087">
        <v>71</v>
      </c>
      <c r="AE2087">
        <v>0</v>
      </c>
      <c r="AF2087">
        <v>0</v>
      </c>
      <c r="AG2087">
        <v>0</v>
      </c>
      <c r="AH2087" t="s">
        <v>132</v>
      </c>
      <c r="AI2087" s="1">
        <v>44217.629108796296</v>
      </c>
      <c r="AJ2087">
        <v>618</v>
      </c>
      <c r="AK2087">
        <v>7</v>
      </c>
      <c r="AL2087">
        <v>0</v>
      </c>
      <c r="AM2087">
        <v>7</v>
      </c>
      <c r="AN2087">
        <v>0</v>
      </c>
      <c r="AO2087">
        <v>6</v>
      </c>
      <c r="AP2087">
        <v>64</v>
      </c>
      <c r="AQ2087">
        <v>0</v>
      </c>
      <c r="AR2087">
        <v>0</v>
      </c>
      <c r="AS2087">
        <v>0</v>
      </c>
      <c r="AT2087" t="s">
        <v>90</v>
      </c>
      <c r="AU2087" s="1">
        <v>44218.360636574071</v>
      </c>
      <c r="AV2087">
        <v>126</v>
      </c>
      <c r="AW2087">
        <v>1</v>
      </c>
      <c r="AX2087">
        <v>0</v>
      </c>
      <c r="AY2087">
        <v>1</v>
      </c>
      <c r="AZ2087">
        <v>0</v>
      </c>
      <c r="BA2087">
        <v>1</v>
      </c>
      <c r="BB2087">
        <v>63</v>
      </c>
      <c r="BC2087">
        <v>0</v>
      </c>
      <c r="BD2087">
        <v>0</v>
      </c>
      <c r="BE2087">
        <v>0</v>
      </c>
    </row>
    <row r="2088" spans="1:57" x14ac:dyDescent="0.45">
      <c r="A2088" t="s">
        <v>5079</v>
      </c>
      <c r="B2088" t="s">
        <v>79</v>
      </c>
      <c r="C2088" t="s">
        <v>3818</v>
      </c>
      <c r="D2088" t="s">
        <v>81</v>
      </c>
      <c r="E2088" s="2" t="str">
        <f>HYPERLINK("capsilon://?command=openfolder&amp;siteaddress=FAM.docvelocity-na8.net&amp;folderid=FX9B9BF4AD-6D7A-9E57-624C-798B6222C92B","FX20125969")</f>
        <v>FX20125969</v>
      </c>
      <c r="F2088" t="s">
        <v>19</v>
      </c>
      <c r="G2088" t="s">
        <v>19</v>
      </c>
      <c r="H2088" t="s">
        <v>82</v>
      </c>
      <c r="I2088" t="s">
        <v>5075</v>
      </c>
      <c r="J2088">
        <v>26</v>
      </c>
      <c r="K2088" t="s">
        <v>84</v>
      </c>
      <c r="L2088" t="s">
        <v>85</v>
      </c>
      <c r="M2088" t="s">
        <v>86</v>
      </c>
      <c r="N2088">
        <v>3</v>
      </c>
      <c r="O2088" s="1">
        <v>44217.588379629633</v>
      </c>
      <c r="P2088" s="1">
        <v>44217.654548611114</v>
      </c>
      <c r="Q2088">
        <v>5413</v>
      </c>
      <c r="R2088">
        <v>304</v>
      </c>
      <c r="S2088" t="b">
        <v>0</v>
      </c>
      <c r="T2088" t="s">
        <v>87</v>
      </c>
      <c r="U2088" t="b">
        <v>1</v>
      </c>
      <c r="V2088" t="s">
        <v>142</v>
      </c>
      <c r="W2088" s="1">
        <v>44217.590717592589</v>
      </c>
      <c r="X2088">
        <v>200</v>
      </c>
      <c r="Y2088">
        <v>21</v>
      </c>
      <c r="Z2088">
        <v>0</v>
      </c>
      <c r="AA2088">
        <v>21</v>
      </c>
      <c r="AB2088">
        <v>0</v>
      </c>
      <c r="AC2088">
        <v>5</v>
      </c>
      <c r="AD2088">
        <v>5</v>
      </c>
      <c r="AE2088">
        <v>0</v>
      </c>
      <c r="AF2088">
        <v>0</v>
      </c>
      <c r="AG2088">
        <v>0</v>
      </c>
      <c r="AH2088" t="s">
        <v>132</v>
      </c>
      <c r="AI2088" s="1">
        <v>44217.605000000003</v>
      </c>
      <c r="AJ2088">
        <v>53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5</v>
      </c>
      <c r="AQ2088">
        <v>0</v>
      </c>
      <c r="AR2088">
        <v>0</v>
      </c>
      <c r="AS2088">
        <v>0</v>
      </c>
      <c r="AT2088" t="s">
        <v>549</v>
      </c>
      <c r="AU2088" s="1">
        <v>44217.654548611114</v>
      </c>
      <c r="AV2088">
        <v>51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5</v>
      </c>
      <c r="BC2088">
        <v>0</v>
      </c>
      <c r="BD2088">
        <v>0</v>
      </c>
      <c r="BE2088">
        <v>0</v>
      </c>
    </row>
    <row r="2089" spans="1:57" x14ac:dyDescent="0.45">
      <c r="A2089" t="s">
        <v>5080</v>
      </c>
      <c r="B2089" t="s">
        <v>79</v>
      </c>
      <c r="C2089" t="s">
        <v>1631</v>
      </c>
      <c r="D2089" t="s">
        <v>81</v>
      </c>
      <c r="E2089" s="2" t="str">
        <f>HYPERLINK("capsilon://?command=openfolder&amp;siteaddress=FAM.docvelocity-na8.net&amp;folderid=FX7ADA080F-954E-0547-72AB-0286AF906F3F","FX21014120")</f>
        <v>FX21014120</v>
      </c>
      <c r="F2089" t="s">
        <v>19</v>
      </c>
      <c r="G2089" t="s">
        <v>19</v>
      </c>
      <c r="H2089" t="s">
        <v>82</v>
      </c>
      <c r="I2089" t="s">
        <v>5039</v>
      </c>
      <c r="J2089">
        <v>2106</v>
      </c>
      <c r="K2089" t="s">
        <v>84</v>
      </c>
      <c r="L2089" t="s">
        <v>85</v>
      </c>
      <c r="M2089" t="s">
        <v>86</v>
      </c>
      <c r="N2089">
        <v>3</v>
      </c>
      <c r="O2089" s="1">
        <v>44217.592407407406</v>
      </c>
      <c r="P2089" s="1">
        <v>44217.674421296295</v>
      </c>
      <c r="Q2089">
        <v>1492</v>
      </c>
      <c r="R2089">
        <v>5594</v>
      </c>
      <c r="S2089" t="b">
        <v>0</v>
      </c>
      <c r="T2089" t="s">
        <v>87</v>
      </c>
      <c r="U2089" t="b">
        <v>1</v>
      </c>
      <c r="V2089" t="s">
        <v>146</v>
      </c>
      <c r="W2089" s="1">
        <v>44217.632696759261</v>
      </c>
      <c r="X2089">
        <v>3104</v>
      </c>
      <c r="Y2089">
        <v>187</v>
      </c>
      <c r="Z2089">
        <v>0</v>
      </c>
      <c r="AA2089">
        <v>187</v>
      </c>
      <c r="AB2089">
        <v>1772</v>
      </c>
      <c r="AC2089">
        <v>104</v>
      </c>
      <c r="AD2089">
        <v>1919</v>
      </c>
      <c r="AE2089">
        <v>0</v>
      </c>
      <c r="AF2089">
        <v>0</v>
      </c>
      <c r="AG2089">
        <v>0</v>
      </c>
      <c r="AH2089" t="s">
        <v>94</v>
      </c>
      <c r="AI2089" s="1">
        <v>44217.641111111108</v>
      </c>
      <c r="AJ2089">
        <v>650</v>
      </c>
      <c r="AK2089">
        <v>0</v>
      </c>
      <c r="AL2089">
        <v>0</v>
      </c>
      <c r="AM2089">
        <v>0</v>
      </c>
      <c r="AN2089">
        <v>1772</v>
      </c>
      <c r="AO2089">
        <v>0</v>
      </c>
      <c r="AP2089">
        <v>1919</v>
      </c>
      <c r="AQ2089">
        <v>0</v>
      </c>
      <c r="AR2089">
        <v>0</v>
      </c>
      <c r="AS2089">
        <v>0</v>
      </c>
      <c r="AT2089" t="s">
        <v>549</v>
      </c>
      <c r="AU2089" s="1">
        <v>44217.674421296295</v>
      </c>
      <c r="AV2089">
        <v>1717</v>
      </c>
      <c r="AW2089">
        <v>0</v>
      </c>
      <c r="AX2089">
        <v>0</v>
      </c>
      <c r="AY2089">
        <v>0</v>
      </c>
      <c r="AZ2089">
        <v>1805</v>
      </c>
      <c r="BA2089">
        <v>0</v>
      </c>
      <c r="BB2089">
        <v>1919</v>
      </c>
      <c r="BC2089">
        <v>0</v>
      </c>
      <c r="BD2089">
        <v>0</v>
      </c>
      <c r="BE2089">
        <v>0</v>
      </c>
    </row>
    <row r="2090" spans="1:57" x14ac:dyDescent="0.45">
      <c r="A2090" t="s">
        <v>5081</v>
      </c>
      <c r="B2090" t="s">
        <v>79</v>
      </c>
      <c r="C2090" t="s">
        <v>5082</v>
      </c>
      <c r="D2090" t="s">
        <v>81</v>
      </c>
      <c r="E2090" s="2" t="str">
        <f>HYPERLINK("capsilon://?command=openfolder&amp;siteaddress=FAM.docvelocity-na8.net&amp;folderid=FX50C0849F-1B48-34DC-886B-8C77D22C9F13","FX201111151")</f>
        <v>FX201111151</v>
      </c>
      <c r="F2090" t="s">
        <v>19</v>
      </c>
      <c r="G2090" t="s">
        <v>19</v>
      </c>
      <c r="H2090" t="s">
        <v>82</v>
      </c>
      <c r="I2090" t="s">
        <v>5083</v>
      </c>
      <c r="J2090">
        <v>66</v>
      </c>
      <c r="K2090" t="s">
        <v>84</v>
      </c>
      <c r="L2090" t="s">
        <v>85</v>
      </c>
      <c r="M2090" t="s">
        <v>86</v>
      </c>
      <c r="N2090">
        <v>3</v>
      </c>
      <c r="O2090" s="1">
        <v>44217.593148148146</v>
      </c>
      <c r="P2090" s="1">
        <v>44218.360729166663</v>
      </c>
      <c r="Q2090">
        <v>65748</v>
      </c>
      <c r="R2090">
        <v>571</v>
      </c>
      <c r="S2090" t="b">
        <v>0</v>
      </c>
      <c r="T2090" t="s">
        <v>87</v>
      </c>
      <c r="U2090" t="b">
        <v>0</v>
      </c>
      <c r="V2090" t="s">
        <v>255</v>
      </c>
      <c r="W2090" s="1">
        <v>44217.59888888889</v>
      </c>
      <c r="X2090">
        <v>473</v>
      </c>
      <c r="Y2090">
        <v>52</v>
      </c>
      <c r="Z2090">
        <v>0</v>
      </c>
      <c r="AA2090">
        <v>52</v>
      </c>
      <c r="AB2090">
        <v>0</v>
      </c>
      <c r="AC2090">
        <v>35</v>
      </c>
      <c r="AD2090">
        <v>14</v>
      </c>
      <c r="AE2090">
        <v>0</v>
      </c>
      <c r="AF2090">
        <v>0</v>
      </c>
      <c r="AG2090">
        <v>0</v>
      </c>
      <c r="AH2090" t="s">
        <v>132</v>
      </c>
      <c r="AI2090" s="1">
        <v>44217.615798611114</v>
      </c>
      <c r="AJ2090">
        <v>92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14</v>
      </c>
      <c r="AQ2090">
        <v>0</v>
      </c>
      <c r="AR2090">
        <v>0</v>
      </c>
      <c r="AS2090">
        <v>0</v>
      </c>
      <c r="AT2090" t="s">
        <v>90</v>
      </c>
      <c r="AU2090" s="1">
        <v>44218.360729166663</v>
      </c>
      <c r="AV2090">
        <v>6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14</v>
      </c>
      <c r="BC2090">
        <v>0</v>
      </c>
      <c r="BD2090">
        <v>0</v>
      </c>
      <c r="BE2090">
        <v>0</v>
      </c>
    </row>
    <row r="2091" spans="1:57" x14ac:dyDescent="0.45">
      <c r="A2091" t="s">
        <v>5084</v>
      </c>
      <c r="B2091" t="s">
        <v>79</v>
      </c>
      <c r="C2091" t="s">
        <v>5085</v>
      </c>
      <c r="D2091" t="s">
        <v>81</v>
      </c>
      <c r="E2091" s="2" t="str">
        <f>HYPERLINK("capsilon://?command=openfolder&amp;siteaddress=FAM.docvelocity-na8.net&amp;folderid=FXE08F389A-C33A-A1C3-9254-9FAE49A3A303","FX210111765")</f>
        <v>FX210111765</v>
      </c>
      <c r="F2091" t="s">
        <v>19</v>
      </c>
      <c r="G2091" t="s">
        <v>19</v>
      </c>
      <c r="H2091" t="s">
        <v>82</v>
      </c>
      <c r="I2091" t="s">
        <v>5086</v>
      </c>
      <c r="J2091">
        <v>94</v>
      </c>
      <c r="K2091" t="s">
        <v>84</v>
      </c>
      <c r="L2091" t="s">
        <v>85</v>
      </c>
      <c r="M2091" t="s">
        <v>86</v>
      </c>
      <c r="N2091">
        <v>3</v>
      </c>
      <c r="O2091" s="1">
        <v>44217.596446759257</v>
      </c>
      <c r="P2091" s="1">
        <v>44218.366053240738</v>
      </c>
      <c r="Q2091">
        <v>65127</v>
      </c>
      <c r="R2091">
        <v>1367</v>
      </c>
      <c r="S2091" t="b">
        <v>0</v>
      </c>
      <c r="T2091" t="s">
        <v>87</v>
      </c>
      <c r="U2091" t="b">
        <v>0</v>
      </c>
      <c r="V2091" t="s">
        <v>242</v>
      </c>
      <c r="W2091" s="1">
        <v>44217.60565972222</v>
      </c>
      <c r="X2091">
        <v>737</v>
      </c>
      <c r="Y2091">
        <v>106</v>
      </c>
      <c r="Z2091">
        <v>0</v>
      </c>
      <c r="AA2091">
        <v>106</v>
      </c>
      <c r="AB2091">
        <v>0</v>
      </c>
      <c r="AC2091">
        <v>57</v>
      </c>
      <c r="AD2091">
        <v>-12</v>
      </c>
      <c r="AE2091">
        <v>0</v>
      </c>
      <c r="AF2091">
        <v>0</v>
      </c>
      <c r="AG2091">
        <v>0</v>
      </c>
      <c r="AH2091" t="s">
        <v>132</v>
      </c>
      <c r="AI2091" s="1">
        <v>44217.617777777778</v>
      </c>
      <c r="AJ2091">
        <v>170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-12</v>
      </c>
      <c r="AQ2091">
        <v>0</v>
      </c>
      <c r="AR2091">
        <v>0</v>
      </c>
      <c r="AS2091">
        <v>0</v>
      </c>
      <c r="AT2091" t="s">
        <v>90</v>
      </c>
      <c r="AU2091" s="1">
        <v>44218.366053240738</v>
      </c>
      <c r="AV2091">
        <v>460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-12</v>
      </c>
      <c r="BC2091">
        <v>0</v>
      </c>
      <c r="BD2091">
        <v>0</v>
      </c>
      <c r="BE2091">
        <v>0</v>
      </c>
    </row>
    <row r="2092" spans="1:57" hidden="1" x14ac:dyDescent="0.45">
      <c r="A2092" t="s">
        <v>5087</v>
      </c>
      <c r="B2092" t="s">
        <v>79</v>
      </c>
      <c r="C2092" t="s">
        <v>5088</v>
      </c>
      <c r="D2092" t="s">
        <v>81</v>
      </c>
      <c r="E2092" s="2" t="str">
        <f>HYPERLINK("capsilon://?command=openfolder&amp;siteaddress=FAM.docvelocity-na8.net&amp;folderid=FX355AD000-06B8-D82E-2E1C-15A167E6C67D","FX20113014")</f>
        <v>FX20113014</v>
      </c>
      <c r="F2092" t="s">
        <v>19</v>
      </c>
      <c r="G2092" t="s">
        <v>19</v>
      </c>
      <c r="H2092" t="s">
        <v>82</v>
      </c>
      <c r="I2092" t="s">
        <v>5089</v>
      </c>
      <c r="J2092">
        <v>66</v>
      </c>
      <c r="K2092" t="s">
        <v>84</v>
      </c>
      <c r="L2092" t="s">
        <v>85</v>
      </c>
      <c r="M2092" t="s">
        <v>86</v>
      </c>
      <c r="N2092">
        <v>3</v>
      </c>
      <c r="O2092" s="1">
        <v>44201.469444444447</v>
      </c>
      <c r="P2092" s="1">
        <v>44201.56050925926</v>
      </c>
      <c r="Q2092">
        <v>7545</v>
      </c>
      <c r="R2092">
        <v>323</v>
      </c>
      <c r="S2092" t="b">
        <v>0</v>
      </c>
      <c r="T2092" t="s">
        <v>87</v>
      </c>
      <c r="U2092" t="b">
        <v>0</v>
      </c>
      <c r="V2092" t="s">
        <v>419</v>
      </c>
      <c r="W2092" s="1">
        <v>44201.492523148147</v>
      </c>
      <c r="X2092">
        <v>282</v>
      </c>
      <c r="Y2092">
        <v>0</v>
      </c>
      <c r="Z2092">
        <v>0</v>
      </c>
      <c r="AA2092">
        <v>0</v>
      </c>
      <c r="AB2092">
        <v>52</v>
      </c>
      <c r="AC2092">
        <v>0</v>
      </c>
      <c r="AD2092">
        <v>66</v>
      </c>
      <c r="AE2092">
        <v>0</v>
      </c>
      <c r="AF2092">
        <v>0</v>
      </c>
      <c r="AG2092">
        <v>0</v>
      </c>
      <c r="AH2092" t="s">
        <v>267</v>
      </c>
      <c r="AI2092" s="1">
        <v>44201.552361111113</v>
      </c>
      <c r="AJ2092">
        <v>21</v>
      </c>
      <c r="AK2092">
        <v>0</v>
      </c>
      <c r="AL2092">
        <v>0</v>
      </c>
      <c r="AM2092">
        <v>0</v>
      </c>
      <c r="AN2092">
        <v>52</v>
      </c>
      <c r="AO2092">
        <v>0</v>
      </c>
      <c r="AP2092">
        <v>66</v>
      </c>
      <c r="AQ2092">
        <v>0</v>
      </c>
      <c r="AR2092">
        <v>0</v>
      </c>
      <c r="AS2092">
        <v>0</v>
      </c>
      <c r="AT2092" t="s">
        <v>90</v>
      </c>
      <c r="AU2092" s="1">
        <v>44201.56050925926</v>
      </c>
      <c r="AV2092">
        <v>20</v>
      </c>
      <c r="AW2092">
        <v>0</v>
      </c>
      <c r="AX2092">
        <v>0</v>
      </c>
      <c r="AY2092">
        <v>0</v>
      </c>
      <c r="AZ2092">
        <v>52</v>
      </c>
      <c r="BA2092">
        <v>0</v>
      </c>
      <c r="BB2092">
        <v>66</v>
      </c>
      <c r="BC2092">
        <v>0</v>
      </c>
      <c r="BD2092">
        <v>0</v>
      </c>
      <c r="BE2092">
        <v>0</v>
      </c>
    </row>
    <row r="2093" spans="1:57" x14ac:dyDescent="0.45">
      <c r="A2093" t="s">
        <v>5090</v>
      </c>
      <c r="B2093" t="s">
        <v>79</v>
      </c>
      <c r="C2093" t="s">
        <v>4136</v>
      </c>
      <c r="D2093" t="s">
        <v>81</v>
      </c>
      <c r="E2093" s="2" t="str">
        <f>HYPERLINK("capsilon://?command=openfolder&amp;siteaddress=FAM.docvelocity-na8.net&amp;folderid=FX1EBB9D67-9D21-3D6A-51C3-D7E16EA17366","FX21016779")</f>
        <v>FX21016779</v>
      </c>
      <c r="F2093" t="s">
        <v>19</v>
      </c>
      <c r="G2093" t="s">
        <v>19</v>
      </c>
      <c r="H2093" t="s">
        <v>82</v>
      </c>
      <c r="I2093" t="s">
        <v>5091</v>
      </c>
      <c r="J2093">
        <v>66</v>
      </c>
      <c r="K2093" t="s">
        <v>84</v>
      </c>
      <c r="L2093" t="s">
        <v>85</v>
      </c>
      <c r="M2093" t="s">
        <v>86</v>
      </c>
      <c r="N2093">
        <v>3</v>
      </c>
      <c r="O2093" s="1">
        <v>44217.614363425928</v>
      </c>
      <c r="P2093" s="1">
        <v>44218.366967592592</v>
      </c>
      <c r="Q2093">
        <v>64027</v>
      </c>
      <c r="R2093">
        <v>998</v>
      </c>
      <c r="S2093" t="b">
        <v>0</v>
      </c>
      <c r="T2093" t="s">
        <v>87</v>
      </c>
      <c r="U2093" t="b">
        <v>0</v>
      </c>
      <c r="V2093" t="s">
        <v>142</v>
      </c>
      <c r="W2093" s="1">
        <v>44217.621620370373</v>
      </c>
      <c r="X2093">
        <v>626</v>
      </c>
      <c r="Y2093">
        <v>52</v>
      </c>
      <c r="Z2093">
        <v>0</v>
      </c>
      <c r="AA2093">
        <v>52</v>
      </c>
      <c r="AB2093">
        <v>0</v>
      </c>
      <c r="AC2093">
        <v>34</v>
      </c>
      <c r="AD2093">
        <v>14</v>
      </c>
      <c r="AE2093">
        <v>0</v>
      </c>
      <c r="AF2093">
        <v>0</v>
      </c>
      <c r="AG2093">
        <v>0</v>
      </c>
      <c r="AH2093" t="s">
        <v>267</v>
      </c>
      <c r="AI2093" s="1">
        <v>44217.626527777778</v>
      </c>
      <c r="AJ2093">
        <v>286</v>
      </c>
      <c r="AK2093">
        <v>3</v>
      </c>
      <c r="AL2093">
        <v>0</v>
      </c>
      <c r="AM2093">
        <v>3</v>
      </c>
      <c r="AN2093">
        <v>0</v>
      </c>
      <c r="AO2093">
        <v>3</v>
      </c>
      <c r="AP2093">
        <v>11</v>
      </c>
      <c r="AQ2093">
        <v>0</v>
      </c>
      <c r="AR2093">
        <v>0</v>
      </c>
      <c r="AS2093">
        <v>0</v>
      </c>
      <c r="AT2093" t="s">
        <v>90</v>
      </c>
      <c r="AU2093" s="1">
        <v>44218.366967592592</v>
      </c>
      <c r="AV2093">
        <v>79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11</v>
      </c>
      <c r="BC2093">
        <v>0</v>
      </c>
      <c r="BD2093">
        <v>0</v>
      </c>
      <c r="BE2093">
        <v>0</v>
      </c>
    </row>
    <row r="2094" spans="1:57" x14ac:dyDescent="0.45">
      <c r="A2094" t="s">
        <v>5092</v>
      </c>
      <c r="B2094" t="s">
        <v>79</v>
      </c>
      <c r="C2094" t="s">
        <v>2343</v>
      </c>
      <c r="D2094" t="s">
        <v>81</v>
      </c>
      <c r="E2094" s="2" t="str">
        <f>HYPERLINK("capsilon://?command=openfolder&amp;siteaddress=FAM.docvelocity-na8.net&amp;folderid=FX3E718EC9-CC62-433B-4908-BAA52295DC8B","FX21013016")</f>
        <v>FX21013016</v>
      </c>
      <c r="F2094" t="s">
        <v>19</v>
      </c>
      <c r="G2094" t="s">
        <v>19</v>
      </c>
      <c r="H2094" t="s">
        <v>82</v>
      </c>
      <c r="I2094" t="s">
        <v>5093</v>
      </c>
      <c r="J2094">
        <v>38</v>
      </c>
      <c r="K2094" t="s">
        <v>84</v>
      </c>
      <c r="L2094" t="s">
        <v>85</v>
      </c>
      <c r="M2094" t="s">
        <v>86</v>
      </c>
      <c r="N2094">
        <v>3</v>
      </c>
      <c r="O2094" s="1">
        <v>44217.616435185184</v>
      </c>
      <c r="P2094" s="1">
        <v>44218.367048611108</v>
      </c>
      <c r="Q2094">
        <v>64079</v>
      </c>
      <c r="R2094">
        <v>774</v>
      </c>
      <c r="S2094" t="b">
        <v>0</v>
      </c>
      <c r="T2094" t="s">
        <v>87</v>
      </c>
      <c r="U2094" t="b">
        <v>0</v>
      </c>
      <c r="V2094" t="s">
        <v>242</v>
      </c>
      <c r="W2094" s="1">
        <v>44217.624675925923</v>
      </c>
      <c r="X2094">
        <v>702</v>
      </c>
      <c r="Y2094">
        <v>37</v>
      </c>
      <c r="Z2094">
        <v>0</v>
      </c>
      <c r="AA2094">
        <v>37</v>
      </c>
      <c r="AB2094">
        <v>0</v>
      </c>
      <c r="AC2094">
        <v>34</v>
      </c>
      <c r="AD2094">
        <v>1</v>
      </c>
      <c r="AE2094">
        <v>0</v>
      </c>
      <c r="AF2094">
        <v>0</v>
      </c>
      <c r="AG2094">
        <v>0</v>
      </c>
      <c r="AH2094" t="s">
        <v>132</v>
      </c>
      <c r="AI2094" s="1">
        <v>44217.636493055557</v>
      </c>
      <c r="AJ2094">
        <v>65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 t="s">
        <v>90</v>
      </c>
      <c r="AU2094" s="1">
        <v>44218.367048611108</v>
      </c>
      <c r="AV2094">
        <v>7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1</v>
      </c>
      <c r="BC2094">
        <v>0</v>
      </c>
      <c r="BD2094">
        <v>0</v>
      </c>
      <c r="BE2094">
        <v>0</v>
      </c>
    </row>
    <row r="2095" spans="1:57" hidden="1" x14ac:dyDescent="0.45">
      <c r="A2095" t="s">
        <v>5094</v>
      </c>
      <c r="B2095" t="s">
        <v>79</v>
      </c>
      <c r="C2095" t="s">
        <v>1226</v>
      </c>
      <c r="D2095" t="s">
        <v>81</v>
      </c>
      <c r="E2095" s="2" t="str">
        <f>HYPERLINK("capsilon://?command=openfolder&amp;siteaddress=FAM.docvelocity-na8.net&amp;folderid=FX20638E3F-DC65-E459-B4A6-8522D3961AA9","FX20126938")</f>
        <v>FX20126938</v>
      </c>
      <c r="F2095" t="s">
        <v>19</v>
      </c>
      <c r="G2095" t="s">
        <v>19</v>
      </c>
      <c r="H2095" t="s">
        <v>82</v>
      </c>
      <c r="I2095" t="s">
        <v>5095</v>
      </c>
      <c r="J2095">
        <v>66</v>
      </c>
      <c r="K2095" t="s">
        <v>84</v>
      </c>
      <c r="L2095" t="s">
        <v>85</v>
      </c>
      <c r="M2095" t="s">
        <v>86</v>
      </c>
      <c r="N2095">
        <v>3</v>
      </c>
      <c r="O2095" s="1">
        <v>44217.62222222222</v>
      </c>
      <c r="P2095" s="1">
        <v>44218.367083333331</v>
      </c>
      <c r="Q2095">
        <v>64245</v>
      </c>
      <c r="R2095">
        <v>111</v>
      </c>
      <c r="S2095" t="b">
        <v>0</v>
      </c>
      <c r="T2095" t="s">
        <v>87</v>
      </c>
      <c r="U2095" t="b">
        <v>0</v>
      </c>
      <c r="V2095" t="s">
        <v>179</v>
      </c>
      <c r="W2095" s="1">
        <v>44217.623136574075</v>
      </c>
      <c r="X2095">
        <v>79</v>
      </c>
      <c r="Y2095">
        <v>0</v>
      </c>
      <c r="Z2095">
        <v>0</v>
      </c>
      <c r="AA2095">
        <v>0</v>
      </c>
      <c r="AB2095">
        <v>52</v>
      </c>
      <c r="AC2095">
        <v>0</v>
      </c>
      <c r="AD2095">
        <v>66</v>
      </c>
      <c r="AE2095">
        <v>0</v>
      </c>
      <c r="AF2095">
        <v>0</v>
      </c>
      <c r="AG2095">
        <v>0</v>
      </c>
      <c r="AH2095" t="s">
        <v>132</v>
      </c>
      <c r="AI2095" s="1">
        <v>44217.636840277781</v>
      </c>
      <c r="AJ2095">
        <v>29</v>
      </c>
      <c r="AK2095">
        <v>0</v>
      </c>
      <c r="AL2095">
        <v>0</v>
      </c>
      <c r="AM2095">
        <v>0</v>
      </c>
      <c r="AN2095">
        <v>52</v>
      </c>
      <c r="AO2095">
        <v>0</v>
      </c>
      <c r="AP2095">
        <v>66</v>
      </c>
      <c r="AQ2095">
        <v>0</v>
      </c>
      <c r="AR2095">
        <v>0</v>
      </c>
      <c r="AS2095">
        <v>0</v>
      </c>
      <c r="AT2095" t="s">
        <v>90</v>
      </c>
      <c r="AU2095" s="1">
        <v>44218.367083333331</v>
      </c>
      <c r="AV2095">
        <v>3</v>
      </c>
      <c r="AW2095">
        <v>0</v>
      </c>
      <c r="AX2095">
        <v>0</v>
      </c>
      <c r="AY2095">
        <v>0</v>
      </c>
      <c r="AZ2095">
        <v>52</v>
      </c>
      <c r="BA2095">
        <v>0</v>
      </c>
      <c r="BB2095">
        <v>66</v>
      </c>
      <c r="BC2095">
        <v>0</v>
      </c>
      <c r="BD2095">
        <v>0</v>
      </c>
      <c r="BE2095">
        <v>0</v>
      </c>
    </row>
    <row r="2096" spans="1:57" x14ac:dyDescent="0.45">
      <c r="A2096" t="s">
        <v>5096</v>
      </c>
      <c r="B2096" t="s">
        <v>79</v>
      </c>
      <c r="C2096" t="s">
        <v>5097</v>
      </c>
      <c r="D2096" t="s">
        <v>81</v>
      </c>
      <c r="E2096" s="2" t="str">
        <f>HYPERLINK("capsilon://?command=openfolder&amp;siteaddress=FAM.docvelocity-na8.net&amp;folderid=FX22C3C291-6A3D-5B0F-CC5B-E821265F8352","FX21011129")</f>
        <v>FX21011129</v>
      </c>
      <c r="F2096" t="s">
        <v>19</v>
      </c>
      <c r="G2096" t="s">
        <v>19</v>
      </c>
      <c r="H2096" t="s">
        <v>82</v>
      </c>
      <c r="I2096" t="s">
        <v>5098</v>
      </c>
      <c r="J2096">
        <v>38</v>
      </c>
      <c r="K2096" t="s">
        <v>84</v>
      </c>
      <c r="L2096" t="s">
        <v>85</v>
      </c>
      <c r="M2096" t="s">
        <v>86</v>
      </c>
      <c r="N2096">
        <v>3</v>
      </c>
      <c r="O2096" s="1">
        <v>44201.474398148152</v>
      </c>
      <c r="P2096" s="1">
        <v>44201.561608796299</v>
      </c>
      <c r="Q2096">
        <v>6884</v>
      </c>
      <c r="R2096">
        <v>651</v>
      </c>
      <c r="S2096" t="b">
        <v>0</v>
      </c>
      <c r="T2096" t="s">
        <v>87</v>
      </c>
      <c r="U2096" t="b">
        <v>0</v>
      </c>
      <c r="V2096" t="s">
        <v>736</v>
      </c>
      <c r="W2096" s="1">
        <v>44201.495520833334</v>
      </c>
      <c r="X2096">
        <v>482</v>
      </c>
      <c r="Y2096">
        <v>37</v>
      </c>
      <c r="Z2096">
        <v>0</v>
      </c>
      <c r="AA2096">
        <v>37</v>
      </c>
      <c r="AB2096">
        <v>0</v>
      </c>
      <c r="AC2096">
        <v>11</v>
      </c>
      <c r="AD2096">
        <v>1</v>
      </c>
      <c r="AE2096">
        <v>0</v>
      </c>
      <c r="AF2096">
        <v>0</v>
      </c>
      <c r="AG2096">
        <v>0</v>
      </c>
      <c r="AH2096" t="s">
        <v>267</v>
      </c>
      <c r="AI2096" s="1">
        <v>44201.55327546296</v>
      </c>
      <c r="AJ2096">
        <v>75</v>
      </c>
      <c r="AK2096">
        <v>2</v>
      </c>
      <c r="AL2096">
        <v>0</v>
      </c>
      <c r="AM2096">
        <v>2</v>
      </c>
      <c r="AN2096">
        <v>0</v>
      </c>
      <c r="AO2096">
        <v>1</v>
      </c>
      <c r="AP2096">
        <v>-1</v>
      </c>
      <c r="AQ2096">
        <v>0</v>
      </c>
      <c r="AR2096">
        <v>0</v>
      </c>
      <c r="AS2096">
        <v>0</v>
      </c>
      <c r="AT2096" t="s">
        <v>90</v>
      </c>
      <c r="AU2096" s="1">
        <v>44201.561608796299</v>
      </c>
      <c r="AV2096">
        <v>94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-1</v>
      </c>
      <c r="BC2096">
        <v>0</v>
      </c>
      <c r="BD2096">
        <v>0</v>
      </c>
      <c r="BE2096">
        <v>0</v>
      </c>
    </row>
    <row r="2097" spans="1:57" x14ac:dyDescent="0.45">
      <c r="A2097" t="s">
        <v>5099</v>
      </c>
      <c r="B2097" t="s">
        <v>79</v>
      </c>
      <c r="C2097" t="s">
        <v>5100</v>
      </c>
      <c r="D2097" t="s">
        <v>81</v>
      </c>
      <c r="E2097" s="2" t="str">
        <f>HYPERLINK("capsilon://?command=openfolder&amp;siteaddress=FAM.docvelocity-na8.net&amp;folderid=FX342DB71F-F70E-E278-B920-C2CDB2D99833","FX201226861")</f>
        <v>FX201226861</v>
      </c>
      <c r="F2097" t="s">
        <v>19</v>
      </c>
      <c r="G2097" t="s">
        <v>19</v>
      </c>
      <c r="H2097" t="s">
        <v>82</v>
      </c>
      <c r="I2097" t="s">
        <v>5101</v>
      </c>
      <c r="J2097">
        <v>66</v>
      </c>
      <c r="K2097" t="s">
        <v>84</v>
      </c>
      <c r="L2097" t="s">
        <v>85</v>
      </c>
      <c r="M2097" t="s">
        <v>86</v>
      </c>
      <c r="N2097">
        <v>3</v>
      </c>
      <c r="O2097" s="1">
        <v>44217.641643518517</v>
      </c>
      <c r="P2097" s="1">
        <v>44218.367754629631</v>
      </c>
      <c r="Q2097">
        <v>59876</v>
      </c>
      <c r="R2097">
        <v>2860</v>
      </c>
      <c r="S2097" t="b">
        <v>0</v>
      </c>
      <c r="T2097" t="s">
        <v>87</v>
      </c>
      <c r="U2097" t="b">
        <v>0</v>
      </c>
      <c r="V2097" t="s">
        <v>171</v>
      </c>
      <c r="W2097" s="1">
        <v>44217.672696759262</v>
      </c>
      <c r="X2097">
        <v>2682</v>
      </c>
      <c r="Y2097">
        <v>52</v>
      </c>
      <c r="Z2097">
        <v>0</v>
      </c>
      <c r="AA2097">
        <v>52</v>
      </c>
      <c r="AB2097">
        <v>0</v>
      </c>
      <c r="AC2097">
        <v>38</v>
      </c>
      <c r="AD2097">
        <v>14</v>
      </c>
      <c r="AE2097">
        <v>0</v>
      </c>
      <c r="AF2097">
        <v>0</v>
      </c>
      <c r="AG2097">
        <v>0</v>
      </c>
      <c r="AH2097" t="s">
        <v>132</v>
      </c>
      <c r="AI2097" s="1">
        <v>44217.675023148149</v>
      </c>
      <c r="AJ2097">
        <v>121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14</v>
      </c>
      <c r="AQ2097">
        <v>0</v>
      </c>
      <c r="AR2097">
        <v>0</v>
      </c>
      <c r="AS2097">
        <v>0</v>
      </c>
      <c r="AT2097" t="s">
        <v>90</v>
      </c>
      <c r="AU2097" s="1">
        <v>44218.367754629631</v>
      </c>
      <c r="AV2097">
        <v>57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14</v>
      </c>
      <c r="BC2097">
        <v>0</v>
      </c>
      <c r="BD2097">
        <v>0</v>
      </c>
      <c r="BE2097">
        <v>0</v>
      </c>
    </row>
    <row r="2098" spans="1:57" x14ac:dyDescent="0.45">
      <c r="A2098" t="s">
        <v>5102</v>
      </c>
      <c r="B2098" t="s">
        <v>79</v>
      </c>
      <c r="C2098" t="s">
        <v>4834</v>
      </c>
      <c r="D2098" t="s">
        <v>81</v>
      </c>
      <c r="E2098" s="2" t="str">
        <f>HYPERLINK("capsilon://?command=openfolder&amp;siteaddress=FAM.docvelocity-na8.net&amp;folderid=FX17A06F43-6E4A-044B-BE7D-66478093A5CB","FX201227826")</f>
        <v>FX201227826</v>
      </c>
      <c r="F2098" t="s">
        <v>19</v>
      </c>
      <c r="G2098" t="s">
        <v>19</v>
      </c>
      <c r="H2098" t="s">
        <v>82</v>
      </c>
      <c r="I2098" t="s">
        <v>5103</v>
      </c>
      <c r="J2098">
        <v>226</v>
      </c>
      <c r="K2098" t="s">
        <v>84</v>
      </c>
      <c r="L2098" t="s">
        <v>85</v>
      </c>
      <c r="M2098" t="s">
        <v>86</v>
      </c>
      <c r="N2098">
        <v>3</v>
      </c>
      <c r="O2098" s="1">
        <v>44201.476365740738</v>
      </c>
      <c r="P2098" s="1">
        <v>44201.562627314815</v>
      </c>
      <c r="Q2098">
        <v>4203</v>
      </c>
      <c r="R2098">
        <v>3250</v>
      </c>
      <c r="S2098" t="b">
        <v>0</v>
      </c>
      <c r="T2098" t="s">
        <v>87</v>
      </c>
      <c r="U2098" t="b">
        <v>0</v>
      </c>
      <c r="V2098" t="s">
        <v>266</v>
      </c>
      <c r="W2098" s="1">
        <v>44201.518159722225</v>
      </c>
      <c r="X2098">
        <v>2410</v>
      </c>
      <c r="Y2098">
        <v>164</v>
      </c>
      <c r="Z2098">
        <v>0</v>
      </c>
      <c r="AA2098">
        <v>164</v>
      </c>
      <c r="AB2098">
        <v>37</v>
      </c>
      <c r="AC2098">
        <v>62</v>
      </c>
      <c r="AD2098">
        <v>62</v>
      </c>
      <c r="AE2098">
        <v>0</v>
      </c>
      <c r="AF2098">
        <v>0</v>
      </c>
      <c r="AG2098">
        <v>0</v>
      </c>
      <c r="AH2098" t="s">
        <v>128</v>
      </c>
      <c r="AI2098" s="1">
        <v>44201.561620370368</v>
      </c>
      <c r="AJ2098">
        <v>755</v>
      </c>
      <c r="AK2098">
        <v>1</v>
      </c>
      <c r="AL2098">
        <v>0</v>
      </c>
      <c r="AM2098">
        <v>1</v>
      </c>
      <c r="AN2098">
        <v>37</v>
      </c>
      <c r="AO2098">
        <v>1</v>
      </c>
      <c r="AP2098">
        <v>61</v>
      </c>
      <c r="AQ2098">
        <v>0</v>
      </c>
      <c r="AR2098">
        <v>0</v>
      </c>
      <c r="AS2098">
        <v>0</v>
      </c>
      <c r="AT2098" t="s">
        <v>90</v>
      </c>
      <c r="AU2098" s="1">
        <v>44201.562627314815</v>
      </c>
      <c r="AV2098">
        <v>85</v>
      </c>
      <c r="AW2098">
        <v>0</v>
      </c>
      <c r="AX2098">
        <v>0</v>
      </c>
      <c r="AY2098">
        <v>0</v>
      </c>
      <c r="AZ2098">
        <v>37</v>
      </c>
      <c r="BA2098">
        <v>0</v>
      </c>
      <c r="BB2098">
        <v>61</v>
      </c>
      <c r="BC2098">
        <v>0</v>
      </c>
      <c r="BD2098">
        <v>0</v>
      </c>
      <c r="BE2098">
        <v>0</v>
      </c>
    </row>
    <row r="2099" spans="1:57" x14ac:dyDescent="0.45">
      <c r="A2099" t="s">
        <v>5104</v>
      </c>
      <c r="B2099" t="s">
        <v>79</v>
      </c>
      <c r="C2099" t="s">
        <v>3962</v>
      </c>
      <c r="D2099" t="s">
        <v>81</v>
      </c>
      <c r="E2099" s="2" t="str">
        <f>HYPERLINK("capsilon://?command=openfolder&amp;siteaddress=FAM.docvelocity-na8.net&amp;folderid=FXCA40F804-62E7-B55B-F1C0-B8879B453202","FX20127602")</f>
        <v>FX20127602</v>
      </c>
      <c r="F2099" t="s">
        <v>19</v>
      </c>
      <c r="G2099" t="s">
        <v>19</v>
      </c>
      <c r="H2099" t="s">
        <v>82</v>
      </c>
      <c r="I2099" t="s">
        <v>5105</v>
      </c>
      <c r="J2099">
        <v>62</v>
      </c>
      <c r="K2099" t="s">
        <v>84</v>
      </c>
      <c r="L2099" t="s">
        <v>85</v>
      </c>
      <c r="M2099" t="s">
        <v>86</v>
      </c>
      <c r="N2099">
        <v>3</v>
      </c>
      <c r="O2099" s="1">
        <v>44217.652615740742</v>
      </c>
      <c r="P2099" s="1">
        <v>44218.368263888886</v>
      </c>
      <c r="Q2099">
        <v>60161</v>
      </c>
      <c r="R2099">
        <v>1671</v>
      </c>
      <c r="S2099" t="b">
        <v>0</v>
      </c>
      <c r="T2099" t="s">
        <v>87</v>
      </c>
      <c r="U2099" t="b">
        <v>0</v>
      </c>
      <c r="V2099" t="s">
        <v>179</v>
      </c>
      <c r="W2099" s="1">
        <v>44217.665868055556</v>
      </c>
      <c r="X2099">
        <v>1144</v>
      </c>
      <c r="Y2099">
        <v>46</v>
      </c>
      <c r="Z2099">
        <v>0</v>
      </c>
      <c r="AA2099">
        <v>46</v>
      </c>
      <c r="AB2099">
        <v>0</v>
      </c>
      <c r="AC2099">
        <v>32</v>
      </c>
      <c r="AD2099">
        <v>16</v>
      </c>
      <c r="AE2099">
        <v>0</v>
      </c>
      <c r="AF2099">
        <v>0</v>
      </c>
      <c r="AG2099">
        <v>0</v>
      </c>
      <c r="AH2099" t="s">
        <v>94</v>
      </c>
      <c r="AI2099" s="1">
        <v>44217.6715625</v>
      </c>
      <c r="AJ2099">
        <v>484</v>
      </c>
      <c r="AK2099">
        <v>2</v>
      </c>
      <c r="AL2099">
        <v>0</v>
      </c>
      <c r="AM2099">
        <v>2</v>
      </c>
      <c r="AN2099">
        <v>0</v>
      </c>
      <c r="AO2099">
        <v>0</v>
      </c>
      <c r="AP2099">
        <v>14</v>
      </c>
      <c r="AQ2099">
        <v>0</v>
      </c>
      <c r="AR2099">
        <v>0</v>
      </c>
      <c r="AS2099">
        <v>0</v>
      </c>
      <c r="AT2099" t="s">
        <v>90</v>
      </c>
      <c r="AU2099" s="1">
        <v>44218.368263888886</v>
      </c>
      <c r="AV2099">
        <v>43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14</v>
      </c>
      <c r="BC2099">
        <v>0</v>
      </c>
      <c r="BD2099">
        <v>0</v>
      </c>
      <c r="BE2099">
        <v>0</v>
      </c>
    </row>
    <row r="2100" spans="1:57" x14ac:dyDescent="0.45">
      <c r="A2100" t="s">
        <v>5106</v>
      </c>
      <c r="B2100" t="s">
        <v>79</v>
      </c>
      <c r="C2100" t="s">
        <v>3962</v>
      </c>
      <c r="D2100" t="s">
        <v>81</v>
      </c>
      <c r="E2100" s="2" t="str">
        <f>HYPERLINK("capsilon://?command=openfolder&amp;siteaddress=FAM.docvelocity-na8.net&amp;folderid=FXCA40F804-62E7-B55B-F1C0-B8879B453202","FX20127602")</f>
        <v>FX20127602</v>
      </c>
      <c r="F2100" t="s">
        <v>19</v>
      </c>
      <c r="G2100" t="s">
        <v>19</v>
      </c>
      <c r="H2100" t="s">
        <v>82</v>
      </c>
      <c r="I2100" t="s">
        <v>5107</v>
      </c>
      <c r="J2100">
        <v>45</v>
      </c>
      <c r="K2100" t="s">
        <v>84</v>
      </c>
      <c r="L2100" t="s">
        <v>85</v>
      </c>
      <c r="M2100" t="s">
        <v>86</v>
      </c>
      <c r="N2100">
        <v>3</v>
      </c>
      <c r="O2100" s="1">
        <v>44217.653240740743</v>
      </c>
      <c r="P2100" s="1">
        <v>44218.368344907409</v>
      </c>
      <c r="Q2100">
        <v>61028</v>
      </c>
      <c r="R2100">
        <v>757</v>
      </c>
      <c r="S2100" t="b">
        <v>0</v>
      </c>
      <c r="T2100" t="s">
        <v>87</v>
      </c>
      <c r="U2100" t="b">
        <v>0</v>
      </c>
      <c r="V2100" t="s">
        <v>242</v>
      </c>
      <c r="W2100" s="1">
        <v>44217.656365740739</v>
      </c>
      <c r="X2100">
        <v>239</v>
      </c>
      <c r="Y2100">
        <v>41</v>
      </c>
      <c r="Z2100">
        <v>0</v>
      </c>
      <c r="AA2100">
        <v>41</v>
      </c>
      <c r="AB2100">
        <v>0</v>
      </c>
      <c r="AC2100">
        <v>10</v>
      </c>
      <c r="AD2100">
        <v>4</v>
      </c>
      <c r="AE2100">
        <v>0</v>
      </c>
      <c r="AF2100">
        <v>0</v>
      </c>
      <c r="AG2100">
        <v>0</v>
      </c>
      <c r="AH2100" t="s">
        <v>94</v>
      </c>
      <c r="AI2100" s="1">
        <v>44217.662546296298</v>
      </c>
      <c r="AJ2100">
        <v>511</v>
      </c>
      <c r="AK2100">
        <v>2</v>
      </c>
      <c r="AL2100">
        <v>0</v>
      </c>
      <c r="AM2100">
        <v>2</v>
      </c>
      <c r="AN2100">
        <v>0</v>
      </c>
      <c r="AO2100">
        <v>1</v>
      </c>
      <c r="AP2100">
        <v>2</v>
      </c>
      <c r="AQ2100">
        <v>0</v>
      </c>
      <c r="AR2100">
        <v>0</v>
      </c>
      <c r="AS2100">
        <v>0</v>
      </c>
      <c r="AT2100" t="s">
        <v>90</v>
      </c>
      <c r="AU2100" s="1">
        <v>44218.368344907409</v>
      </c>
      <c r="AV2100">
        <v>7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2</v>
      </c>
      <c r="BC2100">
        <v>0</v>
      </c>
      <c r="BD2100">
        <v>0</v>
      </c>
      <c r="BE2100">
        <v>0</v>
      </c>
    </row>
    <row r="2101" spans="1:57" x14ac:dyDescent="0.45">
      <c r="A2101" t="s">
        <v>5108</v>
      </c>
      <c r="B2101" t="s">
        <v>79</v>
      </c>
      <c r="C2101" t="s">
        <v>5109</v>
      </c>
      <c r="D2101" t="s">
        <v>81</v>
      </c>
      <c r="E2101" s="2" t="str">
        <f>HYPERLINK("capsilon://?command=openfolder&amp;siteaddress=FAM.docvelocity-na8.net&amp;folderid=FX495A8A31-66DD-7DBA-F4D4-7420698F1895","FX21012338")</f>
        <v>FX21012338</v>
      </c>
      <c r="F2101" t="s">
        <v>19</v>
      </c>
      <c r="G2101" t="s">
        <v>19</v>
      </c>
      <c r="H2101" t="s">
        <v>82</v>
      </c>
      <c r="I2101" t="s">
        <v>5110</v>
      </c>
      <c r="J2101">
        <v>38</v>
      </c>
      <c r="K2101" t="s">
        <v>84</v>
      </c>
      <c r="L2101" t="s">
        <v>85</v>
      </c>
      <c r="M2101" t="s">
        <v>86</v>
      </c>
      <c r="N2101">
        <v>3</v>
      </c>
      <c r="O2101" s="1">
        <v>44217.653993055559</v>
      </c>
      <c r="P2101" s="1">
        <v>44218.368414351855</v>
      </c>
      <c r="Q2101">
        <v>61491</v>
      </c>
      <c r="R2101">
        <v>235</v>
      </c>
      <c r="S2101" t="b">
        <v>0</v>
      </c>
      <c r="T2101" t="s">
        <v>87</v>
      </c>
      <c r="U2101" t="b">
        <v>0</v>
      </c>
      <c r="V2101" t="s">
        <v>242</v>
      </c>
      <c r="W2101" s="1">
        <v>44217.658252314817</v>
      </c>
      <c r="X2101">
        <v>162</v>
      </c>
      <c r="Y2101">
        <v>37</v>
      </c>
      <c r="Z2101">
        <v>0</v>
      </c>
      <c r="AA2101">
        <v>37</v>
      </c>
      <c r="AB2101">
        <v>0</v>
      </c>
      <c r="AC2101">
        <v>9</v>
      </c>
      <c r="AD2101">
        <v>1</v>
      </c>
      <c r="AE2101">
        <v>0</v>
      </c>
      <c r="AF2101">
        <v>0</v>
      </c>
      <c r="AG2101">
        <v>0</v>
      </c>
      <c r="AH2101" t="s">
        <v>132</v>
      </c>
      <c r="AI2101" s="1">
        <v>44217.661481481482</v>
      </c>
      <c r="AJ2101">
        <v>68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 t="s">
        <v>90</v>
      </c>
      <c r="AU2101" s="1">
        <v>44218.368414351855</v>
      </c>
      <c r="AV2101">
        <v>5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0</v>
      </c>
    </row>
    <row r="2102" spans="1:57" x14ac:dyDescent="0.45">
      <c r="A2102" t="s">
        <v>5111</v>
      </c>
      <c r="B2102" t="s">
        <v>79</v>
      </c>
      <c r="C2102" t="s">
        <v>5112</v>
      </c>
      <c r="D2102" t="s">
        <v>81</v>
      </c>
      <c r="E2102" s="2" t="str">
        <f>HYPERLINK("capsilon://?command=openfolder&amp;siteaddress=FAM.docvelocity-na8.net&amp;folderid=FX3E267E94-5BD0-9197-3956-F492EC44FB89","FX210112407")</f>
        <v>FX210112407</v>
      </c>
      <c r="F2102" t="s">
        <v>19</v>
      </c>
      <c r="G2102" t="s">
        <v>19</v>
      </c>
      <c r="H2102" t="s">
        <v>82</v>
      </c>
      <c r="I2102" t="s">
        <v>5113</v>
      </c>
      <c r="J2102">
        <v>235</v>
      </c>
      <c r="K2102" t="s">
        <v>84</v>
      </c>
      <c r="L2102" t="s">
        <v>85</v>
      </c>
      <c r="M2102" t="s">
        <v>86</v>
      </c>
      <c r="N2102">
        <v>3</v>
      </c>
      <c r="O2102" s="1">
        <v>44217.658715277779</v>
      </c>
      <c r="P2102" s="1">
        <v>44218.369386574072</v>
      </c>
      <c r="Q2102">
        <v>59815</v>
      </c>
      <c r="R2102">
        <v>1587</v>
      </c>
      <c r="S2102" t="b">
        <v>0</v>
      </c>
      <c r="T2102" t="s">
        <v>87</v>
      </c>
      <c r="U2102" t="b">
        <v>0</v>
      </c>
      <c r="V2102" t="s">
        <v>242</v>
      </c>
      <c r="W2102" s="1">
        <v>44217.673368055555</v>
      </c>
      <c r="X2102">
        <v>1252</v>
      </c>
      <c r="Y2102">
        <v>236</v>
      </c>
      <c r="Z2102">
        <v>0</v>
      </c>
      <c r="AA2102">
        <v>236</v>
      </c>
      <c r="AB2102">
        <v>0</v>
      </c>
      <c r="AC2102">
        <v>137</v>
      </c>
      <c r="AD2102">
        <v>-1</v>
      </c>
      <c r="AE2102">
        <v>0</v>
      </c>
      <c r="AF2102">
        <v>0</v>
      </c>
      <c r="AG2102">
        <v>0</v>
      </c>
      <c r="AH2102" t="s">
        <v>132</v>
      </c>
      <c r="AI2102" s="1">
        <v>44217.677951388891</v>
      </c>
      <c r="AJ2102">
        <v>252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-1</v>
      </c>
      <c r="AQ2102">
        <v>0</v>
      </c>
      <c r="AR2102">
        <v>0</v>
      </c>
      <c r="AS2102">
        <v>0</v>
      </c>
      <c r="AT2102" t="s">
        <v>90</v>
      </c>
      <c r="AU2102" s="1">
        <v>44218.369386574072</v>
      </c>
      <c r="AV2102">
        <v>83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-1</v>
      </c>
      <c r="BC2102">
        <v>0</v>
      </c>
      <c r="BD2102">
        <v>0</v>
      </c>
      <c r="BE2102">
        <v>0</v>
      </c>
    </row>
    <row r="2103" spans="1:57" x14ac:dyDescent="0.45">
      <c r="A2103" t="s">
        <v>5114</v>
      </c>
      <c r="B2103" t="s">
        <v>79</v>
      </c>
      <c r="C2103" t="s">
        <v>2097</v>
      </c>
      <c r="D2103" t="s">
        <v>81</v>
      </c>
      <c r="E2103" s="2" t="str">
        <f>HYPERLINK("capsilon://?command=openfolder&amp;siteaddress=FAM.docvelocity-na8.net&amp;folderid=FXC5E5AC80-0D2B-E93E-E1AB-2E108CD0CCAF","FX201221685")</f>
        <v>FX201221685</v>
      </c>
      <c r="F2103" t="s">
        <v>19</v>
      </c>
      <c r="G2103" t="s">
        <v>19</v>
      </c>
      <c r="H2103" t="s">
        <v>82</v>
      </c>
      <c r="I2103" t="s">
        <v>5115</v>
      </c>
      <c r="J2103">
        <v>42</v>
      </c>
      <c r="K2103" t="s">
        <v>84</v>
      </c>
      <c r="L2103" t="s">
        <v>85</v>
      </c>
      <c r="M2103" t="s">
        <v>86</v>
      </c>
      <c r="N2103">
        <v>3</v>
      </c>
      <c r="O2103" s="1">
        <v>44217.66138888889</v>
      </c>
      <c r="P2103" s="1">
        <v>44218.369664351849</v>
      </c>
      <c r="Q2103">
        <v>60183</v>
      </c>
      <c r="R2103">
        <v>1012</v>
      </c>
      <c r="S2103" t="b">
        <v>0</v>
      </c>
      <c r="T2103" t="s">
        <v>87</v>
      </c>
      <c r="U2103" t="b">
        <v>0</v>
      </c>
      <c r="V2103" t="s">
        <v>160</v>
      </c>
      <c r="W2103" s="1">
        <v>44217.675266203703</v>
      </c>
      <c r="X2103">
        <v>918</v>
      </c>
      <c r="Y2103">
        <v>48</v>
      </c>
      <c r="Z2103">
        <v>0</v>
      </c>
      <c r="AA2103">
        <v>48</v>
      </c>
      <c r="AB2103">
        <v>0</v>
      </c>
      <c r="AC2103">
        <v>40</v>
      </c>
      <c r="AD2103">
        <v>-6</v>
      </c>
      <c r="AE2103">
        <v>0</v>
      </c>
      <c r="AF2103">
        <v>0</v>
      </c>
      <c r="AG2103">
        <v>0</v>
      </c>
      <c r="AH2103" t="s">
        <v>132</v>
      </c>
      <c r="AI2103" s="1">
        <v>44217.678773148145</v>
      </c>
      <c r="AJ2103">
        <v>70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-6</v>
      </c>
      <c r="AQ2103">
        <v>0</v>
      </c>
      <c r="AR2103">
        <v>0</v>
      </c>
      <c r="AS2103">
        <v>0</v>
      </c>
      <c r="AT2103" t="s">
        <v>90</v>
      </c>
      <c r="AU2103" s="1">
        <v>44218.369664351849</v>
      </c>
      <c r="AV2103">
        <v>24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-6</v>
      </c>
      <c r="BC2103">
        <v>0</v>
      </c>
      <c r="BD2103">
        <v>0</v>
      </c>
      <c r="BE2103">
        <v>0</v>
      </c>
    </row>
    <row r="2104" spans="1:57" x14ac:dyDescent="0.45">
      <c r="A2104" t="s">
        <v>5116</v>
      </c>
      <c r="B2104" t="s">
        <v>79</v>
      </c>
      <c r="C2104" t="s">
        <v>2869</v>
      </c>
      <c r="D2104" t="s">
        <v>81</v>
      </c>
      <c r="E2104" s="2" t="str">
        <f>HYPERLINK("capsilon://?command=openfolder&amp;siteaddress=FAM.docvelocity-na8.net&amp;folderid=FX1167FDC8-828E-EEBF-396E-B361700318EA","FX21015559")</f>
        <v>FX21015559</v>
      </c>
      <c r="F2104" t="s">
        <v>19</v>
      </c>
      <c r="G2104" t="s">
        <v>19</v>
      </c>
      <c r="H2104" t="s">
        <v>82</v>
      </c>
      <c r="I2104" t="s">
        <v>5117</v>
      </c>
      <c r="J2104">
        <v>66</v>
      </c>
      <c r="K2104" t="s">
        <v>84</v>
      </c>
      <c r="L2104" t="s">
        <v>85</v>
      </c>
      <c r="M2104" t="s">
        <v>86</v>
      </c>
      <c r="N2104">
        <v>3</v>
      </c>
      <c r="O2104" s="1">
        <v>44217.674502314818</v>
      </c>
      <c r="P2104" s="1">
        <v>44218.369791666664</v>
      </c>
      <c r="Q2104">
        <v>59124</v>
      </c>
      <c r="R2104">
        <v>949</v>
      </c>
      <c r="S2104" t="b">
        <v>0</v>
      </c>
      <c r="T2104" t="s">
        <v>87</v>
      </c>
      <c r="U2104" t="b">
        <v>0</v>
      </c>
      <c r="V2104" t="s">
        <v>179</v>
      </c>
      <c r="W2104" s="1">
        <v>44217.684583333335</v>
      </c>
      <c r="X2104">
        <v>870</v>
      </c>
      <c r="Y2104">
        <v>52</v>
      </c>
      <c r="Z2104">
        <v>0</v>
      </c>
      <c r="AA2104">
        <v>52</v>
      </c>
      <c r="AB2104">
        <v>0</v>
      </c>
      <c r="AC2104">
        <v>33</v>
      </c>
      <c r="AD2104">
        <v>14</v>
      </c>
      <c r="AE2104">
        <v>0</v>
      </c>
      <c r="AF2104">
        <v>0</v>
      </c>
      <c r="AG2104">
        <v>0</v>
      </c>
      <c r="AH2104" t="s">
        <v>132</v>
      </c>
      <c r="AI2104" s="1">
        <v>44217.691307870373</v>
      </c>
      <c r="AJ2104">
        <v>69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14</v>
      </c>
      <c r="AQ2104">
        <v>0</v>
      </c>
      <c r="AR2104">
        <v>0</v>
      </c>
      <c r="AS2104">
        <v>0</v>
      </c>
      <c r="AT2104" t="s">
        <v>90</v>
      </c>
      <c r="AU2104" s="1">
        <v>44218.369791666664</v>
      </c>
      <c r="AV2104">
        <v>10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14</v>
      </c>
      <c r="BC2104">
        <v>0</v>
      </c>
      <c r="BD2104">
        <v>0</v>
      </c>
      <c r="BE2104">
        <v>0</v>
      </c>
    </row>
    <row r="2105" spans="1:57" x14ac:dyDescent="0.45">
      <c r="A2105" t="s">
        <v>5118</v>
      </c>
      <c r="B2105" t="s">
        <v>79</v>
      </c>
      <c r="C2105" t="s">
        <v>1620</v>
      </c>
      <c r="D2105" t="s">
        <v>81</v>
      </c>
      <c r="E2105" s="2" t="str">
        <f>HYPERLINK("capsilon://?command=openfolder&amp;siteaddress=FAM.docvelocity-na8.net&amp;folderid=FX8F698780-CBE1-8BC8-7A89-7418DEF74210","FX201222998")</f>
        <v>FX201222998</v>
      </c>
      <c r="F2105" t="s">
        <v>19</v>
      </c>
      <c r="G2105" t="s">
        <v>19</v>
      </c>
      <c r="H2105" t="s">
        <v>82</v>
      </c>
      <c r="I2105" t="s">
        <v>5119</v>
      </c>
      <c r="J2105">
        <v>66</v>
      </c>
      <c r="K2105" t="s">
        <v>84</v>
      </c>
      <c r="L2105" t="s">
        <v>85</v>
      </c>
      <c r="M2105" t="s">
        <v>86</v>
      </c>
      <c r="N2105">
        <v>3</v>
      </c>
      <c r="O2105" s="1">
        <v>44217.676064814812</v>
      </c>
      <c r="P2105" s="1">
        <v>44218.369837962964</v>
      </c>
      <c r="Q2105">
        <v>59871</v>
      </c>
      <c r="R2105">
        <v>71</v>
      </c>
      <c r="S2105" t="b">
        <v>0</v>
      </c>
      <c r="T2105" t="s">
        <v>87</v>
      </c>
      <c r="U2105" t="b">
        <v>0</v>
      </c>
      <c r="V2105" t="s">
        <v>171</v>
      </c>
      <c r="W2105" s="1">
        <v>44217.67664351852</v>
      </c>
      <c r="X2105">
        <v>49</v>
      </c>
      <c r="Y2105">
        <v>14</v>
      </c>
      <c r="Z2105">
        <v>0</v>
      </c>
      <c r="AA2105">
        <v>14</v>
      </c>
      <c r="AB2105">
        <v>52</v>
      </c>
      <c r="AC2105">
        <v>0</v>
      </c>
      <c r="AD2105">
        <v>52</v>
      </c>
      <c r="AE2105">
        <v>0</v>
      </c>
      <c r="AF2105">
        <v>0</v>
      </c>
      <c r="AG2105">
        <v>0</v>
      </c>
      <c r="AH2105" t="s">
        <v>132</v>
      </c>
      <c r="AI2105" s="1">
        <v>44217.67900462963</v>
      </c>
      <c r="AJ2105">
        <v>19</v>
      </c>
      <c r="AK2105">
        <v>0</v>
      </c>
      <c r="AL2105">
        <v>0</v>
      </c>
      <c r="AM2105">
        <v>0</v>
      </c>
      <c r="AN2105">
        <v>52</v>
      </c>
      <c r="AO2105">
        <v>0</v>
      </c>
      <c r="AP2105">
        <v>52</v>
      </c>
      <c r="AQ2105">
        <v>0</v>
      </c>
      <c r="AR2105">
        <v>0</v>
      </c>
      <c r="AS2105">
        <v>0</v>
      </c>
      <c r="AT2105" t="s">
        <v>90</v>
      </c>
      <c r="AU2105" s="1">
        <v>44218.369837962964</v>
      </c>
      <c r="AV2105">
        <v>3</v>
      </c>
      <c r="AW2105">
        <v>0</v>
      </c>
      <c r="AX2105">
        <v>0</v>
      </c>
      <c r="AY2105">
        <v>0</v>
      </c>
      <c r="AZ2105">
        <v>52</v>
      </c>
      <c r="BA2105">
        <v>0</v>
      </c>
      <c r="BB2105">
        <v>52</v>
      </c>
      <c r="BC2105">
        <v>0</v>
      </c>
      <c r="BD2105">
        <v>0</v>
      </c>
      <c r="BE2105">
        <v>0</v>
      </c>
    </row>
    <row r="2106" spans="1:57" hidden="1" x14ac:dyDescent="0.45">
      <c r="A2106" t="s">
        <v>5120</v>
      </c>
      <c r="B2106" t="s">
        <v>79</v>
      </c>
      <c r="C2106" t="s">
        <v>3242</v>
      </c>
      <c r="D2106" t="s">
        <v>81</v>
      </c>
      <c r="E2106" s="2" t="str">
        <f>HYPERLINK("capsilon://?command=openfolder&amp;siteaddress=FAM.docvelocity-na8.net&amp;folderid=FXEF19F9B3-7267-C58C-381D-7A7122109D65","FX201225878")</f>
        <v>FX201225878</v>
      </c>
      <c r="F2106" t="s">
        <v>19</v>
      </c>
      <c r="G2106" t="s">
        <v>19</v>
      </c>
      <c r="H2106" t="s">
        <v>82</v>
      </c>
      <c r="I2106" t="s">
        <v>5121</v>
      </c>
      <c r="J2106">
        <v>66</v>
      </c>
      <c r="K2106" t="s">
        <v>84</v>
      </c>
      <c r="L2106" t="s">
        <v>85</v>
      </c>
      <c r="M2106" t="s">
        <v>86</v>
      </c>
      <c r="N2106">
        <v>3</v>
      </c>
      <c r="O2106" s="1">
        <v>44217.685439814813</v>
      </c>
      <c r="P2106" s="1">
        <v>44218.369872685187</v>
      </c>
      <c r="Q2106">
        <v>58768</v>
      </c>
      <c r="R2106">
        <v>367</v>
      </c>
      <c r="S2106" t="b">
        <v>0</v>
      </c>
      <c r="T2106" t="s">
        <v>87</v>
      </c>
      <c r="U2106" t="b">
        <v>0</v>
      </c>
      <c r="V2106" t="s">
        <v>146</v>
      </c>
      <c r="W2106" s="1">
        <v>44217.689270833333</v>
      </c>
      <c r="X2106">
        <v>330</v>
      </c>
      <c r="Y2106">
        <v>0</v>
      </c>
      <c r="Z2106">
        <v>0</v>
      </c>
      <c r="AA2106">
        <v>0</v>
      </c>
      <c r="AB2106">
        <v>52</v>
      </c>
      <c r="AC2106">
        <v>0</v>
      </c>
      <c r="AD2106">
        <v>66</v>
      </c>
      <c r="AE2106">
        <v>0</v>
      </c>
      <c r="AF2106">
        <v>0</v>
      </c>
      <c r="AG2106">
        <v>0</v>
      </c>
      <c r="AH2106" t="s">
        <v>132</v>
      </c>
      <c r="AI2106" s="1">
        <v>44217.691712962966</v>
      </c>
      <c r="AJ2106">
        <v>34</v>
      </c>
      <c r="AK2106">
        <v>0</v>
      </c>
      <c r="AL2106">
        <v>0</v>
      </c>
      <c r="AM2106">
        <v>0</v>
      </c>
      <c r="AN2106">
        <v>52</v>
      </c>
      <c r="AO2106">
        <v>0</v>
      </c>
      <c r="AP2106">
        <v>66</v>
      </c>
      <c r="AQ2106">
        <v>0</v>
      </c>
      <c r="AR2106">
        <v>0</v>
      </c>
      <c r="AS2106">
        <v>0</v>
      </c>
      <c r="AT2106" t="s">
        <v>90</v>
      </c>
      <c r="AU2106" s="1">
        <v>44218.369872685187</v>
      </c>
      <c r="AV2106">
        <v>3</v>
      </c>
      <c r="AW2106">
        <v>0</v>
      </c>
      <c r="AX2106">
        <v>0</v>
      </c>
      <c r="AY2106">
        <v>0</v>
      </c>
      <c r="AZ2106">
        <v>52</v>
      </c>
      <c r="BA2106">
        <v>0</v>
      </c>
      <c r="BB2106">
        <v>66</v>
      </c>
      <c r="BC2106">
        <v>0</v>
      </c>
      <c r="BD2106">
        <v>0</v>
      </c>
      <c r="BE2106">
        <v>0</v>
      </c>
    </row>
    <row r="2107" spans="1:57" x14ac:dyDescent="0.45">
      <c r="A2107" t="s">
        <v>5122</v>
      </c>
      <c r="B2107" t="s">
        <v>79</v>
      </c>
      <c r="C2107" t="s">
        <v>4313</v>
      </c>
      <c r="D2107" t="s">
        <v>81</v>
      </c>
      <c r="E2107" s="2" t="str">
        <f>HYPERLINK("capsilon://?command=openfolder&amp;siteaddress=FAM.docvelocity-na8.net&amp;folderid=FX5BD9B704-93DC-22EC-2F20-F4B2934E3292","FX210111281")</f>
        <v>FX210111281</v>
      </c>
      <c r="F2107" t="s">
        <v>19</v>
      </c>
      <c r="G2107" t="s">
        <v>19</v>
      </c>
      <c r="H2107" t="s">
        <v>82</v>
      </c>
      <c r="I2107" t="s">
        <v>5123</v>
      </c>
      <c r="J2107">
        <v>66</v>
      </c>
      <c r="K2107" t="s">
        <v>84</v>
      </c>
      <c r="L2107" t="s">
        <v>85</v>
      </c>
      <c r="M2107" t="s">
        <v>86</v>
      </c>
      <c r="N2107">
        <v>3</v>
      </c>
      <c r="O2107" s="1">
        <v>44217.687199074076</v>
      </c>
      <c r="P2107" s="1">
        <v>44218.370925925927</v>
      </c>
      <c r="Q2107">
        <v>58571</v>
      </c>
      <c r="R2107">
        <v>503</v>
      </c>
      <c r="S2107" t="b">
        <v>0</v>
      </c>
      <c r="T2107" t="s">
        <v>87</v>
      </c>
      <c r="U2107" t="b">
        <v>0</v>
      </c>
      <c r="V2107" t="s">
        <v>259</v>
      </c>
      <c r="W2107" s="1">
        <v>44217.692083333335</v>
      </c>
      <c r="X2107">
        <v>338</v>
      </c>
      <c r="Y2107">
        <v>52</v>
      </c>
      <c r="Z2107">
        <v>0</v>
      </c>
      <c r="AA2107">
        <v>52</v>
      </c>
      <c r="AB2107">
        <v>0</v>
      </c>
      <c r="AC2107">
        <v>27</v>
      </c>
      <c r="AD2107">
        <v>14</v>
      </c>
      <c r="AE2107">
        <v>0</v>
      </c>
      <c r="AF2107">
        <v>0</v>
      </c>
      <c r="AG2107">
        <v>0</v>
      </c>
      <c r="AH2107" t="s">
        <v>132</v>
      </c>
      <c r="AI2107" s="1">
        <v>44217.697233796294</v>
      </c>
      <c r="AJ2107">
        <v>75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14</v>
      </c>
      <c r="AQ2107">
        <v>0</v>
      </c>
      <c r="AR2107">
        <v>0</v>
      </c>
      <c r="AS2107">
        <v>0</v>
      </c>
      <c r="AT2107" t="s">
        <v>90</v>
      </c>
      <c r="AU2107" s="1">
        <v>44218.370925925927</v>
      </c>
      <c r="AV2107">
        <v>90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14</v>
      </c>
      <c r="BC2107">
        <v>0</v>
      </c>
      <c r="BD2107">
        <v>0</v>
      </c>
      <c r="BE2107">
        <v>0</v>
      </c>
    </row>
    <row r="2108" spans="1:57" x14ac:dyDescent="0.45">
      <c r="A2108" t="s">
        <v>5124</v>
      </c>
      <c r="B2108" t="s">
        <v>79</v>
      </c>
      <c r="C2108" t="s">
        <v>5125</v>
      </c>
      <c r="D2108" t="s">
        <v>81</v>
      </c>
      <c r="E2108" s="2" t="str">
        <f>HYPERLINK("capsilon://?command=openfolder&amp;siteaddress=FAM.docvelocity-na8.net&amp;folderid=FX28F0C413-94E5-A798-1678-78EFA0A431AC","FX201221082")</f>
        <v>FX201221082</v>
      </c>
      <c r="F2108" t="s">
        <v>19</v>
      </c>
      <c r="G2108" t="s">
        <v>19</v>
      </c>
      <c r="H2108" t="s">
        <v>82</v>
      </c>
      <c r="I2108" t="s">
        <v>5126</v>
      </c>
      <c r="J2108">
        <v>62</v>
      </c>
      <c r="K2108" t="s">
        <v>84</v>
      </c>
      <c r="L2108" t="s">
        <v>85</v>
      </c>
      <c r="M2108" t="s">
        <v>86</v>
      </c>
      <c r="N2108">
        <v>3</v>
      </c>
      <c r="O2108" s="1">
        <v>44217.690023148149</v>
      </c>
      <c r="P2108" s="1">
        <v>44218.371157407404</v>
      </c>
      <c r="Q2108">
        <v>56529</v>
      </c>
      <c r="R2108">
        <v>2321</v>
      </c>
      <c r="S2108" t="b">
        <v>0</v>
      </c>
      <c r="T2108" t="s">
        <v>87</v>
      </c>
      <c r="U2108" t="b">
        <v>0</v>
      </c>
      <c r="V2108" t="s">
        <v>146</v>
      </c>
      <c r="W2108" s="1">
        <v>44217.715451388889</v>
      </c>
      <c r="X2108">
        <v>2196</v>
      </c>
      <c r="Y2108">
        <v>83</v>
      </c>
      <c r="Z2108">
        <v>0</v>
      </c>
      <c r="AA2108">
        <v>83</v>
      </c>
      <c r="AB2108">
        <v>0</v>
      </c>
      <c r="AC2108">
        <v>54</v>
      </c>
      <c r="AD2108">
        <v>-21</v>
      </c>
      <c r="AE2108">
        <v>0</v>
      </c>
      <c r="AF2108">
        <v>0</v>
      </c>
      <c r="AG2108">
        <v>0</v>
      </c>
      <c r="AH2108" t="s">
        <v>132</v>
      </c>
      <c r="AI2108" s="1">
        <v>44217.720601851855</v>
      </c>
      <c r="AJ2108">
        <v>98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-21</v>
      </c>
      <c r="AQ2108">
        <v>0</v>
      </c>
      <c r="AR2108">
        <v>0</v>
      </c>
      <c r="AS2108">
        <v>0</v>
      </c>
      <c r="AT2108" t="s">
        <v>90</v>
      </c>
      <c r="AU2108" s="1">
        <v>44218.371157407404</v>
      </c>
      <c r="AV2108">
        <v>20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-21</v>
      </c>
      <c r="BC2108">
        <v>0</v>
      </c>
      <c r="BD2108">
        <v>0</v>
      </c>
      <c r="BE2108">
        <v>0</v>
      </c>
    </row>
    <row r="2109" spans="1:57" x14ac:dyDescent="0.45">
      <c r="A2109" t="s">
        <v>5127</v>
      </c>
      <c r="B2109" t="s">
        <v>79</v>
      </c>
      <c r="C2109" t="s">
        <v>4263</v>
      </c>
      <c r="D2109" t="s">
        <v>81</v>
      </c>
      <c r="E2109" s="2" t="str">
        <f>HYPERLINK("capsilon://?command=openfolder&amp;siteaddress=FAM.docvelocity-na8.net&amp;folderid=FX6898E36C-91A4-5539-DE53-14A610109486","FX210110257")</f>
        <v>FX210110257</v>
      </c>
      <c r="F2109" t="s">
        <v>19</v>
      </c>
      <c r="G2109" t="s">
        <v>19</v>
      </c>
      <c r="H2109" t="s">
        <v>82</v>
      </c>
      <c r="I2109" t="s">
        <v>5128</v>
      </c>
      <c r="J2109">
        <v>66</v>
      </c>
      <c r="K2109" t="s">
        <v>84</v>
      </c>
      <c r="L2109" t="s">
        <v>85</v>
      </c>
      <c r="M2109" t="s">
        <v>86</v>
      </c>
      <c r="N2109">
        <v>3</v>
      </c>
      <c r="O2109" s="1">
        <v>44217.690983796296</v>
      </c>
      <c r="P2109" s="1">
        <v>44218.37127314815</v>
      </c>
      <c r="Q2109">
        <v>58108</v>
      </c>
      <c r="R2109">
        <v>669</v>
      </c>
      <c r="S2109" t="b">
        <v>0</v>
      </c>
      <c r="T2109" t="s">
        <v>87</v>
      </c>
      <c r="U2109" t="b">
        <v>0</v>
      </c>
      <c r="V2109" t="s">
        <v>259</v>
      </c>
      <c r="W2109" s="1">
        <v>44217.698460648149</v>
      </c>
      <c r="X2109">
        <v>550</v>
      </c>
      <c r="Y2109">
        <v>52</v>
      </c>
      <c r="Z2109">
        <v>0</v>
      </c>
      <c r="AA2109">
        <v>52</v>
      </c>
      <c r="AB2109">
        <v>0</v>
      </c>
      <c r="AC2109">
        <v>36</v>
      </c>
      <c r="AD2109">
        <v>14</v>
      </c>
      <c r="AE2109">
        <v>0</v>
      </c>
      <c r="AF2109">
        <v>0</v>
      </c>
      <c r="AG2109">
        <v>0</v>
      </c>
      <c r="AH2109" t="s">
        <v>132</v>
      </c>
      <c r="AI2109" s="1">
        <v>44217.700856481482</v>
      </c>
      <c r="AJ2109">
        <v>110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14</v>
      </c>
      <c r="AQ2109">
        <v>0</v>
      </c>
      <c r="AR2109">
        <v>0</v>
      </c>
      <c r="AS2109">
        <v>0</v>
      </c>
      <c r="AT2109" t="s">
        <v>90</v>
      </c>
      <c r="AU2109" s="1">
        <v>44218.37127314815</v>
      </c>
      <c r="AV2109">
        <v>9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14</v>
      </c>
      <c r="BC2109">
        <v>0</v>
      </c>
      <c r="BD2109">
        <v>0</v>
      </c>
      <c r="BE2109">
        <v>0</v>
      </c>
    </row>
    <row r="2110" spans="1:57" x14ac:dyDescent="0.45">
      <c r="A2110" t="s">
        <v>5129</v>
      </c>
      <c r="B2110" t="s">
        <v>79</v>
      </c>
      <c r="C2110" t="s">
        <v>4684</v>
      </c>
      <c r="D2110" t="s">
        <v>81</v>
      </c>
      <c r="E2110" s="2" t="str">
        <f>HYPERLINK("capsilon://?command=openfolder&amp;siteaddress=FAM.docvelocity-na8.net&amp;folderid=FXDB42A82A-23F6-8F9D-7BD5-E55057993E89","FX21019882")</f>
        <v>FX21019882</v>
      </c>
      <c r="F2110" t="s">
        <v>19</v>
      </c>
      <c r="G2110" t="s">
        <v>19</v>
      </c>
      <c r="H2110" t="s">
        <v>82</v>
      </c>
      <c r="I2110" t="s">
        <v>5130</v>
      </c>
      <c r="J2110">
        <v>66</v>
      </c>
      <c r="K2110" t="s">
        <v>84</v>
      </c>
      <c r="L2110" t="s">
        <v>85</v>
      </c>
      <c r="M2110" t="s">
        <v>86</v>
      </c>
      <c r="N2110">
        <v>3</v>
      </c>
      <c r="O2110" s="1">
        <v>44217.693784722222</v>
      </c>
      <c r="P2110" s="1">
        <v>44218.371354166666</v>
      </c>
      <c r="Q2110">
        <v>58056</v>
      </c>
      <c r="R2110">
        <v>486</v>
      </c>
      <c r="S2110" t="b">
        <v>0</v>
      </c>
      <c r="T2110" t="s">
        <v>87</v>
      </c>
      <c r="U2110" t="b">
        <v>0</v>
      </c>
      <c r="V2110" t="s">
        <v>255</v>
      </c>
      <c r="W2110" s="1">
        <v>44217.698854166665</v>
      </c>
      <c r="X2110">
        <v>272</v>
      </c>
      <c r="Y2110">
        <v>52</v>
      </c>
      <c r="Z2110">
        <v>0</v>
      </c>
      <c r="AA2110">
        <v>52</v>
      </c>
      <c r="AB2110">
        <v>0</v>
      </c>
      <c r="AC2110">
        <v>31</v>
      </c>
      <c r="AD2110">
        <v>14</v>
      </c>
      <c r="AE2110">
        <v>0</v>
      </c>
      <c r="AF2110">
        <v>0</v>
      </c>
      <c r="AG2110">
        <v>0</v>
      </c>
      <c r="AH2110" t="s">
        <v>94</v>
      </c>
      <c r="AI2110" s="1">
        <v>44217.702407407407</v>
      </c>
      <c r="AJ2110">
        <v>208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14</v>
      </c>
      <c r="AQ2110">
        <v>0</v>
      </c>
      <c r="AR2110">
        <v>0</v>
      </c>
      <c r="AS2110">
        <v>0</v>
      </c>
      <c r="AT2110" t="s">
        <v>90</v>
      </c>
      <c r="AU2110" s="1">
        <v>44218.371354166666</v>
      </c>
      <c r="AV2110">
        <v>6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14</v>
      </c>
      <c r="BC2110">
        <v>0</v>
      </c>
      <c r="BD2110">
        <v>0</v>
      </c>
      <c r="BE2110">
        <v>0</v>
      </c>
    </row>
    <row r="2111" spans="1:57" x14ac:dyDescent="0.45">
      <c r="A2111" t="s">
        <v>5131</v>
      </c>
      <c r="B2111" t="s">
        <v>79</v>
      </c>
      <c r="C2111" t="s">
        <v>2003</v>
      </c>
      <c r="D2111" t="s">
        <v>81</v>
      </c>
      <c r="E2111" s="2" t="str">
        <f>HYPERLINK("capsilon://?command=openfolder&amp;siteaddress=FAM.docvelocity-na8.net&amp;folderid=FX75BF8B35-6081-860F-8F3D-5E12FD24D5F9","FX201116822")</f>
        <v>FX201116822</v>
      </c>
      <c r="F2111" t="s">
        <v>19</v>
      </c>
      <c r="G2111" t="s">
        <v>19</v>
      </c>
      <c r="H2111" t="s">
        <v>82</v>
      </c>
      <c r="I2111" t="s">
        <v>5132</v>
      </c>
      <c r="J2111">
        <v>43</v>
      </c>
      <c r="K2111" t="s">
        <v>84</v>
      </c>
      <c r="L2111" t="s">
        <v>85</v>
      </c>
      <c r="M2111" t="s">
        <v>86</v>
      </c>
      <c r="N2111">
        <v>3</v>
      </c>
      <c r="O2111" s="1">
        <v>44217.695659722223</v>
      </c>
      <c r="P2111" s="1">
        <v>44218.371967592589</v>
      </c>
      <c r="Q2111">
        <v>57149</v>
      </c>
      <c r="R2111">
        <v>1284</v>
      </c>
      <c r="S2111" t="b">
        <v>0</v>
      </c>
      <c r="T2111" t="s">
        <v>87</v>
      </c>
      <c r="U2111" t="b">
        <v>0</v>
      </c>
      <c r="V2111" t="s">
        <v>179</v>
      </c>
      <c r="W2111" s="1">
        <v>44217.709432870368</v>
      </c>
      <c r="X2111">
        <v>1098</v>
      </c>
      <c r="Y2111">
        <v>36</v>
      </c>
      <c r="Z2111">
        <v>0</v>
      </c>
      <c r="AA2111">
        <v>36</v>
      </c>
      <c r="AB2111">
        <v>0</v>
      </c>
      <c r="AC2111">
        <v>21</v>
      </c>
      <c r="AD2111">
        <v>7</v>
      </c>
      <c r="AE2111">
        <v>0</v>
      </c>
      <c r="AF2111">
        <v>0</v>
      </c>
      <c r="AG2111">
        <v>0</v>
      </c>
      <c r="AH2111" t="s">
        <v>132</v>
      </c>
      <c r="AI2111" s="1">
        <v>44217.72216435185</v>
      </c>
      <c r="AJ2111">
        <v>134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7</v>
      </c>
      <c r="AQ2111">
        <v>0</v>
      </c>
      <c r="AR2111">
        <v>0</v>
      </c>
      <c r="AS2111">
        <v>0</v>
      </c>
      <c r="AT2111" t="s">
        <v>90</v>
      </c>
      <c r="AU2111" s="1">
        <v>44218.371967592589</v>
      </c>
      <c r="AV2111">
        <v>52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7</v>
      </c>
      <c r="BC2111">
        <v>0</v>
      </c>
      <c r="BD2111">
        <v>0</v>
      </c>
      <c r="BE2111">
        <v>0</v>
      </c>
    </row>
    <row r="2112" spans="1:57" x14ac:dyDescent="0.45">
      <c r="A2112" t="s">
        <v>5133</v>
      </c>
      <c r="B2112" t="s">
        <v>79</v>
      </c>
      <c r="C2112" t="s">
        <v>4512</v>
      </c>
      <c r="D2112" t="s">
        <v>81</v>
      </c>
      <c r="E2112" s="2" t="str">
        <f>HYPERLINK("capsilon://?command=openfolder&amp;siteaddress=FAM.docvelocity-na8.net&amp;folderid=FX6875B3BD-BF01-97BD-5B2D-ECBDD9FE3AFE","FX210111553")</f>
        <v>FX210111553</v>
      </c>
      <c r="F2112" t="s">
        <v>19</v>
      </c>
      <c r="G2112" t="s">
        <v>19</v>
      </c>
      <c r="H2112" t="s">
        <v>82</v>
      </c>
      <c r="I2112" t="s">
        <v>5134</v>
      </c>
      <c r="J2112">
        <v>66</v>
      </c>
      <c r="K2112" t="s">
        <v>84</v>
      </c>
      <c r="L2112" t="s">
        <v>85</v>
      </c>
      <c r="M2112" t="s">
        <v>86</v>
      </c>
      <c r="N2112">
        <v>3</v>
      </c>
      <c r="O2112" s="1">
        <v>44217.695763888885</v>
      </c>
      <c r="P2112" s="1">
        <v>44218.372094907405</v>
      </c>
      <c r="Q2112">
        <v>57632</v>
      </c>
      <c r="R2112">
        <v>803</v>
      </c>
      <c r="S2112" t="b">
        <v>0</v>
      </c>
      <c r="T2112" t="s">
        <v>87</v>
      </c>
      <c r="U2112" t="b">
        <v>0</v>
      </c>
      <c r="V2112" t="s">
        <v>259</v>
      </c>
      <c r="W2112" s="1">
        <v>44217.701678240737</v>
      </c>
      <c r="X2112">
        <v>277</v>
      </c>
      <c r="Y2112">
        <v>52</v>
      </c>
      <c r="Z2112">
        <v>0</v>
      </c>
      <c r="AA2112">
        <v>52</v>
      </c>
      <c r="AB2112">
        <v>0</v>
      </c>
      <c r="AC2112">
        <v>27</v>
      </c>
      <c r="AD2112">
        <v>14</v>
      </c>
      <c r="AE2112">
        <v>0</v>
      </c>
      <c r="AF2112">
        <v>0</v>
      </c>
      <c r="AG2112">
        <v>0</v>
      </c>
      <c r="AH2112" t="s">
        <v>94</v>
      </c>
      <c r="AI2112" s="1">
        <v>44217.708391203705</v>
      </c>
      <c r="AJ2112">
        <v>516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14</v>
      </c>
      <c r="AQ2112">
        <v>0</v>
      </c>
      <c r="AR2112">
        <v>0</v>
      </c>
      <c r="AS2112">
        <v>0</v>
      </c>
      <c r="AT2112" t="s">
        <v>90</v>
      </c>
      <c r="AU2112" s="1">
        <v>44218.372094907405</v>
      </c>
      <c r="AV2112">
        <v>10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14</v>
      </c>
      <c r="BC2112">
        <v>0</v>
      </c>
      <c r="BD2112">
        <v>0</v>
      </c>
      <c r="BE2112">
        <v>0</v>
      </c>
    </row>
    <row r="2113" spans="1:57" x14ac:dyDescent="0.45">
      <c r="A2113" t="s">
        <v>5135</v>
      </c>
      <c r="B2113" t="s">
        <v>79</v>
      </c>
      <c r="C2113" t="s">
        <v>5136</v>
      </c>
      <c r="D2113" t="s">
        <v>81</v>
      </c>
      <c r="E2113" s="2" t="str">
        <f>HYPERLINK("capsilon://?command=openfolder&amp;siteaddress=FAM.docvelocity-na8.net&amp;folderid=FXD653ADCA-4679-E228-2102-CCFC4A243087","FX201225209")</f>
        <v>FX201225209</v>
      </c>
      <c r="F2113" t="s">
        <v>19</v>
      </c>
      <c r="G2113" t="s">
        <v>19</v>
      </c>
      <c r="H2113" t="s">
        <v>82</v>
      </c>
      <c r="I2113" t="s">
        <v>5137</v>
      </c>
      <c r="J2113">
        <v>38</v>
      </c>
      <c r="K2113" t="s">
        <v>84</v>
      </c>
      <c r="L2113" t="s">
        <v>85</v>
      </c>
      <c r="M2113" t="s">
        <v>86</v>
      </c>
      <c r="N2113">
        <v>3</v>
      </c>
      <c r="O2113" s="1">
        <v>44217.702326388891</v>
      </c>
      <c r="P2113" s="1">
        <v>44218.372164351851</v>
      </c>
      <c r="Q2113">
        <v>56842</v>
      </c>
      <c r="R2113">
        <v>1032</v>
      </c>
      <c r="S2113" t="b">
        <v>0</v>
      </c>
      <c r="T2113" t="s">
        <v>87</v>
      </c>
      <c r="U2113" t="b">
        <v>0</v>
      </c>
      <c r="V2113" t="s">
        <v>171</v>
      </c>
      <c r="W2113" s="1">
        <v>44217.712199074071</v>
      </c>
      <c r="X2113">
        <v>852</v>
      </c>
      <c r="Y2113">
        <v>37</v>
      </c>
      <c r="Z2113">
        <v>0</v>
      </c>
      <c r="AA2113">
        <v>37</v>
      </c>
      <c r="AB2113">
        <v>0</v>
      </c>
      <c r="AC2113">
        <v>14</v>
      </c>
      <c r="AD2113">
        <v>1</v>
      </c>
      <c r="AE2113">
        <v>0</v>
      </c>
      <c r="AF2113">
        <v>0</v>
      </c>
      <c r="AG2113">
        <v>0</v>
      </c>
      <c r="AH2113" t="s">
        <v>94</v>
      </c>
      <c r="AI2113" s="1">
        <v>44217.72320601852</v>
      </c>
      <c r="AJ2113">
        <v>174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 t="s">
        <v>90</v>
      </c>
      <c r="AU2113" s="1">
        <v>44218.372164351851</v>
      </c>
      <c r="AV2113">
        <v>6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</row>
    <row r="2114" spans="1:57" x14ac:dyDescent="0.45">
      <c r="A2114" t="s">
        <v>5138</v>
      </c>
      <c r="B2114" t="s">
        <v>79</v>
      </c>
      <c r="C2114" t="s">
        <v>5139</v>
      </c>
      <c r="D2114" t="s">
        <v>81</v>
      </c>
      <c r="E2114" s="2" t="str">
        <f>HYPERLINK("capsilon://?command=openfolder&amp;siteaddress=FAM.docvelocity-na8.net&amp;folderid=FX77C3F65C-0FA6-40DA-8EBD-C38F2762C4F0","FX201228633")</f>
        <v>FX201228633</v>
      </c>
      <c r="F2114" t="s">
        <v>19</v>
      </c>
      <c r="G2114" t="s">
        <v>19</v>
      </c>
      <c r="H2114" t="s">
        <v>82</v>
      </c>
      <c r="I2114" t="s">
        <v>5140</v>
      </c>
      <c r="J2114">
        <v>572</v>
      </c>
      <c r="K2114" t="s">
        <v>84</v>
      </c>
      <c r="L2114" t="s">
        <v>85</v>
      </c>
      <c r="M2114" t="s">
        <v>86</v>
      </c>
      <c r="N2114">
        <v>3</v>
      </c>
      <c r="O2114" s="1">
        <v>44201.480231481481</v>
      </c>
      <c r="P2114" s="1">
        <v>44201.592951388891</v>
      </c>
      <c r="Q2114">
        <v>3343</v>
      </c>
      <c r="R2114">
        <v>6396</v>
      </c>
      <c r="S2114" t="b">
        <v>0</v>
      </c>
      <c r="T2114" t="s">
        <v>87</v>
      </c>
      <c r="U2114" t="b">
        <v>0</v>
      </c>
      <c r="V2114" t="s">
        <v>419</v>
      </c>
      <c r="W2114" s="1">
        <v>44201.550196759257</v>
      </c>
      <c r="X2114">
        <v>4982</v>
      </c>
      <c r="Y2114">
        <v>539</v>
      </c>
      <c r="Z2114">
        <v>0</v>
      </c>
      <c r="AA2114">
        <v>539</v>
      </c>
      <c r="AB2114">
        <v>0</v>
      </c>
      <c r="AC2114">
        <v>318</v>
      </c>
      <c r="AD2114">
        <v>33</v>
      </c>
      <c r="AE2114">
        <v>0</v>
      </c>
      <c r="AF2114">
        <v>0</v>
      </c>
      <c r="AG2114">
        <v>0</v>
      </c>
      <c r="AH2114" t="s">
        <v>128</v>
      </c>
      <c r="AI2114" s="1">
        <v>44201.575810185182</v>
      </c>
      <c r="AJ2114">
        <v>1225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33</v>
      </c>
      <c r="AQ2114">
        <v>0</v>
      </c>
      <c r="AR2114">
        <v>0</v>
      </c>
      <c r="AS2114">
        <v>0</v>
      </c>
      <c r="AT2114" t="s">
        <v>90</v>
      </c>
      <c r="AU2114" s="1">
        <v>44201.592951388891</v>
      </c>
      <c r="AV2114">
        <v>42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33</v>
      </c>
      <c r="BC2114">
        <v>0</v>
      </c>
      <c r="BD2114">
        <v>0</v>
      </c>
      <c r="BE2114">
        <v>0</v>
      </c>
    </row>
    <row r="2115" spans="1:57" hidden="1" x14ac:dyDescent="0.45">
      <c r="A2115" t="s">
        <v>5141</v>
      </c>
      <c r="B2115" t="s">
        <v>79</v>
      </c>
      <c r="C2115" t="s">
        <v>5142</v>
      </c>
      <c r="D2115" t="s">
        <v>81</v>
      </c>
      <c r="E2115" s="2" t="str">
        <f>HYPERLINK("capsilon://?command=openfolder&amp;siteaddress=FAM.docvelocity-na8.net&amp;folderid=FXFD6C88FE-7930-B70C-63F6-7D97272C2F1C","FX201222136")</f>
        <v>FX201222136</v>
      </c>
      <c r="F2115" t="s">
        <v>19</v>
      </c>
      <c r="G2115" t="s">
        <v>19</v>
      </c>
      <c r="H2115" t="s">
        <v>82</v>
      </c>
      <c r="I2115" t="s">
        <v>5143</v>
      </c>
      <c r="J2115">
        <v>38</v>
      </c>
      <c r="K2115" t="s">
        <v>84</v>
      </c>
      <c r="L2115" t="s">
        <v>85</v>
      </c>
      <c r="M2115" t="s">
        <v>86</v>
      </c>
      <c r="N2115">
        <v>1</v>
      </c>
      <c r="O2115" s="1">
        <v>44201.480590277781</v>
      </c>
      <c r="P2115" s="1">
        <v>44201.494826388887</v>
      </c>
      <c r="Q2115">
        <v>1053</v>
      </c>
      <c r="R2115">
        <v>177</v>
      </c>
      <c r="S2115" t="b">
        <v>0</v>
      </c>
      <c r="T2115" t="s">
        <v>87</v>
      </c>
      <c r="U2115" t="b">
        <v>0</v>
      </c>
      <c r="V2115" t="s">
        <v>262</v>
      </c>
      <c r="W2115" s="1">
        <v>44201.494826388887</v>
      </c>
      <c r="X2115">
        <v>177</v>
      </c>
      <c r="Y2115">
        <v>1</v>
      </c>
      <c r="Z2115">
        <v>0</v>
      </c>
      <c r="AA2115">
        <v>1</v>
      </c>
      <c r="AB2115">
        <v>0</v>
      </c>
      <c r="AC2115">
        <v>2</v>
      </c>
      <c r="AD2115">
        <v>37</v>
      </c>
      <c r="AE2115">
        <v>37</v>
      </c>
      <c r="AF2115">
        <v>0</v>
      </c>
      <c r="AG2115">
        <v>1</v>
      </c>
      <c r="AH2115" t="s">
        <v>87</v>
      </c>
      <c r="AI2115" t="s">
        <v>87</v>
      </c>
      <c r="AJ2115" t="s">
        <v>87</v>
      </c>
      <c r="AK2115" t="s">
        <v>87</v>
      </c>
      <c r="AL2115" t="s">
        <v>87</v>
      </c>
      <c r="AM2115" t="s">
        <v>87</v>
      </c>
      <c r="AN2115" t="s">
        <v>87</v>
      </c>
      <c r="AO2115" t="s">
        <v>87</v>
      </c>
      <c r="AP2115" t="s">
        <v>87</v>
      </c>
      <c r="AQ2115" t="s">
        <v>87</v>
      </c>
      <c r="AR2115" t="s">
        <v>87</v>
      </c>
      <c r="AS2115" t="s">
        <v>87</v>
      </c>
      <c r="AT2115" t="s">
        <v>87</v>
      </c>
      <c r="AU2115" t="s">
        <v>87</v>
      </c>
      <c r="AV2115" t="s">
        <v>87</v>
      </c>
      <c r="AW2115" t="s">
        <v>87</v>
      </c>
      <c r="AX2115" t="s">
        <v>87</v>
      </c>
      <c r="AY2115" t="s">
        <v>87</v>
      </c>
      <c r="AZ2115" t="s">
        <v>87</v>
      </c>
      <c r="BA2115" t="s">
        <v>87</v>
      </c>
      <c r="BB2115" t="s">
        <v>87</v>
      </c>
      <c r="BC2115" t="s">
        <v>87</v>
      </c>
      <c r="BD2115" t="s">
        <v>87</v>
      </c>
      <c r="BE2115" t="s">
        <v>87</v>
      </c>
    </row>
    <row r="2116" spans="1:57" x14ac:dyDescent="0.45">
      <c r="A2116" t="s">
        <v>5144</v>
      </c>
      <c r="B2116" t="s">
        <v>79</v>
      </c>
      <c r="C2116" t="s">
        <v>980</v>
      </c>
      <c r="D2116" t="s">
        <v>81</v>
      </c>
      <c r="E2116" s="2" t="str">
        <f>HYPERLINK("capsilon://?command=openfolder&amp;siteaddress=FAM.docvelocity-na8.net&amp;folderid=FX88E79DC1-11E1-8934-EA03-3CAC9FBB0112","FX20123051")</f>
        <v>FX20123051</v>
      </c>
      <c r="F2116" t="s">
        <v>19</v>
      </c>
      <c r="G2116" t="s">
        <v>19</v>
      </c>
      <c r="H2116" t="s">
        <v>82</v>
      </c>
      <c r="I2116" t="s">
        <v>5145</v>
      </c>
      <c r="J2116">
        <v>31</v>
      </c>
      <c r="K2116" t="s">
        <v>84</v>
      </c>
      <c r="L2116" t="s">
        <v>85</v>
      </c>
      <c r="M2116" t="s">
        <v>86</v>
      </c>
      <c r="N2116">
        <v>3</v>
      </c>
      <c r="O2116" s="1">
        <v>44217.718182870369</v>
      </c>
      <c r="P2116" s="1">
        <v>44218.372442129628</v>
      </c>
      <c r="Q2116">
        <v>54938</v>
      </c>
      <c r="R2116">
        <v>1590</v>
      </c>
      <c r="S2116" t="b">
        <v>0</v>
      </c>
      <c r="T2116" t="s">
        <v>87</v>
      </c>
      <c r="U2116" t="b">
        <v>0</v>
      </c>
      <c r="V2116" t="s">
        <v>179</v>
      </c>
      <c r="W2116" s="1">
        <v>44217.73542824074</v>
      </c>
      <c r="X2116">
        <v>1488</v>
      </c>
      <c r="Y2116">
        <v>40</v>
      </c>
      <c r="Z2116">
        <v>0</v>
      </c>
      <c r="AA2116">
        <v>40</v>
      </c>
      <c r="AB2116">
        <v>0</v>
      </c>
      <c r="AC2116">
        <v>35</v>
      </c>
      <c r="AD2116">
        <v>-9</v>
      </c>
      <c r="AE2116">
        <v>0</v>
      </c>
      <c r="AF2116">
        <v>0</v>
      </c>
      <c r="AG2116">
        <v>0</v>
      </c>
      <c r="AH2116" t="s">
        <v>132</v>
      </c>
      <c r="AI2116" s="1">
        <v>44217.737060185187</v>
      </c>
      <c r="AJ2116">
        <v>79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-9</v>
      </c>
      <c r="AQ2116">
        <v>0</v>
      </c>
      <c r="AR2116">
        <v>0</v>
      </c>
      <c r="AS2116">
        <v>0</v>
      </c>
      <c r="AT2116" t="s">
        <v>90</v>
      </c>
      <c r="AU2116" s="1">
        <v>44218.372442129628</v>
      </c>
      <c r="AV2116">
        <v>23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-9</v>
      </c>
      <c r="BC2116">
        <v>0</v>
      </c>
      <c r="BD2116">
        <v>0</v>
      </c>
      <c r="BE2116">
        <v>0</v>
      </c>
    </row>
    <row r="2117" spans="1:57" hidden="1" x14ac:dyDescent="0.45">
      <c r="A2117" t="s">
        <v>5146</v>
      </c>
      <c r="B2117" t="s">
        <v>79</v>
      </c>
      <c r="C2117" t="s">
        <v>5147</v>
      </c>
      <c r="D2117" t="s">
        <v>81</v>
      </c>
      <c r="E2117" s="2" t="str">
        <f>HYPERLINK("capsilon://?command=openfolder&amp;siteaddress=FAM.docvelocity-na8.net&amp;folderid=FX38BB4C63-0877-36DE-4729-EAEEACF784A5","FX20122937")</f>
        <v>FX20122937</v>
      </c>
      <c r="F2117" t="s">
        <v>19</v>
      </c>
      <c r="G2117" t="s">
        <v>19</v>
      </c>
      <c r="H2117" t="s">
        <v>82</v>
      </c>
      <c r="I2117" t="s">
        <v>5148</v>
      </c>
      <c r="J2117">
        <v>66</v>
      </c>
      <c r="K2117" t="s">
        <v>84</v>
      </c>
      <c r="L2117" t="s">
        <v>85</v>
      </c>
      <c r="M2117" t="s">
        <v>86</v>
      </c>
      <c r="N2117">
        <v>1</v>
      </c>
      <c r="O2117" s="1">
        <v>44217.71837962963</v>
      </c>
      <c r="P2117" s="1">
        <v>44217.720972222225</v>
      </c>
      <c r="Q2117">
        <v>0</v>
      </c>
      <c r="R2117">
        <v>224</v>
      </c>
      <c r="S2117" t="b">
        <v>0</v>
      </c>
      <c r="T2117" t="s">
        <v>87</v>
      </c>
      <c r="U2117" t="b">
        <v>0</v>
      </c>
      <c r="V2117" t="s">
        <v>179</v>
      </c>
      <c r="W2117" s="1">
        <v>44217.720972222225</v>
      </c>
      <c r="X2117">
        <v>224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66</v>
      </c>
      <c r="AE2117">
        <v>52</v>
      </c>
      <c r="AF2117">
        <v>0</v>
      </c>
      <c r="AG2117">
        <v>1</v>
      </c>
      <c r="AH2117" t="s">
        <v>87</v>
      </c>
      <c r="AI2117" t="s">
        <v>87</v>
      </c>
      <c r="AJ2117" t="s">
        <v>87</v>
      </c>
      <c r="AK2117" t="s">
        <v>87</v>
      </c>
      <c r="AL2117" t="s">
        <v>87</v>
      </c>
      <c r="AM2117" t="s">
        <v>87</v>
      </c>
      <c r="AN2117" t="s">
        <v>87</v>
      </c>
      <c r="AO2117" t="s">
        <v>87</v>
      </c>
      <c r="AP2117" t="s">
        <v>87</v>
      </c>
      <c r="AQ2117" t="s">
        <v>87</v>
      </c>
      <c r="AR2117" t="s">
        <v>87</v>
      </c>
      <c r="AS2117" t="s">
        <v>87</v>
      </c>
      <c r="AT2117" t="s">
        <v>87</v>
      </c>
      <c r="AU2117" t="s">
        <v>87</v>
      </c>
      <c r="AV2117" t="s">
        <v>87</v>
      </c>
      <c r="AW2117" t="s">
        <v>87</v>
      </c>
      <c r="AX2117" t="s">
        <v>87</v>
      </c>
      <c r="AY2117" t="s">
        <v>87</v>
      </c>
      <c r="AZ2117" t="s">
        <v>87</v>
      </c>
      <c r="BA2117" t="s">
        <v>87</v>
      </c>
      <c r="BB2117" t="s">
        <v>87</v>
      </c>
      <c r="BC2117" t="s">
        <v>87</v>
      </c>
      <c r="BD2117" t="s">
        <v>87</v>
      </c>
      <c r="BE2117" t="s">
        <v>87</v>
      </c>
    </row>
    <row r="2118" spans="1:57" x14ac:dyDescent="0.45">
      <c r="A2118" t="s">
        <v>5149</v>
      </c>
      <c r="B2118" t="s">
        <v>79</v>
      </c>
      <c r="C2118" t="s">
        <v>374</v>
      </c>
      <c r="D2118" t="s">
        <v>81</v>
      </c>
      <c r="E2118" s="2" t="str">
        <f>HYPERLINK("capsilon://?command=openfolder&amp;siteaddress=FAM.docvelocity-na8.net&amp;folderid=FX9DB31829-F916-2D88-3A11-1694C448F202","FX21016484")</f>
        <v>FX21016484</v>
      </c>
      <c r="F2118" t="s">
        <v>19</v>
      </c>
      <c r="G2118" t="s">
        <v>19</v>
      </c>
      <c r="H2118" t="s">
        <v>82</v>
      </c>
      <c r="I2118" t="s">
        <v>5150</v>
      </c>
      <c r="J2118">
        <v>49</v>
      </c>
      <c r="K2118" t="s">
        <v>84</v>
      </c>
      <c r="L2118" t="s">
        <v>85</v>
      </c>
      <c r="M2118" t="s">
        <v>86</v>
      </c>
      <c r="N2118">
        <v>3</v>
      </c>
      <c r="O2118" s="1">
        <v>44217.720532407409</v>
      </c>
      <c r="P2118" s="1">
        <v>44218.372696759259</v>
      </c>
      <c r="Q2118">
        <v>55370</v>
      </c>
      <c r="R2118">
        <v>977</v>
      </c>
      <c r="S2118" t="b">
        <v>0</v>
      </c>
      <c r="T2118" t="s">
        <v>87</v>
      </c>
      <c r="U2118" t="b">
        <v>0</v>
      </c>
      <c r="V2118" t="s">
        <v>255</v>
      </c>
      <c r="W2118" s="1">
        <v>44217.729386574072</v>
      </c>
      <c r="X2118">
        <v>757</v>
      </c>
      <c r="Y2118">
        <v>127</v>
      </c>
      <c r="Z2118">
        <v>0</v>
      </c>
      <c r="AA2118">
        <v>127</v>
      </c>
      <c r="AB2118">
        <v>0</v>
      </c>
      <c r="AC2118">
        <v>74</v>
      </c>
      <c r="AD2118">
        <v>-78</v>
      </c>
      <c r="AE2118">
        <v>0</v>
      </c>
      <c r="AF2118">
        <v>0</v>
      </c>
      <c r="AG2118">
        <v>0</v>
      </c>
      <c r="AH2118" t="s">
        <v>132</v>
      </c>
      <c r="AI2118" s="1">
        <v>44217.736134259256</v>
      </c>
      <c r="AJ2118">
        <v>199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-78</v>
      </c>
      <c r="AQ2118">
        <v>0</v>
      </c>
      <c r="AR2118">
        <v>0</v>
      </c>
      <c r="AS2118">
        <v>0</v>
      </c>
      <c r="AT2118" t="s">
        <v>90</v>
      </c>
      <c r="AU2118" s="1">
        <v>44218.372696759259</v>
      </c>
      <c r="AV2118">
        <v>21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-78</v>
      </c>
      <c r="BC2118">
        <v>0</v>
      </c>
      <c r="BD2118">
        <v>0</v>
      </c>
      <c r="BE2118">
        <v>0</v>
      </c>
    </row>
    <row r="2119" spans="1:57" x14ac:dyDescent="0.45">
      <c r="A2119" t="s">
        <v>5151</v>
      </c>
      <c r="B2119" t="s">
        <v>79</v>
      </c>
      <c r="C2119" t="s">
        <v>5147</v>
      </c>
      <c r="D2119" t="s">
        <v>81</v>
      </c>
      <c r="E2119" s="2" t="str">
        <f>HYPERLINK("capsilon://?command=openfolder&amp;siteaddress=FAM.docvelocity-na8.net&amp;folderid=FX38BB4C63-0877-36DE-4729-EAEEACF784A5","FX20122937")</f>
        <v>FX20122937</v>
      </c>
      <c r="F2119" t="s">
        <v>19</v>
      </c>
      <c r="G2119" t="s">
        <v>19</v>
      </c>
      <c r="H2119" t="s">
        <v>82</v>
      </c>
      <c r="I2119" t="s">
        <v>5148</v>
      </c>
      <c r="J2119">
        <v>38</v>
      </c>
      <c r="K2119" t="s">
        <v>84</v>
      </c>
      <c r="L2119" t="s">
        <v>85</v>
      </c>
      <c r="M2119" t="s">
        <v>86</v>
      </c>
      <c r="N2119">
        <v>3</v>
      </c>
      <c r="O2119" s="1">
        <v>44217.721284722225</v>
      </c>
      <c r="P2119" s="1">
        <v>44218.348946759259</v>
      </c>
      <c r="Q2119">
        <v>53535</v>
      </c>
      <c r="R2119">
        <v>695</v>
      </c>
      <c r="S2119" t="b">
        <v>0</v>
      </c>
      <c r="T2119" t="s">
        <v>87</v>
      </c>
      <c r="U2119" t="b">
        <v>1</v>
      </c>
      <c r="V2119" t="s">
        <v>343</v>
      </c>
      <c r="W2119" s="1">
        <v>44217.728634259256</v>
      </c>
      <c r="X2119">
        <v>587</v>
      </c>
      <c r="Y2119">
        <v>37</v>
      </c>
      <c r="Z2119">
        <v>0</v>
      </c>
      <c r="AA2119">
        <v>37</v>
      </c>
      <c r="AB2119">
        <v>0</v>
      </c>
      <c r="AC2119">
        <v>33</v>
      </c>
      <c r="AD2119">
        <v>1</v>
      </c>
      <c r="AE2119">
        <v>0</v>
      </c>
      <c r="AF2119">
        <v>0</v>
      </c>
      <c r="AG2119">
        <v>0</v>
      </c>
      <c r="AH2119" t="s">
        <v>132</v>
      </c>
      <c r="AI2119" s="1">
        <v>44217.733819444446</v>
      </c>
      <c r="AJ2119">
        <v>103</v>
      </c>
      <c r="AK2119">
        <v>13</v>
      </c>
      <c r="AL2119">
        <v>0</v>
      </c>
      <c r="AM2119">
        <v>13</v>
      </c>
      <c r="AN2119">
        <v>0</v>
      </c>
      <c r="AO2119">
        <v>12</v>
      </c>
      <c r="AP2119">
        <v>-12</v>
      </c>
      <c r="AQ2119">
        <v>0</v>
      </c>
      <c r="AR2119">
        <v>0</v>
      </c>
      <c r="AS2119">
        <v>0</v>
      </c>
      <c r="AT2119" t="s">
        <v>90</v>
      </c>
      <c r="AU2119" s="1">
        <v>44218.348946759259</v>
      </c>
      <c r="AV2119">
        <v>5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-12</v>
      </c>
      <c r="BC2119">
        <v>0</v>
      </c>
      <c r="BD2119">
        <v>0</v>
      </c>
      <c r="BE2119">
        <v>0</v>
      </c>
    </row>
    <row r="2120" spans="1:57" x14ac:dyDescent="0.45">
      <c r="A2120" t="s">
        <v>5152</v>
      </c>
      <c r="B2120" t="s">
        <v>79</v>
      </c>
      <c r="C2120" t="s">
        <v>3818</v>
      </c>
      <c r="D2120" t="s">
        <v>81</v>
      </c>
      <c r="E2120" s="2" t="str">
        <f>HYPERLINK("capsilon://?command=openfolder&amp;siteaddress=FAM.docvelocity-na8.net&amp;folderid=FX9B9BF4AD-6D7A-9E57-624C-798B6222C92B","FX20125969")</f>
        <v>FX20125969</v>
      </c>
      <c r="F2120" t="s">
        <v>19</v>
      </c>
      <c r="G2120" t="s">
        <v>19</v>
      </c>
      <c r="H2120" t="s">
        <v>82</v>
      </c>
      <c r="I2120" t="s">
        <v>5153</v>
      </c>
      <c r="J2120">
        <v>176</v>
      </c>
      <c r="K2120" t="s">
        <v>84</v>
      </c>
      <c r="L2120" t="s">
        <v>85</v>
      </c>
      <c r="M2120" t="s">
        <v>86</v>
      </c>
      <c r="N2120">
        <v>3</v>
      </c>
      <c r="O2120" s="1">
        <v>44217.727870370371</v>
      </c>
      <c r="P2120" s="1">
        <v>44218.376851851855</v>
      </c>
      <c r="Q2120">
        <v>54116</v>
      </c>
      <c r="R2120">
        <v>1956</v>
      </c>
      <c r="S2120" t="b">
        <v>0</v>
      </c>
      <c r="T2120" t="s">
        <v>87</v>
      </c>
      <c r="U2120" t="b">
        <v>0</v>
      </c>
      <c r="V2120" t="s">
        <v>343</v>
      </c>
      <c r="W2120" s="1">
        <v>44217.743356481478</v>
      </c>
      <c r="X2120">
        <v>1271</v>
      </c>
      <c r="Y2120">
        <v>128</v>
      </c>
      <c r="Z2120">
        <v>0</v>
      </c>
      <c r="AA2120">
        <v>128</v>
      </c>
      <c r="AB2120">
        <v>0</v>
      </c>
      <c r="AC2120">
        <v>57</v>
      </c>
      <c r="AD2120">
        <v>48</v>
      </c>
      <c r="AE2120">
        <v>0</v>
      </c>
      <c r="AF2120">
        <v>0</v>
      </c>
      <c r="AG2120">
        <v>0</v>
      </c>
      <c r="AH2120" t="s">
        <v>132</v>
      </c>
      <c r="AI2120" s="1">
        <v>44217.765057870369</v>
      </c>
      <c r="AJ2120">
        <v>319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48</v>
      </c>
      <c r="AQ2120">
        <v>0</v>
      </c>
      <c r="AR2120">
        <v>0</v>
      </c>
      <c r="AS2120">
        <v>0</v>
      </c>
      <c r="AT2120" t="s">
        <v>90</v>
      </c>
      <c r="AU2120" s="1">
        <v>44218.376851851855</v>
      </c>
      <c r="AV2120">
        <v>358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48</v>
      </c>
      <c r="BC2120">
        <v>0</v>
      </c>
      <c r="BD2120">
        <v>0</v>
      </c>
      <c r="BE2120">
        <v>0</v>
      </c>
    </row>
    <row r="2121" spans="1:57" x14ac:dyDescent="0.45">
      <c r="A2121" t="s">
        <v>5154</v>
      </c>
      <c r="B2121" t="s">
        <v>79</v>
      </c>
      <c r="C2121" t="s">
        <v>5155</v>
      </c>
      <c r="D2121" t="s">
        <v>81</v>
      </c>
      <c r="E2121" s="2" t="str">
        <f>HYPERLINK("capsilon://?command=openfolder&amp;siteaddress=FAM.docvelocity-na8.net&amp;folderid=FXDCFA07DF-9C1C-05C4-3DA4-14D3EE560E26","FX201221159")</f>
        <v>FX201221159</v>
      </c>
      <c r="F2121" t="s">
        <v>19</v>
      </c>
      <c r="G2121" t="s">
        <v>19</v>
      </c>
      <c r="H2121" t="s">
        <v>82</v>
      </c>
      <c r="I2121" t="s">
        <v>5156</v>
      </c>
      <c r="J2121">
        <v>66</v>
      </c>
      <c r="K2121" t="s">
        <v>84</v>
      </c>
      <c r="L2121" t="s">
        <v>85</v>
      </c>
      <c r="M2121" t="s">
        <v>86</v>
      </c>
      <c r="N2121">
        <v>3</v>
      </c>
      <c r="O2121" s="1">
        <v>44201.483437499999</v>
      </c>
      <c r="P2121" s="1">
        <v>44201.562754629631</v>
      </c>
      <c r="Q2121">
        <v>5375</v>
      </c>
      <c r="R2121">
        <v>1478</v>
      </c>
      <c r="S2121" t="b">
        <v>0</v>
      </c>
      <c r="T2121" t="s">
        <v>87</v>
      </c>
      <c r="U2121" t="b">
        <v>0</v>
      </c>
      <c r="V2121" t="s">
        <v>259</v>
      </c>
      <c r="W2121" s="1">
        <v>44201.509988425925</v>
      </c>
      <c r="X2121">
        <v>1309</v>
      </c>
      <c r="Y2121">
        <v>52</v>
      </c>
      <c r="Z2121">
        <v>0</v>
      </c>
      <c r="AA2121">
        <v>52</v>
      </c>
      <c r="AB2121">
        <v>0</v>
      </c>
      <c r="AC2121">
        <v>31</v>
      </c>
      <c r="AD2121">
        <v>14</v>
      </c>
      <c r="AE2121">
        <v>0</v>
      </c>
      <c r="AF2121">
        <v>0</v>
      </c>
      <c r="AG2121">
        <v>0</v>
      </c>
      <c r="AH2121" t="s">
        <v>267</v>
      </c>
      <c r="AI2121" s="1">
        <v>44201.556805555556</v>
      </c>
      <c r="AJ2121">
        <v>159</v>
      </c>
      <c r="AK2121">
        <v>2</v>
      </c>
      <c r="AL2121">
        <v>0</v>
      </c>
      <c r="AM2121">
        <v>2</v>
      </c>
      <c r="AN2121">
        <v>0</v>
      </c>
      <c r="AO2121">
        <v>1</v>
      </c>
      <c r="AP2121">
        <v>12</v>
      </c>
      <c r="AQ2121">
        <v>0</v>
      </c>
      <c r="AR2121">
        <v>0</v>
      </c>
      <c r="AS2121">
        <v>0</v>
      </c>
      <c r="AT2121" t="s">
        <v>90</v>
      </c>
      <c r="AU2121" s="1">
        <v>44201.562754629631</v>
      </c>
      <c r="AV2121">
        <v>10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12</v>
      </c>
      <c r="BC2121">
        <v>0</v>
      </c>
      <c r="BD2121">
        <v>0</v>
      </c>
      <c r="BE2121">
        <v>0</v>
      </c>
    </row>
    <row r="2122" spans="1:57" x14ac:dyDescent="0.45">
      <c r="A2122" t="s">
        <v>5157</v>
      </c>
      <c r="B2122" t="s">
        <v>79</v>
      </c>
      <c r="C2122" t="s">
        <v>4964</v>
      </c>
      <c r="D2122" t="s">
        <v>81</v>
      </c>
      <c r="E2122" s="2" t="str">
        <f>HYPERLINK("capsilon://?command=openfolder&amp;siteaddress=FAM.docvelocity-na8.net&amp;folderid=FXBE8A74A7-F028-6F87-9586-3C79CDBDD065","FX210111348")</f>
        <v>FX210111348</v>
      </c>
      <c r="F2122" t="s">
        <v>19</v>
      </c>
      <c r="G2122" t="s">
        <v>19</v>
      </c>
      <c r="H2122" t="s">
        <v>82</v>
      </c>
      <c r="I2122" t="s">
        <v>5158</v>
      </c>
      <c r="J2122">
        <v>31</v>
      </c>
      <c r="K2122" t="s">
        <v>84</v>
      </c>
      <c r="L2122" t="s">
        <v>85</v>
      </c>
      <c r="M2122" t="s">
        <v>86</v>
      </c>
      <c r="N2122">
        <v>3</v>
      </c>
      <c r="O2122" s="1">
        <v>44217.749803240738</v>
      </c>
      <c r="P2122" s="1">
        <v>44218.396863425929</v>
      </c>
      <c r="Q2122">
        <v>52910</v>
      </c>
      <c r="R2122">
        <v>2996</v>
      </c>
      <c r="S2122" t="b">
        <v>0</v>
      </c>
      <c r="T2122" t="s">
        <v>87</v>
      </c>
      <c r="U2122" t="b">
        <v>0</v>
      </c>
      <c r="V2122" t="s">
        <v>171</v>
      </c>
      <c r="W2122" s="1">
        <v>44217.763310185182</v>
      </c>
      <c r="X2122">
        <v>1167</v>
      </c>
      <c r="Y2122">
        <v>81</v>
      </c>
      <c r="Z2122">
        <v>0</v>
      </c>
      <c r="AA2122">
        <v>81</v>
      </c>
      <c r="AB2122">
        <v>0</v>
      </c>
      <c r="AC2122">
        <v>52</v>
      </c>
      <c r="AD2122">
        <v>-50</v>
      </c>
      <c r="AE2122">
        <v>0</v>
      </c>
      <c r="AF2122">
        <v>0</v>
      </c>
      <c r="AG2122">
        <v>0</v>
      </c>
      <c r="AH2122" t="s">
        <v>132</v>
      </c>
      <c r="AI2122" s="1">
        <v>44217.766226851854</v>
      </c>
      <c r="AJ2122">
        <v>100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-50</v>
      </c>
      <c r="AQ2122">
        <v>0</v>
      </c>
      <c r="AR2122">
        <v>0</v>
      </c>
      <c r="AS2122">
        <v>0</v>
      </c>
      <c r="AT2122" t="s">
        <v>90</v>
      </c>
      <c r="AU2122" s="1">
        <v>44218.396863425929</v>
      </c>
      <c r="AV2122">
        <v>1729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-50</v>
      </c>
      <c r="BC2122">
        <v>0</v>
      </c>
      <c r="BD2122">
        <v>0</v>
      </c>
      <c r="BE2122">
        <v>0</v>
      </c>
    </row>
    <row r="2123" spans="1:57" x14ac:dyDescent="0.45">
      <c r="A2123" t="s">
        <v>5159</v>
      </c>
      <c r="B2123" t="s">
        <v>79</v>
      </c>
      <c r="C2123" t="s">
        <v>4964</v>
      </c>
      <c r="D2123" t="s">
        <v>81</v>
      </c>
      <c r="E2123" s="2" t="str">
        <f>HYPERLINK("capsilon://?command=openfolder&amp;siteaddress=FAM.docvelocity-na8.net&amp;folderid=FXBE8A74A7-F028-6F87-9586-3C79CDBDD065","FX210111348")</f>
        <v>FX210111348</v>
      </c>
      <c r="F2123" t="s">
        <v>19</v>
      </c>
      <c r="G2123" t="s">
        <v>19</v>
      </c>
      <c r="H2123" t="s">
        <v>82</v>
      </c>
      <c r="I2123" t="s">
        <v>5160</v>
      </c>
      <c r="J2123">
        <v>31</v>
      </c>
      <c r="K2123" t="s">
        <v>84</v>
      </c>
      <c r="L2123" t="s">
        <v>85</v>
      </c>
      <c r="M2123" t="s">
        <v>86</v>
      </c>
      <c r="N2123">
        <v>3</v>
      </c>
      <c r="O2123" s="1">
        <v>44217.750185185185</v>
      </c>
      <c r="P2123" s="1">
        <v>44218.396944444445</v>
      </c>
      <c r="Q2123">
        <v>55040</v>
      </c>
      <c r="R2123">
        <v>840</v>
      </c>
      <c r="S2123" t="b">
        <v>0</v>
      </c>
      <c r="T2123" t="s">
        <v>87</v>
      </c>
      <c r="U2123" t="b">
        <v>0</v>
      </c>
      <c r="V2123" t="s">
        <v>160</v>
      </c>
      <c r="W2123" s="1">
        <v>44217.758900462963</v>
      </c>
      <c r="X2123">
        <v>703</v>
      </c>
      <c r="Y2123">
        <v>59</v>
      </c>
      <c r="Z2123">
        <v>0</v>
      </c>
      <c r="AA2123">
        <v>59</v>
      </c>
      <c r="AB2123">
        <v>0</v>
      </c>
      <c r="AC2123">
        <v>53</v>
      </c>
      <c r="AD2123">
        <v>-28</v>
      </c>
      <c r="AE2123">
        <v>0</v>
      </c>
      <c r="AF2123">
        <v>0</v>
      </c>
      <c r="AG2123">
        <v>0</v>
      </c>
      <c r="AH2123" t="s">
        <v>132</v>
      </c>
      <c r="AI2123" s="1">
        <v>44217.767175925925</v>
      </c>
      <c r="AJ2123">
        <v>81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-28</v>
      </c>
      <c r="AQ2123">
        <v>0</v>
      </c>
      <c r="AR2123">
        <v>0</v>
      </c>
      <c r="AS2123">
        <v>0</v>
      </c>
      <c r="AT2123" t="s">
        <v>90</v>
      </c>
      <c r="AU2123" s="1">
        <v>44218.396944444445</v>
      </c>
      <c r="AV2123">
        <v>7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-28</v>
      </c>
      <c r="BC2123">
        <v>0</v>
      </c>
      <c r="BD2123">
        <v>0</v>
      </c>
      <c r="BE2123">
        <v>0</v>
      </c>
    </row>
    <row r="2124" spans="1:57" hidden="1" x14ac:dyDescent="0.45">
      <c r="A2124" t="s">
        <v>5161</v>
      </c>
      <c r="B2124" t="s">
        <v>79</v>
      </c>
      <c r="C2124" t="s">
        <v>3889</v>
      </c>
      <c r="D2124" t="s">
        <v>81</v>
      </c>
      <c r="E2124" s="2" t="str">
        <f>HYPERLINK("capsilon://?command=openfolder&amp;siteaddress=FAM.docvelocity-na8.net&amp;folderid=FX33D7BF4E-4528-E472-CDBA-CB50F25CAA7E","FX201229313")</f>
        <v>FX201229313</v>
      </c>
      <c r="F2124" t="s">
        <v>19</v>
      </c>
      <c r="G2124" t="s">
        <v>19</v>
      </c>
      <c r="H2124" t="s">
        <v>82</v>
      </c>
      <c r="I2124" t="s">
        <v>5162</v>
      </c>
      <c r="J2124">
        <v>171</v>
      </c>
      <c r="K2124" t="s">
        <v>84</v>
      </c>
      <c r="L2124" t="s">
        <v>85</v>
      </c>
      <c r="M2124" t="s">
        <v>86</v>
      </c>
      <c r="N2124">
        <v>1</v>
      </c>
      <c r="O2124" s="1">
        <v>44201.48537037037</v>
      </c>
      <c r="P2124" s="1">
        <v>44201.500520833331</v>
      </c>
      <c r="Q2124">
        <v>825</v>
      </c>
      <c r="R2124">
        <v>484</v>
      </c>
      <c r="S2124" t="b">
        <v>0</v>
      </c>
      <c r="T2124" t="s">
        <v>87</v>
      </c>
      <c r="U2124" t="b">
        <v>0</v>
      </c>
      <c r="V2124" t="s">
        <v>262</v>
      </c>
      <c r="W2124" s="1">
        <v>44201.500520833331</v>
      </c>
      <c r="X2124">
        <v>425</v>
      </c>
      <c r="Y2124">
        <v>100</v>
      </c>
      <c r="Z2124">
        <v>0</v>
      </c>
      <c r="AA2124">
        <v>100</v>
      </c>
      <c r="AB2124">
        <v>0</v>
      </c>
      <c r="AC2124">
        <v>0</v>
      </c>
      <c r="AD2124">
        <v>71</v>
      </c>
      <c r="AE2124">
        <v>51</v>
      </c>
      <c r="AF2124">
        <v>0</v>
      </c>
      <c r="AG2124">
        <v>2</v>
      </c>
      <c r="AH2124" t="s">
        <v>87</v>
      </c>
      <c r="AI2124" t="s">
        <v>87</v>
      </c>
      <c r="AJ2124" t="s">
        <v>87</v>
      </c>
      <c r="AK2124" t="s">
        <v>87</v>
      </c>
      <c r="AL2124" t="s">
        <v>87</v>
      </c>
      <c r="AM2124" t="s">
        <v>87</v>
      </c>
      <c r="AN2124" t="s">
        <v>87</v>
      </c>
      <c r="AO2124" t="s">
        <v>87</v>
      </c>
      <c r="AP2124" t="s">
        <v>87</v>
      </c>
      <c r="AQ2124" t="s">
        <v>87</v>
      </c>
      <c r="AR2124" t="s">
        <v>87</v>
      </c>
      <c r="AS2124" t="s">
        <v>87</v>
      </c>
      <c r="AT2124" t="s">
        <v>87</v>
      </c>
      <c r="AU2124" t="s">
        <v>87</v>
      </c>
      <c r="AV2124" t="s">
        <v>87</v>
      </c>
      <c r="AW2124" t="s">
        <v>87</v>
      </c>
      <c r="AX2124" t="s">
        <v>87</v>
      </c>
      <c r="AY2124" t="s">
        <v>87</v>
      </c>
      <c r="AZ2124" t="s">
        <v>87</v>
      </c>
      <c r="BA2124" t="s">
        <v>87</v>
      </c>
      <c r="BB2124" t="s">
        <v>87</v>
      </c>
      <c r="BC2124" t="s">
        <v>87</v>
      </c>
      <c r="BD2124" t="s">
        <v>87</v>
      </c>
      <c r="BE2124" t="s">
        <v>87</v>
      </c>
    </row>
    <row r="2125" spans="1:57" x14ac:dyDescent="0.45">
      <c r="A2125" t="s">
        <v>5163</v>
      </c>
      <c r="B2125" t="s">
        <v>79</v>
      </c>
      <c r="C2125" t="s">
        <v>4964</v>
      </c>
      <c r="D2125" t="s">
        <v>81</v>
      </c>
      <c r="E2125" s="2" t="str">
        <f>HYPERLINK("capsilon://?command=openfolder&amp;siteaddress=FAM.docvelocity-na8.net&amp;folderid=FXBE8A74A7-F028-6F87-9586-3C79CDBDD065","FX210111348")</f>
        <v>FX210111348</v>
      </c>
      <c r="F2125" t="s">
        <v>19</v>
      </c>
      <c r="G2125" t="s">
        <v>19</v>
      </c>
      <c r="H2125" t="s">
        <v>82</v>
      </c>
      <c r="I2125" t="s">
        <v>5164</v>
      </c>
      <c r="J2125">
        <v>37</v>
      </c>
      <c r="K2125" t="s">
        <v>84</v>
      </c>
      <c r="L2125" t="s">
        <v>85</v>
      </c>
      <c r="M2125" t="s">
        <v>86</v>
      </c>
      <c r="N2125">
        <v>3</v>
      </c>
      <c r="O2125" s="1">
        <v>44217.752835648149</v>
      </c>
      <c r="P2125" s="1">
        <v>44218.397060185183</v>
      </c>
      <c r="Q2125">
        <v>53915</v>
      </c>
      <c r="R2125">
        <v>1746</v>
      </c>
      <c r="S2125" t="b">
        <v>0</v>
      </c>
      <c r="T2125" t="s">
        <v>87</v>
      </c>
      <c r="U2125" t="b">
        <v>0</v>
      </c>
      <c r="V2125" t="s">
        <v>168</v>
      </c>
      <c r="W2125" s="1">
        <v>44217.77207175926</v>
      </c>
      <c r="X2125">
        <v>1661</v>
      </c>
      <c r="Y2125">
        <v>39</v>
      </c>
      <c r="Z2125">
        <v>0</v>
      </c>
      <c r="AA2125">
        <v>39</v>
      </c>
      <c r="AB2125">
        <v>0</v>
      </c>
      <c r="AC2125">
        <v>35</v>
      </c>
      <c r="AD2125">
        <v>-2</v>
      </c>
      <c r="AE2125">
        <v>0</v>
      </c>
      <c r="AF2125">
        <v>0</v>
      </c>
      <c r="AG2125">
        <v>0</v>
      </c>
      <c r="AH2125" t="s">
        <v>132</v>
      </c>
      <c r="AI2125" s="1">
        <v>44217.773090277777</v>
      </c>
      <c r="AJ2125">
        <v>75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-2</v>
      </c>
      <c r="AQ2125">
        <v>0</v>
      </c>
      <c r="AR2125">
        <v>0</v>
      </c>
      <c r="AS2125">
        <v>0</v>
      </c>
      <c r="AT2125" t="s">
        <v>90</v>
      </c>
      <c r="AU2125" s="1">
        <v>44218.397060185183</v>
      </c>
      <c r="AV2125">
        <v>10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-2</v>
      </c>
      <c r="BC2125">
        <v>0</v>
      </c>
      <c r="BD2125">
        <v>0</v>
      </c>
      <c r="BE2125">
        <v>0</v>
      </c>
    </row>
    <row r="2126" spans="1:57" x14ac:dyDescent="0.45">
      <c r="A2126" t="s">
        <v>5165</v>
      </c>
      <c r="B2126" t="s">
        <v>79</v>
      </c>
      <c r="C2126" t="s">
        <v>4964</v>
      </c>
      <c r="D2126" t="s">
        <v>81</v>
      </c>
      <c r="E2126" s="2" t="str">
        <f>HYPERLINK("capsilon://?command=openfolder&amp;siteaddress=FAM.docvelocity-na8.net&amp;folderid=FXBE8A74A7-F028-6F87-9586-3C79CDBDD065","FX210111348")</f>
        <v>FX210111348</v>
      </c>
      <c r="F2126" t="s">
        <v>19</v>
      </c>
      <c r="G2126" t="s">
        <v>19</v>
      </c>
      <c r="H2126" t="s">
        <v>82</v>
      </c>
      <c r="I2126" t="s">
        <v>5166</v>
      </c>
      <c r="J2126">
        <v>26</v>
      </c>
      <c r="K2126" t="s">
        <v>84</v>
      </c>
      <c r="L2126" t="s">
        <v>85</v>
      </c>
      <c r="M2126" t="s">
        <v>86</v>
      </c>
      <c r="N2126">
        <v>3</v>
      </c>
      <c r="O2126" s="1">
        <v>44217.753275462965</v>
      </c>
      <c r="P2126" s="1">
        <v>44218.397129629629</v>
      </c>
      <c r="Q2126">
        <v>53939</v>
      </c>
      <c r="R2126">
        <v>1690</v>
      </c>
      <c r="S2126" t="b">
        <v>0</v>
      </c>
      <c r="T2126" t="s">
        <v>87</v>
      </c>
      <c r="U2126" t="b">
        <v>0</v>
      </c>
      <c r="V2126" t="s">
        <v>146</v>
      </c>
      <c r="W2126" s="1">
        <v>44217.77202546296</v>
      </c>
      <c r="X2126">
        <v>1619</v>
      </c>
      <c r="Y2126">
        <v>21</v>
      </c>
      <c r="Z2126">
        <v>0</v>
      </c>
      <c r="AA2126">
        <v>21</v>
      </c>
      <c r="AB2126">
        <v>0</v>
      </c>
      <c r="AC2126">
        <v>20</v>
      </c>
      <c r="AD2126">
        <v>5</v>
      </c>
      <c r="AE2126">
        <v>0</v>
      </c>
      <c r="AF2126">
        <v>0</v>
      </c>
      <c r="AG2126">
        <v>0</v>
      </c>
      <c r="AH2126" t="s">
        <v>132</v>
      </c>
      <c r="AI2126" s="1">
        <v>44217.773865740739</v>
      </c>
      <c r="AJ2126">
        <v>66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5</v>
      </c>
      <c r="AQ2126">
        <v>0</v>
      </c>
      <c r="AR2126">
        <v>0</v>
      </c>
      <c r="AS2126">
        <v>0</v>
      </c>
      <c r="AT2126" t="s">
        <v>90</v>
      </c>
      <c r="AU2126" s="1">
        <v>44218.397129629629</v>
      </c>
      <c r="AV2126">
        <v>5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5</v>
      </c>
      <c r="BC2126">
        <v>0</v>
      </c>
      <c r="BD2126">
        <v>0</v>
      </c>
      <c r="BE2126">
        <v>0</v>
      </c>
    </row>
    <row r="2127" spans="1:57" x14ac:dyDescent="0.45">
      <c r="A2127" t="s">
        <v>5167</v>
      </c>
      <c r="B2127" t="s">
        <v>79</v>
      </c>
      <c r="C2127" t="s">
        <v>4964</v>
      </c>
      <c r="D2127" t="s">
        <v>81</v>
      </c>
      <c r="E2127" s="2" t="str">
        <f>HYPERLINK("capsilon://?command=openfolder&amp;siteaddress=FAM.docvelocity-na8.net&amp;folderid=FXBE8A74A7-F028-6F87-9586-3C79CDBDD065","FX210111348")</f>
        <v>FX210111348</v>
      </c>
      <c r="F2127" t="s">
        <v>19</v>
      </c>
      <c r="G2127" t="s">
        <v>19</v>
      </c>
      <c r="H2127" t="s">
        <v>82</v>
      </c>
      <c r="I2127" t="s">
        <v>5168</v>
      </c>
      <c r="J2127">
        <v>41</v>
      </c>
      <c r="K2127" t="s">
        <v>84</v>
      </c>
      <c r="L2127" t="s">
        <v>85</v>
      </c>
      <c r="M2127" t="s">
        <v>86</v>
      </c>
      <c r="N2127">
        <v>3</v>
      </c>
      <c r="O2127" s="1">
        <v>44217.753495370373</v>
      </c>
      <c r="P2127" s="1">
        <v>44218.397268518522</v>
      </c>
      <c r="Q2127">
        <v>53611</v>
      </c>
      <c r="R2127">
        <v>2011</v>
      </c>
      <c r="S2127" t="b">
        <v>0</v>
      </c>
      <c r="T2127" t="s">
        <v>87</v>
      </c>
      <c r="U2127" t="b">
        <v>0</v>
      </c>
      <c r="V2127" t="s">
        <v>179</v>
      </c>
      <c r="W2127" s="1">
        <v>44217.775787037041</v>
      </c>
      <c r="X2127">
        <v>1925</v>
      </c>
      <c r="Y2127">
        <v>39</v>
      </c>
      <c r="Z2127">
        <v>0</v>
      </c>
      <c r="AA2127">
        <v>39</v>
      </c>
      <c r="AB2127">
        <v>0</v>
      </c>
      <c r="AC2127">
        <v>36</v>
      </c>
      <c r="AD2127">
        <v>2</v>
      </c>
      <c r="AE2127">
        <v>0</v>
      </c>
      <c r="AF2127">
        <v>0</v>
      </c>
      <c r="AG2127">
        <v>0</v>
      </c>
      <c r="AH2127" t="s">
        <v>132</v>
      </c>
      <c r="AI2127" s="1">
        <v>44217.779062499998</v>
      </c>
      <c r="AJ2127">
        <v>75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2</v>
      </c>
      <c r="AQ2127">
        <v>0</v>
      </c>
      <c r="AR2127">
        <v>0</v>
      </c>
      <c r="AS2127">
        <v>0</v>
      </c>
      <c r="AT2127" t="s">
        <v>90</v>
      </c>
      <c r="AU2127" s="1">
        <v>44218.397268518522</v>
      </c>
      <c r="AV2127">
        <v>11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2</v>
      </c>
      <c r="BC2127">
        <v>0</v>
      </c>
      <c r="BD2127">
        <v>0</v>
      </c>
      <c r="BE2127">
        <v>0</v>
      </c>
    </row>
    <row r="2128" spans="1:57" hidden="1" x14ac:dyDescent="0.45">
      <c r="A2128" t="s">
        <v>5169</v>
      </c>
      <c r="B2128" t="s">
        <v>79</v>
      </c>
      <c r="C2128" t="s">
        <v>2265</v>
      </c>
      <c r="D2128" t="s">
        <v>81</v>
      </c>
      <c r="E2128" s="2" t="str">
        <f>HYPERLINK("capsilon://?command=openfolder&amp;siteaddress=FAM.docvelocity-na8.net&amp;folderid=FX66533994-632A-A421-78D7-E2C20C394190","FX21012978")</f>
        <v>FX21012978</v>
      </c>
      <c r="F2128" t="s">
        <v>19</v>
      </c>
      <c r="G2128" t="s">
        <v>19</v>
      </c>
      <c r="H2128" t="s">
        <v>82</v>
      </c>
      <c r="I2128" t="s">
        <v>5170</v>
      </c>
      <c r="J2128">
        <v>26</v>
      </c>
      <c r="K2128" t="s">
        <v>84</v>
      </c>
      <c r="L2128" t="s">
        <v>85</v>
      </c>
      <c r="M2128" t="s">
        <v>86</v>
      </c>
      <c r="N2128">
        <v>1</v>
      </c>
      <c r="O2128" s="1">
        <v>44217.753645833334</v>
      </c>
      <c r="P2128" s="1">
        <v>44217.759884259256</v>
      </c>
      <c r="Q2128">
        <v>455</v>
      </c>
      <c r="R2128">
        <v>84</v>
      </c>
      <c r="S2128" t="b">
        <v>0</v>
      </c>
      <c r="T2128" t="s">
        <v>87</v>
      </c>
      <c r="U2128" t="b">
        <v>0</v>
      </c>
      <c r="V2128" t="s">
        <v>160</v>
      </c>
      <c r="W2128" s="1">
        <v>44217.759884259256</v>
      </c>
      <c r="X2128">
        <v>84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26</v>
      </c>
      <c r="AE2128">
        <v>21</v>
      </c>
      <c r="AF2128">
        <v>0</v>
      </c>
      <c r="AG2128">
        <v>1</v>
      </c>
      <c r="AH2128" t="s">
        <v>87</v>
      </c>
      <c r="AI2128" t="s">
        <v>87</v>
      </c>
      <c r="AJ2128" t="s">
        <v>87</v>
      </c>
      <c r="AK2128" t="s">
        <v>87</v>
      </c>
      <c r="AL2128" t="s">
        <v>87</v>
      </c>
      <c r="AM2128" t="s">
        <v>87</v>
      </c>
      <c r="AN2128" t="s">
        <v>87</v>
      </c>
      <c r="AO2128" t="s">
        <v>87</v>
      </c>
      <c r="AP2128" t="s">
        <v>87</v>
      </c>
      <c r="AQ2128" t="s">
        <v>87</v>
      </c>
      <c r="AR2128" t="s">
        <v>87</v>
      </c>
      <c r="AS2128" t="s">
        <v>87</v>
      </c>
      <c r="AT2128" t="s">
        <v>87</v>
      </c>
      <c r="AU2128" t="s">
        <v>87</v>
      </c>
      <c r="AV2128" t="s">
        <v>87</v>
      </c>
      <c r="AW2128" t="s">
        <v>87</v>
      </c>
      <c r="AX2128" t="s">
        <v>87</v>
      </c>
      <c r="AY2128" t="s">
        <v>87</v>
      </c>
      <c r="AZ2128" t="s">
        <v>87</v>
      </c>
      <c r="BA2128" t="s">
        <v>87</v>
      </c>
      <c r="BB2128" t="s">
        <v>87</v>
      </c>
      <c r="BC2128" t="s">
        <v>87</v>
      </c>
      <c r="BD2128" t="s">
        <v>87</v>
      </c>
      <c r="BE2128" t="s">
        <v>87</v>
      </c>
    </row>
    <row r="2129" spans="1:57" x14ac:dyDescent="0.45">
      <c r="A2129" t="s">
        <v>5171</v>
      </c>
      <c r="B2129" t="s">
        <v>79</v>
      </c>
      <c r="C2129" t="s">
        <v>4964</v>
      </c>
      <c r="D2129" t="s">
        <v>81</v>
      </c>
      <c r="E2129" s="2" t="str">
        <f>HYPERLINK("capsilon://?command=openfolder&amp;siteaddress=FAM.docvelocity-na8.net&amp;folderid=FXBE8A74A7-F028-6F87-9586-3C79CDBDD065","FX210111348")</f>
        <v>FX210111348</v>
      </c>
      <c r="F2129" t="s">
        <v>19</v>
      </c>
      <c r="G2129" t="s">
        <v>19</v>
      </c>
      <c r="H2129" t="s">
        <v>82</v>
      </c>
      <c r="I2129" t="s">
        <v>5172</v>
      </c>
      <c r="J2129">
        <v>26</v>
      </c>
      <c r="K2129" t="s">
        <v>84</v>
      </c>
      <c r="L2129" t="s">
        <v>85</v>
      </c>
      <c r="M2129" t="s">
        <v>86</v>
      </c>
      <c r="N2129">
        <v>3</v>
      </c>
      <c r="O2129" s="1">
        <v>44217.753958333335</v>
      </c>
      <c r="P2129" s="1">
        <v>44218.397372685184</v>
      </c>
      <c r="Q2129">
        <v>54909</v>
      </c>
      <c r="R2129">
        <v>682</v>
      </c>
      <c r="S2129" t="b">
        <v>0</v>
      </c>
      <c r="T2129" t="s">
        <v>87</v>
      </c>
      <c r="U2129" t="b">
        <v>0</v>
      </c>
      <c r="V2129" t="s">
        <v>160</v>
      </c>
      <c r="W2129" s="1">
        <v>44217.766759259262</v>
      </c>
      <c r="X2129">
        <v>594</v>
      </c>
      <c r="Y2129">
        <v>21</v>
      </c>
      <c r="Z2129">
        <v>0</v>
      </c>
      <c r="AA2129">
        <v>21</v>
      </c>
      <c r="AB2129">
        <v>0</v>
      </c>
      <c r="AC2129">
        <v>19</v>
      </c>
      <c r="AD2129">
        <v>5</v>
      </c>
      <c r="AE2129">
        <v>0</v>
      </c>
      <c r="AF2129">
        <v>0</v>
      </c>
      <c r="AG2129">
        <v>0</v>
      </c>
      <c r="AH2129" t="s">
        <v>132</v>
      </c>
      <c r="AI2129" s="1">
        <v>44217.768113425926</v>
      </c>
      <c r="AJ2129">
        <v>80</v>
      </c>
      <c r="AK2129">
        <v>2</v>
      </c>
      <c r="AL2129">
        <v>0</v>
      </c>
      <c r="AM2129">
        <v>2</v>
      </c>
      <c r="AN2129">
        <v>0</v>
      </c>
      <c r="AO2129">
        <v>1</v>
      </c>
      <c r="AP2129">
        <v>3</v>
      </c>
      <c r="AQ2129">
        <v>0</v>
      </c>
      <c r="AR2129">
        <v>0</v>
      </c>
      <c r="AS2129">
        <v>0</v>
      </c>
      <c r="AT2129" t="s">
        <v>90</v>
      </c>
      <c r="AU2129" s="1">
        <v>44218.397372685184</v>
      </c>
      <c r="AV2129">
        <v>8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3</v>
      </c>
      <c r="BC2129">
        <v>0</v>
      </c>
      <c r="BD2129">
        <v>0</v>
      </c>
      <c r="BE2129">
        <v>0</v>
      </c>
    </row>
    <row r="2130" spans="1:57" x14ac:dyDescent="0.45">
      <c r="A2130" t="s">
        <v>5173</v>
      </c>
      <c r="B2130" t="s">
        <v>79</v>
      </c>
      <c r="C2130" t="s">
        <v>4964</v>
      </c>
      <c r="D2130" t="s">
        <v>81</v>
      </c>
      <c r="E2130" s="2" t="str">
        <f>HYPERLINK("capsilon://?command=openfolder&amp;siteaddress=FAM.docvelocity-na8.net&amp;folderid=FXBE8A74A7-F028-6F87-9586-3C79CDBDD065","FX210111348")</f>
        <v>FX210111348</v>
      </c>
      <c r="F2130" t="s">
        <v>19</v>
      </c>
      <c r="G2130" t="s">
        <v>19</v>
      </c>
      <c r="H2130" t="s">
        <v>82</v>
      </c>
      <c r="I2130" t="s">
        <v>5174</v>
      </c>
      <c r="J2130">
        <v>26</v>
      </c>
      <c r="K2130" t="s">
        <v>84</v>
      </c>
      <c r="L2130" t="s">
        <v>85</v>
      </c>
      <c r="M2130" t="s">
        <v>86</v>
      </c>
      <c r="N2130">
        <v>3</v>
      </c>
      <c r="O2130" s="1">
        <v>44217.75439814815</v>
      </c>
      <c r="P2130" s="1">
        <v>44218.397430555553</v>
      </c>
      <c r="Q2130">
        <v>54908</v>
      </c>
      <c r="R2130">
        <v>650</v>
      </c>
      <c r="S2130" t="b">
        <v>0</v>
      </c>
      <c r="T2130" t="s">
        <v>87</v>
      </c>
      <c r="U2130" t="b">
        <v>0</v>
      </c>
      <c r="V2130" t="s">
        <v>343</v>
      </c>
      <c r="W2130" s="1">
        <v>44217.769606481481</v>
      </c>
      <c r="X2130">
        <v>589</v>
      </c>
      <c r="Y2130">
        <v>21</v>
      </c>
      <c r="Z2130">
        <v>0</v>
      </c>
      <c r="AA2130">
        <v>21</v>
      </c>
      <c r="AB2130">
        <v>0</v>
      </c>
      <c r="AC2130">
        <v>20</v>
      </c>
      <c r="AD2130">
        <v>5</v>
      </c>
      <c r="AE2130">
        <v>0</v>
      </c>
      <c r="AF2130">
        <v>0</v>
      </c>
      <c r="AG2130">
        <v>0</v>
      </c>
      <c r="AH2130" t="s">
        <v>132</v>
      </c>
      <c r="AI2130" s="1">
        <v>44217.772210648145</v>
      </c>
      <c r="AJ2130">
        <v>57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5</v>
      </c>
      <c r="AQ2130">
        <v>0</v>
      </c>
      <c r="AR2130">
        <v>0</v>
      </c>
      <c r="AS2130">
        <v>0</v>
      </c>
      <c r="AT2130" t="s">
        <v>90</v>
      </c>
      <c r="AU2130" s="1">
        <v>44218.397430555553</v>
      </c>
      <c r="AV2130">
        <v>4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5</v>
      </c>
      <c r="BC2130">
        <v>0</v>
      </c>
      <c r="BD2130">
        <v>0</v>
      </c>
      <c r="BE2130">
        <v>0</v>
      </c>
    </row>
    <row r="2131" spans="1:57" x14ac:dyDescent="0.45">
      <c r="A2131" t="s">
        <v>5175</v>
      </c>
      <c r="B2131" t="s">
        <v>79</v>
      </c>
      <c r="C2131" t="s">
        <v>4964</v>
      </c>
      <c r="D2131" t="s">
        <v>81</v>
      </c>
      <c r="E2131" s="2" t="str">
        <f>HYPERLINK("capsilon://?command=openfolder&amp;siteaddress=FAM.docvelocity-na8.net&amp;folderid=FXBE8A74A7-F028-6F87-9586-3C79CDBDD065","FX210111348")</f>
        <v>FX210111348</v>
      </c>
      <c r="F2131" t="s">
        <v>19</v>
      </c>
      <c r="G2131" t="s">
        <v>19</v>
      </c>
      <c r="H2131" t="s">
        <v>82</v>
      </c>
      <c r="I2131" t="s">
        <v>5176</v>
      </c>
      <c r="J2131">
        <v>26</v>
      </c>
      <c r="K2131" t="s">
        <v>84</v>
      </c>
      <c r="L2131" t="s">
        <v>85</v>
      </c>
      <c r="M2131" t="s">
        <v>86</v>
      </c>
      <c r="N2131">
        <v>3</v>
      </c>
      <c r="O2131" s="1">
        <v>44217.75509259259</v>
      </c>
      <c r="P2131" s="1">
        <v>44218.397499999999</v>
      </c>
      <c r="Q2131">
        <v>54418</v>
      </c>
      <c r="R2131">
        <v>1086</v>
      </c>
      <c r="S2131" t="b">
        <v>0</v>
      </c>
      <c r="T2131" t="s">
        <v>87</v>
      </c>
      <c r="U2131" t="b">
        <v>0</v>
      </c>
      <c r="V2131" t="s">
        <v>171</v>
      </c>
      <c r="W2131" s="1">
        <v>44217.775254629632</v>
      </c>
      <c r="X2131">
        <v>1031</v>
      </c>
      <c r="Y2131">
        <v>21</v>
      </c>
      <c r="Z2131">
        <v>0</v>
      </c>
      <c r="AA2131">
        <v>21</v>
      </c>
      <c r="AB2131">
        <v>0</v>
      </c>
      <c r="AC2131">
        <v>20</v>
      </c>
      <c r="AD2131">
        <v>5</v>
      </c>
      <c r="AE2131">
        <v>0</v>
      </c>
      <c r="AF2131">
        <v>0</v>
      </c>
      <c r="AG2131">
        <v>0</v>
      </c>
      <c r="AH2131" t="s">
        <v>132</v>
      </c>
      <c r="AI2131" s="1">
        <v>44217.779641203706</v>
      </c>
      <c r="AJ2131">
        <v>49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5</v>
      </c>
      <c r="AQ2131">
        <v>0</v>
      </c>
      <c r="AR2131">
        <v>0</v>
      </c>
      <c r="AS2131">
        <v>0</v>
      </c>
      <c r="AT2131" t="s">
        <v>90</v>
      </c>
      <c r="AU2131" s="1">
        <v>44218.397499999999</v>
      </c>
      <c r="AV2131">
        <v>6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5</v>
      </c>
      <c r="BC2131">
        <v>0</v>
      </c>
      <c r="BD2131">
        <v>0</v>
      </c>
      <c r="BE2131">
        <v>0</v>
      </c>
    </row>
    <row r="2132" spans="1:57" x14ac:dyDescent="0.45">
      <c r="A2132" t="s">
        <v>5177</v>
      </c>
      <c r="B2132" t="s">
        <v>79</v>
      </c>
      <c r="C2132" t="s">
        <v>5178</v>
      </c>
      <c r="D2132" t="s">
        <v>81</v>
      </c>
      <c r="E2132" s="2" t="str">
        <f>HYPERLINK("capsilon://?command=openfolder&amp;siteaddress=FAM.docvelocity-na8.net&amp;folderid=FX4561CBAA-E88F-5E52-C120-55A75402D71D","FX20126488")</f>
        <v>FX20126488</v>
      </c>
      <c r="F2132" t="s">
        <v>19</v>
      </c>
      <c r="G2132" t="s">
        <v>19</v>
      </c>
      <c r="H2132" t="s">
        <v>82</v>
      </c>
      <c r="I2132" t="s">
        <v>5179</v>
      </c>
      <c r="J2132">
        <v>92</v>
      </c>
      <c r="K2132" t="s">
        <v>84</v>
      </c>
      <c r="L2132" t="s">
        <v>85</v>
      </c>
      <c r="M2132" t="s">
        <v>86</v>
      </c>
      <c r="N2132">
        <v>3</v>
      </c>
      <c r="O2132" s="1">
        <v>44217.7575462963</v>
      </c>
      <c r="P2132" s="1">
        <v>44218.399560185186</v>
      </c>
      <c r="Q2132">
        <v>54173</v>
      </c>
      <c r="R2132">
        <v>1297</v>
      </c>
      <c r="S2132" t="b">
        <v>0</v>
      </c>
      <c r="T2132" t="s">
        <v>87</v>
      </c>
      <c r="U2132" t="b">
        <v>0</v>
      </c>
      <c r="V2132" t="s">
        <v>255</v>
      </c>
      <c r="W2132" s="1">
        <v>44217.776747685188</v>
      </c>
      <c r="X2132">
        <v>944</v>
      </c>
      <c r="Y2132">
        <v>93</v>
      </c>
      <c r="Z2132">
        <v>0</v>
      </c>
      <c r="AA2132">
        <v>93</v>
      </c>
      <c r="AB2132">
        <v>0</v>
      </c>
      <c r="AC2132">
        <v>44</v>
      </c>
      <c r="AD2132">
        <v>-1</v>
      </c>
      <c r="AE2132">
        <v>0</v>
      </c>
      <c r="AF2132">
        <v>0</v>
      </c>
      <c r="AG2132">
        <v>0</v>
      </c>
      <c r="AH2132" t="s">
        <v>132</v>
      </c>
      <c r="AI2132" s="1">
        <v>44217.781689814816</v>
      </c>
      <c r="AJ2132">
        <v>176</v>
      </c>
      <c r="AK2132">
        <v>2</v>
      </c>
      <c r="AL2132">
        <v>0</v>
      </c>
      <c r="AM2132">
        <v>2</v>
      </c>
      <c r="AN2132">
        <v>0</v>
      </c>
      <c r="AO2132">
        <v>1</v>
      </c>
      <c r="AP2132">
        <v>-3</v>
      </c>
      <c r="AQ2132">
        <v>0</v>
      </c>
      <c r="AR2132">
        <v>0</v>
      </c>
      <c r="AS2132">
        <v>0</v>
      </c>
      <c r="AT2132" t="s">
        <v>90</v>
      </c>
      <c r="AU2132" s="1">
        <v>44218.399560185186</v>
      </c>
      <c r="AV2132">
        <v>177</v>
      </c>
      <c r="AW2132">
        <v>1</v>
      </c>
      <c r="AX2132">
        <v>0</v>
      </c>
      <c r="AY2132">
        <v>1</v>
      </c>
      <c r="AZ2132">
        <v>0</v>
      </c>
      <c r="BA2132">
        <v>1</v>
      </c>
      <c r="BB2132">
        <v>-4</v>
      </c>
      <c r="BC2132">
        <v>0</v>
      </c>
      <c r="BD2132">
        <v>0</v>
      </c>
      <c r="BE2132">
        <v>0</v>
      </c>
    </row>
    <row r="2133" spans="1:57" x14ac:dyDescent="0.45">
      <c r="A2133" t="s">
        <v>5180</v>
      </c>
      <c r="B2133" t="s">
        <v>79</v>
      </c>
      <c r="C2133" t="s">
        <v>2265</v>
      </c>
      <c r="D2133" t="s">
        <v>81</v>
      </c>
      <c r="E2133" s="2" t="str">
        <f>HYPERLINK("capsilon://?command=openfolder&amp;siteaddress=FAM.docvelocity-na8.net&amp;folderid=FX66533994-632A-A421-78D7-E2C20C394190","FX21012978")</f>
        <v>FX21012978</v>
      </c>
      <c r="F2133" t="s">
        <v>19</v>
      </c>
      <c r="G2133" t="s">
        <v>19</v>
      </c>
      <c r="H2133" t="s">
        <v>82</v>
      </c>
      <c r="I2133" t="s">
        <v>5170</v>
      </c>
      <c r="J2133">
        <v>26</v>
      </c>
      <c r="K2133" t="s">
        <v>84</v>
      </c>
      <c r="L2133" t="s">
        <v>85</v>
      </c>
      <c r="M2133" t="s">
        <v>86</v>
      </c>
      <c r="N2133">
        <v>3</v>
      </c>
      <c r="O2133" s="1">
        <v>44217.760243055556</v>
      </c>
      <c r="P2133" s="1">
        <v>44218.349016203705</v>
      </c>
      <c r="Q2133">
        <v>50236</v>
      </c>
      <c r="R2133">
        <v>634</v>
      </c>
      <c r="S2133" t="b">
        <v>0</v>
      </c>
      <c r="T2133" t="s">
        <v>87</v>
      </c>
      <c r="U2133" t="b">
        <v>1</v>
      </c>
      <c r="V2133" t="s">
        <v>259</v>
      </c>
      <c r="W2133" s="1">
        <v>44217.769097222219</v>
      </c>
      <c r="X2133">
        <v>549</v>
      </c>
      <c r="Y2133">
        <v>21</v>
      </c>
      <c r="Z2133">
        <v>0</v>
      </c>
      <c r="AA2133">
        <v>21</v>
      </c>
      <c r="AB2133">
        <v>0</v>
      </c>
      <c r="AC2133">
        <v>20</v>
      </c>
      <c r="AD2133">
        <v>5</v>
      </c>
      <c r="AE2133">
        <v>0</v>
      </c>
      <c r="AF2133">
        <v>0</v>
      </c>
      <c r="AG2133">
        <v>0</v>
      </c>
      <c r="AH2133" t="s">
        <v>132</v>
      </c>
      <c r="AI2133" s="1">
        <v>44217.771539351852</v>
      </c>
      <c r="AJ2133">
        <v>80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5</v>
      </c>
      <c r="AQ2133">
        <v>0</v>
      </c>
      <c r="AR2133">
        <v>0</v>
      </c>
      <c r="AS2133">
        <v>0</v>
      </c>
      <c r="AT2133" t="s">
        <v>90</v>
      </c>
      <c r="AU2133" s="1">
        <v>44218.349016203705</v>
      </c>
      <c r="AV2133">
        <v>5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5</v>
      </c>
      <c r="BC2133">
        <v>0</v>
      </c>
      <c r="BD2133">
        <v>0</v>
      </c>
      <c r="BE2133">
        <v>0</v>
      </c>
    </row>
    <row r="2134" spans="1:57" x14ac:dyDescent="0.45">
      <c r="A2134" t="s">
        <v>5181</v>
      </c>
      <c r="B2134" t="s">
        <v>79</v>
      </c>
      <c r="C2134" t="s">
        <v>5142</v>
      </c>
      <c r="D2134" t="s">
        <v>81</v>
      </c>
      <c r="E2134" s="2" t="str">
        <f>HYPERLINK("capsilon://?command=openfolder&amp;siteaddress=FAM.docvelocity-na8.net&amp;folderid=FXFD6C88FE-7930-B70C-63F6-7D97272C2F1C","FX201222136")</f>
        <v>FX201222136</v>
      </c>
      <c r="F2134" t="s">
        <v>19</v>
      </c>
      <c r="G2134" t="s">
        <v>19</v>
      </c>
      <c r="H2134" t="s">
        <v>82</v>
      </c>
      <c r="I2134" t="s">
        <v>5182</v>
      </c>
      <c r="J2134">
        <v>166</v>
      </c>
      <c r="K2134" t="s">
        <v>84</v>
      </c>
      <c r="L2134" t="s">
        <v>85</v>
      </c>
      <c r="M2134" t="s">
        <v>86</v>
      </c>
      <c r="N2134">
        <v>3</v>
      </c>
      <c r="O2134" s="1">
        <v>44217.767754629633</v>
      </c>
      <c r="P2134" s="1">
        <v>44218.400925925926</v>
      </c>
      <c r="Q2134">
        <v>52924</v>
      </c>
      <c r="R2134">
        <v>1782</v>
      </c>
      <c r="S2134" t="b">
        <v>0</v>
      </c>
      <c r="T2134" t="s">
        <v>87</v>
      </c>
      <c r="U2134" t="b">
        <v>0</v>
      </c>
      <c r="V2134" t="s">
        <v>160</v>
      </c>
      <c r="W2134" s="1">
        <v>44217.785497685189</v>
      </c>
      <c r="X2134">
        <v>1532</v>
      </c>
      <c r="Y2134">
        <v>92</v>
      </c>
      <c r="Z2134">
        <v>0</v>
      </c>
      <c r="AA2134">
        <v>92</v>
      </c>
      <c r="AB2134">
        <v>0</v>
      </c>
      <c r="AC2134">
        <v>77</v>
      </c>
      <c r="AD2134">
        <v>74</v>
      </c>
      <c r="AE2134">
        <v>0</v>
      </c>
      <c r="AF2134">
        <v>0</v>
      </c>
      <c r="AG2134">
        <v>0</v>
      </c>
      <c r="AH2134" t="s">
        <v>132</v>
      </c>
      <c r="AI2134" s="1">
        <v>44217.7893287037</v>
      </c>
      <c r="AJ2134">
        <v>133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74</v>
      </c>
      <c r="AQ2134">
        <v>0</v>
      </c>
      <c r="AR2134">
        <v>0</v>
      </c>
      <c r="AS2134">
        <v>0</v>
      </c>
      <c r="AT2134" t="s">
        <v>90</v>
      </c>
      <c r="AU2134" s="1">
        <v>44218.400925925926</v>
      </c>
      <c r="AV2134">
        <v>117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74</v>
      </c>
      <c r="BC2134">
        <v>0</v>
      </c>
      <c r="BD2134">
        <v>0</v>
      </c>
      <c r="BE2134">
        <v>0</v>
      </c>
    </row>
    <row r="2135" spans="1:57" x14ac:dyDescent="0.45">
      <c r="A2135" t="s">
        <v>5183</v>
      </c>
      <c r="B2135" t="s">
        <v>79</v>
      </c>
      <c r="C2135" t="s">
        <v>1068</v>
      </c>
      <c r="D2135" t="s">
        <v>81</v>
      </c>
      <c r="E2135" s="2" t="str">
        <f>HYPERLINK("capsilon://?command=openfolder&amp;siteaddress=FAM.docvelocity-na8.net&amp;folderid=FX70D774B1-DAD6-C7D3-3B49-2F6EC3202CA5","FX21012328")</f>
        <v>FX21012328</v>
      </c>
      <c r="F2135" t="s">
        <v>19</v>
      </c>
      <c r="G2135" t="s">
        <v>19</v>
      </c>
      <c r="H2135" t="s">
        <v>82</v>
      </c>
      <c r="I2135" t="s">
        <v>5184</v>
      </c>
      <c r="J2135">
        <v>26</v>
      </c>
      <c r="K2135" t="s">
        <v>84</v>
      </c>
      <c r="L2135" t="s">
        <v>85</v>
      </c>
      <c r="M2135" t="s">
        <v>86</v>
      </c>
      <c r="N2135">
        <v>3</v>
      </c>
      <c r="O2135" s="1">
        <v>44217.770752314813</v>
      </c>
      <c r="P2135" s="1">
        <v>44218.400983796295</v>
      </c>
      <c r="Q2135">
        <v>53373</v>
      </c>
      <c r="R2135">
        <v>1079</v>
      </c>
      <c r="S2135" t="b">
        <v>0</v>
      </c>
      <c r="T2135" t="s">
        <v>87</v>
      </c>
      <c r="U2135" t="b">
        <v>0</v>
      </c>
      <c r="V2135" t="s">
        <v>146</v>
      </c>
      <c r="W2135" s="1">
        <v>44217.783564814818</v>
      </c>
      <c r="X2135">
        <v>996</v>
      </c>
      <c r="Y2135">
        <v>21</v>
      </c>
      <c r="Z2135">
        <v>0</v>
      </c>
      <c r="AA2135">
        <v>21</v>
      </c>
      <c r="AB2135">
        <v>0</v>
      </c>
      <c r="AC2135">
        <v>20</v>
      </c>
      <c r="AD2135">
        <v>5</v>
      </c>
      <c r="AE2135">
        <v>0</v>
      </c>
      <c r="AF2135">
        <v>0</v>
      </c>
      <c r="AG2135">
        <v>0</v>
      </c>
      <c r="AH2135" t="s">
        <v>132</v>
      </c>
      <c r="AI2135" s="1">
        <v>44217.790254629632</v>
      </c>
      <c r="AJ2135">
        <v>79</v>
      </c>
      <c r="AK2135">
        <v>2</v>
      </c>
      <c r="AL2135">
        <v>0</v>
      </c>
      <c r="AM2135">
        <v>2</v>
      </c>
      <c r="AN2135">
        <v>0</v>
      </c>
      <c r="AO2135">
        <v>1</v>
      </c>
      <c r="AP2135">
        <v>3</v>
      </c>
      <c r="AQ2135">
        <v>0</v>
      </c>
      <c r="AR2135">
        <v>0</v>
      </c>
      <c r="AS2135">
        <v>0</v>
      </c>
      <c r="AT2135" t="s">
        <v>90</v>
      </c>
      <c r="AU2135" s="1">
        <v>44218.400983796295</v>
      </c>
      <c r="AV2135">
        <v>4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3</v>
      </c>
      <c r="BC2135">
        <v>0</v>
      </c>
      <c r="BD2135">
        <v>0</v>
      </c>
      <c r="BE2135">
        <v>0</v>
      </c>
    </row>
    <row r="2136" spans="1:57" x14ac:dyDescent="0.45">
      <c r="A2136" t="s">
        <v>5185</v>
      </c>
      <c r="B2136" t="s">
        <v>79</v>
      </c>
      <c r="C2136" t="s">
        <v>1068</v>
      </c>
      <c r="D2136" t="s">
        <v>81</v>
      </c>
      <c r="E2136" s="2" t="str">
        <f>HYPERLINK("capsilon://?command=openfolder&amp;siteaddress=FAM.docvelocity-na8.net&amp;folderid=FX70D774B1-DAD6-C7D3-3B49-2F6EC3202CA5","FX21012328")</f>
        <v>FX21012328</v>
      </c>
      <c r="F2136" t="s">
        <v>19</v>
      </c>
      <c r="G2136" t="s">
        <v>19</v>
      </c>
      <c r="H2136" t="s">
        <v>82</v>
      </c>
      <c r="I2136" t="s">
        <v>5186</v>
      </c>
      <c r="J2136">
        <v>26</v>
      </c>
      <c r="K2136" t="s">
        <v>84</v>
      </c>
      <c r="L2136" t="s">
        <v>85</v>
      </c>
      <c r="M2136" t="s">
        <v>86</v>
      </c>
      <c r="N2136">
        <v>3</v>
      </c>
      <c r="O2136" s="1">
        <v>44217.772199074076</v>
      </c>
      <c r="P2136" s="1">
        <v>44218.401030092595</v>
      </c>
      <c r="Q2136">
        <v>53241</v>
      </c>
      <c r="R2136">
        <v>1090</v>
      </c>
      <c r="S2136" t="b">
        <v>0</v>
      </c>
      <c r="T2136" t="s">
        <v>87</v>
      </c>
      <c r="U2136" t="b">
        <v>0</v>
      </c>
      <c r="V2136" t="s">
        <v>168</v>
      </c>
      <c r="W2136" s="1">
        <v>44217.783958333333</v>
      </c>
      <c r="X2136">
        <v>1014</v>
      </c>
      <c r="Y2136">
        <v>21</v>
      </c>
      <c r="Z2136">
        <v>0</v>
      </c>
      <c r="AA2136">
        <v>21</v>
      </c>
      <c r="AB2136">
        <v>0</v>
      </c>
      <c r="AC2136">
        <v>21</v>
      </c>
      <c r="AD2136">
        <v>5</v>
      </c>
      <c r="AE2136">
        <v>0</v>
      </c>
      <c r="AF2136">
        <v>0</v>
      </c>
      <c r="AG2136">
        <v>0</v>
      </c>
      <c r="AH2136" t="s">
        <v>132</v>
      </c>
      <c r="AI2136" s="1">
        <v>44217.79109953704</v>
      </c>
      <c r="AJ2136">
        <v>72</v>
      </c>
      <c r="AK2136">
        <v>2</v>
      </c>
      <c r="AL2136">
        <v>0</v>
      </c>
      <c r="AM2136">
        <v>2</v>
      </c>
      <c r="AN2136">
        <v>0</v>
      </c>
      <c r="AO2136">
        <v>1</v>
      </c>
      <c r="AP2136">
        <v>3</v>
      </c>
      <c r="AQ2136">
        <v>0</v>
      </c>
      <c r="AR2136">
        <v>0</v>
      </c>
      <c r="AS2136">
        <v>0</v>
      </c>
      <c r="AT2136" t="s">
        <v>90</v>
      </c>
      <c r="AU2136" s="1">
        <v>44218.401030092595</v>
      </c>
      <c r="AV2136">
        <v>4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3</v>
      </c>
      <c r="BC2136">
        <v>0</v>
      </c>
      <c r="BD2136">
        <v>0</v>
      </c>
      <c r="BE2136">
        <v>0</v>
      </c>
    </row>
    <row r="2137" spans="1:57" x14ac:dyDescent="0.45">
      <c r="A2137" t="s">
        <v>5187</v>
      </c>
      <c r="B2137" t="s">
        <v>79</v>
      </c>
      <c r="C2137" t="s">
        <v>5188</v>
      </c>
      <c r="D2137" t="s">
        <v>81</v>
      </c>
      <c r="E2137" s="2" t="str">
        <f>HYPERLINK("capsilon://?command=openfolder&amp;siteaddress=FAM.docvelocity-na8.net&amp;folderid=FX01680138-7C8B-8B5C-E693-9A3E6E1375C3","FX201227128")</f>
        <v>FX201227128</v>
      </c>
      <c r="F2137" t="s">
        <v>19</v>
      </c>
      <c r="G2137" t="s">
        <v>19</v>
      </c>
      <c r="H2137" t="s">
        <v>82</v>
      </c>
      <c r="I2137" t="s">
        <v>5189</v>
      </c>
      <c r="J2137">
        <v>61</v>
      </c>
      <c r="K2137" t="s">
        <v>84</v>
      </c>
      <c r="L2137" t="s">
        <v>85</v>
      </c>
      <c r="M2137" t="s">
        <v>86</v>
      </c>
      <c r="N2137">
        <v>3</v>
      </c>
      <c r="O2137" s="1">
        <v>44217.780393518522</v>
      </c>
      <c r="P2137" s="1">
        <v>44218.401446759257</v>
      </c>
      <c r="Q2137">
        <v>53159</v>
      </c>
      <c r="R2137">
        <v>500</v>
      </c>
      <c r="S2137" t="b">
        <v>0</v>
      </c>
      <c r="T2137" t="s">
        <v>87</v>
      </c>
      <c r="U2137" t="b">
        <v>0</v>
      </c>
      <c r="V2137" t="s">
        <v>255</v>
      </c>
      <c r="W2137" s="1">
        <v>44217.784039351849</v>
      </c>
      <c r="X2137">
        <v>312</v>
      </c>
      <c r="Y2137">
        <v>51</v>
      </c>
      <c r="Z2137">
        <v>0</v>
      </c>
      <c r="AA2137">
        <v>51</v>
      </c>
      <c r="AB2137">
        <v>0</v>
      </c>
      <c r="AC2137">
        <v>43</v>
      </c>
      <c r="AD2137">
        <v>10</v>
      </c>
      <c r="AE2137">
        <v>0</v>
      </c>
      <c r="AF2137">
        <v>0</v>
      </c>
      <c r="AG2137">
        <v>0</v>
      </c>
      <c r="AH2137" t="s">
        <v>132</v>
      </c>
      <c r="AI2137" s="1">
        <v>44217.792870370373</v>
      </c>
      <c r="AJ2137">
        <v>153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10</v>
      </c>
      <c r="AQ2137">
        <v>0</v>
      </c>
      <c r="AR2137">
        <v>0</v>
      </c>
      <c r="AS2137">
        <v>0</v>
      </c>
      <c r="AT2137" t="s">
        <v>90</v>
      </c>
      <c r="AU2137" s="1">
        <v>44218.401446759257</v>
      </c>
      <c r="AV2137">
        <v>35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10</v>
      </c>
      <c r="BC2137">
        <v>0</v>
      </c>
      <c r="BD2137">
        <v>0</v>
      </c>
      <c r="BE2137">
        <v>0</v>
      </c>
    </row>
    <row r="2138" spans="1:57" x14ac:dyDescent="0.45">
      <c r="A2138" t="s">
        <v>5190</v>
      </c>
      <c r="B2138" t="s">
        <v>79</v>
      </c>
      <c r="C2138" t="s">
        <v>5188</v>
      </c>
      <c r="D2138" t="s">
        <v>81</v>
      </c>
      <c r="E2138" s="2" t="str">
        <f>HYPERLINK("capsilon://?command=openfolder&amp;siteaddress=FAM.docvelocity-na8.net&amp;folderid=FX01680138-7C8B-8B5C-E693-9A3E6E1375C3","FX201227128")</f>
        <v>FX201227128</v>
      </c>
      <c r="F2138" t="s">
        <v>19</v>
      </c>
      <c r="G2138" t="s">
        <v>19</v>
      </c>
      <c r="H2138" t="s">
        <v>82</v>
      </c>
      <c r="I2138" t="s">
        <v>5191</v>
      </c>
      <c r="J2138">
        <v>56</v>
      </c>
      <c r="K2138" t="s">
        <v>84</v>
      </c>
      <c r="L2138" t="s">
        <v>85</v>
      </c>
      <c r="M2138" t="s">
        <v>86</v>
      </c>
      <c r="N2138">
        <v>3</v>
      </c>
      <c r="O2138" s="1">
        <v>44217.780787037038</v>
      </c>
      <c r="P2138" s="1">
        <v>44218.401516203703</v>
      </c>
      <c r="Q2138">
        <v>53157</v>
      </c>
      <c r="R2138">
        <v>474</v>
      </c>
      <c r="S2138" t="b">
        <v>0</v>
      </c>
      <c r="T2138" t="s">
        <v>87</v>
      </c>
      <c r="U2138" t="b">
        <v>0</v>
      </c>
      <c r="V2138" t="s">
        <v>343</v>
      </c>
      <c r="W2138" s="1">
        <v>44217.787060185183</v>
      </c>
      <c r="X2138">
        <v>397</v>
      </c>
      <c r="Y2138">
        <v>36</v>
      </c>
      <c r="Z2138">
        <v>0</v>
      </c>
      <c r="AA2138">
        <v>36</v>
      </c>
      <c r="AB2138">
        <v>0</v>
      </c>
      <c r="AC2138">
        <v>28</v>
      </c>
      <c r="AD2138">
        <v>20</v>
      </c>
      <c r="AE2138">
        <v>0</v>
      </c>
      <c r="AF2138">
        <v>0</v>
      </c>
      <c r="AG2138">
        <v>0</v>
      </c>
      <c r="AH2138" t="s">
        <v>132</v>
      </c>
      <c r="AI2138" s="1">
        <v>44217.793715277781</v>
      </c>
      <c r="AJ2138">
        <v>72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20</v>
      </c>
      <c r="AQ2138">
        <v>0</v>
      </c>
      <c r="AR2138">
        <v>0</v>
      </c>
      <c r="AS2138">
        <v>0</v>
      </c>
      <c r="AT2138" t="s">
        <v>90</v>
      </c>
      <c r="AU2138" s="1">
        <v>44218.401516203703</v>
      </c>
      <c r="AV2138">
        <v>5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20</v>
      </c>
      <c r="BC2138">
        <v>0</v>
      </c>
      <c r="BD2138">
        <v>0</v>
      </c>
      <c r="BE2138">
        <v>0</v>
      </c>
    </row>
    <row r="2139" spans="1:57" x14ac:dyDescent="0.45">
      <c r="A2139" t="s">
        <v>5192</v>
      </c>
      <c r="B2139" t="s">
        <v>79</v>
      </c>
      <c r="C2139" t="s">
        <v>5193</v>
      </c>
      <c r="D2139" t="s">
        <v>81</v>
      </c>
      <c r="E2139" s="2" t="str">
        <f>HYPERLINK("capsilon://?command=openfolder&amp;siteaddress=FAM.docvelocity-na8.net&amp;folderid=FX8C2100EE-EBD0-8FA6-1E08-74355EACF6F0","FX201229390")</f>
        <v>FX201229390</v>
      </c>
      <c r="F2139" t="s">
        <v>19</v>
      </c>
      <c r="G2139" t="s">
        <v>19</v>
      </c>
      <c r="H2139" t="s">
        <v>82</v>
      </c>
      <c r="I2139" t="s">
        <v>5194</v>
      </c>
      <c r="J2139">
        <v>76</v>
      </c>
      <c r="K2139" t="s">
        <v>84</v>
      </c>
      <c r="L2139" t="s">
        <v>85</v>
      </c>
      <c r="M2139" t="s">
        <v>86</v>
      </c>
      <c r="N2139">
        <v>3</v>
      </c>
      <c r="O2139" s="1">
        <v>44217.783449074072</v>
      </c>
      <c r="P2139" s="1">
        <v>44218.401979166665</v>
      </c>
      <c r="Q2139">
        <v>52445</v>
      </c>
      <c r="R2139">
        <v>996</v>
      </c>
      <c r="S2139" t="b">
        <v>0</v>
      </c>
      <c r="T2139" t="s">
        <v>87</v>
      </c>
      <c r="U2139" t="b">
        <v>0</v>
      </c>
      <c r="V2139" t="s">
        <v>343</v>
      </c>
      <c r="W2139" s="1">
        <v>44217.795752314814</v>
      </c>
      <c r="X2139">
        <v>750</v>
      </c>
      <c r="Y2139">
        <v>74</v>
      </c>
      <c r="Z2139">
        <v>0</v>
      </c>
      <c r="AA2139">
        <v>74</v>
      </c>
      <c r="AB2139">
        <v>0</v>
      </c>
      <c r="AC2139">
        <v>25</v>
      </c>
      <c r="AD2139">
        <v>2</v>
      </c>
      <c r="AE2139">
        <v>0</v>
      </c>
      <c r="AF2139">
        <v>0</v>
      </c>
      <c r="AG2139">
        <v>0</v>
      </c>
      <c r="AH2139" t="s">
        <v>132</v>
      </c>
      <c r="AI2139" s="1">
        <v>44217.801030092596</v>
      </c>
      <c r="AJ2139">
        <v>107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2</v>
      </c>
      <c r="AQ2139">
        <v>0</v>
      </c>
      <c r="AR2139">
        <v>0</v>
      </c>
      <c r="AS2139">
        <v>0</v>
      </c>
      <c r="AT2139" t="s">
        <v>90</v>
      </c>
      <c r="AU2139" s="1">
        <v>44218.401979166665</v>
      </c>
      <c r="AV2139">
        <v>39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2</v>
      </c>
      <c r="BC2139">
        <v>0</v>
      </c>
      <c r="BD2139">
        <v>0</v>
      </c>
      <c r="BE2139">
        <v>0</v>
      </c>
    </row>
    <row r="2140" spans="1:57" x14ac:dyDescent="0.45">
      <c r="A2140" t="s">
        <v>5195</v>
      </c>
      <c r="B2140" t="s">
        <v>79</v>
      </c>
      <c r="C2140" t="s">
        <v>2475</v>
      </c>
      <c r="D2140" t="s">
        <v>81</v>
      </c>
      <c r="E2140" s="2" t="str">
        <f>HYPERLINK("capsilon://?command=openfolder&amp;siteaddress=FAM.docvelocity-na8.net&amp;folderid=FXAB42030D-F570-79BF-610B-5579BFEF2C52","FX21016700")</f>
        <v>FX21016700</v>
      </c>
      <c r="F2140" t="s">
        <v>19</v>
      </c>
      <c r="G2140" t="s">
        <v>19</v>
      </c>
      <c r="H2140" t="s">
        <v>82</v>
      </c>
      <c r="I2140" t="s">
        <v>5196</v>
      </c>
      <c r="J2140">
        <v>66</v>
      </c>
      <c r="K2140" t="s">
        <v>84</v>
      </c>
      <c r="L2140" t="s">
        <v>85</v>
      </c>
      <c r="M2140" t="s">
        <v>86</v>
      </c>
      <c r="N2140">
        <v>3</v>
      </c>
      <c r="O2140" s="1">
        <v>44217.784363425926</v>
      </c>
      <c r="P2140" s="1">
        <v>44218.402094907404</v>
      </c>
      <c r="Q2140">
        <v>53045</v>
      </c>
      <c r="R2140">
        <v>327</v>
      </c>
      <c r="S2140" t="b">
        <v>0</v>
      </c>
      <c r="T2140" t="s">
        <v>87</v>
      </c>
      <c r="U2140" t="b">
        <v>0</v>
      </c>
      <c r="V2140" t="s">
        <v>255</v>
      </c>
      <c r="W2140" s="1">
        <v>44217.787303240744</v>
      </c>
      <c r="X2140">
        <v>249</v>
      </c>
      <c r="Y2140">
        <v>52</v>
      </c>
      <c r="Z2140">
        <v>0</v>
      </c>
      <c r="AA2140">
        <v>52</v>
      </c>
      <c r="AB2140">
        <v>0</v>
      </c>
      <c r="AC2140">
        <v>34</v>
      </c>
      <c r="AD2140">
        <v>14</v>
      </c>
      <c r="AE2140">
        <v>0</v>
      </c>
      <c r="AF2140">
        <v>0</v>
      </c>
      <c r="AG2140">
        <v>0</v>
      </c>
      <c r="AH2140" t="s">
        <v>132</v>
      </c>
      <c r="AI2140" s="1">
        <v>44217.794525462959</v>
      </c>
      <c r="AJ2140">
        <v>69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14</v>
      </c>
      <c r="AQ2140">
        <v>0</v>
      </c>
      <c r="AR2140">
        <v>0</v>
      </c>
      <c r="AS2140">
        <v>0</v>
      </c>
      <c r="AT2140" t="s">
        <v>90</v>
      </c>
      <c r="AU2140" s="1">
        <v>44218.402094907404</v>
      </c>
      <c r="AV2140">
        <v>9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14</v>
      </c>
      <c r="BC2140">
        <v>0</v>
      </c>
      <c r="BD2140">
        <v>0</v>
      </c>
      <c r="BE2140">
        <v>0</v>
      </c>
    </row>
    <row r="2141" spans="1:57" hidden="1" x14ac:dyDescent="0.45">
      <c r="A2141" t="s">
        <v>5197</v>
      </c>
      <c r="B2141" t="s">
        <v>79</v>
      </c>
      <c r="C2141" t="s">
        <v>5188</v>
      </c>
      <c r="D2141" t="s">
        <v>81</v>
      </c>
      <c r="E2141" s="2" t="str">
        <f>HYPERLINK("capsilon://?command=openfolder&amp;siteaddress=FAM.docvelocity-na8.net&amp;folderid=FX01680138-7C8B-8B5C-E693-9A3E6E1375C3","FX201227128")</f>
        <v>FX201227128</v>
      </c>
      <c r="F2141" t="s">
        <v>19</v>
      </c>
      <c r="G2141" t="s">
        <v>19</v>
      </c>
      <c r="H2141" t="s">
        <v>82</v>
      </c>
      <c r="I2141" t="s">
        <v>5198</v>
      </c>
      <c r="J2141">
        <v>66</v>
      </c>
      <c r="K2141" t="s">
        <v>84</v>
      </c>
      <c r="L2141" t="s">
        <v>85</v>
      </c>
      <c r="M2141" t="s">
        <v>86</v>
      </c>
      <c r="N2141">
        <v>3</v>
      </c>
      <c r="O2141" s="1">
        <v>44217.788136574076</v>
      </c>
      <c r="P2141" s="1">
        <v>44218.402129629627</v>
      </c>
      <c r="Q2141">
        <v>52865</v>
      </c>
      <c r="R2141">
        <v>184</v>
      </c>
      <c r="S2141" t="b">
        <v>0</v>
      </c>
      <c r="T2141" t="s">
        <v>87</v>
      </c>
      <c r="U2141" t="b">
        <v>0</v>
      </c>
      <c r="V2141" t="s">
        <v>255</v>
      </c>
      <c r="W2141" s="1">
        <v>44217.792187500003</v>
      </c>
      <c r="X2141">
        <v>163</v>
      </c>
      <c r="Y2141">
        <v>0</v>
      </c>
      <c r="Z2141">
        <v>0</v>
      </c>
      <c r="AA2141">
        <v>0</v>
      </c>
      <c r="AB2141">
        <v>52</v>
      </c>
      <c r="AC2141">
        <v>0</v>
      </c>
      <c r="AD2141">
        <v>66</v>
      </c>
      <c r="AE2141">
        <v>0</v>
      </c>
      <c r="AF2141">
        <v>0</v>
      </c>
      <c r="AG2141">
        <v>0</v>
      </c>
      <c r="AH2141" t="s">
        <v>132</v>
      </c>
      <c r="AI2141" s="1">
        <v>44217.794745370367</v>
      </c>
      <c r="AJ2141">
        <v>18</v>
      </c>
      <c r="AK2141">
        <v>0</v>
      </c>
      <c r="AL2141">
        <v>0</v>
      </c>
      <c r="AM2141">
        <v>0</v>
      </c>
      <c r="AN2141">
        <v>52</v>
      </c>
      <c r="AO2141">
        <v>0</v>
      </c>
      <c r="AP2141">
        <v>66</v>
      </c>
      <c r="AQ2141">
        <v>0</v>
      </c>
      <c r="AR2141">
        <v>0</v>
      </c>
      <c r="AS2141">
        <v>0</v>
      </c>
      <c r="AT2141" t="s">
        <v>90</v>
      </c>
      <c r="AU2141" s="1">
        <v>44218.402129629627</v>
      </c>
      <c r="AV2141">
        <v>3</v>
      </c>
      <c r="AW2141">
        <v>0</v>
      </c>
      <c r="AX2141">
        <v>0</v>
      </c>
      <c r="AY2141">
        <v>0</v>
      </c>
      <c r="AZ2141">
        <v>52</v>
      </c>
      <c r="BA2141">
        <v>0</v>
      </c>
      <c r="BB2141">
        <v>66</v>
      </c>
      <c r="BC2141">
        <v>0</v>
      </c>
      <c r="BD2141">
        <v>0</v>
      </c>
      <c r="BE2141">
        <v>0</v>
      </c>
    </row>
    <row r="2142" spans="1:57" hidden="1" x14ac:dyDescent="0.45">
      <c r="A2142" t="s">
        <v>5199</v>
      </c>
      <c r="B2142" t="s">
        <v>79</v>
      </c>
      <c r="C2142" t="s">
        <v>3076</v>
      </c>
      <c r="D2142" t="s">
        <v>81</v>
      </c>
      <c r="E2142" s="2" t="str">
        <f>HYPERLINK("capsilon://?command=openfolder&amp;siteaddress=FAM.docvelocity-na8.net&amp;folderid=FXE5FB296B-CD97-FCD9-3DFB-D1D430D74D56","FX20126709")</f>
        <v>FX20126709</v>
      </c>
      <c r="F2142" t="s">
        <v>19</v>
      </c>
      <c r="G2142" t="s">
        <v>19</v>
      </c>
      <c r="H2142" t="s">
        <v>82</v>
      </c>
      <c r="I2142" t="s">
        <v>5200</v>
      </c>
      <c r="J2142">
        <v>66</v>
      </c>
      <c r="K2142" t="s">
        <v>84</v>
      </c>
      <c r="L2142" t="s">
        <v>85</v>
      </c>
      <c r="M2142" t="s">
        <v>86</v>
      </c>
      <c r="N2142">
        <v>3</v>
      </c>
      <c r="O2142" s="1">
        <v>44217.836759259262</v>
      </c>
      <c r="P2142" s="1">
        <v>44218.402175925927</v>
      </c>
      <c r="Q2142">
        <v>48572</v>
      </c>
      <c r="R2142">
        <v>280</v>
      </c>
      <c r="S2142" t="b">
        <v>0</v>
      </c>
      <c r="T2142" t="s">
        <v>87</v>
      </c>
      <c r="U2142" t="b">
        <v>0</v>
      </c>
      <c r="V2142" t="s">
        <v>1418</v>
      </c>
      <c r="W2142" s="1">
        <v>44218.145601851851</v>
      </c>
      <c r="X2142">
        <v>112</v>
      </c>
      <c r="Y2142">
        <v>0</v>
      </c>
      <c r="Z2142">
        <v>0</v>
      </c>
      <c r="AA2142">
        <v>0</v>
      </c>
      <c r="AB2142">
        <v>52</v>
      </c>
      <c r="AC2142">
        <v>0</v>
      </c>
      <c r="AD2142">
        <v>66</v>
      </c>
      <c r="AE2142">
        <v>0</v>
      </c>
      <c r="AF2142">
        <v>0</v>
      </c>
      <c r="AG2142">
        <v>0</v>
      </c>
      <c r="AH2142" t="s">
        <v>94</v>
      </c>
      <c r="AI2142" s="1">
        <v>44218.163414351853</v>
      </c>
      <c r="AJ2142">
        <v>165</v>
      </c>
      <c r="AK2142">
        <v>0</v>
      </c>
      <c r="AL2142">
        <v>0</v>
      </c>
      <c r="AM2142">
        <v>0</v>
      </c>
      <c r="AN2142">
        <v>52</v>
      </c>
      <c r="AO2142">
        <v>0</v>
      </c>
      <c r="AP2142">
        <v>66</v>
      </c>
      <c r="AQ2142">
        <v>0</v>
      </c>
      <c r="AR2142">
        <v>0</v>
      </c>
      <c r="AS2142">
        <v>0</v>
      </c>
      <c r="AT2142" t="s">
        <v>90</v>
      </c>
      <c r="AU2142" s="1">
        <v>44218.402175925927</v>
      </c>
      <c r="AV2142">
        <v>3</v>
      </c>
      <c r="AW2142">
        <v>0</v>
      </c>
      <c r="AX2142">
        <v>0</v>
      </c>
      <c r="AY2142">
        <v>0</v>
      </c>
      <c r="AZ2142">
        <v>52</v>
      </c>
      <c r="BA2142">
        <v>0</v>
      </c>
      <c r="BB2142">
        <v>66</v>
      </c>
      <c r="BC2142">
        <v>0</v>
      </c>
      <c r="BD2142">
        <v>0</v>
      </c>
      <c r="BE2142">
        <v>0</v>
      </c>
    </row>
    <row r="2143" spans="1:57" x14ac:dyDescent="0.45">
      <c r="A2143" t="s">
        <v>5201</v>
      </c>
      <c r="B2143" t="s">
        <v>79</v>
      </c>
      <c r="C2143" t="s">
        <v>5142</v>
      </c>
      <c r="D2143" t="s">
        <v>81</v>
      </c>
      <c r="E2143" s="2" t="str">
        <f>HYPERLINK("capsilon://?command=openfolder&amp;siteaddress=FAM.docvelocity-na8.net&amp;folderid=FXFD6C88FE-7930-B70C-63F6-7D97272C2F1C","FX201222136")</f>
        <v>FX201222136</v>
      </c>
      <c r="F2143" t="s">
        <v>19</v>
      </c>
      <c r="G2143" t="s">
        <v>19</v>
      </c>
      <c r="H2143" t="s">
        <v>82</v>
      </c>
      <c r="I2143" t="s">
        <v>5143</v>
      </c>
      <c r="J2143">
        <v>66</v>
      </c>
      <c r="K2143" t="s">
        <v>84</v>
      </c>
      <c r="L2143" t="s">
        <v>85</v>
      </c>
      <c r="M2143" t="s">
        <v>86</v>
      </c>
      <c r="N2143">
        <v>3</v>
      </c>
      <c r="O2143" s="1">
        <v>44201.495127314818</v>
      </c>
      <c r="P2143" s="1">
        <v>44201.518807870372</v>
      </c>
      <c r="Q2143">
        <v>840</v>
      </c>
      <c r="R2143">
        <v>1206</v>
      </c>
      <c r="S2143" t="b">
        <v>0</v>
      </c>
      <c r="T2143" t="s">
        <v>87</v>
      </c>
      <c r="U2143" t="b">
        <v>1</v>
      </c>
      <c r="V2143" t="s">
        <v>736</v>
      </c>
      <c r="W2143" s="1">
        <v>44201.499398148146</v>
      </c>
      <c r="X2143">
        <v>334</v>
      </c>
      <c r="Y2143">
        <v>52</v>
      </c>
      <c r="Z2143">
        <v>0</v>
      </c>
      <c r="AA2143">
        <v>52</v>
      </c>
      <c r="AB2143">
        <v>0</v>
      </c>
      <c r="AC2143">
        <v>26</v>
      </c>
      <c r="AD2143">
        <v>14</v>
      </c>
      <c r="AE2143">
        <v>0</v>
      </c>
      <c r="AF2143">
        <v>0</v>
      </c>
      <c r="AG2143">
        <v>0</v>
      </c>
      <c r="AH2143" t="s">
        <v>89</v>
      </c>
      <c r="AI2143" s="1">
        <v>44201.509606481479</v>
      </c>
      <c r="AJ2143">
        <v>844</v>
      </c>
      <c r="AK2143">
        <v>2</v>
      </c>
      <c r="AL2143">
        <v>0</v>
      </c>
      <c r="AM2143">
        <v>2</v>
      </c>
      <c r="AN2143">
        <v>0</v>
      </c>
      <c r="AO2143">
        <v>1</v>
      </c>
      <c r="AP2143">
        <v>12</v>
      </c>
      <c r="AQ2143">
        <v>0</v>
      </c>
      <c r="AR2143">
        <v>0</v>
      </c>
      <c r="AS2143">
        <v>0</v>
      </c>
      <c r="AT2143" t="s">
        <v>90</v>
      </c>
      <c r="AU2143" s="1">
        <v>44201.518807870372</v>
      </c>
      <c r="AV2143">
        <v>28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12</v>
      </c>
      <c r="BC2143">
        <v>0</v>
      </c>
      <c r="BD2143">
        <v>0</v>
      </c>
      <c r="BE2143">
        <v>0</v>
      </c>
    </row>
    <row r="2144" spans="1:57" hidden="1" x14ac:dyDescent="0.45">
      <c r="A2144" t="s">
        <v>5202</v>
      </c>
      <c r="B2144" t="s">
        <v>79</v>
      </c>
      <c r="C2144" t="s">
        <v>5203</v>
      </c>
      <c r="D2144" t="s">
        <v>81</v>
      </c>
      <c r="E2144" s="2" t="str">
        <f>HYPERLINK("capsilon://?command=openfolder&amp;siteaddress=FAM.docvelocity-na8.net&amp;folderid=FXC17609EF-771A-BAE3-D474-8EC6C46DCD38","FX20127753")</f>
        <v>FX20127753</v>
      </c>
      <c r="F2144" t="s">
        <v>19</v>
      </c>
      <c r="G2144" t="s">
        <v>19</v>
      </c>
      <c r="H2144" t="s">
        <v>82</v>
      </c>
      <c r="I2144" t="s">
        <v>5204</v>
      </c>
      <c r="J2144">
        <v>66</v>
      </c>
      <c r="K2144" t="s">
        <v>84</v>
      </c>
      <c r="L2144" t="s">
        <v>85</v>
      </c>
      <c r="M2144" t="s">
        <v>86</v>
      </c>
      <c r="N2144">
        <v>3</v>
      </c>
      <c r="O2144" s="1">
        <v>44217.852673611109</v>
      </c>
      <c r="P2144" s="1">
        <v>44218.40221064815</v>
      </c>
      <c r="Q2144">
        <v>47320</v>
      </c>
      <c r="R2144">
        <v>160</v>
      </c>
      <c r="S2144" t="b">
        <v>0</v>
      </c>
      <c r="T2144" t="s">
        <v>87</v>
      </c>
      <c r="U2144" t="b">
        <v>0</v>
      </c>
      <c r="V2144" t="s">
        <v>1418</v>
      </c>
      <c r="W2144" s="1">
        <v>44218.146666666667</v>
      </c>
      <c r="X2144">
        <v>91</v>
      </c>
      <c r="Y2144">
        <v>0</v>
      </c>
      <c r="Z2144">
        <v>0</v>
      </c>
      <c r="AA2144">
        <v>0</v>
      </c>
      <c r="AB2144">
        <v>52</v>
      </c>
      <c r="AC2144">
        <v>0</v>
      </c>
      <c r="AD2144">
        <v>66</v>
      </c>
      <c r="AE2144">
        <v>0</v>
      </c>
      <c r="AF2144">
        <v>0</v>
      </c>
      <c r="AG2144">
        <v>0</v>
      </c>
      <c r="AH2144" t="s">
        <v>94</v>
      </c>
      <c r="AI2144" s="1">
        <v>44218.164189814815</v>
      </c>
      <c r="AJ2144">
        <v>66</v>
      </c>
      <c r="AK2144">
        <v>0</v>
      </c>
      <c r="AL2144">
        <v>0</v>
      </c>
      <c r="AM2144">
        <v>0</v>
      </c>
      <c r="AN2144">
        <v>52</v>
      </c>
      <c r="AO2144">
        <v>0</v>
      </c>
      <c r="AP2144">
        <v>66</v>
      </c>
      <c r="AQ2144">
        <v>0</v>
      </c>
      <c r="AR2144">
        <v>0</v>
      </c>
      <c r="AS2144">
        <v>0</v>
      </c>
      <c r="AT2144" t="s">
        <v>90</v>
      </c>
      <c r="AU2144" s="1">
        <v>44218.40221064815</v>
      </c>
      <c r="AV2144">
        <v>3</v>
      </c>
      <c r="AW2144">
        <v>0</v>
      </c>
      <c r="AX2144">
        <v>0</v>
      </c>
      <c r="AY2144">
        <v>0</v>
      </c>
      <c r="AZ2144">
        <v>52</v>
      </c>
      <c r="BA2144">
        <v>0</v>
      </c>
      <c r="BB2144">
        <v>66</v>
      </c>
      <c r="BC2144">
        <v>0</v>
      </c>
      <c r="BD2144">
        <v>0</v>
      </c>
      <c r="BE2144">
        <v>0</v>
      </c>
    </row>
    <row r="2145" spans="1:57" hidden="1" x14ac:dyDescent="0.45">
      <c r="A2145" t="s">
        <v>5205</v>
      </c>
      <c r="B2145" t="s">
        <v>79</v>
      </c>
      <c r="C2145" t="s">
        <v>5203</v>
      </c>
      <c r="D2145" t="s">
        <v>81</v>
      </c>
      <c r="E2145" s="2" t="str">
        <f>HYPERLINK("capsilon://?command=openfolder&amp;siteaddress=FAM.docvelocity-na8.net&amp;folderid=FXC17609EF-771A-BAE3-D474-8EC6C46DCD38","FX20127753")</f>
        <v>FX20127753</v>
      </c>
      <c r="F2145" t="s">
        <v>19</v>
      </c>
      <c r="G2145" t="s">
        <v>19</v>
      </c>
      <c r="H2145" t="s">
        <v>82</v>
      </c>
      <c r="I2145" t="s">
        <v>5206</v>
      </c>
      <c r="J2145">
        <v>66</v>
      </c>
      <c r="K2145" t="s">
        <v>84</v>
      </c>
      <c r="L2145" t="s">
        <v>85</v>
      </c>
      <c r="M2145" t="s">
        <v>86</v>
      </c>
      <c r="N2145">
        <v>3</v>
      </c>
      <c r="O2145" s="1">
        <v>44217.853449074071</v>
      </c>
      <c r="P2145" s="1">
        <v>44218.402245370373</v>
      </c>
      <c r="Q2145">
        <v>47165</v>
      </c>
      <c r="R2145">
        <v>251</v>
      </c>
      <c r="S2145" t="b">
        <v>0</v>
      </c>
      <c r="T2145" t="s">
        <v>87</v>
      </c>
      <c r="U2145" t="b">
        <v>0</v>
      </c>
      <c r="V2145" t="s">
        <v>88</v>
      </c>
      <c r="W2145" s="1">
        <v>44218.147916666669</v>
      </c>
      <c r="X2145">
        <v>132</v>
      </c>
      <c r="Y2145">
        <v>0</v>
      </c>
      <c r="Z2145">
        <v>0</v>
      </c>
      <c r="AA2145">
        <v>0</v>
      </c>
      <c r="AB2145">
        <v>52</v>
      </c>
      <c r="AC2145">
        <v>0</v>
      </c>
      <c r="AD2145">
        <v>66</v>
      </c>
      <c r="AE2145">
        <v>0</v>
      </c>
      <c r="AF2145">
        <v>0</v>
      </c>
      <c r="AG2145">
        <v>0</v>
      </c>
      <c r="AH2145" t="s">
        <v>94</v>
      </c>
      <c r="AI2145" s="1">
        <v>44218.165543981479</v>
      </c>
      <c r="AJ2145">
        <v>117</v>
      </c>
      <c r="AK2145">
        <v>0</v>
      </c>
      <c r="AL2145">
        <v>0</v>
      </c>
      <c r="AM2145">
        <v>0</v>
      </c>
      <c r="AN2145">
        <v>52</v>
      </c>
      <c r="AO2145">
        <v>0</v>
      </c>
      <c r="AP2145">
        <v>66</v>
      </c>
      <c r="AQ2145">
        <v>0</v>
      </c>
      <c r="AR2145">
        <v>0</v>
      </c>
      <c r="AS2145">
        <v>0</v>
      </c>
      <c r="AT2145" t="s">
        <v>90</v>
      </c>
      <c r="AU2145" s="1">
        <v>44218.402245370373</v>
      </c>
      <c r="AV2145">
        <v>2</v>
      </c>
      <c r="AW2145">
        <v>0</v>
      </c>
      <c r="AX2145">
        <v>0</v>
      </c>
      <c r="AY2145">
        <v>0</v>
      </c>
      <c r="AZ2145">
        <v>52</v>
      </c>
      <c r="BA2145">
        <v>0</v>
      </c>
      <c r="BB2145">
        <v>66</v>
      </c>
      <c r="BC2145">
        <v>0</v>
      </c>
      <c r="BD2145">
        <v>0</v>
      </c>
      <c r="BE2145">
        <v>0</v>
      </c>
    </row>
    <row r="2146" spans="1:57" x14ac:dyDescent="0.45">
      <c r="A2146" t="s">
        <v>5207</v>
      </c>
      <c r="B2146" t="s">
        <v>79</v>
      </c>
      <c r="C2146" t="s">
        <v>5208</v>
      </c>
      <c r="D2146" t="s">
        <v>81</v>
      </c>
      <c r="E2146" s="2" t="str">
        <f>HYPERLINK("capsilon://?command=openfolder&amp;siteaddress=FAM.docvelocity-na8.net&amp;folderid=FX949B1133-5258-8D0E-9F99-D0ECD9AC5B6E","FX2101209")</f>
        <v>FX2101209</v>
      </c>
      <c r="F2146" t="s">
        <v>19</v>
      </c>
      <c r="G2146" t="s">
        <v>19</v>
      </c>
      <c r="H2146" t="s">
        <v>82</v>
      </c>
      <c r="I2146" t="s">
        <v>5209</v>
      </c>
      <c r="J2146">
        <v>76</v>
      </c>
      <c r="K2146" t="s">
        <v>84</v>
      </c>
      <c r="L2146" t="s">
        <v>85</v>
      </c>
      <c r="M2146" t="s">
        <v>86</v>
      </c>
      <c r="N2146">
        <v>3</v>
      </c>
      <c r="O2146" s="1">
        <v>44217.855393518519</v>
      </c>
      <c r="P2146" s="1">
        <v>44218.402337962965</v>
      </c>
      <c r="Q2146">
        <v>46135</v>
      </c>
      <c r="R2146">
        <v>1121</v>
      </c>
      <c r="S2146" t="b">
        <v>0</v>
      </c>
      <c r="T2146" t="s">
        <v>87</v>
      </c>
      <c r="U2146" t="b">
        <v>0</v>
      </c>
      <c r="V2146" t="s">
        <v>1418</v>
      </c>
      <c r="W2146" s="1">
        <v>44218.153379629628</v>
      </c>
      <c r="X2146">
        <v>579</v>
      </c>
      <c r="Y2146">
        <v>74</v>
      </c>
      <c r="Z2146">
        <v>0</v>
      </c>
      <c r="AA2146">
        <v>74</v>
      </c>
      <c r="AB2146">
        <v>0</v>
      </c>
      <c r="AC2146">
        <v>49</v>
      </c>
      <c r="AD2146">
        <v>2</v>
      </c>
      <c r="AE2146">
        <v>0</v>
      </c>
      <c r="AF2146">
        <v>0</v>
      </c>
      <c r="AG2146">
        <v>0</v>
      </c>
      <c r="AH2146" t="s">
        <v>94</v>
      </c>
      <c r="AI2146" s="1">
        <v>44218.171747685185</v>
      </c>
      <c r="AJ2146">
        <v>535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2</v>
      </c>
      <c r="AQ2146">
        <v>0</v>
      </c>
      <c r="AR2146">
        <v>0</v>
      </c>
      <c r="AS2146">
        <v>0</v>
      </c>
      <c r="AT2146" t="s">
        <v>90</v>
      </c>
      <c r="AU2146" s="1">
        <v>44218.402337962965</v>
      </c>
      <c r="AV2146">
        <v>7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2</v>
      </c>
      <c r="BC2146">
        <v>0</v>
      </c>
      <c r="BD2146">
        <v>0</v>
      </c>
      <c r="BE2146">
        <v>0</v>
      </c>
    </row>
    <row r="2147" spans="1:57" x14ac:dyDescent="0.45">
      <c r="A2147" t="s">
        <v>5210</v>
      </c>
      <c r="B2147" t="s">
        <v>79</v>
      </c>
      <c r="C2147" t="s">
        <v>3341</v>
      </c>
      <c r="D2147" t="s">
        <v>81</v>
      </c>
      <c r="E2147" s="2" t="str">
        <f>HYPERLINK("capsilon://?command=openfolder&amp;siteaddress=FAM.docvelocity-na8.net&amp;folderid=FXE3496635-A227-C0F3-17E9-70A673E7B2AA","FX20124858")</f>
        <v>FX20124858</v>
      </c>
      <c r="F2147" t="s">
        <v>19</v>
      </c>
      <c r="G2147" t="s">
        <v>19</v>
      </c>
      <c r="H2147" t="s">
        <v>82</v>
      </c>
      <c r="I2147" t="s">
        <v>5211</v>
      </c>
      <c r="J2147">
        <v>66</v>
      </c>
      <c r="K2147" t="s">
        <v>84</v>
      </c>
      <c r="L2147" t="s">
        <v>85</v>
      </c>
      <c r="M2147" t="s">
        <v>86</v>
      </c>
      <c r="N2147">
        <v>3</v>
      </c>
      <c r="O2147" s="1">
        <v>44217.919282407405</v>
      </c>
      <c r="P2147" s="1">
        <v>44218.402708333335</v>
      </c>
      <c r="Q2147">
        <v>39621</v>
      </c>
      <c r="R2147">
        <v>2147</v>
      </c>
      <c r="S2147" t="b">
        <v>0</v>
      </c>
      <c r="T2147" t="s">
        <v>87</v>
      </c>
      <c r="U2147" t="b">
        <v>0</v>
      </c>
      <c r="V2147" t="s">
        <v>88</v>
      </c>
      <c r="W2147" s="1">
        <v>44218.156643518516</v>
      </c>
      <c r="X2147">
        <v>753</v>
      </c>
      <c r="Y2147">
        <v>52</v>
      </c>
      <c r="Z2147">
        <v>0</v>
      </c>
      <c r="AA2147">
        <v>52</v>
      </c>
      <c r="AB2147">
        <v>0</v>
      </c>
      <c r="AC2147">
        <v>41</v>
      </c>
      <c r="AD2147">
        <v>14</v>
      </c>
      <c r="AE2147">
        <v>0</v>
      </c>
      <c r="AF2147">
        <v>0</v>
      </c>
      <c r="AG2147">
        <v>0</v>
      </c>
      <c r="AH2147" t="s">
        <v>89</v>
      </c>
      <c r="AI2147" s="1">
        <v>44218.186412037037</v>
      </c>
      <c r="AJ2147">
        <v>911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14</v>
      </c>
      <c r="AQ2147">
        <v>0</v>
      </c>
      <c r="AR2147">
        <v>0</v>
      </c>
      <c r="AS2147">
        <v>0</v>
      </c>
      <c r="AT2147" t="s">
        <v>90</v>
      </c>
      <c r="AU2147" s="1">
        <v>44218.402708333335</v>
      </c>
      <c r="AV2147">
        <v>32</v>
      </c>
      <c r="AW2147">
        <v>0</v>
      </c>
      <c r="AX2147">
        <v>0</v>
      </c>
      <c r="AY2147">
        <v>0</v>
      </c>
      <c r="AZ2147">
        <v>52</v>
      </c>
      <c r="BA2147">
        <v>0</v>
      </c>
      <c r="BB2147">
        <v>14</v>
      </c>
      <c r="BC2147">
        <v>0</v>
      </c>
      <c r="BD2147">
        <v>0</v>
      </c>
      <c r="BE2147">
        <v>0</v>
      </c>
    </row>
    <row r="2148" spans="1:57" x14ac:dyDescent="0.45">
      <c r="A2148" t="s">
        <v>5212</v>
      </c>
      <c r="B2148" t="s">
        <v>79</v>
      </c>
      <c r="C2148" t="s">
        <v>3889</v>
      </c>
      <c r="D2148" t="s">
        <v>81</v>
      </c>
      <c r="E2148" s="2" t="str">
        <f>HYPERLINK("capsilon://?command=openfolder&amp;siteaddress=FAM.docvelocity-na8.net&amp;folderid=FX33D7BF4E-4528-E472-CDBA-CB50F25CAA7E","FX201229313")</f>
        <v>FX201229313</v>
      </c>
      <c r="F2148" t="s">
        <v>19</v>
      </c>
      <c r="G2148" t="s">
        <v>19</v>
      </c>
      <c r="H2148" t="s">
        <v>82</v>
      </c>
      <c r="I2148" t="s">
        <v>5162</v>
      </c>
      <c r="J2148">
        <v>110</v>
      </c>
      <c r="K2148" t="s">
        <v>84</v>
      </c>
      <c r="L2148" t="s">
        <v>85</v>
      </c>
      <c r="M2148" t="s">
        <v>86</v>
      </c>
      <c r="N2148">
        <v>3</v>
      </c>
      <c r="O2148" s="1">
        <v>44201.50209490741</v>
      </c>
      <c r="P2148" s="1">
        <v>44201.544432870367</v>
      </c>
      <c r="Q2148">
        <v>835</v>
      </c>
      <c r="R2148">
        <v>2823</v>
      </c>
      <c r="S2148" t="b">
        <v>0</v>
      </c>
      <c r="T2148" t="s">
        <v>87</v>
      </c>
      <c r="U2148" t="b">
        <v>1</v>
      </c>
      <c r="V2148" t="s">
        <v>242</v>
      </c>
      <c r="W2148" s="1">
        <v>44201.515138888892</v>
      </c>
      <c r="X2148">
        <v>1028</v>
      </c>
      <c r="Y2148">
        <v>75</v>
      </c>
      <c r="Z2148">
        <v>0</v>
      </c>
      <c r="AA2148">
        <v>75</v>
      </c>
      <c r="AB2148">
        <v>37</v>
      </c>
      <c r="AC2148">
        <v>40</v>
      </c>
      <c r="AD2148">
        <v>35</v>
      </c>
      <c r="AE2148">
        <v>0</v>
      </c>
      <c r="AF2148">
        <v>0</v>
      </c>
      <c r="AG2148">
        <v>0</v>
      </c>
      <c r="AH2148" t="s">
        <v>89</v>
      </c>
      <c r="AI2148" s="1">
        <v>44201.539699074077</v>
      </c>
      <c r="AJ2148">
        <v>1405</v>
      </c>
      <c r="AK2148">
        <v>0</v>
      </c>
      <c r="AL2148">
        <v>0</v>
      </c>
      <c r="AM2148">
        <v>0</v>
      </c>
      <c r="AN2148">
        <v>37</v>
      </c>
      <c r="AO2148">
        <v>0</v>
      </c>
      <c r="AP2148">
        <v>35</v>
      </c>
      <c r="AQ2148">
        <v>0</v>
      </c>
      <c r="AR2148">
        <v>0</v>
      </c>
      <c r="AS2148">
        <v>0</v>
      </c>
      <c r="AT2148" t="s">
        <v>90</v>
      </c>
      <c r="AU2148" s="1">
        <v>44201.544432870367</v>
      </c>
      <c r="AV2148">
        <v>360</v>
      </c>
      <c r="AW2148">
        <v>0</v>
      </c>
      <c r="AX2148">
        <v>0</v>
      </c>
      <c r="AY2148">
        <v>0</v>
      </c>
      <c r="AZ2148">
        <v>37</v>
      </c>
      <c r="BA2148">
        <v>0</v>
      </c>
      <c r="BB2148">
        <v>35</v>
      </c>
      <c r="BC2148">
        <v>0</v>
      </c>
      <c r="BD2148">
        <v>0</v>
      </c>
      <c r="BE2148">
        <v>0</v>
      </c>
    </row>
    <row r="2149" spans="1:57" x14ac:dyDescent="0.45">
      <c r="A2149" t="s">
        <v>5213</v>
      </c>
      <c r="B2149" t="s">
        <v>79</v>
      </c>
      <c r="C2149" t="s">
        <v>374</v>
      </c>
      <c r="D2149" t="s">
        <v>81</v>
      </c>
      <c r="E2149" s="2" t="str">
        <f>HYPERLINK("capsilon://?command=openfolder&amp;siteaddress=FAM.docvelocity-na8.net&amp;folderid=FX9DB31829-F916-2D88-3A11-1694C448F202","FX21016484")</f>
        <v>FX21016484</v>
      </c>
      <c r="F2149" t="s">
        <v>19</v>
      </c>
      <c r="G2149" t="s">
        <v>19</v>
      </c>
      <c r="H2149" t="s">
        <v>82</v>
      </c>
      <c r="I2149" t="s">
        <v>5214</v>
      </c>
      <c r="J2149">
        <v>104</v>
      </c>
      <c r="K2149" t="s">
        <v>84</v>
      </c>
      <c r="L2149" t="s">
        <v>85</v>
      </c>
      <c r="M2149" t="s">
        <v>86</v>
      </c>
      <c r="N2149">
        <v>3</v>
      </c>
      <c r="O2149" s="1">
        <v>44218.291817129626</v>
      </c>
      <c r="P2149" s="1">
        <v>44218.402777777781</v>
      </c>
      <c r="Q2149">
        <v>6970</v>
      </c>
      <c r="R2149">
        <v>2617</v>
      </c>
      <c r="S2149" t="b">
        <v>0</v>
      </c>
      <c r="T2149" t="s">
        <v>87</v>
      </c>
      <c r="U2149" t="b">
        <v>0</v>
      </c>
      <c r="V2149" t="s">
        <v>88</v>
      </c>
      <c r="W2149" s="1">
        <v>44218.308749999997</v>
      </c>
      <c r="X2149">
        <v>1344</v>
      </c>
      <c r="Y2149">
        <v>84</v>
      </c>
      <c r="Z2149">
        <v>0</v>
      </c>
      <c r="AA2149">
        <v>84</v>
      </c>
      <c r="AB2149">
        <v>0</v>
      </c>
      <c r="AC2149">
        <v>67</v>
      </c>
      <c r="AD2149">
        <v>20</v>
      </c>
      <c r="AE2149">
        <v>0</v>
      </c>
      <c r="AF2149">
        <v>0</v>
      </c>
      <c r="AG2149">
        <v>0</v>
      </c>
      <c r="AH2149" t="s">
        <v>89</v>
      </c>
      <c r="AI2149" s="1">
        <v>44218.342592592591</v>
      </c>
      <c r="AJ2149">
        <v>1242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20</v>
      </c>
      <c r="AQ2149">
        <v>0</v>
      </c>
      <c r="AR2149">
        <v>0</v>
      </c>
      <c r="AS2149">
        <v>0</v>
      </c>
      <c r="AT2149" t="s">
        <v>90</v>
      </c>
      <c r="AU2149" s="1">
        <v>44218.402777777781</v>
      </c>
      <c r="AV2149">
        <v>5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20</v>
      </c>
      <c r="BC2149">
        <v>0</v>
      </c>
      <c r="BD2149">
        <v>0</v>
      </c>
      <c r="BE2149">
        <v>0</v>
      </c>
    </row>
    <row r="2150" spans="1:57" x14ac:dyDescent="0.45">
      <c r="A2150" t="s">
        <v>5215</v>
      </c>
      <c r="B2150" t="s">
        <v>79</v>
      </c>
      <c r="C2150" t="s">
        <v>2362</v>
      </c>
      <c r="D2150" t="s">
        <v>81</v>
      </c>
      <c r="E2150" s="2" t="str">
        <f>HYPERLINK("capsilon://?command=openfolder&amp;siteaddress=FAM.docvelocity-na8.net&amp;folderid=FX9AF999B0-86F9-7762-14CC-25BCBDB1E777","FX20116542")</f>
        <v>FX20116542</v>
      </c>
      <c r="F2150" t="s">
        <v>19</v>
      </c>
      <c r="G2150" t="s">
        <v>19</v>
      </c>
      <c r="H2150" t="s">
        <v>82</v>
      </c>
      <c r="I2150" t="s">
        <v>5216</v>
      </c>
      <c r="J2150">
        <v>81</v>
      </c>
      <c r="K2150" t="s">
        <v>84</v>
      </c>
      <c r="L2150" t="s">
        <v>85</v>
      </c>
      <c r="M2150" t="s">
        <v>86</v>
      </c>
      <c r="N2150">
        <v>3</v>
      </c>
      <c r="O2150" s="1">
        <v>44218.33390046296</v>
      </c>
      <c r="P2150" s="1">
        <v>44218.403032407405</v>
      </c>
      <c r="Q2150">
        <v>4402</v>
      </c>
      <c r="R2150">
        <v>1571</v>
      </c>
      <c r="S2150" t="b">
        <v>0</v>
      </c>
      <c r="T2150" t="s">
        <v>87</v>
      </c>
      <c r="U2150" t="b">
        <v>0</v>
      </c>
      <c r="V2150" t="s">
        <v>112</v>
      </c>
      <c r="W2150" s="1">
        <v>44218.343900462962</v>
      </c>
      <c r="X2150">
        <v>767</v>
      </c>
      <c r="Y2150">
        <v>64</v>
      </c>
      <c r="Z2150">
        <v>0</v>
      </c>
      <c r="AA2150">
        <v>64</v>
      </c>
      <c r="AB2150">
        <v>0</v>
      </c>
      <c r="AC2150">
        <v>48</v>
      </c>
      <c r="AD2150">
        <v>17</v>
      </c>
      <c r="AE2150">
        <v>0</v>
      </c>
      <c r="AF2150">
        <v>0</v>
      </c>
      <c r="AG2150">
        <v>0</v>
      </c>
      <c r="AH2150" t="s">
        <v>94</v>
      </c>
      <c r="AI2150" s="1">
        <v>44218.353298611109</v>
      </c>
      <c r="AJ2150">
        <v>783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17</v>
      </c>
      <c r="AQ2150">
        <v>0</v>
      </c>
      <c r="AR2150">
        <v>0</v>
      </c>
      <c r="AS2150">
        <v>0</v>
      </c>
      <c r="AT2150" t="s">
        <v>90</v>
      </c>
      <c r="AU2150" s="1">
        <v>44218.403032407405</v>
      </c>
      <c r="AV2150">
        <v>21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17</v>
      </c>
      <c r="BC2150">
        <v>0</v>
      </c>
      <c r="BD2150">
        <v>0</v>
      </c>
      <c r="BE2150">
        <v>0</v>
      </c>
    </row>
    <row r="2151" spans="1:57" x14ac:dyDescent="0.45">
      <c r="A2151" t="s">
        <v>5217</v>
      </c>
      <c r="B2151" t="s">
        <v>79</v>
      </c>
      <c r="C2151" t="s">
        <v>367</v>
      </c>
      <c r="D2151" t="s">
        <v>81</v>
      </c>
      <c r="E2151" s="2" t="str">
        <f>HYPERLINK("capsilon://?command=openfolder&amp;siteaddress=FAM.docvelocity-na8.net&amp;folderid=FX1D6B906C-B14E-159E-9229-BF9BC8468DF3","FX201224031")</f>
        <v>FX201224031</v>
      </c>
      <c r="F2151" t="s">
        <v>19</v>
      </c>
      <c r="G2151" t="s">
        <v>19</v>
      </c>
      <c r="H2151" t="s">
        <v>82</v>
      </c>
      <c r="I2151" t="s">
        <v>5218</v>
      </c>
      <c r="J2151">
        <v>38</v>
      </c>
      <c r="K2151" t="s">
        <v>84</v>
      </c>
      <c r="L2151" t="s">
        <v>85</v>
      </c>
      <c r="M2151" t="s">
        <v>86</v>
      </c>
      <c r="N2151">
        <v>3</v>
      </c>
      <c r="O2151" s="1">
        <v>44201.505474537036</v>
      </c>
      <c r="P2151" s="1">
        <v>44201.562824074077</v>
      </c>
      <c r="Q2151">
        <v>2080</v>
      </c>
      <c r="R2151">
        <v>2875</v>
      </c>
      <c r="S2151" t="b">
        <v>0</v>
      </c>
      <c r="T2151" t="s">
        <v>87</v>
      </c>
      <c r="U2151" t="b">
        <v>0</v>
      </c>
      <c r="V2151" t="s">
        <v>179</v>
      </c>
      <c r="W2151" s="1">
        <v>44201.538958333331</v>
      </c>
      <c r="X2151">
        <v>2705</v>
      </c>
      <c r="Y2151">
        <v>37</v>
      </c>
      <c r="Z2151">
        <v>0</v>
      </c>
      <c r="AA2151">
        <v>37</v>
      </c>
      <c r="AB2151">
        <v>0</v>
      </c>
      <c r="AC2151">
        <v>36</v>
      </c>
      <c r="AD2151">
        <v>1</v>
      </c>
      <c r="AE2151">
        <v>0</v>
      </c>
      <c r="AF2151">
        <v>0</v>
      </c>
      <c r="AG2151">
        <v>0</v>
      </c>
      <c r="AH2151" t="s">
        <v>267</v>
      </c>
      <c r="AI2151" s="1">
        <v>44201.557974537034</v>
      </c>
      <c r="AJ2151">
        <v>100</v>
      </c>
      <c r="AK2151">
        <v>2</v>
      </c>
      <c r="AL2151">
        <v>0</v>
      </c>
      <c r="AM2151">
        <v>2</v>
      </c>
      <c r="AN2151">
        <v>0</v>
      </c>
      <c r="AO2151">
        <v>1</v>
      </c>
      <c r="AP2151">
        <v>-1</v>
      </c>
      <c r="AQ2151">
        <v>0</v>
      </c>
      <c r="AR2151">
        <v>0</v>
      </c>
      <c r="AS2151">
        <v>0</v>
      </c>
      <c r="AT2151" t="s">
        <v>90</v>
      </c>
      <c r="AU2151" s="1">
        <v>44201.562824074077</v>
      </c>
      <c r="AV2151">
        <v>6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-1</v>
      </c>
      <c r="BC2151">
        <v>0</v>
      </c>
      <c r="BD2151">
        <v>0</v>
      </c>
      <c r="BE2151">
        <v>0</v>
      </c>
    </row>
    <row r="2152" spans="1:57" hidden="1" x14ac:dyDescent="0.45">
      <c r="A2152" t="s">
        <v>5219</v>
      </c>
      <c r="B2152" t="s">
        <v>79</v>
      </c>
      <c r="C2152" t="s">
        <v>5220</v>
      </c>
      <c r="D2152" t="s">
        <v>81</v>
      </c>
      <c r="E2152" s="2" t="str">
        <f>HYPERLINK("capsilon://?command=openfolder&amp;siteaddress=FAM.docvelocity-na8.net&amp;folderid=FX3364F0CD-AE50-3E72-9419-41E9DBC31E7F","FX201225838")</f>
        <v>FX201225838</v>
      </c>
      <c r="F2152" t="s">
        <v>19</v>
      </c>
      <c r="G2152" t="s">
        <v>19</v>
      </c>
      <c r="H2152" t="s">
        <v>82</v>
      </c>
      <c r="I2152" t="s">
        <v>5221</v>
      </c>
      <c r="J2152">
        <v>66</v>
      </c>
      <c r="K2152" t="s">
        <v>84</v>
      </c>
      <c r="L2152" t="s">
        <v>85</v>
      </c>
      <c r="M2152" t="s">
        <v>86</v>
      </c>
      <c r="N2152">
        <v>3</v>
      </c>
      <c r="O2152" s="1">
        <v>44201.505949074075</v>
      </c>
      <c r="P2152" s="1">
        <v>44201.562858796293</v>
      </c>
      <c r="Q2152">
        <v>4643</v>
      </c>
      <c r="R2152">
        <v>274</v>
      </c>
      <c r="S2152" t="b">
        <v>0</v>
      </c>
      <c r="T2152" t="s">
        <v>87</v>
      </c>
      <c r="U2152" t="b">
        <v>0</v>
      </c>
      <c r="V2152" t="s">
        <v>259</v>
      </c>
      <c r="W2152" s="1">
        <v>44201.51221064815</v>
      </c>
      <c r="X2152">
        <v>191</v>
      </c>
      <c r="Y2152">
        <v>0</v>
      </c>
      <c r="Z2152">
        <v>0</v>
      </c>
      <c r="AA2152">
        <v>0</v>
      </c>
      <c r="AB2152">
        <v>52</v>
      </c>
      <c r="AC2152">
        <v>0</v>
      </c>
      <c r="AD2152">
        <v>66</v>
      </c>
      <c r="AE2152">
        <v>0</v>
      </c>
      <c r="AF2152">
        <v>0</v>
      </c>
      <c r="AG2152">
        <v>0</v>
      </c>
      <c r="AH2152" t="s">
        <v>267</v>
      </c>
      <c r="AI2152" s="1">
        <v>44201.558483796296</v>
      </c>
      <c r="AJ2152">
        <v>44</v>
      </c>
      <c r="AK2152">
        <v>0</v>
      </c>
      <c r="AL2152">
        <v>0</v>
      </c>
      <c r="AM2152">
        <v>0</v>
      </c>
      <c r="AN2152">
        <v>52</v>
      </c>
      <c r="AO2152">
        <v>0</v>
      </c>
      <c r="AP2152">
        <v>66</v>
      </c>
      <c r="AQ2152">
        <v>0</v>
      </c>
      <c r="AR2152">
        <v>0</v>
      </c>
      <c r="AS2152">
        <v>0</v>
      </c>
      <c r="AT2152" t="s">
        <v>90</v>
      </c>
      <c r="AU2152" s="1">
        <v>44201.562858796293</v>
      </c>
      <c r="AV2152">
        <v>3</v>
      </c>
      <c r="AW2152">
        <v>0</v>
      </c>
      <c r="AX2152">
        <v>0</v>
      </c>
      <c r="AY2152">
        <v>0</v>
      </c>
      <c r="AZ2152">
        <v>52</v>
      </c>
      <c r="BA2152">
        <v>0</v>
      </c>
      <c r="BB2152">
        <v>66</v>
      </c>
      <c r="BC2152">
        <v>0</v>
      </c>
      <c r="BD2152">
        <v>0</v>
      </c>
      <c r="BE2152">
        <v>0</v>
      </c>
    </row>
    <row r="2153" spans="1:57" x14ac:dyDescent="0.45">
      <c r="A2153" t="s">
        <v>5222</v>
      </c>
      <c r="B2153" t="s">
        <v>79</v>
      </c>
      <c r="C2153" t="s">
        <v>5223</v>
      </c>
      <c r="D2153" t="s">
        <v>81</v>
      </c>
      <c r="E2153" s="2" t="str">
        <f>HYPERLINK("capsilon://?command=openfolder&amp;siteaddress=FAM.docvelocity-na8.net&amp;folderid=FXB72B99AA-8B8E-D292-0DDB-8C2F0C0AF505","FX201224148")</f>
        <v>FX201224148</v>
      </c>
      <c r="F2153" t="s">
        <v>19</v>
      </c>
      <c r="G2153" t="s">
        <v>19</v>
      </c>
      <c r="H2153" t="s">
        <v>82</v>
      </c>
      <c r="I2153" t="s">
        <v>5224</v>
      </c>
      <c r="J2153">
        <v>142</v>
      </c>
      <c r="K2153" t="s">
        <v>84</v>
      </c>
      <c r="L2153" t="s">
        <v>85</v>
      </c>
      <c r="M2153" t="s">
        <v>86</v>
      </c>
      <c r="N2153">
        <v>3</v>
      </c>
      <c r="O2153" s="1">
        <v>44201.506724537037</v>
      </c>
      <c r="P2153" s="1">
        <v>44201.595150462963</v>
      </c>
      <c r="Q2153">
        <v>4669</v>
      </c>
      <c r="R2153">
        <v>2971</v>
      </c>
      <c r="S2153" t="b">
        <v>0</v>
      </c>
      <c r="T2153" t="s">
        <v>87</v>
      </c>
      <c r="U2153" t="b">
        <v>0</v>
      </c>
      <c r="V2153" t="s">
        <v>160</v>
      </c>
      <c r="W2153" s="1">
        <v>44201.529791666668</v>
      </c>
      <c r="X2153">
        <v>1957</v>
      </c>
      <c r="Y2153">
        <v>121</v>
      </c>
      <c r="Z2153">
        <v>0</v>
      </c>
      <c r="AA2153">
        <v>121</v>
      </c>
      <c r="AB2153">
        <v>0</v>
      </c>
      <c r="AC2153">
        <v>78</v>
      </c>
      <c r="AD2153">
        <v>21</v>
      </c>
      <c r="AE2153">
        <v>0</v>
      </c>
      <c r="AF2153">
        <v>0</v>
      </c>
      <c r="AG2153">
        <v>0</v>
      </c>
      <c r="AH2153" t="s">
        <v>267</v>
      </c>
      <c r="AI2153" s="1">
        <v>44201.564444444448</v>
      </c>
      <c r="AJ2153">
        <v>514</v>
      </c>
      <c r="AK2153">
        <v>2</v>
      </c>
      <c r="AL2153">
        <v>0</v>
      </c>
      <c r="AM2153">
        <v>2</v>
      </c>
      <c r="AN2153">
        <v>0</v>
      </c>
      <c r="AO2153">
        <v>1</v>
      </c>
      <c r="AP2153">
        <v>19</v>
      </c>
      <c r="AQ2153">
        <v>0</v>
      </c>
      <c r="AR2153">
        <v>0</v>
      </c>
      <c r="AS2153">
        <v>0</v>
      </c>
      <c r="AT2153" t="s">
        <v>90</v>
      </c>
      <c r="AU2153" s="1">
        <v>44201.595150462963</v>
      </c>
      <c r="AV2153">
        <v>190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19</v>
      </c>
      <c r="BC2153">
        <v>0</v>
      </c>
      <c r="BD2153">
        <v>0</v>
      </c>
      <c r="BE2153">
        <v>0</v>
      </c>
    </row>
    <row r="2154" spans="1:57" x14ac:dyDescent="0.45">
      <c r="A2154" t="s">
        <v>5225</v>
      </c>
      <c r="B2154" t="s">
        <v>79</v>
      </c>
      <c r="C2154" t="s">
        <v>1399</v>
      </c>
      <c r="D2154" t="s">
        <v>81</v>
      </c>
      <c r="E2154" s="2" t="str">
        <f>HYPERLINK("capsilon://?command=openfolder&amp;siteaddress=FAM.docvelocity-na8.net&amp;folderid=FX84E84093-383A-B025-766B-259A024D4397","FX2012887")</f>
        <v>FX2012887</v>
      </c>
      <c r="F2154" t="s">
        <v>19</v>
      </c>
      <c r="G2154" t="s">
        <v>19</v>
      </c>
      <c r="H2154" t="s">
        <v>82</v>
      </c>
      <c r="I2154" t="s">
        <v>5226</v>
      </c>
      <c r="J2154">
        <v>66</v>
      </c>
      <c r="K2154" t="s">
        <v>84</v>
      </c>
      <c r="L2154" t="s">
        <v>85</v>
      </c>
      <c r="M2154" t="s">
        <v>86</v>
      </c>
      <c r="N2154">
        <v>3</v>
      </c>
      <c r="O2154" s="1">
        <v>44218.369618055556</v>
      </c>
      <c r="P2154" s="1">
        <v>44218.403067129628</v>
      </c>
      <c r="Q2154">
        <v>2594</v>
      </c>
      <c r="R2154">
        <v>296</v>
      </c>
      <c r="S2154" t="b">
        <v>0</v>
      </c>
      <c r="T2154" t="s">
        <v>87</v>
      </c>
      <c r="U2154" t="b">
        <v>0</v>
      </c>
      <c r="V2154" t="s">
        <v>98</v>
      </c>
      <c r="W2154" s="1">
        <v>44218.37232638889</v>
      </c>
      <c r="X2154">
        <v>233</v>
      </c>
      <c r="Y2154">
        <v>1</v>
      </c>
      <c r="Z2154">
        <v>0</v>
      </c>
      <c r="AA2154">
        <v>1</v>
      </c>
      <c r="AB2154">
        <v>52</v>
      </c>
      <c r="AC2154">
        <v>0</v>
      </c>
      <c r="AD2154">
        <v>65</v>
      </c>
      <c r="AE2154">
        <v>0</v>
      </c>
      <c r="AF2154">
        <v>0</v>
      </c>
      <c r="AG2154">
        <v>0</v>
      </c>
      <c r="AH2154" t="s">
        <v>89</v>
      </c>
      <c r="AI2154" s="1">
        <v>44218.379942129628</v>
      </c>
      <c r="AJ2154">
        <v>61</v>
      </c>
      <c r="AK2154">
        <v>0</v>
      </c>
      <c r="AL2154">
        <v>0</v>
      </c>
      <c r="AM2154">
        <v>0</v>
      </c>
      <c r="AN2154">
        <v>52</v>
      </c>
      <c r="AO2154">
        <v>0</v>
      </c>
      <c r="AP2154">
        <v>65</v>
      </c>
      <c r="AQ2154">
        <v>0</v>
      </c>
      <c r="AR2154">
        <v>0</v>
      </c>
      <c r="AS2154">
        <v>0</v>
      </c>
      <c r="AT2154" t="s">
        <v>90</v>
      </c>
      <c r="AU2154" s="1">
        <v>44218.403067129628</v>
      </c>
      <c r="AV2154">
        <v>2</v>
      </c>
      <c r="AW2154">
        <v>0</v>
      </c>
      <c r="AX2154">
        <v>0</v>
      </c>
      <c r="AY2154">
        <v>0</v>
      </c>
      <c r="AZ2154">
        <v>52</v>
      </c>
      <c r="BA2154">
        <v>0</v>
      </c>
      <c r="BB2154">
        <v>65</v>
      </c>
      <c r="BC2154">
        <v>0</v>
      </c>
      <c r="BD2154">
        <v>0</v>
      </c>
      <c r="BE2154">
        <v>0</v>
      </c>
    </row>
    <row r="2155" spans="1:57" x14ac:dyDescent="0.45">
      <c r="A2155" t="s">
        <v>5227</v>
      </c>
      <c r="B2155" t="s">
        <v>79</v>
      </c>
      <c r="C2155" t="s">
        <v>5228</v>
      </c>
      <c r="D2155" t="s">
        <v>81</v>
      </c>
      <c r="E2155" s="2" t="str">
        <f>HYPERLINK("capsilon://?command=openfolder&amp;siteaddress=FAM.docvelocity-na8.net&amp;folderid=FX3542CF65-B1F6-2271-A488-19F3A6706534","FX210112370")</f>
        <v>FX210112370</v>
      </c>
      <c r="F2155" t="s">
        <v>19</v>
      </c>
      <c r="G2155" t="s">
        <v>19</v>
      </c>
      <c r="H2155" t="s">
        <v>82</v>
      </c>
      <c r="I2155" t="s">
        <v>5229</v>
      </c>
      <c r="J2155">
        <v>336</v>
      </c>
      <c r="K2155" t="s">
        <v>84</v>
      </c>
      <c r="L2155" t="s">
        <v>85</v>
      </c>
      <c r="M2155" t="s">
        <v>86</v>
      </c>
      <c r="N2155">
        <v>3</v>
      </c>
      <c r="O2155" s="1">
        <v>44218.372002314813</v>
      </c>
      <c r="P2155" s="1">
        <v>44218.494004629632</v>
      </c>
      <c r="Q2155">
        <v>1907</v>
      </c>
      <c r="R2155">
        <v>8634</v>
      </c>
      <c r="S2155" t="b">
        <v>0</v>
      </c>
      <c r="T2155" t="s">
        <v>87</v>
      </c>
      <c r="U2155" t="b">
        <v>0</v>
      </c>
      <c r="V2155" t="s">
        <v>105</v>
      </c>
      <c r="W2155" s="1">
        <v>44218.421655092592</v>
      </c>
      <c r="X2155">
        <v>4287</v>
      </c>
      <c r="Y2155">
        <v>233</v>
      </c>
      <c r="Z2155">
        <v>0</v>
      </c>
      <c r="AA2155">
        <v>233</v>
      </c>
      <c r="AB2155">
        <v>37</v>
      </c>
      <c r="AC2155">
        <v>146</v>
      </c>
      <c r="AD2155">
        <v>103</v>
      </c>
      <c r="AE2155">
        <v>0</v>
      </c>
      <c r="AF2155">
        <v>0</v>
      </c>
      <c r="AG2155">
        <v>0</v>
      </c>
      <c r="AH2155" t="s">
        <v>89</v>
      </c>
      <c r="AI2155" s="1">
        <v>44218.455000000002</v>
      </c>
      <c r="AJ2155">
        <v>2776</v>
      </c>
      <c r="AK2155">
        <v>1</v>
      </c>
      <c r="AL2155">
        <v>0</v>
      </c>
      <c r="AM2155">
        <v>1</v>
      </c>
      <c r="AN2155">
        <v>37</v>
      </c>
      <c r="AO2155">
        <v>0</v>
      </c>
      <c r="AP2155">
        <v>102</v>
      </c>
      <c r="AQ2155">
        <v>0</v>
      </c>
      <c r="AR2155">
        <v>0</v>
      </c>
      <c r="AS2155">
        <v>0</v>
      </c>
      <c r="AT2155" t="s">
        <v>549</v>
      </c>
      <c r="AU2155" s="1">
        <v>44218.494004629632</v>
      </c>
      <c r="AV2155">
        <v>1571</v>
      </c>
      <c r="AW2155">
        <v>0</v>
      </c>
      <c r="AX2155">
        <v>0</v>
      </c>
      <c r="AY2155">
        <v>0</v>
      </c>
      <c r="AZ2155">
        <v>37</v>
      </c>
      <c r="BA2155">
        <v>0</v>
      </c>
      <c r="BB2155">
        <v>102</v>
      </c>
      <c r="BC2155">
        <v>0</v>
      </c>
      <c r="BD2155">
        <v>0</v>
      </c>
      <c r="BE2155">
        <v>0</v>
      </c>
    </row>
    <row r="2156" spans="1:57" x14ac:dyDescent="0.45">
      <c r="A2156" t="s">
        <v>5230</v>
      </c>
      <c r="B2156" t="s">
        <v>79</v>
      </c>
      <c r="C2156" t="s">
        <v>5231</v>
      </c>
      <c r="D2156" t="s">
        <v>81</v>
      </c>
      <c r="E2156" s="2" t="str">
        <f>HYPERLINK("capsilon://?command=openfolder&amp;siteaddress=FAM.docvelocity-na8.net&amp;folderid=FX6DEC01E1-F20D-8924-410B-52E6A0D78B28","FX210112202")</f>
        <v>FX210112202</v>
      </c>
      <c r="F2156" t="s">
        <v>19</v>
      </c>
      <c r="G2156" t="s">
        <v>19</v>
      </c>
      <c r="H2156" t="s">
        <v>82</v>
      </c>
      <c r="I2156" t="s">
        <v>5232</v>
      </c>
      <c r="J2156">
        <v>173</v>
      </c>
      <c r="K2156" t="s">
        <v>84</v>
      </c>
      <c r="L2156" t="s">
        <v>85</v>
      </c>
      <c r="M2156" t="s">
        <v>86</v>
      </c>
      <c r="N2156">
        <v>3</v>
      </c>
      <c r="O2156" s="1">
        <v>44218.374016203707</v>
      </c>
      <c r="P2156" s="1">
        <v>44218.435173611113</v>
      </c>
      <c r="Q2156">
        <v>267</v>
      </c>
      <c r="R2156">
        <v>5017</v>
      </c>
      <c r="S2156" t="b">
        <v>0</v>
      </c>
      <c r="T2156" t="s">
        <v>87</v>
      </c>
      <c r="U2156" t="b">
        <v>0</v>
      </c>
      <c r="V2156" t="s">
        <v>98</v>
      </c>
      <c r="W2156" s="1">
        <v>44218.415717592594</v>
      </c>
      <c r="X2156">
        <v>3602</v>
      </c>
      <c r="Y2156">
        <v>174</v>
      </c>
      <c r="Z2156">
        <v>0</v>
      </c>
      <c r="AA2156">
        <v>174</v>
      </c>
      <c r="AB2156">
        <v>0</v>
      </c>
      <c r="AC2156">
        <v>102</v>
      </c>
      <c r="AD2156">
        <v>-1</v>
      </c>
      <c r="AE2156">
        <v>0</v>
      </c>
      <c r="AF2156">
        <v>0</v>
      </c>
      <c r="AG2156">
        <v>0</v>
      </c>
      <c r="AH2156" t="s">
        <v>108</v>
      </c>
      <c r="AI2156" s="1">
        <v>44218.432083333333</v>
      </c>
      <c r="AJ2156">
        <v>1235</v>
      </c>
      <c r="AK2156">
        <v>8</v>
      </c>
      <c r="AL2156">
        <v>0</v>
      </c>
      <c r="AM2156">
        <v>8</v>
      </c>
      <c r="AN2156">
        <v>0</v>
      </c>
      <c r="AO2156">
        <v>6</v>
      </c>
      <c r="AP2156">
        <v>-9</v>
      </c>
      <c r="AQ2156">
        <v>0</v>
      </c>
      <c r="AR2156">
        <v>0</v>
      </c>
      <c r="AS2156">
        <v>0</v>
      </c>
      <c r="AT2156" t="s">
        <v>90</v>
      </c>
      <c r="AU2156" s="1">
        <v>44218.435173611113</v>
      </c>
      <c r="AV2156">
        <v>25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-9</v>
      </c>
      <c r="BC2156">
        <v>0</v>
      </c>
      <c r="BD2156">
        <v>0</v>
      </c>
      <c r="BE2156">
        <v>0</v>
      </c>
    </row>
    <row r="2157" spans="1:57" hidden="1" x14ac:dyDescent="0.45">
      <c r="A2157" t="s">
        <v>5233</v>
      </c>
      <c r="B2157" t="s">
        <v>79</v>
      </c>
      <c r="C2157" t="s">
        <v>1002</v>
      </c>
      <c r="D2157" t="s">
        <v>81</v>
      </c>
      <c r="E2157" s="2" t="str">
        <f>HYPERLINK("capsilon://?command=openfolder&amp;siteaddress=FAM.docvelocity-na8.net&amp;folderid=FX987774A7-2F26-CFD7-92EF-864116928DB6","FX201114507")</f>
        <v>FX201114507</v>
      </c>
      <c r="F2157" t="s">
        <v>19</v>
      </c>
      <c r="G2157" t="s">
        <v>19</v>
      </c>
      <c r="H2157" t="s">
        <v>82</v>
      </c>
      <c r="I2157" t="s">
        <v>5234</v>
      </c>
      <c r="J2157">
        <v>66</v>
      </c>
      <c r="K2157" t="s">
        <v>84</v>
      </c>
      <c r="L2157" t="s">
        <v>85</v>
      </c>
      <c r="M2157" t="s">
        <v>86</v>
      </c>
      <c r="N2157">
        <v>3</v>
      </c>
      <c r="O2157" s="1">
        <v>44218.386874999997</v>
      </c>
      <c r="P2157" s="1">
        <v>44218.403113425928</v>
      </c>
      <c r="Q2157">
        <v>1217</v>
      </c>
      <c r="R2157">
        <v>186</v>
      </c>
      <c r="S2157" t="b">
        <v>0</v>
      </c>
      <c r="T2157" t="s">
        <v>87</v>
      </c>
      <c r="U2157" t="b">
        <v>0</v>
      </c>
      <c r="V2157" t="s">
        <v>88</v>
      </c>
      <c r="W2157" s="1">
        <v>44218.388692129629</v>
      </c>
      <c r="X2157">
        <v>138</v>
      </c>
      <c r="Y2157">
        <v>0</v>
      </c>
      <c r="Z2157">
        <v>0</v>
      </c>
      <c r="AA2157">
        <v>0</v>
      </c>
      <c r="AB2157">
        <v>52</v>
      </c>
      <c r="AC2157">
        <v>0</v>
      </c>
      <c r="AD2157">
        <v>66</v>
      </c>
      <c r="AE2157">
        <v>0</v>
      </c>
      <c r="AF2157">
        <v>0</v>
      </c>
      <c r="AG2157">
        <v>0</v>
      </c>
      <c r="AH2157" t="s">
        <v>94</v>
      </c>
      <c r="AI2157" s="1">
        <v>44218.392442129632</v>
      </c>
      <c r="AJ2157">
        <v>45</v>
      </c>
      <c r="AK2157">
        <v>0</v>
      </c>
      <c r="AL2157">
        <v>0</v>
      </c>
      <c r="AM2157">
        <v>0</v>
      </c>
      <c r="AN2157">
        <v>52</v>
      </c>
      <c r="AO2157">
        <v>0</v>
      </c>
      <c r="AP2157">
        <v>66</v>
      </c>
      <c r="AQ2157">
        <v>0</v>
      </c>
      <c r="AR2157">
        <v>0</v>
      </c>
      <c r="AS2157">
        <v>0</v>
      </c>
      <c r="AT2157" t="s">
        <v>90</v>
      </c>
      <c r="AU2157" s="1">
        <v>44218.403113425928</v>
      </c>
      <c r="AV2157">
        <v>3</v>
      </c>
      <c r="AW2157">
        <v>0</v>
      </c>
      <c r="AX2157">
        <v>0</v>
      </c>
      <c r="AY2157">
        <v>0</v>
      </c>
      <c r="AZ2157">
        <v>52</v>
      </c>
      <c r="BA2157">
        <v>0</v>
      </c>
      <c r="BB2157">
        <v>66</v>
      </c>
      <c r="BC2157">
        <v>0</v>
      </c>
      <c r="BD2157">
        <v>0</v>
      </c>
      <c r="BE2157">
        <v>0</v>
      </c>
    </row>
    <row r="2158" spans="1:57" hidden="1" x14ac:dyDescent="0.45">
      <c r="A2158" t="s">
        <v>5235</v>
      </c>
      <c r="B2158" t="s">
        <v>79</v>
      </c>
      <c r="C2158" t="s">
        <v>5236</v>
      </c>
      <c r="D2158" t="s">
        <v>81</v>
      </c>
      <c r="E2158" s="2" t="str">
        <f>HYPERLINK("capsilon://?command=openfolder&amp;siteaddress=FAM.docvelocity-na8.net&amp;folderid=FXC6DECC49-3295-AB3A-A2CA-8D19BC19193B","FX20126735")</f>
        <v>FX20126735</v>
      </c>
      <c r="F2158" t="s">
        <v>19</v>
      </c>
      <c r="G2158" t="s">
        <v>19</v>
      </c>
      <c r="H2158" t="s">
        <v>82</v>
      </c>
      <c r="I2158" t="s">
        <v>5237</v>
      </c>
      <c r="J2158">
        <v>51</v>
      </c>
      <c r="K2158" t="s">
        <v>84</v>
      </c>
      <c r="L2158" t="s">
        <v>85</v>
      </c>
      <c r="M2158" t="s">
        <v>86</v>
      </c>
      <c r="N2158">
        <v>1</v>
      </c>
      <c r="O2158" s="1">
        <v>44218.39203703704</v>
      </c>
      <c r="P2158" s="1">
        <v>44218.397719907407</v>
      </c>
      <c r="Q2158">
        <v>133</v>
      </c>
      <c r="R2158">
        <v>358</v>
      </c>
      <c r="S2158" t="b">
        <v>0</v>
      </c>
      <c r="T2158" t="s">
        <v>87</v>
      </c>
      <c r="U2158" t="b">
        <v>0</v>
      </c>
      <c r="V2158" t="s">
        <v>419</v>
      </c>
      <c r="W2158" s="1">
        <v>44218.397719907407</v>
      </c>
      <c r="X2158">
        <v>358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51</v>
      </c>
      <c r="AE2158">
        <v>47</v>
      </c>
      <c r="AF2158">
        <v>0</v>
      </c>
      <c r="AG2158">
        <v>2</v>
      </c>
      <c r="AH2158" t="s">
        <v>87</v>
      </c>
      <c r="AI2158" t="s">
        <v>87</v>
      </c>
      <c r="AJ2158" t="s">
        <v>87</v>
      </c>
      <c r="AK2158" t="s">
        <v>87</v>
      </c>
      <c r="AL2158" t="s">
        <v>87</v>
      </c>
      <c r="AM2158" t="s">
        <v>87</v>
      </c>
      <c r="AN2158" t="s">
        <v>87</v>
      </c>
      <c r="AO2158" t="s">
        <v>87</v>
      </c>
      <c r="AP2158" t="s">
        <v>87</v>
      </c>
      <c r="AQ2158" t="s">
        <v>87</v>
      </c>
      <c r="AR2158" t="s">
        <v>87</v>
      </c>
      <c r="AS2158" t="s">
        <v>87</v>
      </c>
      <c r="AT2158" t="s">
        <v>87</v>
      </c>
      <c r="AU2158" t="s">
        <v>87</v>
      </c>
      <c r="AV2158" t="s">
        <v>87</v>
      </c>
      <c r="AW2158" t="s">
        <v>87</v>
      </c>
      <c r="AX2158" t="s">
        <v>87</v>
      </c>
      <c r="AY2158" t="s">
        <v>87</v>
      </c>
      <c r="AZ2158" t="s">
        <v>87</v>
      </c>
      <c r="BA2158" t="s">
        <v>87</v>
      </c>
      <c r="BB2158" t="s">
        <v>87</v>
      </c>
      <c r="BC2158" t="s">
        <v>87</v>
      </c>
      <c r="BD2158" t="s">
        <v>87</v>
      </c>
      <c r="BE2158" t="s">
        <v>87</v>
      </c>
    </row>
    <row r="2159" spans="1:57" x14ac:dyDescent="0.45">
      <c r="A2159" t="s">
        <v>5238</v>
      </c>
      <c r="B2159" t="s">
        <v>79</v>
      </c>
      <c r="C2159" t="s">
        <v>5239</v>
      </c>
      <c r="D2159" t="s">
        <v>81</v>
      </c>
      <c r="E2159" s="2" t="str">
        <f>HYPERLINK("capsilon://?command=openfolder&amp;siteaddress=FAM.docvelocity-na8.net&amp;folderid=FX05E51DE1-21D7-91B2-9202-BF5BCF975503","FX210112948")</f>
        <v>FX210112948</v>
      </c>
      <c r="F2159" t="s">
        <v>19</v>
      </c>
      <c r="G2159" t="s">
        <v>19</v>
      </c>
      <c r="H2159" t="s">
        <v>82</v>
      </c>
      <c r="I2159" t="s">
        <v>5240</v>
      </c>
      <c r="J2159">
        <v>483</v>
      </c>
      <c r="K2159" t="s">
        <v>84</v>
      </c>
      <c r="L2159" t="s">
        <v>85</v>
      </c>
      <c r="M2159" t="s">
        <v>86</v>
      </c>
      <c r="N2159">
        <v>3</v>
      </c>
      <c r="O2159" s="1">
        <v>44218.395532407405</v>
      </c>
      <c r="P2159" s="1">
        <v>44218.49931712963</v>
      </c>
      <c r="Q2159">
        <v>3225</v>
      </c>
      <c r="R2159">
        <v>5742</v>
      </c>
      <c r="S2159" t="b">
        <v>0</v>
      </c>
      <c r="T2159" t="s">
        <v>87</v>
      </c>
      <c r="U2159" t="b">
        <v>0</v>
      </c>
      <c r="V2159" t="s">
        <v>88</v>
      </c>
      <c r="W2159" s="1">
        <v>44218.447523148148</v>
      </c>
      <c r="X2159">
        <v>4469</v>
      </c>
      <c r="Y2159">
        <v>345</v>
      </c>
      <c r="Z2159">
        <v>0</v>
      </c>
      <c r="AA2159">
        <v>345</v>
      </c>
      <c r="AB2159">
        <v>74</v>
      </c>
      <c r="AC2159">
        <v>198</v>
      </c>
      <c r="AD2159">
        <v>138</v>
      </c>
      <c r="AE2159">
        <v>0</v>
      </c>
      <c r="AF2159">
        <v>0</v>
      </c>
      <c r="AG2159">
        <v>0</v>
      </c>
      <c r="AH2159" t="s">
        <v>128</v>
      </c>
      <c r="AI2159" s="1">
        <v>44218.459502314814</v>
      </c>
      <c r="AJ2159">
        <v>823</v>
      </c>
      <c r="AK2159">
        <v>1</v>
      </c>
      <c r="AL2159">
        <v>0</v>
      </c>
      <c r="AM2159">
        <v>1</v>
      </c>
      <c r="AN2159">
        <v>74</v>
      </c>
      <c r="AO2159">
        <v>1</v>
      </c>
      <c r="AP2159">
        <v>137</v>
      </c>
      <c r="AQ2159">
        <v>0</v>
      </c>
      <c r="AR2159">
        <v>0</v>
      </c>
      <c r="AS2159">
        <v>0</v>
      </c>
      <c r="AT2159" t="s">
        <v>549</v>
      </c>
      <c r="AU2159" s="1">
        <v>44218.49931712963</v>
      </c>
      <c r="AV2159">
        <v>450</v>
      </c>
      <c r="AW2159">
        <v>0</v>
      </c>
      <c r="AX2159">
        <v>0</v>
      </c>
      <c r="AY2159">
        <v>0</v>
      </c>
      <c r="AZ2159">
        <v>74</v>
      </c>
      <c r="BA2159">
        <v>0</v>
      </c>
      <c r="BB2159">
        <v>137</v>
      </c>
      <c r="BC2159">
        <v>0</v>
      </c>
      <c r="BD2159">
        <v>0</v>
      </c>
      <c r="BE2159">
        <v>0</v>
      </c>
    </row>
    <row r="2160" spans="1:57" x14ac:dyDescent="0.45">
      <c r="A2160" t="s">
        <v>5241</v>
      </c>
      <c r="B2160" t="s">
        <v>79</v>
      </c>
      <c r="C2160" t="s">
        <v>5242</v>
      </c>
      <c r="D2160" t="s">
        <v>81</v>
      </c>
      <c r="E2160" s="2" t="str">
        <f>HYPERLINK("capsilon://?command=openfolder&amp;siteaddress=FAM.docvelocity-na8.net&amp;folderid=FXC24AD4C4-73A6-D76A-833F-2CEEEDD5114F","FX210112477")</f>
        <v>FX210112477</v>
      </c>
      <c r="F2160" t="s">
        <v>19</v>
      </c>
      <c r="G2160" t="s">
        <v>19</v>
      </c>
      <c r="H2160" t="s">
        <v>82</v>
      </c>
      <c r="I2160" t="s">
        <v>5243</v>
      </c>
      <c r="J2160">
        <v>336</v>
      </c>
      <c r="K2160" t="s">
        <v>84</v>
      </c>
      <c r="L2160" t="s">
        <v>85</v>
      </c>
      <c r="M2160" t="s">
        <v>86</v>
      </c>
      <c r="N2160">
        <v>3</v>
      </c>
      <c r="O2160" s="1">
        <v>44218.395891203705</v>
      </c>
      <c r="P2160" s="1">
        <v>44218.499050925922</v>
      </c>
      <c r="Q2160">
        <v>3155</v>
      </c>
      <c r="R2160">
        <v>5758</v>
      </c>
      <c r="S2160" t="b">
        <v>0</v>
      </c>
      <c r="T2160" t="s">
        <v>87</v>
      </c>
      <c r="U2160" t="b">
        <v>0</v>
      </c>
      <c r="V2160" t="s">
        <v>419</v>
      </c>
      <c r="W2160" s="1">
        <v>44218.450370370374</v>
      </c>
      <c r="X2160">
        <v>4548</v>
      </c>
      <c r="Y2160">
        <v>233</v>
      </c>
      <c r="Z2160">
        <v>0</v>
      </c>
      <c r="AA2160">
        <v>233</v>
      </c>
      <c r="AB2160">
        <v>37</v>
      </c>
      <c r="AC2160">
        <v>148</v>
      </c>
      <c r="AD2160">
        <v>103</v>
      </c>
      <c r="AE2160">
        <v>0</v>
      </c>
      <c r="AF2160">
        <v>0</v>
      </c>
      <c r="AG2160">
        <v>0</v>
      </c>
      <c r="AH2160" t="s">
        <v>108</v>
      </c>
      <c r="AI2160" s="1">
        <v>44218.46193287037</v>
      </c>
      <c r="AJ2160">
        <v>987</v>
      </c>
      <c r="AK2160">
        <v>3</v>
      </c>
      <c r="AL2160">
        <v>0</v>
      </c>
      <c r="AM2160">
        <v>3</v>
      </c>
      <c r="AN2160">
        <v>37</v>
      </c>
      <c r="AO2160">
        <v>2</v>
      </c>
      <c r="AP2160">
        <v>100</v>
      </c>
      <c r="AQ2160">
        <v>0</v>
      </c>
      <c r="AR2160">
        <v>0</v>
      </c>
      <c r="AS2160">
        <v>0</v>
      </c>
      <c r="AT2160" t="s">
        <v>90</v>
      </c>
      <c r="AU2160" s="1">
        <v>44218.499050925922</v>
      </c>
      <c r="AV2160">
        <v>186</v>
      </c>
      <c r="AW2160">
        <v>0</v>
      </c>
      <c r="AX2160">
        <v>0</v>
      </c>
      <c r="AY2160">
        <v>0</v>
      </c>
      <c r="AZ2160">
        <v>37</v>
      </c>
      <c r="BA2160">
        <v>0</v>
      </c>
      <c r="BB2160">
        <v>100</v>
      </c>
      <c r="BC2160">
        <v>0</v>
      </c>
      <c r="BD2160">
        <v>0</v>
      </c>
      <c r="BE2160">
        <v>0</v>
      </c>
    </row>
    <row r="2161" spans="1:57" x14ac:dyDescent="0.45">
      <c r="A2161" t="s">
        <v>5244</v>
      </c>
      <c r="B2161" t="s">
        <v>79</v>
      </c>
      <c r="C2161" t="s">
        <v>5236</v>
      </c>
      <c r="D2161" t="s">
        <v>81</v>
      </c>
      <c r="E2161" s="2" t="str">
        <f>HYPERLINK("capsilon://?command=openfolder&amp;siteaddress=FAM.docvelocity-na8.net&amp;folderid=FXC6DECC49-3295-AB3A-A2CA-8D19BC19193B","FX20126735")</f>
        <v>FX20126735</v>
      </c>
      <c r="F2161" t="s">
        <v>19</v>
      </c>
      <c r="G2161" t="s">
        <v>19</v>
      </c>
      <c r="H2161" t="s">
        <v>82</v>
      </c>
      <c r="I2161" t="s">
        <v>5237</v>
      </c>
      <c r="J2161">
        <v>96</v>
      </c>
      <c r="K2161" t="s">
        <v>84</v>
      </c>
      <c r="L2161" t="s">
        <v>85</v>
      </c>
      <c r="M2161" t="s">
        <v>86</v>
      </c>
      <c r="N2161">
        <v>3</v>
      </c>
      <c r="O2161" s="1">
        <v>44218.398761574077</v>
      </c>
      <c r="P2161" s="1">
        <v>44218.475648148145</v>
      </c>
      <c r="Q2161">
        <v>1903</v>
      </c>
      <c r="R2161">
        <v>4740</v>
      </c>
      <c r="S2161" t="b">
        <v>0</v>
      </c>
      <c r="T2161" t="s">
        <v>87</v>
      </c>
      <c r="U2161" t="b">
        <v>1</v>
      </c>
      <c r="V2161" t="s">
        <v>98</v>
      </c>
      <c r="W2161" s="1">
        <v>44218.464803240742</v>
      </c>
      <c r="X2161">
        <v>4240</v>
      </c>
      <c r="Y2161">
        <v>72</v>
      </c>
      <c r="Z2161">
        <v>0</v>
      </c>
      <c r="AA2161">
        <v>72</v>
      </c>
      <c r="AB2161">
        <v>0</v>
      </c>
      <c r="AC2161">
        <v>39</v>
      </c>
      <c r="AD2161">
        <v>24</v>
      </c>
      <c r="AE2161">
        <v>0</v>
      </c>
      <c r="AF2161">
        <v>0</v>
      </c>
      <c r="AG2161">
        <v>0</v>
      </c>
      <c r="AH2161" t="s">
        <v>108</v>
      </c>
      <c r="AI2161" s="1">
        <v>44218.470972222225</v>
      </c>
      <c r="AJ2161">
        <v>434</v>
      </c>
      <c r="AK2161">
        <v>1</v>
      </c>
      <c r="AL2161">
        <v>0</v>
      </c>
      <c r="AM2161">
        <v>1</v>
      </c>
      <c r="AN2161">
        <v>0</v>
      </c>
      <c r="AO2161">
        <v>0</v>
      </c>
      <c r="AP2161">
        <v>23</v>
      </c>
      <c r="AQ2161">
        <v>0</v>
      </c>
      <c r="AR2161">
        <v>0</v>
      </c>
      <c r="AS2161">
        <v>0</v>
      </c>
      <c r="AT2161" t="s">
        <v>549</v>
      </c>
      <c r="AU2161" s="1">
        <v>44218.475648148145</v>
      </c>
      <c r="AV2161">
        <v>56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23</v>
      </c>
      <c r="BC2161">
        <v>0</v>
      </c>
      <c r="BD2161">
        <v>0</v>
      </c>
      <c r="BE2161">
        <v>0</v>
      </c>
    </row>
    <row r="2162" spans="1:57" x14ac:dyDescent="0.45">
      <c r="A2162" t="s">
        <v>5245</v>
      </c>
      <c r="B2162" t="s">
        <v>79</v>
      </c>
      <c r="C2162" t="s">
        <v>5246</v>
      </c>
      <c r="D2162" t="s">
        <v>81</v>
      </c>
      <c r="E2162" s="2" t="str">
        <f>HYPERLINK("capsilon://?command=openfolder&amp;siteaddress=FAM.docvelocity-na8.net&amp;folderid=FX722B18A4-C04B-F05A-54F3-95C1C0BC6CBA","FX210111877")</f>
        <v>FX210111877</v>
      </c>
      <c r="F2162" t="s">
        <v>19</v>
      </c>
      <c r="G2162" t="s">
        <v>19</v>
      </c>
      <c r="H2162" t="s">
        <v>82</v>
      </c>
      <c r="I2162" t="s">
        <v>5247</v>
      </c>
      <c r="J2162">
        <v>38</v>
      </c>
      <c r="K2162" t="s">
        <v>84</v>
      </c>
      <c r="L2162" t="s">
        <v>85</v>
      </c>
      <c r="M2162" t="s">
        <v>86</v>
      </c>
      <c r="N2162">
        <v>3</v>
      </c>
      <c r="O2162" s="1">
        <v>44218.400497685187</v>
      </c>
      <c r="P2162" s="1">
        <v>44218.435312499998</v>
      </c>
      <c r="Q2162">
        <v>2341</v>
      </c>
      <c r="R2162">
        <v>667</v>
      </c>
      <c r="S2162" t="b">
        <v>0</v>
      </c>
      <c r="T2162" t="s">
        <v>87</v>
      </c>
      <c r="U2162" t="b">
        <v>0</v>
      </c>
      <c r="V2162" t="s">
        <v>105</v>
      </c>
      <c r="W2162" s="1">
        <v>44218.426030092596</v>
      </c>
      <c r="X2162">
        <v>377</v>
      </c>
      <c r="Y2162">
        <v>37</v>
      </c>
      <c r="Z2162">
        <v>0</v>
      </c>
      <c r="AA2162">
        <v>37</v>
      </c>
      <c r="AB2162">
        <v>0</v>
      </c>
      <c r="AC2162">
        <v>6</v>
      </c>
      <c r="AD2162">
        <v>1</v>
      </c>
      <c r="AE2162">
        <v>0</v>
      </c>
      <c r="AF2162">
        <v>0</v>
      </c>
      <c r="AG2162">
        <v>0</v>
      </c>
      <c r="AH2162" t="s">
        <v>108</v>
      </c>
      <c r="AI2162" s="1">
        <v>44218.435115740744</v>
      </c>
      <c r="AJ2162">
        <v>261</v>
      </c>
      <c r="AK2162">
        <v>2</v>
      </c>
      <c r="AL2162">
        <v>0</v>
      </c>
      <c r="AM2162">
        <v>2</v>
      </c>
      <c r="AN2162">
        <v>0</v>
      </c>
      <c r="AO2162">
        <v>1</v>
      </c>
      <c r="AP2162">
        <v>-1</v>
      </c>
      <c r="AQ2162">
        <v>0</v>
      </c>
      <c r="AR2162">
        <v>0</v>
      </c>
      <c r="AS2162">
        <v>0</v>
      </c>
      <c r="AT2162" t="s">
        <v>90</v>
      </c>
      <c r="AU2162" s="1">
        <v>44218.435312499998</v>
      </c>
      <c r="AV2162">
        <v>12</v>
      </c>
      <c r="AW2162">
        <v>1</v>
      </c>
      <c r="AX2162">
        <v>0</v>
      </c>
      <c r="AY2162">
        <v>1</v>
      </c>
      <c r="AZ2162">
        <v>0</v>
      </c>
      <c r="BA2162">
        <v>1</v>
      </c>
      <c r="BB2162">
        <v>-2</v>
      </c>
      <c r="BC2162">
        <v>0</v>
      </c>
      <c r="BD2162">
        <v>0</v>
      </c>
      <c r="BE2162">
        <v>0</v>
      </c>
    </row>
    <row r="2163" spans="1:57" x14ac:dyDescent="0.45">
      <c r="A2163" t="s">
        <v>5248</v>
      </c>
      <c r="B2163" t="s">
        <v>79</v>
      </c>
      <c r="C2163" t="s">
        <v>3731</v>
      </c>
      <c r="D2163" t="s">
        <v>81</v>
      </c>
      <c r="E2163" s="2" t="str">
        <f>HYPERLINK("capsilon://?command=openfolder&amp;siteaddress=FAM.docvelocity-na8.net&amp;folderid=FXC9BD24E8-7886-F9C5-5C21-59F0F3178E48","FX21018430")</f>
        <v>FX21018430</v>
      </c>
      <c r="F2163" t="s">
        <v>19</v>
      </c>
      <c r="G2163" t="s">
        <v>19</v>
      </c>
      <c r="H2163" t="s">
        <v>82</v>
      </c>
      <c r="I2163" t="s">
        <v>5249</v>
      </c>
      <c r="J2163">
        <v>66</v>
      </c>
      <c r="K2163" t="s">
        <v>84</v>
      </c>
      <c r="L2163" t="s">
        <v>85</v>
      </c>
      <c r="M2163" t="s">
        <v>86</v>
      </c>
      <c r="N2163">
        <v>3</v>
      </c>
      <c r="O2163" s="1">
        <v>44218.402094907404</v>
      </c>
      <c r="P2163" s="1">
        <v>44218.453553240739</v>
      </c>
      <c r="Q2163">
        <v>2846</v>
      </c>
      <c r="R2163">
        <v>1600</v>
      </c>
      <c r="S2163" t="b">
        <v>0</v>
      </c>
      <c r="T2163" t="s">
        <v>87</v>
      </c>
      <c r="U2163" t="b">
        <v>0</v>
      </c>
      <c r="V2163" t="s">
        <v>105</v>
      </c>
      <c r="W2163" s="1">
        <v>44218.43986111111</v>
      </c>
      <c r="X2163">
        <v>1194</v>
      </c>
      <c r="Y2163">
        <v>52</v>
      </c>
      <c r="Z2163">
        <v>0</v>
      </c>
      <c r="AA2163">
        <v>52</v>
      </c>
      <c r="AB2163">
        <v>0</v>
      </c>
      <c r="AC2163">
        <v>30</v>
      </c>
      <c r="AD2163">
        <v>14</v>
      </c>
      <c r="AE2163">
        <v>0</v>
      </c>
      <c r="AF2163">
        <v>0</v>
      </c>
      <c r="AG2163">
        <v>0</v>
      </c>
      <c r="AH2163" t="s">
        <v>108</v>
      </c>
      <c r="AI2163" s="1">
        <v>44218.450497685182</v>
      </c>
      <c r="AJ2163">
        <v>354</v>
      </c>
      <c r="AK2163">
        <v>1</v>
      </c>
      <c r="AL2163">
        <v>0</v>
      </c>
      <c r="AM2163">
        <v>1</v>
      </c>
      <c r="AN2163">
        <v>0</v>
      </c>
      <c r="AO2163">
        <v>0</v>
      </c>
      <c r="AP2163">
        <v>13</v>
      </c>
      <c r="AQ2163">
        <v>0</v>
      </c>
      <c r="AR2163">
        <v>0</v>
      </c>
      <c r="AS2163">
        <v>0</v>
      </c>
      <c r="AT2163" t="s">
        <v>90</v>
      </c>
      <c r="AU2163" s="1">
        <v>44218.453553240739</v>
      </c>
      <c r="AV2163">
        <v>21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13</v>
      </c>
      <c r="BC2163">
        <v>0</v>
      </c>
      <c r="BD2163">
        <v>0</v>
      </c>
      <c r="BE2163">
        <v>0</v>
      </c>
    </row>
    <row r="2164" spans="1:57" hidden="1" x14ac:dyDescent="0.45">
      <c r="A2164" t="s">
        <v>5250</v>
      </c>
      <c r="B2164" t="s">
        <v>79</v>
      </c>
      <c r="C2164" t="s">
        <v>2488</v>
      </c>
      <c r="D2164" t="s">
        <v>81</v>
      </c>
      <c r="E2164" s="2" t="str">
        <f>HYPERLINK("capsilon://?command=openfolder&amp;siteaddress=FAM.docvelocity-na8.net&amp;folderid=FXC5E7FCCC-70AF-AD18-3567-5C1BFA76537D","FX21015548")</f>
        <v>FX21015548</v>
      </c>
      <c r="F2164" t="s">
        <v>19</v>
      </c>
      <c r="G2164" t="s">
        <v>19</v>
      </c>
      <c r="H2164" t="s">
        <v>82</v>
      </c>
      <c r="I2164" t="s">
        <v>5251</v>
      </c>
      <c r="J2164">
        <v>26</v>
      </c>
      <c r="K2164" t="s">
        <v>84</v>
      </c>
      <c r="L2164" t="s">
        <v>85</v>
      </c>
      <c r="M2164" t="s">
        <v>86</v>
      </c>
      <c r="N2164">
        <v>1</v>
      </c>
      <c r="O2164" s="1">
        <v>44218.40221064815</v>
      </c>
      <c r="P2164" s="1">
        <v>44218.444097222222</v>
      </c>
      <c r="Q2164">
        <v>2997</v>
      </c>
      <c r="R2164">
        <v>622</v>
      </c>
      <c r="S2164" t="b">
        <v>0</v>
      </c>
      <c r="T2164" t="s">
        <v>87</v>
      </c>
      <c r="U2164" t="b">
        <v>0</v>
      </c>
      <c r="V2164" t="s">
        <v>146</v>
      </c>
      <c r="W2164" s="1">
        <v>44218.444097222222</v>
      </c>
      <c r="X2164">
        <v>622</v>
      </c>
      <c r="Y2164">
        <v>13</v>
      </c>
      <c r="Z2164">
        <v>0</v>
      </c>
      <c r="AA2164">
        <v>13</v>
      </c>
      <c r="AB2164">
        <v>0</v>
      </c>
      <c r="AC2164">
        <v>10</v>
      </c>
      <c r="AD2164">
        <v>13</v>
      </c>
      <c r="AE2164">
        <v>21</v>
      </c>
      <c r="AF2164">
        <v>0</v>
      </c>
      <c r="AG2164">
        <v>2</v>
      </c>
      <c r="AH2164" t="s">
        <v>87</v>
      </c>
      <c r="AI2164" t="s">
        <v>87</v>
      </c>
      <c r="AJ2164" t="s">
        <v>87</v>
      </c>
      <c r="AK2164" t="s">
        <v>87</v>
      </c>
      <c r="AL2164" t="s">
        <v>87</v>
      </c>
      <c r="AM2164" t="s">
        <v>87</v>
      </c>
      <c r="AN2164" t="s">
        <v>87</v>
      </c>
      <c r="AO2164" t="s">
        <v>87</v>
      </c>
      <c r="AP2164" t="s">
        <v>87</v>
      </c>
      <c r="AQ2164" t="s">
        <v>87</v>
      </c>
      <c r="AR2164" t="s">
        <v>87</v>
      </c>
      <c r="AS2164" t="s">
        <v>87</v>
      </c>
      <c r="AT2164" t="s">
        <v>87</v>
      </c>
      <c r="AU2164" t="s">
        <v>87</v>
      </c>
      <c r="AV2164" t="s">
        <v>87</v>
      </c>
      <c r="AW2164" t="s">
        <v>87</v>
      </c>
      <c r="AX2164" t="s">
        <v>87</v>
      </c>
      <c r="AY2164" t="s">
        <v>87</v>
      </c>
      <c r="AZ2164" t="s">
        <v>87</v>
      </c>
      <c r="BA2164" t="s">
        <v>87</v>
      </c>
      <c r="BB2164" t="s">
        <v>87</v>
      </c>
      <c r="BC2164" t="s">
        <v>87</v>
      </c>
      <c r="BD2164" t="s">
        <v>87</v>
      </c>
      <c r="BE2164" t="s">
        <v>87</v>
      </c>
    </row>
    <row r="2165" spans="1:57" x14ac:dyDescent="0.45">
      <c r="A2165" t="s">
        <v>5252</v>
      </c>
      <c r="B2165" t="s">
        <v>79</v>
      </c>
      <c r="C2165" t="s">
        <v>2488</v>
      </c>
      <c r="D2165" t="s">
        <v>81</v>
      </c>
      <c r="E2165" s="2" t="str">
        <f>HYPERLINK("capsilon://?command=openfolder&amp;siteaddress=FAM.docvelocity-na8.net&amp;folderid=FXC5E7FCCC-70AF-AD18-3567-5C1BFA76537D","FX21015548")</f>
        <v>FX21015548</v>
      </c>
      <c r="F2165" t="s">
        <v>19</v>
      </c>
      <c r="G2165" t="s">
        <v>19</v>
      </c>
      <c r="H2165" t="s">
        <v>82</v>
      </c>
      <c r="I2165" t="s">
        <v>5253</v>
      </c>
      <c r="J2165">
        <v>26</v>
      </c>
      <c r="K2165" t="s">
        <v>84</v>
      </c>
      <c r="L2165" t="s">
        <v>85</v>
      </c>
      <c r="M2165" t="s">
        <v>86</v>
      </c>
      <c r="N2165">
        <v>3</v>
      </c>
      <c r="O2165" s="1">
        <v>44218.402766203704</v>
      </c>
      <c r="P2165" s="1">
        <v>44218.453622685185</v>
      </c>
      <c r="Q2165">
        <v>3981</v>
      </c>
      <c r="R2165">
        <v>413</v>
      </c>
      <c r="S2165" t="b">
        <v>0</v>
      </c>
      <c r="T2165" t="s">
        <v>87</v>
      </c>
      <c r="U2165" t="b">
        <v>0</v>
      </c>
      <c r="V2165" t="s">
        <v>105</v>
      </c>
      <c r="W2165" s="1">
        <v>44218.443124999998</v>
      </c>
      <c r="X2165">
        <v>282</v>
      </c>
      <c r="Y2165">
        <v>21</v>
      </c>
      <c r="Z2165">
        <v>0</v>
      </c>
      <c r="AA2165">
        <v>21</v>
      </c>
      <c r="AB2165">
        <v>0</v>
      </c>
      <c r="AC2165">
        <v>10</v>
      </c>
      <c r="AD2165">
        <v>5</v>
      </c>
      <c r="AE2165">
        <v>0</v>
      </c>
      <c r="AF2165">
        <v>0</v>
      </c>
      <c r="AG2165">
        <v>0</v>
      </c>
      <c r="AH2165" t="s">
        <v>94</v>
      </c>
      <c r="AI2165" s="1">
        <v>44218.453217592592</v>
      </c>
      <c r="AJ2165">
        <v>126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5</v>
      </c>
      <c r="AQ2165">
        <v>0</v>
      </c>
      <c r="AR2165">
        <v>0</v>
      </c>
      <c r="AS2165">
        <v>0</v>
      </c>
      <c r="AT2165" t="s">
        <v>90</v>
      </c>
      <c r="AU2165" s="1">
        <v>44218.453622685185</v>
      </c>
      <c r="AV2165">
        <v>5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5</v>
      </c>
      <c r="BC2165">
        <v>0</v>
      </c>
      <c r="BD2165">
        <v>0</v>
      </c>
      <c r="BE2165">
        <v>0</v>
      </c>
    </row>
    <row r="2166" spans="1:57" x14ac:dyDescent="0.45">
      <c r="A2166" t="s">
        <v>5254</v>
      </c>
      <c r="B2166" t="s">
        <v>79</v>
      </c>
      <c r="C2166" t="s">
        <v>2488</v>
      </c>
      <c r="D2166" t="s">
        <v>81</v>
      </c>
      <c r="E2166" s="2" t="str">
        <f>HYPERLINK("capsilon://?command=openfolder&amp;siteaddress=FAM.docvelocity-na8.net&amp;folderid=FXC5E7FCCC-70AF-AD18-3567-5C1BFA76537D","FX21015548")</f>
        <v>FX21015548</v>
      </c>
      <c r="F2166" t="s">
        <v>19</v>
      </c>
      <c r="G2166" t="s">
        <v>19</v>
      </c>
      <c r="H2166" t="s">
        <v>82</v>
      </c>
      <c r="I2166" t="s">
        <v>5255</v>
      </c>
      <c r="J2166">
        <v>26</v>
      </c>
      <c r="K2166" t="s">
        <v>84</v>
      </c>
      <c r="L2166" t="s">
        <v>85</v>
      </c>
      <c r="M2166" t="s">
        <v>86</v>
      </c>
      <c r="N2166">
        <v>3</v>
      </c>
      <c r="O2166" s="1">
        <v>44218.403773148151</v>
      </c>
      <c r="P2166" s="1">
        <v>44218.501597222225</v>
      </c>
      <c r="Q2166">
        <v>7884</v>
      </c>
      <c r="R2166">
        <v>568</v>
      </c>
      <c r="S2166" t="b">
        <v>0</v>
      </c>
      <c r="T2166" t="s">
        <v>87</v>
      </c>
      <c r="U2166" t="b">
        <v>0</v>
      </c>
      <c r="V2166" t="s">
        <v>105</v>
      </c>
      <c r="W2166" s="1">
        <v>44218.445451388892</v>
      </c>
      <c r="X2166">
        <v>200</v>
      </c>
      <c r="Y2166">
        <v>21</v>
      </c>
      <c r="Z2166">
        <v>0</v>
      </c>
      <c r="AA2166">
        <v>21</v>
      </c>
      <c r="AB2166">
        <v>0</v>
      </c>
      <c r="AC2166">
        <v>5</v>
      </c>
      <c r="AD2166">
        <v>5</v>
      </c>
      <c r="AE2166">
        <v>0</v>
      </c>
      <c r="AF2166">
        <v>0</v>
      </c>
      <c r="AG2166">
        <v>0</v>
      </c>
      <c r="AH2166" t="s">
        <v>94</v>
      </c>
      <c r="AI2166" s="1">
        <v>44218.454953703702</v>
      </c>
      <c r="AJ2166">
        <v>149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5</v>
      </c>
      <c r="AQ2166">
        <v>0</v>
      </c>
      <c r="AR2166">
        <v>0</v>
      </c>
      <c r="AS2166">
        <v>0</v>
      </c>
      <c r="AT2166" t="s">
        <v>90</v>
      </c>
      <c r="AU2166" s="1">
        <v>44218.501597222225</v>
      </c>
      <c r="AV2166">
        <v>219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5</v>
      </c>
      <c r="BC2166">
        <v>0</v>
      </c>
      <c r="BD2166">
        <v>0</v>
      </c>
      <c r="BE2166">
        <v>0</v>
      </c>
    </row>
    <row r="2167" spans="1:57" x14ac:dyDescent="0.45">
      <c r="A2167" t="s">
        <v>5256</v>
      </c>
      <c r="B2167" t="s">
        <v>79</v>
      </c>
      <c r="C2167" t="s">
        <v>2698</v>
      </c>
      <c r="D2167" t="s">
        <v>81</v>
      </c>
      <c r="E2167" s="2" t="str">
        <f>HYPERLINK("capsilon://?command=openfolder&amp;siteaddress=FAM.docvelocity-na8.net&amp;folderid=FX6DAECB4C-E94B-3142-62FA-0E64F779F41F","FX21016543")</f>
        <v>FX21016543</v>
      </c>
      <c r="F2167" t="s">
        <v>19</v>
      </c>
      <c r="G2167" t="s">
        <v>19</v>
      </c>
      <c r="H2167" t="s">
        <v>82</v>
      </c>
      <c r="I2167" t="s">
        <v>5257</v>
      </c>
      <c r="J2167">
        <v>66</v>
      </c>
      <c r="K2167" t="s">
        <v>84</v>
      </c>
      <c r="L2167" t="s">
        <v>85</v>
      </c>
      <c r="M2167" t="s">
        <v>86</v>
      </c>
      <c r="N2167">
        <v>3</v>
      </c>
      <c r="O2167" s="1">
        <v>44218.404826388891</v>
      </c>
      <c r="P2167" s="1">
        <v>44218.503263888888</v>
      </c>
      <c r="Q2167">
        <v>7365</v>
      </c>
      <c r="R2167">
        <v>1140</v>
      </c>
      <c r="S2167" t="b">
        <v>0</v>
      </c>
      <c r="T2167" t="s">
        <v>87</v>
      </c>
      <c r="U2167" t="b">
        <v>0</v>
      </c>
      <c r="V2167" t="s">
        <v>105</v>
      </c>
      <c r="W2167" s="1">
        <v>44218.451747685183</v>
      </c>
      <c r="X2167">
        <v>543</v>
      </c>
      <c r="Y2167">
        <v>52</v>
      </c>
      <c r="Z2167">
        <v>0</v>
      </c>
      <c r="AA2167">
        <v>52</v>
      </c>
      <c r="AB2167">
        <v>0</v>
      </c>
      <c r="AC2167">
        <v>23</v>
      </c>
      <c r="AD2167">
        <v>14</v>
      </c>
      <c r="AE2167">
        <v>0</v>
      </c>
      <c r="AF2167">
        <v>0</v>
      </c>
      <c r="AG2167">
        <v>0</v>
      </c>
      <c r="AH2167" t="s">
        <v>94</v>
      </c>
      <c r="AI2167" s="1">
        <v>44218.457245370373</v>
      </c>
      <c r="AJ2167">
        <v>197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14</v>
      </c>
      <c r="AQ2167">
        <v>0</v>
      </c>
      <c r="AR2167">
        <v>0</v>
      </c>
      <c r="AS2167">
        <v>0</v>
      </c>
      <c r="AT2167" t="s">
        <v>549</v>
      </c>
      <c r="AU2167" s="1">
        <v>44218.503263888888</v>
      </c>
      <c r="AV2167">
        <v>341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14</v>
      </c>
      <c r="BC2167">
        <v>0</v>
      </c>
      <c r="BD2167">
        <v>0</v>
      </c>
      <c r="BE2167">
        <v>0</v>
      </c>
    </row>
    <row r="2168" spans="1:57" x14ac:dyDescent="0.45">
      <c r="A2168" t="s">
        <v>5258</v>
      </c>
      <c r="B2168" t="s">
        <v>79</v>
      </c>
      <c r="C2168" t="s">
        <v>2488</v>
      </c>
      <c r="D2168" t="s">
        <v>81</v>
      </c>
      <c r="E2168" s="2" t="str">
        <f>HYPERLINK("capsilon://?command=openfolder&amp;siteaddress=FAM.docvelocity-na8.net&amp;folderid=FXC5E7FCCC-70AF-AD18-3567-5C1BFA76537D","FX21015548")</f>
        <v>FX21015548</v>
      </c>
      <c r="F2168" t="s">
        <v>19</v>
      </c>
      <c r="G2168" t="s">
        <v>19</v>
      </c>
      <c r="H2168" t="s">
        <v>82</v>
      </c>
      <c r="I2168" t="s">
        <v>5259</v>
      </c>
      <c r="J2168">
        <v>67</v>
      </c>
      <c r="K2168" t="s">
        <v>84</v>
      </c>
      <c r="L2168" t="s">
        <v>85</v>
      </c>
      <c r="M2168" t="s">
        <v>86</v>
      </c>
      <c r="N2168">
        <v>3</v>
      </c>
      <c r="O2168" s="1">
        <v>44218.406006944446</v>
      </c>
      <c r="P2168" s="1">
        <v>44218.501944444448</v>
      </c>
      <c r="Q2168">
        <v>7214</v>
      </c>
      <c r="R2168">
        <v>1075</v>
      </c>
      <c r="S2168" t="b">
        <v>0</v>
      </c>
      <c r="T2168" t="s">
        <v>87</v>
      </c>
      <c r="U2168" t="b">
        <v>0</v>
      </c>
      <c r="V2168" t="s">
        <v>160</v>
      </c>
      <c r="W2168" s="1">
        <v>44218.453136574077</v>
      </c>
      <c r="X2168">
        <v>587</v>
      </c>
      <c r="Y2168">
        <v>51</v>
      </c>
      <c r="Z2168">
        <v>0</v>
      </c>
      <c r="AA2168">
        <v>51</v>
      </c>
      <c r="AB2168">
        <v>0</v>
      </c>
      <c r="AC2168">
        <v>42</v>
      </c>
      <c r="AD2168">
        <v>16</v>
      </c>
      <c r="AE2168">
        <v>0</v>
      </c>
      <c r="AF2168">
        <v>0</v>
      </c>
      <c r="AG2168">
        <v>0</v>
      </c>
      <c r="AH2168" t="s">
        <v>89</v>
      </c>
      <c r="AI2168" s="1">
        <v>44218.460324074076</v>
      </c>
      <c r="AJ2168">
        <v>459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16</v>
      </c>
      <c r="AQ2168">
        <v>0</v>
      </c>
      <c r="AR2168">
        <v>0</v>
      </c>
      <c r="AS2168">
        <v>0</v>
      </c>
      <c r="AT2168" t="s">
        <v>90</v>
      </c>
      <c r="AU2168" s="1">
        <v>44218.501944444448</v>
      </c>
      <c r="AV2168">
        <v>29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16</v>
      </c>
      <c r="BC2168">
        <v>0</v>
      </c>
      <c r="BD2168">
        <v>0</v>
      </c>
      <c r="BE2168">
        <v>0</v>
      </c>
    </row>
    <row r="2169" spans="1:57" x14ac:dyDescent="0.45">
      <c r="A2169" t="s">
        <v>5260</v>
      </c>
      <c r="B2169" t="s">
        <v>79</v>
      </c>
      <c r="C2169" t="s">
        <v>2488</v>
      </c>
      <c r="D2169" t="s">
        <v>81</v>
      </c>
      <c r="E2169" s="2" t="str">
        <f>HYPERLINK("capsilon://?command=openfolder&amp;siteaddress=FAM.docvelocity-na8.net&amp;folderid=FXC5E7FCCC-70AF-AD18-3567-5C1BFA76537D","FX21015548")</f>
        <v>FX21015548</v>
      </c>
      <c r="F2169" t="s">
        <v>19</v>
      </c>
      <c r="G2169" t="s">
        <v>19</v>
      </c>
      <c r="H2169" t="s">
        <v>82</v>
      </c>
      <c r="I2169" t="s">
        <v>5261</v>
      </c>
      <c r="J2169">
        <v>46</v>
      </c>
      <c r="K2169" t="s">
        <v>84</v>
      </c>
      <c r="L2169" t="s">
        <v>85</v>
      </c>
      <c r="M2169" t="s">
        <v>86</v>
      </c>
      <c r="N2169">
        <v>3</v>
      </c>
      <c r="O2169" s="1">
        <v>44218.406550925924</v>
      </c>
      <c r="P2169" s="1">
        <v>44218.502152777779</v>
      </c>
      <c r="Q2169">
        <v>6815</v>
      </c>
      <c r="R2169">
        <v>1445</v>
      </c>
      <c r="S2169" t="b">
        <v>0</v>
      </c>
      <c r="T2169" t="s">
        <v>87</v>
      </c>
      <c r="U2169" t="b">
        <v>0</v>
      </c>
      <c r="V2169" t="s">
        <v>146</v>
      </c>
      <c r="W2169" s="1">
        <v>44218.468877314815</v>
      </c>
      <c r="X2169">
        <v>1151</v>
      </c>
      <c r="Y2169">
        <v>46</v>
      </c>
      <c r="Z2169">
        <v>0</v>
      </c>
      <c r="AA2169">
        <v>46</v>
      </c>
      <c r="AB2169">
        <v>0</v>
      </c>
      <c r="AC2169">
        <v>35</v>
      </c>
      <c r="AD2169">
        <v>0</v>
      </c>
      <c r="AE2169">
        <v>0</v>
      </c>
      <c r="AF2169">
        <v>0</v>
      </c>
      <c r="AG2169">
        <v>0</v>
      </c>
      <c r="AH2169" t="s">
        <v>89</v>
      </c>
      <c r="AI2169" s="1">
        <v>44218.472581018519</v>
      </c>
      <c r="AJ2169">
        <v>259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 t="s">
        <v>90</v>
      </c>
      <c r="AU2169" s="1">
        <v>44218.502152777779</v>
      </c>
      <c r="AV2169">
        <v>17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</row>
    <row r="2170" spans="1:57" x14ac:dyDescent="0.45">
      <c r="A2170" t="s">
        <v>5262</v>
      </c>
      <c r="B2170" t="s">
        <v>79</v>
      </c>
      <c r="C2170" t="s">
        <v>5263</v>
      </c>
      <c r="D2170" t="s">
        <v>81</v>
      </c>
      <c r="E2170" s="2" t="str">
        <f>HYPERLINK("capsilon://?command=openfolder&amp;siteaddress=FAM.docvelocity-na8.net&amp;folderid=FX8652C47F-E713-A008-8688-5E96C6B5C124","FX20124215")</f>
        <v>FX20124215</v>
      </c>
      <c r="F2170" t="s">
        <v>19</v>
      </c>
      <c r="G2170" t="s">
        <v>19</v>
      </c>
      <c r="H2170" t="s">
        <v>82</v>
      </c>
      <c r="I2170" t="s">
        <v>5264</v>
      </c>
      <c r="J2170">
        <v>93</v>
      </c>
      <c r="K2170" t="s">
        <v>84</v>
      </c>
      <c r="L2170" t="s">
        <v>85</v>
      </c>
      <c r="M2170" t="s">
        <v>86</v>
      </c>
      <c r="N2170">
        <v>3</v>
      </c>
      <c r="O2170" s="1">
        <v>44218.407581018517</v>
      </c>
      <c r="P2170" s="1">
        <v>44218.541585648149</v>
      </c>
      <c r="Q2170">
        <v>5626</v>
      </c>
      <c r="R2170">
        <v>5952</v>
      </c>
      <c r="S2170" t="b">
        <v>0</v>
      </c>
      <c r="T2170" t="s">
        <v>87</v>
      </c>
      <c r="U2170" t="b">
        <v>0</v>
      </c>
      <c r="V2170" t="s">
        <v>98</v>
      </c>
      <c r="W2170" s="1">
        <v>44218.528287037036</v>
      </c>
      <c r="X2170">
        <v>5019</v>
      </c>
      <c r="Y2170">
        <v>277</v>
      </c>
      <c r="Z2170">
        <v>0</v>
      </c>
      <c r="AA2170">
        <v>277</v>
      </c>
      <c r="AB2170">
        <v>0</v>
      </c>
      <c r="AC2170">
        <v>250</v>
      </c>
      <c r="AD2170">
        <v>-184</v>
      </c>
      <c r="AE2170">
        <v>0</v>
      </c>
      <c r="AF2170">
        <v>0</v>
      </c>
      <c r="AG2170">
        <v>0</v>
      </c>
      <c r="AH2170" t="s">
        <v>128</v>
      </c>
      <c r="AI2170" s="1">
        <v>44218.537048611113</v>
      </c>
      <c r="AJ2170">
        <v>602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-184</v>
      </c>
      <c r="AQ2170">
        <v>0</v>
      </c>
      <c r="AR2170">
        <v>0</v>
      </c>
      <c r="AS2170">
        <v>0</v>
      </c>
      <c r="AT2170" t="s">
        <v>549</v>
      </c>
      <c r="AU2170" s="1">
        <v>44218.541585648149</v>
      </c>
      <c r="AV2170">
        <v>331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-184</v>
      </c>
      <c r="BC2170">
        <v>0</v>
      </c>
      <c r="BD2170">
        <v>0</v>
      </c>
      <c r="BE2170">
        <v>0</v>
      </c>
    </row>
    <row r="2171" spans="1:57" x14ac:dyDescent="0.45">
      <c r="A2171" t="s">
        <v>5265</v>
      </c>
      <c r="B2171" t="s">
        <v>79</v>
      </c>
      <c r="C2171" t="s">
        <v>5266</v>
      </c>
      <c r="D2171" t="s">
        <v>81</v>
      </c>
      <c r="E2171" s="2" t="str">
        <f>HYPERLINK("capsilon://?command=openfolder&amp;siteaddress=FAM.docvelocity-na8.net&amp;folderid=FX4B4C6773-8471-148C-090C-754CB1B3A244","FX210112417")</f>
        <v>FX210112417</v>
      </c>
      <c r="F2171" t="s">
        <v>19</v>
      </c>
      <c r="G2171" t="s">
        <v>19</v>
      </c>
      <c r="H2171" t="s">
        <v>82</v>
      </c>
      <c r="I2171" t="s">
        <v>5267</v>
      </c>
      <c r="J2171">
        <v>367</v>
      </c>
      <c r="K2171" t="s">
        <v>84</v>
      </c>
      <c r="L2171" t="s">
        <v>85</v>
      </c>
      <c r="M2171" t="s">
        <v>86</v>
      </c>
      <c r="N2171">
        <v>3</v>
      </c>
      <c r="O2171" s="1">
        <v>44218.408356481479</v>
      </c>
      <c r="P2171" s="1">
        <v>44218.574571759258</v>
      </c>
      <c r="Q2171">
        <v>6030</v>
      </c>
      <c r="R2171">
        <v>8331</v>
      </c>
      <c r="S2171" t="b">
        <v>0</v>
      </c>
      <c r="T2171" t="s">
        <v>87</v>
      </c>
      <c r="U2171" t="b">
        <v>0</v>
      </c>
      <c r="V2171" t="s">
        <v>343</v>
      </c>
      <c r="W2171" s="1">
        <v>44218.548703703702</v>
      </c>
      <c r="X2171">
        <v>6841</v>
      </c>
      <c r="Y2171">
        <v>277</v>
      </c>
      <c r="Z2171">
        <v>0</v>
      </c>
      <c r="AA2171">
        <v>277</v>
      </c>
      <c r="AB2171">
        <v>0</v>
      </c>
      <c r="AC2171">
        <v>186</v>
      </c>
      <c r="AD2171">
        <v>90</v>
      </c>
      <c r="AE2171">
        <v>0</v>
      </c>
      <c r="AF2171">
        <v>0</v>
      </c>
      <c r="AG2171">
        <v>0</v>
      </c>
      <c r="AH2171" t="s">
        <v>267</v>
      </c>
      <c r="AI2171" s="1">
        <v>44218.56108796296</v>
      </c>
      <c r="AJ2171">
        <v>766</v>
      </c>
      <c r="AK2171">
        <v>4</v>
      </c>
      <c r="AL2171">
        <v>0</v>
      </c>
      <c r="AM2171">
        <v>4</v>
      </c>
      <c r="AN2171">
        <v>0</v>
      </c>
      <c r="AO2171">
        <v>3</v>
      </c>
      <c r="AP2171">
        <v>86</v>
      </c>
      <c r="AQ2171">
        <v>0</v>
      </c>
      <c r="AR2171">
        <v>0</v>
      </c>
      <c r="AS2171">
        <v>0</v>
      </c>
      <c r="AT2171" t="s">
        <v>90</v>
      </c>
      <c r="AU2171" s="1">
        <v>44218.574571759258</v>
      </c>
      <c r="AV2171">
        <v>129</v>
      </c>
      <c r="AW2171">
        <v>3</v>
      </c>
      <c r="AX2171">
        <v>0</v>
      </c>
      <c r="AY2171">
        <v>3</v>
      </c>
      <c r="AZ2171">
        <v>0</v>
      </c>
      <c r="BA2171">
        <v>3</v>
      </c>
      <c r="BB2171">
        <v>83</v>
      </c>
      <c r="BC2171">
        <v>0</v>
      </c>
      <c r="BD2171">
        <v>0</v>
      </c>
      <c r="BE2171">
        <v>0</v>
      </c>
    </row>
    <row r="2172" spans="1:57" x14ac:dyDescent="0.45">
      <c r="A2172" t="s">
        <v>5268</v>
      </c>
      <c r="B2172" t="s">
        <v>79</v>
      </c>
      <c r="C2172" t="s">
        <v>2488</v>
      </c>
      <c r="D2172" t="s">
        <v>81</v>
      </c>
      <c r="E2172" s="2" t="str">
        <f>HYPERLINK("capsilon://?command=openfolder&amp;siteaddress=FAM.docvelocity-na8.net&amp;folderid=FXC5E7FCCC-70AF-AD18-3567-5C1BFA76537D","FX21015548")</f>
        <v>FX21015548</v>
      </c>
      <c r="F2172" t="s">
        <v>19</v>
      </c>
      <c r="G2172" t="s">
        <v>19</v>
      </c>
      <c r="H2172" t="s">
        <v>82</v>
      </c>
      <c r="I2172" t="s">
        <v>5269</v>
      </c>
      <c r="J2172">
        <v>36</v>
      </c>
      <c r="K2172" t="s">
        <v>84</v>
      </c>
      <c r="L2172" t="s">
        <v>85</v>
      </c>
      <c r="M2172" t="s">
        <v>86</v>
      </c>
      <c r="N2172">
        <v>3</v>
      </c>
      <c r="O2172" s="1">
        <v>44218.408460648148</v>
      </c>
      <c r="P2172" s="1">
        <v>44218.502210648148</v>
      </c>
      <c r="Q2172">
        <v>7053</v>
      </c>
      <c r="R2172">
        <v>1047</v>
      </c>
      <c r="S2172" t="b">
        <v>0</v>
      </c>
      <c r="T2172" t="s">
        <v>87</v>
      </c>
      <c r="U2172" t="b">
        <v>0</v>
      </c>
      <c r="V2172" t="s">
        <v>419</v>
      </c>
      <c r="W2172" s="1">
        <v>44218.457256944443</v>
      </c>
      <c r="X2172">
        <v>594</v>
      </c>
      <c r="Y2172">
        <v>41</v>
      </c>
      <c r="Z2172">
        <v>0</v>
      </c>
      <c r="AA2172">
        <v>41</v>
      </c>
      <c r="AB2172">
        <v>0</v>
      </c>
      <c r="AC2172">
        <v>27</v>
      </c>
      <c r="AD2172">
        <v>-5</v>
      </c>
      <c r="AE2172">
        <v>0</v>
      </c>
      <c r="AF2172">
        <v>0</v>
      </c>
      <c r="AG2172">
        <v>0</v>
      </c>
      <c r="AH2172" t="s">
        <v>89</v>
      </c>
      <c r="AI2172" s="1">
        <v>44218.465520833335</v>
      </c>
      <c r="AJ2172">
        <v>449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-5</v>
      </c>
      <c r="AQ2172">
        <v>0</v>
      </c>
      <c r="AR2172">
        <v>0</v>
      </c>
      <c r="AS2172">
        <v>0</v>
      </c>
      <c r="AT2172" t="s">
        <v>90</v>
      </c>
      <c r="AU2172" s="1">
        <v>44218.502210648148</v>
      </c>
      <c r="AV2172">
        <v>4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-5</v>
      </c>
      <c r="BC2172">
        <v>0</v>
      </c>
      <c r="BD2172">
        <v>0</v>
      </c>
      <c r="BE2172">
        <v>0</v>
      </c>
    </row>
    <row r="2173" spans="1:57" x14ac:dyDescent="0.45">
      <c r="A2173" t="s">
        <v>5270</v>
      </c>
      <c r="B2173" t="s">
        <v>79</v>
      </c>
      <c r="C2173" t="s">
        <v>2240</v>
      </c>
      <c r="D2173" t="s">
        <v>81</v>
      </c>
      <c r="E2173" s="2" t="str">
        <f>HYPERLINK("capsilon://?command=openfolder&amp;siteaddress=FAM.docvelocity-na8.net&amp;folderid=FX7AAD4FCD-18B9-8DFE-65C9-4290AFDC0DCF","FX21015545")</f>
        <v>FX21015545</v>
      </c>
      <c r="F2173" t="s">
        <v>19</v>
      </c>
      <c r="G2173" t="s">
        <v>19</v>
      </c>
      <c r="H2173" t="s">
        <v>82</v>
      </c>
      <c r="I2173" t="s">
        <v>5271</v>
      </c>
      <c r="J2173">
        <v>45</v>
      </c>
      <c r="K2173" t="s">
        <v>84</v>
      </c>
      <c r="L2173" t="s">
        <v>85</v>
      </c>
      <c r="M2173" t="s">
        <v>86</v>
      </c>
      <c r="N2173">
        <v>3</v>
      </c>
      <c r="O2173" s="1">
        <v>44218.409930555557</v>
      </c>
      <c r="P2173" s="1">
        <v>44218.502465277779</v>
      </c>
      <c r="Q2173">
        <v>7213</v>
      </c>
      <c r="R2173">
        <v>782</v>
      </c>
      <c r="S2173" t="b">
        <v>0</v>
      </c>
      <c r="T2173" t="s">
        <v>87</v>
      </c>
      <c r="U2173" t="b">
        <v>0</v>
      </c>
      <c r="V2173" t="s">
        <v>105</v>
      </c>
      <c r="W2173" s="1">
        <v>44218.459224537037</v>
      </c>
      <c r="X2173">
        <v>645</v>
      </c>
      <c r="Y2173">
        <v>41</v>
      </c>
      <c r="Z2173">
        <v>0</v>
      </c>
      <c r="AA2173">
        <v>41</v>
      </c>
      <c r="AB2173">
        <v>0</v>
      </c>
      <c r="AC2173">
        <v>23</v>
      </c>
      <c r="AD2173">
        <v>4</v>
      </c>
      <c r="AE2173">
        <v>0</v>
      </c>
      <c r="AF2173">
        <v>0</v>
      </c>
      <c r="AG2173">
        <v>0</v>
      </c>
      <c r="AH2173" t="s">
        <v>128</v>
      </c>
      <c r="AI2173" s="1">
        <v>44218.463125000002</v>
      </c>
      <c r="AJ2173">
        <v>116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4</v>
      </c>
      <c r="AQ2173">
        <v>0</v>
      </c>
      <c r="AR2173">
        <v>0</v>
      </c>
      <c r="AS2173">
        <v>0</v>
      </c>
      <c r="AT2173" t="s">
        <v>90</v>
      </c>
      <c r="AU2173" s="1">
        <v>44218.502465277779</v>
      </c>
      <c r="AV2173">
        <v>21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4</v>
      </c>
      <c r="BC2173">
        <v>0</v>
      </c>
      <c r="BD2173">
        <v>0</v>
      </c>
      <c r="BE2173">
        <v>0</v>
      </c>
    </row>
    <row r="2174" spans="1:57" x14ac:dyDescent="0.45">
      <c r="A2174" t="s">
        <v>5272</v>
      </c>
      <c r="B2174" t="s">
        <v>79</v>
      </c>
      <c r="C2174" t="s">
        <v>2240</v>
      </c>
      <c r="D2174" t="s">
        <v>81</v>
      </c>
      <c r="E2174" s="2" t="str">
        <f>HYPERLINK("capsilon://?command=openfolder&amp;siteaddress=FAM.docvelocity-na8.net&amp;folderid=FX7AAD4FCD-18B9-8DFE-65C9-4290AFDC0DCF","FX21015545")</f>
        <v>FX21015545</v>
      </c>
      <c r="F2174" t="s">
        <v>19</v>
      </c>
      <c r="G2174" t="s">
        <v>19</v>
      </c>
      <c r="H2174" t="s">
        <v>82</v>
      </c>
      <c r="I2174" t="s">
        <v>5273</v>
      </c>
      <c r="J2174">
        <v>40</v>
      </c>
      <c r="K2174" t="s">
        <v>84</v>
      </c>
      <c r="L2174" t="s">
        <v>85</v>
      </c>
      <c r="M2174" t="s">
        <v>86</v>
      </c>
      <c r="N2174">
        <v>3</v>
      </c>
      <c r="O2174" s="1">
        <v>44218.410787037035</v>
      </c>
      <c r="P2174" s="1">
        <v>44218.502534722225</v>
      </c>
      <c r="Q2174">
        <v>7017</v>
      </c>
      <c r="R2174">
        <v>910</v>
      </c>
      <c r="S2174" t="b">
        <v>0</v>
      </c>
      <c r="T2174" t="s">
        <v>87</v>
      </c>
      <c r="U2174" t="b">
        <v>0</v>
      </c>
      <c r="V2174" t="s">
        <v>160</v>
      </c>
      <c r="W2174" s="1">
        <v>44218.459618055553</v>
      </c>
      <c r="X2174">
        <v>559</v>
      </c>
      <c r="Y2174">
        <v>36</v>
      </c>
      <c r="Z2174">
        <v>0</v>
      </c>
      <c r="AA2174">
        <v>36</v>
      </c>
      <c r="AB2174">
        <v>0</v>
      </c>
      <c r="AC2174">
        <v>32</v>
      </c>
      <c r="AD2174">
        <v>4</v>
      </c>
      <c r="AE2174">
        <v>0</v>
      </c>
      <c r="AF2174">
        <v>0</v>
      </c>
      <c r="AG2174">
        <v>0</v>
      </c>
      <c r="AH2174" t="s">
        <v>108</v>
      </c>
      <c r="AI2174" s="1">
        <v>44218.465949074074</v>
      </c>
      <c r="AJ2174">
        <v>346</v>
      </c>
      <c r="AK2174">
        <v>1</v>
      </c>
      <c r="AL2174">
        <v>0</v>
      </c>
      <c r="AM2174">
        <v>1</v>
      </c>
      <c r="AN2174">
        <v>0</v>
      </c>
      <c r="AO2174">
        <v>0</v>
      </c>
      <c r="AP2174">
        <v>3</v>
      </c>
      <c r="AQ2174">
        <v>0</v>
      </c>
      <c r="AR2174">
        <v>0</v>
      </c>
      <c r="AS2174">
        <v>0</v>
      </c>
      <c r="AT2174" t="s">
        <v>90</v>
      </c>
      <c r="AU2174" s="1">
        <v>44218.502534722225</v>
      </c>
      <c r="AV2174">
        <v>5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3</v>
      </c>
      <c r="BC2174">
        <v>0</v>
      </c>
      <c r="BD2174">
        <v>0</v>
      </c>
      <c r="BE2174">
        <v>0</v>
      </c>
    </row>
    <row r="2175" spans="1:57" x14ac:dyDescent="0.45">
      <c r="A2175" t="s">
        <v>5274</v>
      </c>
      <c r="B2175" t="s">
        <v>79</v>
      </c>
      <c r="C2175" t="s">
        <v>2240</v>
      </c>
      <c r="D2175" t="s">
        <v>81</v>
      </c>
      <c r="E2175" s="2" t="str">
        <f>HYPERLINK("capsilon://?command=openfolder&amp;siteaddress=FAM.docvelocity-na8.net&amp;folderid=FX7AAD4FCD-18B9-8DFE-65C9-4290AFDC0DCF","FX21015545")</f>
        <v>FX21015545</v>
      </c>
      <c r="F2175" t="s">
        <v>19</v>
      </c>
      <c r="G2175" t="s">
        <v>19</v>
      </c>
      <c r="H2175" t="s">
        <v>82</v>
      </c>
      <c r="I2175" t="s">
        <v>5275</v>
      </c>
      <c r="J2175">
        <v>45</v>
      </c>
      <c r="K2175" t="s">
        <v>84</v>
      </c>
      <c r="L2175" t="s">
        <v>85</v>
      </c>
      <c r="M2175" t="s">
        <v>86</v>
      </c>
      <c r="N2175">
        <v>3</v>
      </c>
      <c r="O2175" s="1">
        <v>44218.41128472222</v>
      </c>
      <c r="P2175" s="1">
        <v>44218.502604166664</v>
      </c>
      <c r="Q2175">
        <v>6630</v>
      </c>
      <c r="R2175">
        <v>1260</v>
      </c>
      <c r="S2175" t="b">
        <v>0</v>
      </c>
      <c r="T2175" t="s">
        <v>87</v>
      </c>
      <c r="U2175" t="b">
        <v>0</v>
      </c>
      <c r="V2175" t="s">
        <v>179</v>
      </c>
      <c r="W2175" s="1">
        <v>44218.465011574073</v>
      </c>
      <c r="X2175">
        <v>1019</v>
      </c>
      <c r="Y2175">
        <v>41</v>
      </c>
      <c r="Z2175">
        <v>0</v>
      </c>
      <c r="AA2175">
        <v>41</v>
      </c>
      <c r="AB2175">
        <v>0</v>
      </c>
      <c r="AC2175">
        <v>27</v>
      </c>
      <c r="AD2175">
        <v>4</v>
      </c>
      <c r="AE2175">
        <v>0</v>
      </c>
      <c r="AF2175">
        <v>0</v>
      </c>
      <c r="AG2175">
        <v>0</v>
      </c>
      <c r="AH2175" t="s">
        <v>128</v>
      </c>
      <c r="AI2175" s="1">
        <v>44218.470833333333</v>
      </c>
      <c r="AJ2175">
        <v>227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4</v>
      </c>
      <c r="AQ2175">
        <v>0</v>
      </c>
      <c r="AR2175">
        <v>0</v>
      </c>
      <c r="AS2175">
        <v>0</v>
      </c>
      <c r="AT2175" t="s">
        <v>90</v>
      </c>
      <c r="AU2175" s="1">
        <v>44218.502604166664</v>
      </c>
      <c r="AV2175">
        <v>5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4</v>
      </c>
      <c r="BC2175">
        <v>0</v>
      </c>
      <c r="BD2175">
        <v>0</v>
      </c>
      <c r="BE2175">
        <v>0</v>
      </c>
    </row>
    <row r="2176" spans="1:57" hidden="1" x14ac:dyDescent="0.45">
      <c r="A2176" t="s">
        <v>5276</v>
      </c>
      <c r="B2176" t="s">
        <v>79</v>
      </c>
      <c r="C2176" t="s">
        <v>2240</v>
      </c>
      <c r="D2176" t="s">
        <v>81</v>
      </c>
      <c r="E2176" s="2" t="str">
        <f>HYPERLINK("capsilon://?command=openfolder&amp;siteaddress=FAM.docvelocity-na8.net&amp;folderid=FX7AAD4FCD-18B9-8DFE-65C9-4290AFDC0DCF","FX21015545")</f>
        <v>FX21015545</v>
      </c>
      <c r="F2176" t="s">
        <v>19</v>
      </c>
      <c r="G2176" t="s">
        <v>19</v>
      </c>
      <c r="H2176" t="s">
        <v>82</v>
      </c>
      <c r="I2176" t="s">
        <v>5277</v>
      </c>
      <c r="J2176">
        <v>26</v>
      </c>
      <c r="K2176" t="s">
        <v>84</v>
      </c>
      <c r="L2176" t="s">
        <v>85</v>
      </c>
      <c r="M2176" t="s">
        <v>86</v>
      </c>
      <c r="N2176">
        <v>1</v>
      </c>
      <c r="O2176" s="1">
        <v>44218.41133101852</v>
      </c>
      <c r="P2176" s="1">
        <v>44218.458622685182</v>
      </c>
      <c r="Q2176">
        <v>3886</v>
      </c>
      <c r="R2176">
        <v>200</v>
      </c>
      <c r="S2176" t="b">
        <v>0</v>
      </c>
      <c r="T2176" t="s">
        <v>87</v>
      </c>
      <c r="U2176" t="b">
        <v>0</v>
      </c>
      <c r="V2176" t="s">
        <v>88</v>
      </c>
      <c r="W2176" s="1">
        <v>44218.458622685182</v>
      </c>
      <c r="X2176">
        <v>200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26</v>
      </c>
      <c r="AE2176">
        <v>21</v>
      </c>
      <c r="AF2176">
        <v>0</v>
      </c>
      <c r="AG2176">
        <v>2</v>
      </c>
      <c r="AH2176" t="s">
        <v>87</v>
      </c>
      <c r="AI2176" t="s">
        <v>87</v>
      </c>
      <c r="AJ2176" t="s">
        <v>87</v>
      </c>
      <c r="AK2176" t="s">
        <v>87</v>
      </c>
      <c r="AL2176" t="s">
        <v>87</v>
      </c>
      <c r="AM2176" t="s">
        <v>87</v>
      </c>
      <c r="AN2176" t="s">
        <v>87</v>
      </c>
      <c r="AO2176" t="s">
        <v>87</v>
      </c>
      <c r="AP2176" t="s">
        <v>87</v>
      </c>
      <c r="AQ2176" t="s">
        <v>87</v>
      </c>
      <c r="AR2176" t="s">
        <v>87</v>
      </c>
      <c r="AS2176" t="s">
        <v>87</v>
      </c>
      <c r="AT2176" t="s">
        <v>87</v>
      </c>
      <c r="AU2176" t="s">
        <v>87</v>
      </c>
      <c r="AV2176" t="s">
        <v>87</v>
      </c>
      <c r="AW2176" t="s">
        <v>87</v>
      </c>
      <c r="AX2176" t="s">
        <v>87</v>
      </c>
      <c r="AY2176" t="s">
        <v>87</v>
      </c>
      <c r="AZ2176" t="s">
        <v>87</v>
      </c>
      <c r="BA2176" t="s">
        <v>87</v>
      </c>
      <c r="BB2176" t="s">
        <v>87</v>
      </c>
      <c r="BC2176" t="s">
        <v>87</v>
      </c>
      <c r="BD2176" t="s">
        <v>87</v>
      </c>
      <c r="BE2176" t="s">
        <v>87</v>
      </c>
    </row>
    <row r="2177" spans="1:57" x14ac:dyDescent="0.45">
      <c r="A2177" t="s">
        <v>5278</v>
      </c>
      <c r="B2177" t="s">
        <v>79</v>
      </c>
      <c r="C2177" t="s">
        <v>5279</v>
      </c>
      <c r="D2177" t="s">
        <v>81</v>
      </c>
      <c r="E2177" s="2" t="str">
        <f>HYPERLINK("capsilon://?command=openfolder&amp;siteaddress=FAM.docvelocity-na8.net&amp;folderid=FXF438E867-25E0-0C43-4D27-9F203F760BD9","FX21011273")</f>
        <v>FX21011273</v>
      </c>
      <c r="F2177" t="s">
        <v>19</v>
      </c>
      <c r="G2177" t="s">
        <v>19</v>
      </c>
      <c r="H2177" t="s">
        <v>82</v>
      </c>
      <c r="I2177" t="s">
        <v>5280</v>
      </c>
      <c r="J2177">
        <v>198</v>
      </c>
      <c r="K2177" t="s">
        <v>84</v>
      </c>
      <c r="L2177" t="s">
        <v>85</v>
      </c>
      <c r="M2177" t="s">
        <v>86</v>
      </c>
      <c r="N2177">
        <v>3</v>
      </c>
      <c r="O2177" s="1">
        <v>44218.423402777778</v>
      </c>
      <c r="P2177" s="1">
        <v>44218.503252314818</v>
      </c>
      <c r="Q2177">
        <v>4364</v>
      </c>
      <c r="R2177">
        <v>2535</v>
      </c>
      <c r="S2177" t="b">
        <v>0</v>
      </c>
      <c r="T2177" t="s">
        <v>87</v>
      </c>
      <c r="U2177" t="b">
        <v>0</v>
      </c>
      <c r="V2177" t="s">
        <v>419</v>
      </c>
      <c r="W2177" s="1">
        <v>44218.476678240739</v>
      </c>
      <c r="X2177">
        <v>1677</v>
      </c>
      <c r="Y2177">
        <v>158</v>
      </c>
      <c r="Z2177">
        <v>0</v>
      </c>
      <c r="AA2177">
        <v>158</v>
      </c>
      <c r="AB2177">
        <v>0</v>
      </c>
      <c r="AC2177">
        <v>42</v>
      </c>
      <c r="AD2177">
        <v>40</v>
      </c>
      <c r="AE2177">
        <v>0</v>
      </c>
      <c r="AF2177">
        <v>0</v>
      </c>
      <c r="AG2177">
        <v>0</v>
      </c>
      <c r="AH2177" t="s">
        <v>128</v>
      </c>
      <c r="AI2177" s="1">
        <v>44218.486087962963</v>
      </c>
      <c r="AJ2177">
        <v>803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40</v>
      </c>
      <c r="AQ2177">
        <v>0</v>
      </c>
      <c r="AR2177">
        <v>0</v>
      </c>
      <c r="AS2177">
        <v>0</v>
      </c>
      <c r="AT2177" t="s">
        <v>90</v>
      </c>
      <c r="AU2177" s="1">
        <v>44218.503252314818</v>
      </c>
      <c r="AV2177">
        <v>55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40</v>
      </c>
      <c r="BC2177">
        <v>0</v>
      </c>
      <c r="BD2177">
        <v>0</v>
      </c>
      <c r="BE2177">
        <v>0</v>
      </c>
    </row>
    <row r="2178" spans="1:57" x14ac:dyDescent="0.45">
      <c r="A2178" t="s">
        <v>5281</v>
      </c>
      <c r="B2178" t="s">
        <v>79</v>
      </c>
      <c r="C2178" t="s">
        <v>5282</v>
      </c>
      <c r="D2178" t="s">
        <v>81</v>
      </c>
      <c r="E2178" s="2" t="str">
        <f>HYPERLINK("capsilon://?command=openfolder&amp;siteaddress=FAM.docvelocity-na8.net&amp;folderid=FX700AB3EE-3BEB-B87F-8883-A83C9A99AB8B","FX201228386")</f>
        <v>FX201228386</v>
      </c>
      <c r="F2178" t="s">
        <v>19</v>
      </c>
      <c r="G2178" t="s">
        <v>19</v>
      </c>
      <c r="H2178" t="s">
        <v>82</v>
      </c>
      <c r="I2178" t="s">
        <v>5283</v>
      </c>
      <c r="J2178">
        <v>38</v>
      </c>
      <c r="K2178" t="s">
        <v>84</v>
      </c>
      <c r="L2178" t="s">
        <v>85</v>
      </c>
      <c r="M2178" t="s">
        <v>86</v>
      </c>
      <c r="N2178">
        <v>3</v>
      </c>
      <c r="O2178" s="1">
        <v>44218.424178240741</v>
      </c>
      <c r="P2178" s="1">
        <v>44218.503344907411</v>
      </c>
      <c r="Q2178">
        <v>5528</v>
      </c>
      <c r="R2178">
        <v>1312</v>
      </c>
      <c r="S2178" t="b">
        <v>0</v>
      </c>
      <c r="T2178" t="s">
        <v>87</v>
      </c>
      <c r="U2178" t="b">
        <v>0</v>
      </c>
      <c r="V2178" t="s">
        <v>88</v>
      </c>
      <c r="W2178" s="1">
        <v>44218.469004629631</v>
      </c>
      <c r="X2178">
        <v>896</v>
      </c>
      <c r="Y2178">
        <v>37</v>
      </c>
      <c r="Z2178">
        <v>0</v>
      </c>
      <c r="AA2178">
        <v>37</v>
      </c>
      <c r="AB2178">
        <v>0</v>
      </c>
      <c r="AC2178">
        <v>34</v>
      </c>
      <c r="AD2178">
        <v>1</v>
      </c>
      <c r="AE2178">
        <v>0</v>
      </c>
      <c r="AF2178">
        <v>0</v>
      </c>
      <c r="AG2178">
        <v>0</v>
      </c>
      <c r="AH2178" t="s">
        <v>94</v>
      </c>
      <c r="AI2178" s="1">
        <v>44218.474861111114</v>
      </c>
      <c r="AJ2178">
        <v>409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0</v>
      </c>
      <c r="AR2178">
        <v>0</v>
      </c>
      <c r="AS2178">
        <v>0</v>
      </c>
      <c r="AT2178" t="s">
        <v>90</v>
      </c>
      <c r="AU2178" s="1">
        <v>44218.503344907411</v>
      </c>
      <c r="AV2178">
        <v>7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</row>
    <row r="2179" spans="1:57" x14ac:dyDescent="0.45">
      <c r="A2179" t="s">
        <v>5284</v>
      </c>
      <c r="B2179" t="s">
        <v>79</v>
      </c>
      <c r="C2179" t="s">
        <v>5285</v>
      </c>
      <c r="D2179" t="s">
        <v>81</v>
      </c>
      <c r="E2179" s="2" t="str">
        <f>HYPERLINK("capsilon://?command=openfolder&amp;siteaddress=FAM.docvelocity-na8.net&amp;folderid=FX8F6205D4-1512-8772-60B3-CD901E740E9A","FX210112214")</f>
        <v>FX210112214</v>
      </c>
      <c r="F2179" t="s">
        <v>19</v>
      </c>
      <c r="G2179" t="s">
        <v>19</v>
      </c>
      <c r="H2179" t="s">
        <v>82</v>
      </c>
      <c r="I2179" t="s">
        <v>5286</v>
      </c>
      <c r="J2179">
        <v>157</v>
      </c>
      <c r="K2179" t="s">
        <v>84</v>
      </c>
      <c r="L2179" t="s">
        <v>85</v>
      </c>
      <c r="M2179" t="s">
        <v>86</v>
      </c>
      <c r="N2179">
        <v>3</v>
      </c>
      <c r="O2179" s="1">
        <v>44218.432071759256</v>
      </c>
      <c r="P2179" s="1">
        <v>44218.505995370368</v>
      </c>
      <c r="Q2179">
        <v>3356</v>
      </c>
      <c r="R2179">
        <v>3031</v>
      </c>
      <c r="S2179" t="b">
        <v>0</v>
      </c>
      <c r="T2179" t="s">
        <v>87</v>
      </c>
      <c r="U2179" t="b">
        <v>0</v>
      </c>
      <c r="V2179" t="s">
        <v>171</v>
      </c>
      <c r="W2179" s="1">
        <v>44218.485520833332</v>
      </c>
      <c r="X2179">
        <v>2315</v>
      </c>
      <c r="Y2179">
        <v>98</v>
      </c>
      <c r="Z2179">
        <v>0</v>
      </c>
      <c r="AA2179">
        <v>98</v>
      </c>
      <c r="AB2179">
        <v>37</v>
      </c>
      <c r="AC2179">
        <v>57</v>
      </c>
      <c r="AD2179">
        <v>59</v>
      </c>
      <c r="AE2179">
        <v>0</v>
      </c>
      <c r="AF2179">
        <v>0</v>
      </c>
      <c r="AG2179">
        <v>0</v>
      </c>
      <c r="AH2179" t="s">
        <v>128</v>
      </c>
      <c r="AI2179" s="1">
        <v>44218.491666666669</v>
      </c>
      <c r="AJ2179">
        <v>481</v>
      </c>
      <c r="AK2179">
        <v>0</v>
      </c>
      <c r="AL2179">
        <v>0</v>
      </c>
      <c r="AM2179">
        <v>0</v>
      </c>
      <c r="AN2179">
        <v>37</v>
      </c>
      <c r="AO2179">
        <v>0</v>
      </c>
      <c r="AP2179">
        <v>59</v>
      </c>
      <c r="AQ2179">
        <v>0</v>
      </c>
      <c r="AR2179">
        <v>0</v>
      </c>
      <c r="AS2179">
        <v>0</v>
      </c>
      <c r="AT2179" t="s">
        <v>549</v>
      </c>
      <c r="AU2179" s="1">
        <v>44218.505995370368</v>
      </c>
      <c r="AV2179">
        <v>235</v>
      </c>
      <c r="AW2179">
        <v>0</v>
      </c>
      <c r="AX2179">
        <v>0</v>
      </c>
      <c r="AY2179">
        <v>0</v>
      </c>
      <c r="AZ2179">
        <v>37</v>
      </c>
      <c r="BA2179">
        <v>0</v>
      </c>
      <c r="BB2179">
        <v>59</v>
      </c>
      <c r="BC2179">
        <v>0</v>
      </c>
      <c r="BD2179">
        <v>0</v>
      </c>
      <c r="BE2179">
        <v>0</v>
      </c>
    </row>
    <row r="2180" spans="1:57" x14ac:dyDescent="0.45">
      <c r="A2180" t="s">
        <v>5287</v>
      </c>
      <c r="B2180" t="s">
        <v>79</v>
      </c>
      <c r="C2180" t="s">
        <v>5288</v>
      </c>
      <c r="D2180" t="s">
        <v>81</v>
      </c>
      <c r="E2180" s="2" t="str">
        <f>HYPERLINK("capsilon://?command=openfolder&amp;siteaddress=FAM.docvelocity-na8.net&amp;folderid=FXF4B70FDE-1013-CAF7-B81F-075E87133ACB","FX21018387")</f>
        <v>FX21018387</v>
      </c>
      <c r="F2180" t="s">
        <v>19</v>
      </c>
      <c r="G2180" t="s">
        <v>19</v>
      </c>
      <c r="H2180" t="s">
        <v>82</v>
      </c>
      <c r="I2180" t="s">
        <v>5289</v>
      </c>
      <c r="J2180">
        <v>38</v>
      </c>
      <c r="K2180" t="s">
        <v>84</v>
      </c>
      <c r="L2180" t="s">
        <v>85</v>
      </c>
      <c r="M2180" t="s">
        <v>86</v>
      </c>
      <c r="N2180">
        <v>3</v>
      </c>
      <c r="O2180" s="1">
        <v>44218.433576388888</v>
      </c>
      <c r="P2180" s="1">
        <v>44218.504351851851</v>
      </c>
      <c r="Q2180">
        <v>4646</v>
      </c>
      <c r="R2180">
        <v>1469</v>
      </c>
      <c r="S2180" t="b">
        <v>0</v>
      </c>
      <c r="T2180" t="s">
        <v>87</v>
      </c>
      <c r="U2180" t="b">
        <v>0</v>
      </c>
      <c r="V2180" t="s">
        <v>105</v>
      </c>
      <c r="W2180" s="1">
        <v>44218.472245370373</v>
      </c>
      <c r="X2180">
        <v>1124</v>
      </c>
      <c r="Y2180">
        <v>37</v>
      </c>
      <c r="Z2180">
        <v>0</v>
      </c>
      <c r="AA2180">
        <v>37</v>
      </c>
      <c r="AB2180">
        <v>0</v>
      </c>
      <c r="AC2180">
        <v>20</v>
      </c>
      <c r="AD2180">
        <v>1</v>
      </c>
      <c r="AE2180">
        <v>0</v>
      </c>
      <c r="AF2180">
        <v>0</v>
      </c>
      <c r="AG2180">
        <v>0</v>
      </c>
      <c r="AH2180" t="s">
        <v>128</v>
      </c>
      <c r="AI2180" s="1">
        <v>44218.476006944446</v>
      </c>
      <c r="AJ2180">
        <v>254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>
        <v>0</v>
      </c>
      <c r="AS2180">
        <v>0</v>
      </c>
      <c r="AT2180" t="s">
        <v>90</v>
      </c>
      <c r="AU2180" s="1">
        <v>44218.504351851851</v>
      </c>
      <c r="AV2180">
        <v>87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1</v>
      </c>
      <c r="BC2180">
        <v>0</v>
      </c>
      <c r="BD2180">
        <v>0</v>
      </c>
      <c r="BE2180">
        <v>0</v>
      </c>
    </row>
    <row r="2181" spans="1:57" x14ac:dyDescent="0.45">
      <c r="A2181" t="s">
        <v>5290</v>
      </c>
      <c r="B2181" t="s">
        <v>79</v>
      </c>
      <c r="C2181" t="s">
        <v>5291</v>
      </c>
      <c r="D2181" t="s">
        <v>81</v>
      </c>
      <c r="E2181" s="2" t="str">
        <f>HYPERLINK("capsilon://?command=openfolder&amp;siteaddress=FAM.docvelocity-na8.net&amp;folderid=FXECE906B6-8351-79DC-4220-1D4A868126CA","FX210114538")</f>
        <v>FX210114538</v>
      </c>
      <c r="F2181" t="s">
        <v>19</v>
      </c>
      <c r="G2181" t="s">
        <v>19</v>
      </c>
      <c r="H2181" t="s">
        <v>82</v>
      </c>
      <c r="I2181" t="s">
        <v>5292</v>
      </c>
      <c r="J2181">
        <v>322</v>
      </c>
      <c r="K2181" t="s">
        <v>84</v>
      </c>
      <c r="L2181" t="s">
        <v>85</v>
      </c>
      <c r="M2181" t="s">
        <v>86</v>
      </c>
      <c r="N2181">
        <v>3</v>
      </c>
      <c r="O2181" s="1">
        <v>44218.44121527778</v>
      </c>
      <c r="P2181" s="1">
        <v>44218.538483796299</v>
      </c>
      <c r="Q2181">
        <v>2595</v>
      </c>
      <c r="R2181">
        <v>5809</v>
      </c>
      <c r="S2181" t="b">
        <v>0</v>
      </c>
      <c r="T2181" t="s">
        <v>87</v>
      </c>
      <c r="U2181" t="b">
        <v>0</v>
      </c>
      <c r="V2181" t="s">
        <v>179</v>
      </c>
      <c r="W2181" s="1">
        <v>44218.496747685182</v>
      </c>
      <c r="X2181">
        <v>2741</v>
      </c>
      <c r="Y2181">
        <v>243</v>
      </c>
      <c r="Z2181">
        <v>0</v>
      </c>
      <c r="AA2181">
        <v>243</v>
      </c>
      <c r="AB2181">
        <v>0</v>
      </c>
      <c r="AC2181">
        <v>143</v>
      </c>
      <c r="AD2181">
        <v>79</v>
      </c>
      <c r="AE2181">
        <v>0</v>
      </c>
      <c r="AF2181">
        <v>0</v>
      </c>
      <c r="AG2181">
        <v>0</v>
      </c>
      <c r="AH2181" t="s">
        <v>89</v>
      </c>
      <c r="AI2181" s="1">
        <v>44218.532384259262</v>
      </c>
      <c r="AJ2181">
        <v>3018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79</v>
      </c>
      <c r="AQ2181">
        <v>0</v>
      </c>
      <c r="AR2181">
        <v>0</v>
      </c>
      <c r="AS2181">
        <v>0</v>
      </c>
      <c r="AT2181" t="s">
        <v>90</v>
      </c>
      <c r="AU2181" s="1">
        <v>44218.538483796299</v>
      </c>
      <c r="AV2181">
        <v>50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79</v>
      </c>
      <c r="BC2181">
        <v>0</v>
      </c>
      <c r="BD2181">
        <v>0</v>
      </c>
      <c r="BE2181">
        <v>0</v>
      </c>
    </row>
    <row r="2182" spans="1:57" x14ac:dyDescent="0.45">
      <c r="A2182" t="s">
        <v>5293</v>
      </c>
      <c r="B2182" t="s">
        <v>79</v>
      </c>
      <c r="C2182" t="s">
        <v>2488</v>
      </c>
      <c r="D2182" t="s">
        <v>81</v>
      </c>
      <c r="E2182" s="2" t="str">
        <f>HYPERLINK("capsilon://?command=openfolder&amp;siteaddress=FAM.docvelocity-na8.net&amp;folderid=FXC5E7FCCC-70AF-AD18-3567-5C1BFA76537D","FX21015548")</f>
        <v>FX21015548</v>
      </c>
      <c r="F2182" t="s">
        <v>19</v>
      </c>
      <c r="G2182" t="s">
        <v>19</v>
      </c>
      <c r="H2182" t="s">
        <v>82</v>
      </c>
      <c r="I2182" t="s">
        <v>5251</v>
      </c>
      <c r="J2182">
        <v>52</v>
      </c>
      <c r="K2182" t="s">
        <v>84</v>
      </c>
      <c r="L2182" t="s">
        <v>85</v>
      </c>
      <c r="M2182" t="s">
        <v>86</v>
      </c>
      <c r="N2182">
        <v>3</v>
      </c>
      <c r="O2182" s="1">
        <v>44218.444432870368</v>
      </c>
      <c r="P2182" s="1">
        <v>44218.475810185184</v>
      </c>
      <c r="Q2182">
        <v>1489</v>
      </c>
      <c r="R2182">
        <v>1222</v>
      </c>
      <c r="S2182" t="b">
        <v>0</v>
      </c>
      <c r="T2182" t="s">
        <v>87</v>
      </c>
      <c r="U2182" t="b">
        <v>1</v>
      </c>
      <c r="V2182" t="s">
        <v>146</v>
      </c>
      <c r="W2182" s="1">
        <v>44218.455555555556</v>
      </c>
      <c r="X2182">
        <v>928</v>
      </c>
      <c r="Y2182">
        <v>42</v>
      </c>
      <c r="Z2182">
        <v>0</v>
      </c>
      <c r="AA2182">
        <v>42</v>
      </c>
      <c r="AB2182">
        <v>0</v>
      </c>
      <c r="AC2182">
        <v>35</v>
      </c>
      <c r="AD2182">
        <v>10</v>
      </c>
      <c r="AE2182">
        <v>0</v>
      </c>
      <c r="AF2182">
        <v>0</v>
      </c>
      <c r="AG2182">
        <v>0</v>
      </c>
      <c r="AH2182" t="s">
        <v>128</v>
      </c>
      <c r="AI2182" s="1">
        <v>44218.461782407408</v>
      </c>
      <c r="AJ2182">
        <v>196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10</v>
      </c>
      <c r="AQ2182">
        <v>0</v>
      </c>
      <c r="AR2182">
        <v>0</v>
      </c>
      <c r="AS2182">
        <v>0</v>
      </c>
      <c r="AT2182" t="s">
        <v>549</v>
      </c>
      <c r="AU2182" s="1">
        <v>44218.475810185184</v>
      </c>
      <c r="AV2182">
        <v>13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10</v>
      </c>
      <c r="BC2182">
        <v>0</v>
      </c>
      <c r="BD2182">
        <v>0</v>
      </c>
      <c r="BE2182">
        <v>0</v>
      </c>
    </row>
    <row r="2183" spans="1:57" hidden="1" x14ac:dyDescent="0.45">
      <c r="A2183" t="s">
        <v>5294</v>
      </c>
      <c r="B2183" t="s">
        <v>79</v>
      </c>
      <c r="C2183" t="s">
        <v>3456</v>
      </c>
      <c r="D2183" t="s">
        <v>81</v>
      </c>
      <c r="E2183" s="2" t="str">
        <f>HYPERLINK("capsilon://?command=openfolder&amp;siteaddress=FAM.docvelocity-na8.net&amp;folderid=FX8CDA4853-0274-1B85-B5C4-9F1D02886095","FX20122767")</f>
        <v>FX20122767</v>
      </c>
      <c r="F2183" t="s">
        <v>19</v>
      </c>
      <c r="G2183" t="s">
        <v>19</v>
      </c>
      <c r="H2183" t="s">
        <v>82</v>
      </c>
      <c r="I2183" t="s">
        <v>5295</v>
      </c>
      <c r="J2183">
        <v>66</v>
      </c>
      <c r="K2183" t="s">
        <v>84</v>
      </c>
      <c r="L2183" t="s">
        <v>85</v>
      </c>
      <c r="M2183" t="s">
        <v>86</v>
      </c>
      <c r="N2183">
        <v>3</v>
      </c>
      <c r="O2183" s="1">
        <v>44218.448125000003</v>
      </c>
      <c r="P2183" s="1">
        <v>44218.504386574074</v>
      </c>
      <c r="Q2183">
        <v>4572</v>
      </c>
      <c r="R2183">
        <v>289</v>
      </c>
      <c r="S2183" t="b">
        <v>0</v>
      </c>
      <c r="T2183" t="s">
        <v>87</v>
      </c>
      <c r="U2183" t="b">
        <v>0</v>
      </c>
      <c r="V2183" t="s">
        <v>242</v>
      </c>
      <c r="W2183" s="1">
        <v>44218.469641203701</v>
      </c>
      <c r="X2183">
        <v>95</v>
      </c>
      <c r="Y2183">
        <v>0</v>
      </c>
      <c r="Z2183">
        <v>0</v>
      </c>
      <c r="AA2183">
        <v>0</v>
      </c>
      <c r="AB2183">
        <v>52</v>
      </c>
      <c r="AC2183">
        <v>0</v>
      </c>
      <c r="AD2183">
        <v>66</v>
      </c>
      <c r="AE2183">
        <v>0</v>
      </c>
      <c r="AF2183">
        <v>0</v>
      </c>
      <c r="AG2183">
        <v>0</v>
      </c>
      <c r="AH2183" t="s">
        <v>128</v>
      </c>
      <c r="AI2183" s="1">
        <v>44218.473055555558</v>
      </c>
      <c r="AJ2183">
        <v>191</v>
      </c>
      <c r="AK2183">
        <v>0</v>
      </c>
      <c r="AL2183">
        <v>0</v>
      </c>
      <c r="AM2183">
        <v>0</v>
      </c>
      <c r="AN2183">
        <v>52</v>
      </c>
      <c r="AO2183">
        <v>0</v>
      </c>
      <c r="AP2183">
        <v>66</v>
      </c>
      <c r="AQ2183">
        <v>0</v>
      </c>
      <c r="AR2183">
        <v>0</v>
      </c>
      <c r="AS2183">
        <v>0</v>
      </c>
      <c r="AT2183" t="s">
        <v>90</v>
      </c>
      <c r="AU2183" s="1">
        <v>44218.504386574074</v>
      </c>
      <c r="AV2183">
        <v>3</v>
      </c>
      <c r="AW2183">
        <v>0</v>
      </c>
      <c r="AX2183">
        <v>0</v>
      </c>
      <c r="AY2183">
        <v>0</v>
      </c>
      <c r="AZ2183">
        <v>52</v>
      </c>
      <c r="BA2183">
        <v>0</v>
      </c>
      <c r="BB2183">
        <v>66</v>
      </c>
      <c r="BC2183">
        <v>0</v>
      </c>
      <c r="BD2183">
        <v>0</v>
      </c>
      <c r="BE2183">
        <v>0</v>
      </c>
    </row>
    <row r="2184" spans="1:57" x14ac:dyDescent="0.45">
      <c r="A2184" t="s">
        <v>5296</v>
      </c>
      <c r="B2184" t="s">
        <v>79</v>
      </c>
      <c r="C2184" t="s">
        <v>5297</v>
      </c>
      <c r="D2184" t="s">
        <v>81</v>
      </c>
      <c r="E2184" s="2" t="str">
        <f>HYPERLINK("capsilon://?command=openfolder&amp;siteaddress=FAM.docvelocity-na8.net&amp;folderid=FXBD750A96-0CFA-9C69-782B-D81EB14BCC65","FX21018247")</f>
        <v>FX21018247</v>
      </c>
      <c r="F2184" t="s">
        <v>19</v>
      </c>
      <c r="G2184" t="s">
        <v>19</v>
      </c>
      <c r="H2184" t="s">
        <v>82</v>
      </c>
      <c r="I2184" t="s">
        <v>5298</v>
      </c>
      <c r="J2184">
        <v>38</v>
      </c>
      <c r="K2184" t="s">
        <v>84</v>
      </c>
      <c r="L2184" t="s">
        <v>85</v>
      </c>
      <c r="M2184" t="s">
        <v>86</v>
      </c>
      <c r="N2184">
        <v>3</v>
      </c>
      <c r="O2184" s="1">
        <v>44218.452245370368</v>
      </c>
      <c r="P2184" s="1">
        <v>44218.504953703705</v>
      </c>
      <c r="Q2184">
        <v>2827</v>
      </c>
      <c r="R2184">
        <v>1727</v>
      </c>
      <c r="S2184" t="b">
        <v>0</v>
      </c>
      <c r="T2184" t="s">
        <v>87</v>
      </c>
      <c r="U2184" t="b">
        <v>0</v>
      </c>
      <c r="V2184" t="s">
        <v>146</v>
      </c>
      <c r="W2184" s="1">
        <v>44218.487500000003</v>
      </c>
      <c r="X2184">
        <v>1608</v>
      </c>
      <c r="Y2184">
        <v>37</v>
      </c>
      <c r="Z2184">
        <v>0</v>
      </c>
      <c r="AA2184">
        <v>37</v>
      </c>
      <c r="AB2184">
        <v>0</v>
      </c>
      <c r="AC2184">
        <v>26</v>
      </c>
      <c r="AD2184">
        <v>1</v>
      </c>
      <c r="AE2184">
        <v>0</v>
      </c>
      <c r="AF2184">
        <v>0</v>
      </c>
      <c r="AG2184">
        <v>0</v>
      </c>
      <c r="AH2184" t="s">
        <v>267</v>
      </c>
      <c r="AI2184" s="1">
        <v>44218.489421296297</v>
      </c>
      <c r="AJ2184">
        <v>71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0</v>
      </c>
      <c r="AR2184">
        <v>0</v>
      </c>
      <c r="AS2184">
        <v>0</v>
      </c>
      <c r="AT2184" t="s">
        <v>90</v>
      </c>
      <c r="AU2184" s="1">
        <v>44218.504953703705</v>
      </c>
      <c r="AV2184">
        <v>48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</row>
    <row r="2185" spans="1:57" hidden="1" x14ac:dyDescent="0.45">
      <c r="A2185" t="s">
        <v>5299</v>
      </c>
      <c r="B2185" t="s">
        <v>79</v>
      </c>
      <c r="C2185" t="s">
        <v>2562</v>
      </c>
      <c r="D2185" t="s">
        <v>81</v>
      </c>
      <c r="E2185" s="2" t="str">
        <f>HYPERLINK("capsilon://?command=openfolder&amp;siteaddress=FAM.docvelocity-na8.net&amp;folderid=FX5724C34D-C79B-B031-44B8-42773C54845B","FX20126662")</f>
        <v>FX20126662</v>
      </c>
      <c r="F2185" t="s">
        <v>19</v>
      </c>
      <c r="G2185" t="s">
        <v>19</v>
      </c>
      <c r="H2185" t="s">
        <v>82</v>
      </c>
      <c r="I2185" t="s">
        <v>5300</v>
      </c>
      <c r="J2185">
        <v>66</v>
      </c>
      <c r="K2185" t="s">
        <v>84</v>
      </c>
      <c r="L2185" t="s">
        <v>85</v>
      </c>
      <c r="M2185" t="s">
        <v>86</v>
      </c>
      <c r="N2185">
        <v>3</v>
      </c>
      <c r="O2185" s="1">
        <v>44218.453067129631</v>
      </c>
      <c r="P2185" s="1">
        <v>44218.505011574074</v>
      </c>
      <c r="Q2185">
        <v>4269</v>
      </c>
      <c r="R2185">
        <v>219</v>
      </c>
      <c r="S2185" t="b">
        <v>0</v>
      </c>
      <c r="T2185" t="s">
        <v>87</v>
      </c>
      <c r="U2185" t="b">
        <v>0</v>
      </c>
      <c r="V2185" t="s">
        <v>88</v>
      </c>
      <c r="W2185" s="1">
        <v>44218.470891203702</v>
      </c>
      <c r="X2185">
        <v>162</v>
      </c>
      <c r="Y2185">
        <v>0</v>
      </c>
      <c r="Z2185">
        <v>0</v>
      </c>
      <c r="AA2185">
        <v>0</v>
      </c>
      <c r="AB2185">
        <v>52</v>
      </c>
      <c r="AC2185">
        <v>0</v>
      </c>
      <c r="AD2185">
        <v>66</v>
      </c>
      <c r="AE2185">
        <v>0</v>
      </c>
      <c r="AF2185">
        <v>0</v>
      </c>
      <c r="AG2185">
        <v>0</v>
      </c>
      <c r="AH2185" t="s">
        <v>108</v>
      </c>
      <c r="AI2185" s="1">
        <v>44218.471597222226</v>
      </c>
      <c r="AJ2185">
        <v>53</v>
      </c>
      <c r="AK2185">
        <v>0</v>
      </c>
      <c r="AL2185">
        <v>0</v>
      </c>
      <c r="AM2185">
        <v>0</v>
      </c>
      <c r="AN2185">
        <v>52</v>
      </c>
      <c r="AO2185">
        <v>0</v>
      </c>
      <c r="AP2185">
        <v>66</v>
      </c>
      <c r="AQ2185">
        <v>0</v>
      </c>
      <c r="AR2185">
        <v>0</v>
      </c>
      <c r="AS2185">
        <v>0</v>
      </c>
      <c r="AT2185" t="s">
        <v>90</v>
      </c>
      <c r="AU2185" s="1">
        <v>44218.505011574074</v>
      </c>
      <c r="AV2185">
        <v>4</v>
      </c>
      <c r="AW2185">
        <v>0</v>
      </c>
      <c r="AX2185">
        <v>0</v>
      </c>
      <c r="AY2185">
        <v>0</v>
      </c>
      <c r="AZ2185">
        <v>52</v>
      </c>
      <c r="BA2185">
        <v>0</v>
      </c>
      <c r="BB2185">
        <v>66</v>
      </c>
      <c r="BC2185">
        <v>0</v>
      </c>
      <c r="BD2185">
        <v>0</v>
      </c>
      <c r="BE2185">
        <v>0</v>
      </c>
    </row>
    <row r="2186" spans="1:57" x14ac:dyDescent="0.45">
      <c r="A2186" t="s">
        <v>5301</v>
      </c>
      <c r="B2186" t="s">
        <v>79</v>
      </c>
      <c r="C2186" t="s">
        <v>2240</v>
      </c>
      <c r="D2186" t="s">
        <v>81</v>
      </c>
      <c r="E2186" s="2" t="str">
        <f>HYPERLINK("capsilon://?command=openfolder&amp;siteaddress=FAM.docvelocity-na8.net&amp;folderid=FX7AAD4FCD-18B9-8DFE-65C9-4290AFDC0DCF","FX21015545")</f>
        <v>FX21015545</v>
      </c>
      <c r="F2186" t="s">
        <v>19</v>
      </c>
      <c r="G2186" t="s">
        <v>19</v>
      </c>
      <c r="H2186" t="s">
        <v>82</v>
      </c>
      <c r="I2186" t="s">
        <v>5277</v>
      </c>
      <c r="J2186">
        <v>52</v>
      </c>
      <c r="K2186" t="s">
        <v>84</v>
      </c>
      <c r="L2186" t="s">
        <v>85</v>
      </c>
      <c r="M2186" t="s">
        <v>86</v>
      </c>
      <c r="N2186">
        <v>3</v>
      </c>
      <c r="O2186" s="1">
        <v>44218.459236111114</v>
      </c>
      <c r="P2186" s="1">
        <v>44218.494097222225</v>
      </c>
      <c r="Q2186">
        <v>346</v>
      </c>
      <c r="R2186">
        <v>2666</v>
      </c>
      <c r="S2186" t="b">
        <v>0</v>
      </c>
      <c r="T2186" t="s">
        <v>87</v>
      </c>
      <c r="U2186" t="b">
        <v>1</v>
      </c>
      <c r="V2186" t="s">
        <v>160</v>
      </c>
      <c r="W2186" s="1">
        <v>44218.48265046296</v>
      </c>
      <c r="X2186">
        <v>1989</v>
      </c>
      <c r="Y2186">
        <v>42</v>
      </c>
      <c r="Z2186">
        <v>0</v>
      </c>
      <c r="AA2186">
        <v>42</v>
      </c>
      <c r="AB2186">
        <v>0</v>
      </c>
      <c r="AC2186">
        <v>35</v>
      </c>
      <c r="AD2186">
        <v>10</v>
      </c>
      <c r="AE2186">
        <v>0</v>
      </c>
      <c r="AF2186">
        <v>0</v>
      </c>
      <c r="AG2186">
        <v>0</v>
      </c>
      <c r="AH2186" t="s">
        <v>89</v>
      </c>
      <c r="AI2186" s="1">
        <v>44218.492881944447</v>
      </c>
      <c r="AJ2186">
        <v>649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10</v>
      </c>
      <c r="AQ2186">
        <v>0</v>
      </c>
      <c r="AR2186">
        <v>0</v>
      </c>
      <c r="AS2186">
        <v>0</v>
      </c>
      <c r="AT2186" t="s">
        <v>549</v>
      </c>
      <c r="AU2186" s="1">
        <v>44218.494097222225</v>
      </c>
      <c r="AV2186">
        <v>8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10</v>
      </c>
      <c r="BC2186">
        <v>0</v>
      </c>
      <c r="BD2186">
        <v>0</v>
      </c>
      <c r="BE2186">
        <v>0</v>
      </c>
    </row>
    <row r="2187" spans="1:57" hidden="1" x14ac:dyDescent="0.45">
      <c r="A2187" t="s">
        <v>5302</v>
      </c>
      <c r="B2187" t="s">
        <v>79</v>
      </c>
      <c r="C2187" t="s">
        <v>237</v>
      </c>
      <c r="D2187" t="s">
        <v>81</v>
      </c>
      <c r="E2187" s="2" t="str">
        <f>HYPERLINK("capsilon://?command=openfolder&amp;siteaddress=FAM.docvelocity-na8.net&amp;folderid=FX77FE708E-F5BC-62CF-9850-6EA68E72E9E1","FX201113642")</f>
        <v>FX201113642</v>
      </c>
      <c r="F2187" t="s">
        <v>19</v>
      </c>
      <c r="G2187" t="s">
        <v>19</v>
      </c>
      <c r="H2187" t="s">
        <v>82</v>
      </c>
      <c r="I2187" t="s">
        <v>5303</v>
      </c>
      <c r="J2187">
        <v>66</v>
      </c>
      <c r="K2187" t="s">
        <v>84</v>
      </c>
      <c r="L2187" t="s">
        <v>85</v>
      </c>
      <c r="M2187" t="s">
        <v>86</v>
      </c>
      <c r="N2187">
        <v>3</v>
      </c>
      <c r="O2187" s="1">
        <v>44218.471180555556</v>
      </c>
      <c r="P2187" s="1">
        <v>44218.505057870374</v>
      </c>
      <c r="Q2187">
        <v>2675</v>
      </c>
      <c r="R2187">
        <v>252</v>
      </c>
      <c r="S2187" t="b">
        <v>0</v>
      </c>
      <c r="T2187" t="s">
        <v>87</v>
      </c>
      <c r="U2187" t="b">
        <v>0</v>
      </c>
      <c r="V2187" t="s">
        <v>88</v>
      </c>
      <c r="W2187" s="1">
        <v>44218.474189814813</v>
      </c>
      <c r="X2187">
        <v>132</v>
      </c>
      <c r="Y2187">
        <v>0</v>
      </c>
      <c r="Z2187">
        <v>0</v>
      </c>
      <c r="AA2187">
        <v>0</v>
      </c>
      <c r="AB2187">
        <v>52</v>
      </c>
      <c r="AC2187">
        <v>0</v>
      </c>
      <c r="AD2187">
        <v>66</v>
      </c>
      <c r="AE2187">
        <v>0</v>
      </c>
      <c r="AF2187">
        <v>0</v>
      </c>
      <c r="AG2187">
        <v>0</v>
      </c>
      <c r="AH2187" t="s">
        <v>128</v>
      </c>
      <c r="AI2187" s="1">
        <v>44218.4765625</v>
      </c>
      <c r="AJ2187">
        <v>47</v>
      </c>
      <c r="AK2187">
        <v>0</v>
      </c>
      <c r="AL2187">
        <v>0</v>
      </c>
      <c r="AM2187">
        <v>0</v>
      </c>
      <c r="AN2187">
        <v>52</v>
      </c>
      <c r="AO2187">
        <v>0</v>
      </c>
      <c r="AP2187">
        <v>66</v>
      </c>
      <c r="AQ2187">
        <v>0</v>
      </c>
      <c r="AR2187">
        <v>0</v>
      </c>
      <c r="AS2187">
        <v>0</v>
      </c>
      <c r="AT2187" t="s">
        <v>90</v>
      </c>
      <c r="AU2187" s="1">
        <v>44218.505057870374</v>
      </c>
      <c r="AV2187">
        <v>4</v>
      </c>
      <c r="AW2187">
        <v>0</v>
      </c>
      <c r="AX2187">
        <v>0</v>
      </c>
      <c r="AY2187">
        <v>0</v>
      </c>
      <c r="AZ2187">
        <v>52</v>
      </c>
      <c r="BA2187">
        <v>0</v>
      </c>
      <c r="BB2187">
        <v>66</v>
      </c>
      <c r="BC2187">
        <v>0</v>
      </c>
      <c r="BD2187">
        <v>0</v>
      </c>
      <c r="BE2187">
        <v>0</v>
      </c>
    </row>
    <row r="2188" spans="1:57" x14ac:dyDescent="0.45">
      <c r="A2188" t="s">
        <v>5304</v>
      </c>
      <c r="B2188" t="s">
        <v>79</v>
      </c>
      <c r="C2188" t="s">
        <v>5305</v>
      </c>
      <c r="D2188" t="s">
        <v>81</v>
      </c>
      <c r="E2188" s="2" t="str">
        <f>HYPERLINK("capsilon://?command=openfolder&amp;siteaddress=FAM.docvelocity-na8.net&amp;folderid=FX3B6FAA76-33FE-0057-68E4-8687AB2D2788","FX210111900")</f>
        <v>FX210111900</v>
      </c>
      <c r="F2188" t="s">
        <v>19</v>
      </c>
      <c r="G2188" t="s">
        <v>19</v>
      </c>
      <c r="H2188" t="s">
        <v>82</v>
      </c>
      <c r="I2188" t="s">
        <v>5306</v>
      </c>
      <c r="J2188">
        <v>38</v>
      </c>
      <c r="K2188" t="s">
        <v>84</v>
      </c>
      <c r="L2188" t="s">
        <v>85</v>
      </c>
      <c r="M2188" t="s">
        <v>86</v>
      </c>
      <c r="N2188">
        <v>3</v>
      </c>
      <c r="O2188" s="1">
        <v>44218.474953703706</v>
      </c>
      <c r="P2188" s="1">
        <v>44218.505335648151</v>
      </c>
      <c r="Q2188">
        <v>2329</v>
      </c>
      <c r="R2188">
        <v>296</v>
      </c>
      <c r="S2188" t="b">
        <v>0</v>
      </c>
      <c r="T2188" t="s">
        <v>87</v>
      </c>
      <c r="U2188" t="b">
        <v>0</v>
      </c>
      <c r="V2188" t="s">
        <v>242</v>
      </c>
      <c r="W2188" s="1">
        <v>44218.477280092593</v>
      </c>
      <c r="X2188">
        <v>197</v>
      </c>
      <c r="Y2188">
        <v>37</v>
      </c>
      <c r="Z2188">
        <v>0</v>
      </c>
      <c r="AA2188">
        <v>37</v>
      </c>
      <c r="AB2188">
        <v>0</v>
      </c>
      <c r="AC2188">
        <v>11</v>
      </c>
      <c r="AD2188">
        <v>1</v>
      </c>
      <c r="AE2188">
        <v>0</v>
      </c>
      <c r="AF2188">
        <v>0</v>
      </c>
      <c r="AG2188">
        <v>0</v>
      </c>
      <c r="AH2188" t="s">
        <v>267</v>
      </c>
      <c r="AI2188" s="1">
        <v>44218.478530092594</v>
      </c>
      <c r="AJ2188">
        <v>75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0</v>
      </c>
      <c r="AS2188">
        <v>0</v>
      </c>
      <c r="AT2188" t="s">
        <v>90</v>
      </c>
      <c r="AU2188" s="1">
        <v>44218.505335648151</v>
      </c>
      <c r="AV2188">
        <v>24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v>0</v>
      </c>
    </row>
    <row r="2189" spans="1:57" x14ac:dyDescent="0.45">
      <c r="A2189" t="s">
        <v>5307</v>
      </c>
      <c r="B2189" t="s">
        <v>79</v>
      </c>
      <c r="C2189" t="s">
        <v>5308</v>
      </c>
      <c r="D2189" t="s">
        <v>81</v>
      </c>
      <c r="E2189" s="2" t="str">
        <f>HYPERLINK("capsilon://?command=openfolder&amp;siteaddress=FAM.docvelocity-na8.net&amp;folderid=FX66291EA1-AC70-26F0-B367-732142F406CE","FX20126214")</f>
        <v>FX20126214</v>
      </c>
      <c r="F2189" t="s">
        <v>19</v>
      </c>
      <c r="G2189" t="s">
        <v>19</v>
      </c>
      <c r="H2189" t="s">
        <v>82</v>
      </c>
      <c r="I2189" t="s">
        <v>5309</v>
      </c>
      <c r="J2189">
        <v>99</v>
      </c>
      <c r="K2189" t="s">
        <v>84</v>
      </c>
      <c r="L2189" t="s">
        <v>85</v>
      </c>
      <c r="M2189" t="s">
        <v>86</v>
      </c>
      <c r="N2189">
        <v>3</v>
      </c>
      <c r="O2189" s="1">
        <v>44218.478981481479</v>
      </c>
      <c r="P2189" s="1">
        <v>44218.574999999997</v>
      </c>
      <c r="Q2189">
        <v>1738</v>
      </c>
      <c r="R2189">
        <v>6558</v>
      </c>
      <c r="S2189" t="b">
        <v>0</v>
      </c>
      <c r="T2189" t="s">
        <v>87</v>
      </c>
      <c r="U2189" t="b">
        <v>0</v>
      </c>
      <c r="V2189" t="s">
        <v>242</v>
      </c>
      <c r="W2189" s="1">
        <v>44218.532326388886</v>
      </c>
      <c r="X2189">
        <v>4606</v>
      </c>
      <c r="Y2189">
        <v>230</v>
      </c>
      <c r="Z2189">
        <v>0</v>
      </c>
      <c r="AA2189">
        <v>230</v>
      </c>
      <c r="AB2189">
        <v>0</v>
      </c>
      <c r="AC2189">
        <v>174</v>
      </c>
      <c r="AD2189">
        <v>-131</v>
      </c>
      <c r="AE2189">
        <v>0</v>
      </c>
      <c r="AF2189">
        <v>0</v>
      </c>
      <c r="AG2189">
        <v>0</v>
      </c>
      <c r="AH2189" t="s">
        <v>128</v>
      </c>
      <c r="AI2189" s="1">
        <v>44218.559050925927</v>
      </c>
      <c r="AJ2189">
        <v>1900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-131</v>
      </c>
      <c r="AQ2189">
        <v>0</v>
      </c>
      <c r="AR2189">
        <v>0</v>
      </c>
      <c r="AS2189">
        <v>0</v>
      </c>
      <c r="AT2189" t="s">
        <v>90</v>
      </c>
      <c r="AU2189" s="1">
        <v>44218.574999999997</v>
      </c>
      <c r="AV2189">
        <v>37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-131</v>
      </c>
      <c r="BC2189">
        <v>0</v>
      </c>
      <c r="BD2189">
        <v>0</v>
      </c>
      <c r="BE2189">
        <v>0</v>
      </c>
    </row>
    <row r="2190" spans="1:57" hidden="1" x14ac:dyDescent="0.45">
      <c r="A2190" t="s">
        <v>5310</v>
      </c>
      <c r="B2190" t="s">
        <v>79</v>
      </c>
      <c r="C2190" t="s">
        <v>5308</v>
      </c>
      <c r="D2190" t="s">
        <v>81</v>
      </c>
      <c r="E2190" s="2" t="str">
        <f>HYPERLINK("capsilon://?command=openfolder&amp;siteaddress=FAM.docvelocity-na8.net&amp;folderid=FX66291EA1-AC70-26F0-B367-732142F406CE","FX20126214")</f>
        <v>FX20126214</v>
      </c>
      <c r="F2190" t="s">
        <v>19</v>
      </c>
      <c r="G2190" t="s">
        <v>19</v>
      </c>
      <c r="H2190" t="s">
        <v>82</v>
      </c>
      <c r="I2190" t="s">
        <v>5311</v>
      </c>
      <c r="J2190">
        <v>94</v>
      </c>
      <c r="K2190" t="s">
        <v>84</v>
      </c>
      <c r="L2190" t="s">
        <v>85</v>
      </c>
      <c r="M2190" t="s">
        <v>86</v>
      </c>
      <c r="N2190">
        <v>1</v>
      </c>
      <c r="O2190" s="1">
        <v>44218.479710648149</v>
      </c>
      <c r="P2190" s="1">
        <v>44218.48609953704</v>
      </c>
      <c r="Q2190">
        <v>475</v>
      </c>
      <c r="R2190">
        <v>77</v>
      </c>
      <c r="S2190" t="b">
        <v>0</v>
      </c>
      <c r="T2190" t="s">
        <v>87</v>
      </c>
      <c r="U2190" t="b">
        <v>0</v>
      </c>
      <c r="V2190" t="s">
        <v>160</v>
      </c>
      <c r="W2190" s="1">
        <v>44218.48609953704</v>
      </c>
      <c r="X2190">
        <v>29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94</v>
      </c>
      <c r="AE2190">
        <v>0</v>
      </c>
      <c r="AF2190">
        <v>0</v>
      </c>
      <c r="AG2190">
        <v>5</v>
      </c>
      <c r="AH2190" t="s">
        <v>87</v>
      </c>
      <c r="AI2190" t="s">
        <v>87</v>
      </c>
      <c r="AJ2190" t="s">
        <v>87</v>
      </c>
      <c r="AK2190" t="s">
        <v>87</v>
      </c>
      <c r="AL2190" t="s">
        <v>87</v>
      </c>
      <c r="AM2190" t="s">
        <v>87</v>
      </c>
      <c r="AN2190" t="s">
        <v>87</v>
      </c>
      <c r="AO2190" t="s">
        <v>87</v>
      </c>
      <c r="AP2190" t="s">
        <v>87</v>
      </c>
      <c r="AQ2190" t="s">
        <v>87</v>
      </c>
      <c r="AR2190" t="s">
        <v>87</v>
      </c>
      <c r="AS2190" t="s">
        <v>87</v>
      </c>
      <c r="AT2190" t="s">
        <v>87</v>
      </c>
      <c r="AU2190" t="s">
        <v>87</v>
      </c>
      <c r="AV2190" t="s">
        <v>87</v>
      </c>
      <c r="AW2190" t="s">
        <v>87</v>
      </c>
      <c r="AX2190" t="s">
        <v>87</v>
      </c>
      <c r="AY2190" t="s">
        <v>87</v>
      </c>
      <c r="AZ2190" t="s">
        <v>87</v>
      </c>
      <c r="BA2190" t="s">
        <v>87</v>
      </c>
      <c r="BB2190" t="s">
        <v>87</v>
      </c>
      <c r="BC2190" t="s">
        <v>87</v>
      </c>
      <c r="BD2190" t="s">
        <v>87</v>
      </c>
      <c r="BE2190" t="s">
        <v>87</v>
      </c>
    </row>
    <row r="2191" spans="1:57" x14ac:dyDescent="0.45">
      <c r="A2191" t="s">
        <v>5312</v>
      </c>
      <c r="B2191" t="s">
        <v>79</v>
      </c>
      <c r="C2191" t="s">
        <v>2459</v>
      </c>
      <c r="D2191" t="s">
        <v>81</v>
      </c>
      <c r="E2191" s="2" t="str">
        <f>HYPERLINK("capsilon://?command=openfolder&amp;siteaddress=FAM.docvelocity-na8.net&amp;folderid=FX35035F68-B4B7-8214-73A9-9C1B03D7EAF9","FX21011565")</f>
        <v>FX21011565</v>
      </c>
      <c r="F2191" t="s">
        <v>19</v>
      </c>
      <c r="G2191" t="s">
        <v>19</v>
      </c>
      <c r="H2191" t="s">
        <v>82</v>
      </c>
      <c r="I2191" t="s">
        <v>5313</v>
      </c>
      <c r="J2191">
        <v>66</v>
      </c>
      <c r="K2191" t="s">
        <v>84</v>
      </c>
      <c r="L2191" t="s">
        <v>85</v>
      </c>
      <c r="M2191" t="s">
        <v>86</v>
      </c>
      <c r="N2191">
        <v>3</v>
      </c>
      <c r="O2191" s="1">
        <v>44218.480104166665</v>
      </c>
      <c r="P2191" s="1">
        <v>44218.508009259262</v>
      </c>
      <c r="Q2191">
        <v>1785</v>
      </c>
      <c r="R2191">
        <v>626</v>
      </c>
      <c r="S2191" t="b">
        <v>0</v>
      </c>
      <c r="T2191" t="s">
        <v>87</v>
      </c>
      <c r="U2191" t="b">
        <v>0</v>
      </c>
      <c r="V2191" t="s">
        <v>255</v>
      </c>
      <c r="W2191" s="1">
        <v>44218.484201388892</v>
      </c>
      <c r="X2191">
        <v>296</v>
      </c>
      <c r="Y2191">
        <v>52</v>
      </c>
      <c r="Z2191">
        <v>0</v>
      </c>
      <c r="AA2191">
        <v>52</v>
      </c>
      <c r="AB2191">
        <v>0</v>
      </c>
      <c r="AC2191">
        <v>32</v>
      </c>
      <c r="AD2191">
        <v>14</v>
      </c>
      <c r="AE2191">
        <v>0</v>
      </c>
      <c r="AF2191">
        <v>0</v>
      </c>
      <c r="AG2191">
        <v>0</v>
      </c>
      <c r="AH2191" t="s">
        <v>267</v>
      </c>
      <c r="AI2191" s="1">
        <v>44218.488587962966</v>
      </c>
      <c r="AJ2191">
        <v>100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14</v>
      </c>
      <c r="AQ2191">
        <v>0</v>
      </c>
      <c r="AR2191">
        <v>0</v>
      </c>
      <c r="AS2191">
        <v>0</v>
      </c>
      <c r="AT2191" t="s">
        <v>90</v>
      </c>
      <c r="AU2191" s="1">
        <v>44218.508009259262</v>
      </c>
      <c r="AV2191">
        <v>230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14</v>
      </c>
      <c r="BC2191">
        <v>0</v>
      </c>
      <c r="BD2191">
        <v>0</v>
      </c>
      <c r="BE2191">
        <v>0</v>
      </c>
    </row>
    <row r="2192" spans="1:57" x14ac:dyDescent="0.45">
      <c r="A2192" t="s">
        <v>5314</v>
      </c>
      <c r="B2192" t="s">
        <v>79</v>
      </c>
      <c r="C2192" t="s">
        <v>5308</v>
      </c>
      <c r="D2192" t="s">
        <v>81</v>
      </c>
      <c r="E2192" s="2" t="str">
        <f>HYPERLINK("capsilon://?command=openfolder&amp;siteaddress=FAM.docvelocity-na8.net&amp;folderid=FX66291EA1-AC70-26F0-B367-732142F406CE","FX20126214")</f>
        <v>FX20126214</v>
      </c>
      <c r="F2192" t="s">
        <v>19</v>
      </c>
      <c r="G2192" t="s">
        <v>19</v>
      </c>
      <c r="H2192" t="s">
        <v>82</v>
      </c>
      <c r="I2192" t="s">
        <v>5315</v>
      </c>
      <c r="J2192">
        <v>79</v>
      </c>
      <c r="K2192" t="s">
        <v>84</v>
      </c>
      <c r="L2192" t="s">
        <v>85</v>
      </c>
      <c r="M2192" t="s">
        <v>86</v>
      </c>
      <c r="N2192">
        <v>3</v>
      </c>
      <c r="O2192" s="1">
        <v>44218.480486111112</v>
      </c>
      <c r="P2192" s="1">
        <v>44218.509976851848</v>
      </c>
      <c r="Q2192">
        <v>622</v>
      </c>
      <c r="R2192">
        <v>1926</v>
      </c>
      <c r="S2192" t="b">
        <v>0</v>
      </c>
      <c r="T2192" t="s">
        <v>87</v>
      </c>
      <c r="U2192" t="b">
        <v>0</v>
      </c>
      <c r="V2192" t="s">
        <v>259</v>
      </c>
      <c r="W2192" s="1">
        <v>44218.495057870372</v>
      </c>
      <c r="X2192">
        <v>1231</v>
      </c>
      <c r="Y2192">
        <v>75</v>
      </c>
      <c r="Z2192">
        <v>0</v>
      </c>
      <c r="AA2192">
        <v>75</v>
      </c>
      <c r="AB2192">
        <v>0</v>
      </c>
      <c r="AC2192">
        <v>17</v>
      </c>
      <c r="AD2192">
        <v>4</v>
      </c>
      <c r="AE2192">
        <v>0</v>
      </c>
      <c r="AF2192">
        <v>0</v>
      </c>
      <c r="AG2192">
        <v>0</v>
      </c>
      <c r="AH2192" t="s">
        <v>128</v>
      </c>
      <c r="AI2192" s="1">
        <v>44218.499502314815</v>
      </c>
      <c r="AJ2192">
        <v>352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4</v>
      </c>
      <c r="AQ2192">
        <v>0</v>
      </c>
      <c r="AR2192">
        <v>0</v>
      </c>
      <c r="AS2192">
        <v>0</v>
      </c>
      <c r="AT2192" t="s">
        <v>549</v>
      </c>
      <c r="AU2192" s="1">
        <v>44218.509976851848</v>
      </c>
      <c r="AV2192">
        <v>343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4</v>
      </c>
      <c r="BC2192">
        <v>0</v>
      </c>
      <c r="BD2192">
        <v>0</v>
      </c>
      <c r="BE2192">
        <v>0</v>
      </c>
    </row>
    <row r="2193" spans="1:57" x14ac:dyDescent="0.45">
      <c r="A2193" t="s">
        <v>5316</v>
      </c>
      <c r="B2193" t="s">
        <v>79</v>
      </c>
      <c r="C2193" t="s">
        <v>5317</v>
      </c>
      <c r="D2193" t="s">
        <v>81</v>
      </c>
      <c r="E2193" s="2" t="str">
        <f>HYPERLINK("capsilon://?command=openfolder&amp;siteaddress=FAM.docvelocity-na8.net&amp;folderid=FXA1B677F6-5A8F-6569-3A9E-A94976A346B8","FX210112091")</f>
        <v>FX210112091</v>
      </c>
      <c r="F2193" t="s">
        <v>19</v>
      </c>
      <c r="G2193" t="s">
        <v>19</v>
      </c>
      <c r="H2193" t="s">
        <v>82</v>
      </c>
      <c r="I2193" t="s">
        <v>5318</v>
      </c>
      <c r="J2193">
        <v>241</v>
      </c>
      <c r="K2193" t="s">
        <v>84</v>
      </c>
      <c r="L2193" t="s">
        <v>85</v>
      </c>
      <c r="M2193" t="s">
        <v>86</v>
      </c>
      <c r="N2193">
        <v>3</v>
      </c>
      <c r="O2193" s="1">
        <v>44218.48201388889</v>
      </c>
      <c r="P2193" s="1">
        <v>44218.508263888885</v>
      </c>
      <c r="Q2193">
        <v>465</v>
      </c>
      <c r="R2193">
        <v>1803</v>
      </c>
      <c r="S2193" t="b">
        <v>0</v>
      </c>
      <c r="T2193" t="s">
        <v>87</v>
      </c>
      <c r="U2193" t="b">
        <v>0</v>
      </c>
      <c r="V2193" t="s">
        <v>262</v>
      </c>
      <c r="W2193" s="1">
        <v>44218.496944444443</v>
      </c>
      <c r="X2193">
        <v>1253</v>
      </c>
      <c r="Y2193">
        <v>195</v>
      </c>
      <c r="Z2193">
        <v>0</v>
      </c>
      <c r="AA2193">
        <v>195</v>
      </c>
      <c r="AB2193">
        <v>37</v>
      </c>
      <c r="AC2193">
        <v>64</v>
      </c>
      <c r="AD2193">
        <v>46</v>
      </c>
      <c r="AE2193">
        <v>0</v>
      </c>
      <c r="AF2193">
        <v>0</v>
      </c>
      <c r="AG2193">
        <v>0</v>
      </c>
      <c r="AH2193" t="s">
        <v>267</v>
      </c>
      <c r="AI2193" s="1">
        <v>44218.507106481484</v>
      </c>
      <c r="AJ2193">
        <v>517</v>
      </c>
      <c r="AK2193">
        <v>0</v>
      </c>
      <c r="AL2193">
        <v>0</v>
      </c>
      <c r="AM2193">
        <v>0</v>
      </c>
      <c r="AN2193">
        <v>37</v>
      </c>
      <c r="AO2193">
        <v>0</v>
      </c>
      <c r="AP2193">
        <v>46</v>
      </c>
      <c r="AQ2193">
        <v>0</v>
      </c>
      <c r="AR2193">
        <v>0</v>
      </c>
      <c r="AS2193">
        <v>0</v>
      </c>
      <c r="AT2193" t="s">
        <v>90</v>
      </c>
      <c r="AU2193" s="1">
        <v>44218.508263888885</v>
      </c>
      <c r="AV2193">
        <v>21</v>
      </c>
      <c r="AW2193">
        <v>0</v>
      </c>
      <c r="AX2193">
        <v>0</v>
      </c>
      <c r="AY2193">
        <v>0</v>
      </c>
      <c r="AZ2193">
        <v>37</v>
      </c>
      <c r="BA2193">
        <v>0</v>
      </c>
      <c r="BB2193">
        <v>46</v>
      </c>
      <c r="BC2193">
        <v>0</v>
      </c>
      <c r="BD2193">
        <v>0</v>
      </c>
      <c r="BE2193">
        <v>0</v>
      </c>
    </row>
    <row r="2194" spans="1:57" x14ac:dyDescent="0.45">
      <c r="A2194" t="s">
        <v>5319</v>
      </c>
      <c r="B2194" t="s">
        <v>79</v>
      </c>
      <c r="C2194" t="s">
        <v>5320</v>
      </c>
      <c r="D2194" t="s">
        <v>81</v>
      </c>
      <c r="E2194" s="2" t="str">
        <f>HYPERLINK("capsilon://?command=openfolder&amp;siteaddress=FAM.docvelocity-na8.net&amp;folderid=FX62C40DC2-EB16-B5E4-ECB3-4AB9EA02CF24","FX210114266")</f>
        <v>FX210114266</v>
      </c>
      <c r="F2194" t="s">
        <v>19</v>
      </c>
      <c r="G2194" t="s">
        <v>19</v>
      </c>
      <c r="H2194" t="s">
        <v>82</v>
      </c>
      <c r="I2194" t="s">
        <v>5321</v>
      </c>
      <c r="J2194">
        <v>310</v>
      </c>
      <c r="K2194" t="s">
        <v>84</v>
      </c>
      <c r="L2194" t="s">
        <v>85</v>
      </c>
      <c r="M2194" t="s">
        <v>86</v>
      </c>
      <c r="N2194">
        <v>3</v>
      </c>
      <c r="O2194" s="1">
        <v>44218.486689814818</v>
      </c>
      <c r="P2194" s="1">
        <v>44218.576018518521</v>
      </c>
      <c r="Q2194">
        <v>2695</v>
      </c>
      <c r="R2194">
        <v>5023</v>
      </c>
      <c r="S2194" t="b">
        <v>0</v>
      </c>
      <c r="T2194" t="s">
        <v>87</v>
      </c>
      <c r="U2194" t="b">
        <v>0</v>
      </c>
      <c r="V2194" t="s">
        <v>160</v>
      </c>
      <c r="W2194" s="1">
        <v>44218.535324074073</v>
      </c>
      <c r="X2194">
        <v>4200</v>
      </c>
      <c r="Y2194">
        <v>265</v>
      </c>
      <c r="Z2194">
        <v>0</v>
      </c>
      <c r="AA2194">
        <v>265</v>
      </c>
      <c r="AB2194">
        <v>37</v>
      </c>
      <c r="AC2194">
        <v>201</v>
      </c>
      <c r="AD2194">
        <v>45</v>
      </c>
      <c r="AE2194">
        <v>0</v>
      </c>
      <c r="AF2194">
        <v>0</v>
      </c>
      <c r="AG2194">
        <v>0</v>
      </c>
      <c r="AH2194" t="s">
        <v>267</v>
      </c>
      <c r="AI2194" s="1">
        <v>44218.546990740739</v>
      </c>
      <c r="AJ2194">
        <v>735</v>
      </c>
      <c r="AK2194">
        <v>10</v>
      </c>
      <c r="AL2194">
        <v>0</v>
      </c>
      <c r="AM2194">
        <v>10</v>
      </c>
      <c r="AN2194">
        <v>37</v>
      </c>
      <c r="AO2194">
        <v>10</v>
      </c>
      <c r="AP2194">
        <v>35</v>
      </c>
      <c r="AQ2194">
        <v>0</v>
      </c>
      <c r="AR2194">
        <v>0</v>
      </c>
      <c r="AS2194">
        <v>0</v>
      </c>
      <c r="AT2194" t="s">
        <v>90</v>
      </c>
      <c r="AU2194" s="1">
        <v>44218.576018518521</v>
      </c>
      <c r="AV2194">
        <v>88</v>
      </c>
      <c r="AW2194">
        <v>2</v>
      </c>
      <c r="AX2194">
        <v>0</v>
      </c>
      <c r="AY2194">
        <v>2</v>
      </c>
      <c r="AZ2194">
        <v>37</v>
      </c>
      <c r="BA2194">
        <v>2</v>
      </c>
      <c r="BB2194">
        <v>33</v>
      </c>
      <c r="BC2194">
        <v>0</v>
      </c>
      <c r="BD2194">
        <v>0</v>
      </c>
      <c r="BE2194">
        <v>0</v>
      </c>
    </row>
    <row r="2195" spans="1:57" x14ac:dyDescent="0.45">
      <c r="A2195" t="s">
        <v>5322</v>
      </c>
      <c r="B2195" t="s">
        <v>79</v>
      </c>
      <c r="C2195" t="s">
        <v>5308</v>
      </c>
      <c r="D2195" t="s">
        <v>81</v>
      </c>
      <c r="E2195" s="2" t="str">
        <f>HYPERLINK("capsilon://?command=openfolder&amp;siteaddress=FAM.docvelocity-na8.net&amp;folderid=FX66291EA1-AC70-26F0-B367-732142F406CE","FX20126214")</f>
        <v>FX20126214</v>
      </c>
      <c r="F2195" t="s">
        <v>19</v>
      </c>
      <c r="G2195" t="s">
        <v>19</v>
      </c>
      <c r="H2195" t="s">
        <v>82</v>
      </c>
      <c r="I2195" t="s">
        <v>5311</v>
      </c>
      <c r="J2195">
        <v>375</v>
      </c>
      <c r="K2195" t="s">
        <v>84</v>
      </c>
      <c r="L2195" t="s">
        <v>85</v>
      </c>
      <c r="M2195" t="s">
        <v>86</v>
      </c>
      <c r="N2195">
        <v>3</v>
      </c>
      <c r="O2195" s="1">
        <v>44218.48741898148</v>
      </c>
      <c r="P2195" s="1">
        <v>44218.529166666667</v>
      </c>
      <c r="Q2195">
        <v>272</v>
      </c>
      <c r="R2195">
        <v>3335</v>
      </c>
      <c r="S2195" t="b">
        <v>0</v>
      </c>
      <c r="T2195" t="s">
        <v>87</v>
      </c>
      <c r="U2195" t="b">
        <v>1</v>
      </c>
      <c r="V2195" t="s">
        <v>255</v>
      </c>
      <c r="W2195" s="1">
        <v>44218.511099537034</v>
      </c>
      <c r="X2195">
        <v>2042</v>
      </c>
      <c r="Y2195">
        <v>425</v>
      </c>
      <c r="Z2195">
        <v>0</v>
      </c>
      <c r="AA2195">
        <v>425</v>
      </c>
      <c r="AB2195">
        <v>0</v>
      </c>
      <c r="AC2195">
        <v>286</v>
      </c>
      <c r="AD2195">
        <v>-50</v>
      </c>
      <c r="AE2195">
        <v>0</v>
      </c>
      <c r="AF2195">
        <v>0</v>
      </c>
      <c r="AG2195">
        <v>0</v>
      </c>
      <c r="AH2195" t="s">
        <v>267</v>
      </c>
      <c r="AI2195" s="1">
        <v>44218.525578703702</v>
      </c>
      <c r="AJ2195">
        <v>1232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-50</v>
      </c>
      <c r="AQ2195">
        <v>0</v>
      </c>
      <c r="AR2195">
        <v>0</v>
      </c>
      <c r="AS2195">
        <v>0</v>
      </c>
      <c r="AT2195" t="s">
        <v>90</v>
      </c>
      <c r="AU2195" s="1">
        <v>44218.529166666667</v>
      </c>
      <c r="AV2195">
        <v>61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-50</v>
      </c>
      <c r="BC2195">
        <v>0</v>
      </c>
      <c r="BD2195">
        <v>0</v>
      </c>
      <c r="BE2195">
        <v>0</v>
      </c>
    </row>
    <row r="2196" spans="1:57" x14ac:dyDescent="0.45">
      <c r="A2196" t="s">
        <v>5323</v>
      </c>
      <c r="B2196" t="s">
        <v>79</v>
      </c>
      <c r="C2196" t="s">
        <v>5324</v>
      </c>
      <c r="D2196" t="s">
        <v>81</v>
      </c>
      <c r="E2196" s="2" t="str">
        <f>HYPERLINK("capsilon://?command=openfolder&amp;siteaddress=FAM.docvelocity-na8.net&amp;folderid=FXCB50CFD1-087E-7473-3A43-27F24EC4D5CC","FX210111902")</f>
        <v>FX210111902</v>
      </c>
      <c r="F2196" t="s">
        <v>19</v>
      </c>
      <c r="G2196" t="s">
        <v>19</v>
      </c>
      <c r="H2196" t="s">
        <v>82</v>
      </c>
      <c r="I2196" t="s">
        <v>5325</v>
      </c>
      <c r="J2196">
        <v>38</v>
      </c>
      <c r="K2196" t="s">
        <v>84</v>
      </c>
      <c r="L2196" t="s">
        <v>85</v>
      </c>
      <c r="M2196" t="s">
        <v>86</v>
      </c>
      <c r="N2196">
        <v>3</v>
      </c>
      <c r="O2196" s="1">
        <v>44218.489571759259</v>
      </c>
      <c r="P2196" s="1">
        <v>44218.508321759262</v>
      </c>
      <c r="Q2196">
        <v>1215</v>
      </c>
      <c r="R2196">
        <v>405</v>
      </c>
      <c r="S2196" t="b">
        <v>0</v>
      </c>
      <c r="T2196" t="s">
        <v>87</v>
      </c>
      <c r="U2196" t="b">
        <v>0</v>
      </c>
      <c r="V2196" t="s">
        <v>171</v>
      </c>
      <c r="W2196" s="1">
        <v>44218.493333333332</v>
      </c>
      <c r="X2196">
        <v>324</v>
      </c>
      <c r="Y2196">
        <v>37</v>
      </c>
      <c r="Z2196">
        <v>0</v>
      </c>
      <c r="AA2196">
        <v>37</v>
      </c>
      <c r="AB2196">
        <v>0</v>
      </c>
      <c r="AC2196">
        <v>7</v>
      </c>
      <c r="AD2196">
        <v>1</v>
      </c>
      <c r="AE2196">
        <v>0</v>
      </c>
      <c r="AF2196">
        <v>0</v>
      </c>
      <c r="AG2196">
        <v>0</v>
      </c>
      <c r="AH2196" t="s">
        <v>267</v>
      </c>
      <c r="AI2196" s="1">
        <v>44218.494444444441</v>
      </c>
      <c r="AJ2196">
        <v>77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0</v>
      </c>
      <c r="AT2196" t="s">
        <v>90</v>
      </c>
      <c r="AU2196" s="1">
        <v>44218.508321759262</v>
      </c>
      <c r="AV2196">
        <v>4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1</v>
      </c>
      <c r="BC2196">
        <v>0</v>
      </c>
      <c r="BD2196">
        <v>0</v>
      </c>
      <c r="BE2196">
        <v>0</v>
      </c>
    </row>
    <row r="2197" spans="1:57" x14ac:dyDescent="0.45">
      <c r="A2197" t="s">
        <v>5326</v>
      </c>
      <c r="B2197" t="s">
        <v>79</v>
      </c>
      <c r="C2197" t="s">
        <v>5327</v>
      </c>
      <c r="D2197" t="s">
        <v>81</v>
      </c>
      <c r="E2197" s="2" t="str">
        <f>HYPERLINK("capsilon://?command=openfolder&amp;siteaddress=FAM.docvelocity-na8.net&amp;folderid=FX5174BB2C-9C9F-E83C-7A49-7F0C8C85745D","FX210113823")</f>
        <v>FX210113823</v>
      </c>
      <c r="F2197" t="s">
        <v>19</v>
      </c>
      <c r="G2197" t="s">
        <v>19</v>
      </c>
      <c r="H2197" t="s">
        <v>82</v>
      </c>
      <c r="I2197" t="s">
        <v>5328</v>
      </c>
      <c r="J2197">
        <v>276</v>
      </c>
      <c r="K2197" t="s">
        <v>84</v>
      </c>
      <c r="L2197" t="s">
        <v>85</v>
      </c>
      <c r="M2197" t="s">
        <v>86</v>
      </c>
      <c r="N2197">
        <v>3</v>
      </c>
      <c r="O2197" s="1">
        <v>44218.491550925923</v>
      </c>
      <c r="P2197" s="1">
        <v>44218.576354166667</v>
      </c>
      <c r="Q2197">
        <v>3207</v>
      </c>
      <c r="R2197">
        <v>4120</v>
      </c>
      <c r="S2197" t="b">
        <v>0</v>
      </c>
      <c r="T2197" t="s">
        <v>87</v>
      </c>
      <c r="U2197" t="b">
        <v>0</v>
      </c>
      <c r="V2197" t="s">
        <v>146</v>
      </c>
      <c r="W2197" s="1">
        <v>44218.533703703702</v>
      </c>
      <c r="X2197">
        <v>3641</v>
      </c>
      <c r="Y2197">
        <v>180</v>
      </c>
      <c r="Z2197">
        <v>0</v>
      </c>
      <c r="AA2197">
        <v>180</v>
      </c>
      <c r="AB2197">
        <v>37</v>
      </c>
      <c r="AC2197">
        <v>68</v>
      </c>
      <c r="AD2197">
        <v>96</v>
      </c>
      <c r="AE2197">
        <v>0</v>
      </c>
      <c r="AF2197">
        <v>0</v>
      </c>
      <c r="AG2197">
        <v>0</v>
      </c>
      <c r="AH2197" t="s">
        <v>267</v>
      </c>
      <c r="AI2197" s="1">
        <v>44218.552222222221</v>
      </c>
      <c r="AJ2197">
        <v>451</v>
      </c>
      <c r="AK2197">
        <v>0</v>
      </c>
      <c r="AL2197">
        <v>0</v>
      </c>
      <c r="AM2197">
        <v>0</v>
      </c>
      <c r="AN2197">
        <v>37</v>
      </c>
      <c r="AO2197">
        <v>0</v>
      </c>
      <c r="AP2197">
        <v>96</v>
      </c>
      <c r="AQ2197">
        <v>0</v>
      </c>
      <c r="AR2197">
        <v>0</v>
      </c>
      <c r="AS2197">
        <v>0</v>
      </c>
      <c r="AT2197" t="s">
        <v>90</v>
      </c>
      <c r="AU2197" s="1">
        <v>44218.576354166667</v>
      </c>
      <c r="AV2197">
        <v>28</v>
      </c>
      <c r="AW2197">
        <v>0</v>
      </c>
      <c r="AX2197">
        <v>0</v>
      </c>
      <c r="AY2197">
        <v>0</v>
      </c>
      <c r="AZ2197">
        <v>37</v>
      </c>
      <c r="BA2197">
        <v>0</v>
      </c>
      <c r="BB2197">
        <v>96</v>
      </c>
      <c r="BC2197">
        <v>0</v>
      </c>
      <c r="BD2197">
        <v>0</v>
      </c>
      <c r="BE2197">
        <v>0</v>
      </c>
    </row>
    <row r="2198" spans="1:57" x14ac:dyDescent="0.45">
      <c r="A2198" t="s">
        <v>5329</v>
      </c>
      <c r="B2198" t="s">
        <v>79</v>
      </c>
      <c r="C2198" t="s">
        <v>2908</v>
      </c>
      <c r="D2198" t="s">
        <v>81</v>
      </c>
      <c r="E2198" s="2" t="str">
        <f>HYPERLINK("capsilon://?command=openfolder&amp;siteaddress=FAM.docvelocity-na8.net&amp;folderid=FXB6E38B94-6BEB-7929-EE5A-40541DF3F4EE","FX201227909")</f>
        <v>FX201227909</v>
      </c>
      <c r="F2198" t="s">
        <v>19</v>
      </c>
      <c r="G2198" t="s">
        <v>19</v>
      </c>
      <c r="H2198" t="s">
        <v>82</v>
      </c>
      <c r="I2198" t="s">
        <v>5330</v>
      </c>
      <c r="J2198">
        <v>66</v>
      </c>
      <c r="K2198" t="s">
        <v>84</v>
      </c>
      <c r="L2198" t="s">
        <v>85</v>
      </c>
      <c r="M2198" t="s">
        <v>86</v>
      </c>
      <c r="N2198">
        <v>3</v>
      </c>
      <c r="O2198" s="1">
        <v>44201.515706018516</v>
      </c>
      <c r="P2198" s="1">
        <v>44201.595949074072</v>
      </c>
      <c r="Q2198">
        <v>3777</v>
      </c>
      <c r="R2198">
        <v>3156</v>
      </c>
      <c r="S2198" t="b">
        <v>0</v>
      </c>
      <c r="T2198" t="s">
        <v>87</v>
      </c>
      <c r="U2198" t="b">
        <v>0</v>
      </c>
      <c r="V2198" t="s">
        <v>146</v>
      </c>
      <c r="W2198" s="1">
        <v>44201.550243055557</v>
      </c>
      <c r="X2198">
        <v>2976</v>
      </c>
      <c r="Y2198">
        <v>52</v>
      </c>
      <c r="Z2198">
        <v>0</v>
      </c>
      <c r="AA2198">
        <v>52</v>
      </c>
      <c r="AB2198">
        <v>0</v>
      </c>
      <c r="AC2198">
        <v>39</v>
      </c>
      <c r="AD2198">
        <v>14</v>
      </c>
      <c r="AE2198">
        <v>0</v>
      </c>
      <c r="AF2198">
        <v>0</v>
      </c>
      <c r="AG2198">
        <v>0</v>
      </c>
      <c r="AH2198" t="s">
        <v>267</v>
      </c>
      <c r="AI2198" s="1">
        <v>44201.566944444443</v>
      </c>
      <c r="AJ2198">
        <v>112</v>
      </c>
      <c r="AK2198">
        <v>2</v>
      </c>
      <c r="AL2198">
        <v>0</v>
      </c>
      <c r="AM2198">
        <v>2</v>
      </c>
      <c r="AN2198">
        <v>0</v>
      </c>
      <c r="AO2198">
        <v>1</v>
      </c>
      <c r="AP2198">
        <v>12</v>
      </c>
      <c r="AQ2198">
        <v>0</v>
      </c>
      <c r="AR2198">
        <v>0</v>
      </c>
      <c r="AS2198">
        <v>0</v>
      </c>
      <c r="AT2198" t="s">
        <v>90</v>
      </c>
      <c r="AU2198" s="1">
        <v>44201.595949074072</v>
      </c>
      <c r="AV2198">
        <v>68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12</v>
      </c>
      <c r="BC2198">
        <v>0</v>
      </c>
      <c r="BD2198">
        <v>0</v>
      </c>
      <c r="BE2198">
        <v>0</v>
      </c>
    </row>
    <row r="2199" spans="1:57" x14ac:dyDescent="0.45">
      <c r="A2199" t="s">
        <v>5331</v>
      </c>
      <c r="B2199" t="s">
        <v>79</v>
      </c>
      <c r="C2199" t="s">
        <v>5332</v>
      </c>
      <c r="D2199" t="s">
        <v>81</v>
      </c>
      <c r="E2199" s="2" t="str">
        <f>HYPERLINK("capsilon://?command=openfolder&amp;siteaddress=FAM.docvelocity-na8.net&amp;folderid=FX6357231D-6A51-DE06-C2A8-BBFD53693799","FX210112891")</f>
        <v>FX210112891</v>
      </c>
      <c r="F2199" t="s">
        <v>19</v>
      </c>
      <c r="G2199" t="s">
        <v>19</v>
      </c>
      <c r="H2199" t="s">
        <v>82</v>
      </c>
      <c r="I2199" t="s">
        <v>5333</v>
      </c>
      <c r="J2199">
        <v>187</v>
      </c>
      <c r="K2199" t="s">
        <v>84</v>
      </c>
      <c r="L2199" t="s">
        <v>85</v>
      </c>
      <c r="M2199" t="s">
        <v>86</v>
      </c>
      <c r="N2199">
        <v>3</v>
      </c>
      <c r="O2199" s="1">
        <v>44218.494502314818</v>
      </c>
      <c r="P2199" s="1">
        <v>44218.537893518522</v>
      </c>
      <c r="Q2199">
        <v>226</v>
      </c>
      <c r="R2199">
        <v>3523</v>
      </c>
      <c r="S2199" t="b">
        <v>0</v>
      </c>
      <c r="T2199" t="s">
        <v>87</v>
      </c>
      <c r="U2199" t="b">
        <v>0</v>
      </c>
      <c r="V2199" t="s">
        <v>168</v>
      </c>
      <c r="W2199" s="1">
        <v>44218.522534722222</v>
      </c>
      <c r="X2199">
        <v>2421</v>
      </c>
      <c r="Y2199">
        <v>144</v>
      </c>
      <c r="Z2199">
        <v>0</v>
      </c>
      <c r="AA2199">
        <v>144</v>
      </c>
      <c r="AB2199">
        <v>37</v>
      </c>
      <c r="AC2199">
        <v>78</v>
      </c>
      <c r="AD2199">
        <v>43</v>
      </c>
      <c r="AE2199">
        <v>0</v>
      </c>
      <c r="AF2199">
        <v>0</v>
      </c>
      <c r="AG2199">
        <v>0</v>
      </c>
      <c r="AH2199" t="s">
        <v>128</v>
      </c>
      <c r="AI2199" s="1">
        <v>44218.530069444445</v>
      </c>
      <c r="AJ2199">
        <v>572</v>
      </c>
      <c r="AK2199">
        <v>0</v>
      </c>
      <c r="AL2199">
        <v>0</v>
      </c>
      <c r="AM2199">
        <v>0</v>
      </c>
      <c r="AN2199">
        <v>37</v>
      </c>
      <c r="AO2199">
        <v>0</v>
      </c>
      <c r="AP2199">
        <v>43</v>
      </c>
      <c r="AQ2199">
        <v>0</v>
      </c>
      <c r="AR2199">
        <v>0</v>
      </c>
      <c r="AS2199">
        <v>0</v>
      </c>
      <c r="AT2199" t="s">
        <v>90</v>
      </c>
      <c r="AU2199" s="1">
        <v>44218.537893518522</v>
      </c>
      <c r="AV2199">
        <v>530</v>
      </c>
      <c r="AW2199">
        <v>0</v>
      </c>
      <c r="AX2199">
        <v>0</v>
      </c>
      <c r="AY2199">
        <v>0</v>
      </c>
      <c r="AZ2199">
        <v>37</v>
      </c>
      <c r="BA2199">
        <v>0</v>
      </c>
      <c r="BB2199">
        <v>43</v>
      </c>
      <c r="BC2199">
        <v>0</v>
      </c>
      <c r="BD2199">
        <v>0</v>
      </c>
      <c r="BE2199">
        <v>0</v>
      </c>
    </row>
    <row r="2200" spans="1:57" x14ac:dyDescent="0.45">
      <c r="A2200" t="s">
        <v>5334</v>
      </c>
      <c r="B2200" t="s">
        <v>79</v>
      </c>
      <c r="C2200" t="s">
        <v>5335</v>
      </c>
      <c r="D2200" t="s">
        <v>81</v>
      </c>
      <c r="E2200" s="2" t="str">
        <f>HYPERLINK("capsilon://?command=openfolder&amp;siteaddress=FAM.docvelocity-na8.net&amp;folderid=FXF7415931-ADE5-68F9-D81C-54B7578678CA","FX20126338")</f>
        <v>FX20126338</v>
      </c>
      <c r="F2200" t="s">
        <v>19</v>
      </c>
      <c r="G2200" t="s">
        <v>19</v>
      </c>
      <c r="H2200" t="s">
        <v>82</v>
      </c>
      <c r="I2200" t="s">
        <v>5336</v>
      </c>
      <c r="J2200">
        <v>56</v>
      </c>
      <c r="K2200" t="s">
        <v>84</v>
      </c>
      <c r="L2200" t="s">
        <v>85</v>
      </c>
      <c r="M2200" t="s">
        <v>86</v>
      </c>
      <c r="N2200">
        <v>3</v>
      </c>
      <c r="O2200" s="1">
        <v>44218.497789351852</v>
      </c>
      <c r="P2200" s="1">
        <v>44218.531759259262</v>
      </c>
      <c r="Q2200">
        <v>1673</v>
      </c>
      <c r="R2200">
        <v>1262</v>
      </c>
      <c r="S2200" t="b">
        <v>0</v>
      </c>
      <c r="T2200" t="s">
        <v>87</v>
      </c>
      <c r="U2200" t="b">
        <v>0</v>
      </c>
      <c r="V2200" t="s">
        <v>171</v>
      </c>
      <c r="W2200" s="1">
        <v>44218.507928240739</v>
      </c>
      <c r="X2200">
        <v>875</v>
      </c>
      <c r="Y2200">
        <v>56</v>
      </c>
      <c r="Z2200">
        <v>0</v>
      </c>
      <c r="AA2200">
        <v>56</v>
      </c>
      <c r="AB2200">
        <v>0</v>
      </c>
      <c r="AC2200">
        <v>24</v>
      </c>
      <c r="AD2200">
        <v>0</v>
      </c>
      <c r="AE2200">
        <v>0</v>
      </c>
      <c r="AF2200">
        <v>0</v>
      </c>
      <c r="AG2200">
        <v>0</v>
      </c>
      <c r="AH2200" t="s">
        <v>267</v>
      </c>
      <c r="AI2200" s="1">
        <v>44218.510324074072</v>
      </c>
      <c r="AJ2200">
        <v>164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 t="s">
        <v>90</v>
      </c>
      <c r="AU2200" s="1">
        <v>44218.531759259262</v>
      </c>
      <c r="AV2200">
        <v>223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</row>
    <row r="2201" spans="1:57" x14ac:dyDescent="0.45">
      <c r="A2201" t="s">
        <v>5337</v>
      </c>
      <c r="B2201" t="s">
        <v>79</v>
      </c>
      <c r="C2201" t="s">
        <v>5335</v>
      </c>
      <c r="D2201" t="s">
        <v>81</v>
      </c>
      <c r="E2201" s="2" t="str">
        <f>HYPERLINK("capsilon://?command=openfolder&amp;siteaddress=FAM.docvelocity-na8.net&amp;folderid=FXF7415931-ADE5-68F9-D81C-54B7578678CA","FX20126338")</f>
        <v>FX20126338</v>
      </c>
      <c r="F2201" t="s">
        <v>19</v>
      </c>
      <c r="G2201" t="s">
        <v>19</v>
      </c>
      <c r="H2201" t="s">
        <v>82</v>
      </c>
      <c r="I2201" t="s">
        <v>5338</v>
      </c>
      <c r="J2201">
        <v>41</v>
      </c>
      <c r="K2201" t="s">
        <v>84</v>
      </c>
      <c r="L2201" t="s">
        <v>85</v>
      </c>
      <c r="M2201" t="s">
        <v>86</v>
      </c>
      <c r="N2201">
        <v>3</v>
      </c>
      <c r="O2201" s="1">
        <v>44218.498402777775</v>
      </c>
      <c r="P2201" s="1">
        <v>44218.510069444441</v>
      </c>
      <c r="Q2201">
        <v>168</v>
      </c>
      <c r="R2201">
        <v>840</v>
      </c>
      <c r="S2201" t="b">
        <v>0</v>
      </c>
      <c r="T2201" t="s">
        <v>87</v>
      </c>
      <c r="U2201" t="b">
        <v>0</v>
      </c>
      <c r="V2201" t="s">
        <v>179</v>
      </c>
      <c r="W2201" s="1">
        <v>44218.506319444445</v>
      </c>
      <c r="X2201">
        <v>684</v>
      </c>
      <c r="Y2201">
        <v>41</v>
      </c>
      <c r="Z2201">
        <v>0</v>
      </c>
      <c r="AA2201">
        <v>41</v>
      </c>
      <c r="AB2201">
        <v>0</v>
      </c>
      <c r="AC2201">
        <v>36</v>
      </c>
      <c r="AD2201">
        <v>0</v>
      </c>
      <c r="AE2201">
        <v>0</v>
      </c>
      <c r="AF2201">
        <v>0</v>
      </c>
      <c r="AG2201">
        <v>0</v>
      </c>
      <c r="AH2201" t="s">
        <v>267</v>
      </c>
      <c r="AI2201" s="1">
        <v>44218.508414351854</v>
      </c>
      <c r="AJ2201">
        <v>113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 t="s">
        <v>90</v>
      </c>
      <c r="AU2201" s="1">
        <v>44218.510069444441</v>
      </c>
      <c r="AV2201">
        <v>19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</row>
    <row r="2202" spans="1:57" x14ac:dyDescent="0.45">
      <c r="A2202" t="s">
        <v>5339</v>
      </c>
      <c r="B2202" t="s">
        <v>79</v>
      </c>
      <c r="C2202" t="s">
        <v>5242</v>
      </c>
      <c r="D2202" t="s">
        <v>81</v>
      </c>
      <c r="E2202" s="2" t="str">
        <f>HYPERLINK("capsilon://?command=openfolder&amp;siteaddress=FAM.docvelocity-na8.net&amp;folderid=FXC24AD4C4-73A6-D76A-833F-2CEEEDD5114F","FX210112477")</f>
        <v>FX210112477</v>
      </c>
      <c r="F2202" t="s">
        <v>19</v>
      </c>
      <c r="G2202" t="s">
        <v>19</v>
      </c>
      <c r="H2202" t="s">
        <v>82</v>
      </c>
      <c r="I2202" t="s">
        <v>5340</v>
      </c>
      <c r="J2202">
        <v>260</v>
      </c>
      <c r="K2202" t="s">
        <v>84</v>
      </c>
      <c r="L2202" t="s">
        <v>85</v>
      </c>
      <c r="M2202" t="s">
        <v>86</v>
      </c>
      <c r="N2202">
        <v>3</v>
      </c>
      <c r="O2202" s="1">
        <v>44218.502893518518</v>
      </c>
      <c r="P2202" s="1">
        <v>44218.619444444441</v>
      </c>
      <c r="Q2202">
        <v>3081</v>
      </c>
      <c r="R2202">
        <v>6989</v>
      </c>
      <c r="S2202" t="b">
        <v>0</v>
      </c>
      <c r="T2202" t="s">
        <v>87</v>
      </c>
      <c r="U2202" t="b">
        <v>0</v>
      </c>
      <c r="V2202" t="s">
        <v>142</v>
      </c>
      <c r="W2202" s="1">
        <v>44218.57571759259</v>
      </c>
      <c r="X2202">
        <v>6272</v>
      </c>
      <c r="Y2202">
        <v>196</v>
      </c>
      <c r="Z2202">
        <v>0</v>
      </c>
      <c r="AA2202">
        <v>196</v>
      </c>
      <c r="AB2202">
        <v>0</v>
      </c>
      <c r="AC2202">
        <v>119</v>
      </c>
      <c r="AD2202">
        <v>64</v>
      </c>
      <c r="AE2202">
        <v>0</v>
      </c>
      <c r="AF2202">
        <v>0</v>
      </c>
      <c r="AG2202">
        <v>0</v>
      </c>
      <c r="AH2202" t="s">
        <v>128</v>
      </c>
      <c r="AI2202" s="1">
        <v>44218.585879629631</v>
      </c>
      <c r="AJ2202">
        <v>698</v>
      </c>
      <c r="AK2202">
        <v>3</v>
      </c>
      <c r="AL2202">
        <v>0</v>
      </c>
      <c r="AM2202">
        <v>3</v>
      </c>
      <c r="AN2202">
        <v>0</v>
      </c>
      <c r="AO2202">
        <v>3</v>
      </c>
      <c r="AP2202">
        <v>61</v>
      </c>
      <c r="AQ2202">
        <v>0</v>
      </c>
      <c r="AR2202">
        <v>0</v>
      </c>
      <c r="AS2202">
        <v>0</v>
      </c>
      <c r="AT2202" t="s">
        <v>90</v>
      </c>
      <c r="AU2202" s="1">
        <v>44218.619444444441</v>
      </c>
      <c r="AV2202">
        <v>19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61</v>
      </c>
      <c r="BC2202">
        <v>0</v>
      </c>
      <c r="BD2202">
        <v>0</v>
      </c>
      <c r="BE2202">
        <v>0</v>
      </c>
    </row>
    <row r="2203" spans="1:57" x14ac:dyDescent="0.45">
      <c r="A2203" t="s">
        <v>5341</v>
      </c>
      <c r="B2203" t="s">
        <v>79</v>
      </c>
      <c r="C2203" t="s">
        <v>5342</v>
      </c>
      <c r="D2203" t="s">
        <v>81</v>
      </c>
      <c r="E2203" s="2" t="str">
        <f>HYPERLINK("capsilon://?command=openfolder&amp;siteaddress=FAM.docvelocity-na8.net&amp;folderid=FX3C9F9B19-D803-FC8E-4E67-AF5D56386AD7","FX210113791")</f>
        <v>FX210113791</v>
      </c>
      <c r="F2203" t="s">
        <v>19</v>
      </c>
      <c r="G2203" t="s">
        <v>19</v>
      </c>
      <c r="H2203" t="s">
        <v>82</v>
      </c>
      <c r="I2203" t="s">
        <v>5343</v>
      </c>
      <c r="J2203">
        <v>144</v>
      </c>
      <c r="K2203" t="s">
        <v>84</v>
      </c>
      <c r="L2203" t="s">
        <v>85</v>
      </c>
      <c r="M2203" t="s">
        <v>86</v>
      </c>
      <c r="N2203">
        <v>3</v>
      </c>
      <c r="O2203" s="1">
        <v>44218.510520833333</v>
      </c>
      <c r="P2203" s="1">
        <v>44218.576863425929</v>
      </c>
      <c r="Q2203">
        <v>3236</v>
      </c>
      <c r="R2203">
        <v>2496</v>
      </c>
      <c r="S2203" t="b">
        <v>0</v>
      </c>
      <c r="T2203" t="s">
        <v>87</v>
      </c>
      <c r="U2203" t="b">
        <v>0</v>
      </c>
      <c r="V2203" t="s">
        <v>255</v>
      </c>
      <c r="W2203" s="1">
        <v>44218.532604166663</v>
      </c>
      <c r="X2203">
        <v>1587</v>
      </c>
      <c r="Y2203">
        <v>145</v>
      </c>
      <c r="Z2203">
        <v>0</v>
      </c>
      <c r="AA2203">
        <v>145</v>
      </c>
      <c r="AB2203">
        <v>0</v>
      </c>
      <c r="AC2203">
        <v>77</v>
      </c>
      <c r="AD2203">
        <v>-1</v>
      </c>
      <c r="AE2203">
        <v>0</v>
      </c>
      <c r="AF2203">
        <v>0</v>
      </c>
      <c r="AG2203">
        <v>0</v>
      </c>
      <c r="AH2203" t="s">
        <v>128</v>
      </c>
      <c r="AI2203" s="1">
        <v>44218.567696759259</v>
      </c>
      <c r="AJ2203">
        <v>746</v>
      </c>
      <c r="AK2203">
        <v>1</v>
      </c>
      <c r="AL2203">
        <v>0</v>
      </c>
      <c r="AM2203">
        <v>1</v>
      </c>
      <c r="AN2203">
        <v>0</v>
      </c>
      <c r="AO2203">
        <v>1</v>
      </c>
      <c r="AP2203">
        <v>-2</v>
      </c>
      <c r="AQ2203">
        <v>0</v>
      </c>
      <c r="AR2203">
        <v>0</v>
      </c>
      <c r="AS2203">
        <v>0</v>
      </c>
      <c r="AT2203" t="s">
        <v>90</v>
      </c>
      <c r="AU2203" s="1">
        <v>44218.576863425929</v>
      </c>
      <c r="AV2203">
        <v>43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-2</v>
      </c>
      <c r="BC2203">
        <v>0</v>
      </c>
      <c r="BD2203">
        <v>0</v>
      </c>
      <c r="BE2203">
        <v>0</v>
      </c>
    </row>
    <row r="2204" spans="1:57" x14ac:dyDescent="0.45">
      <c r="A2204" t="s">
        <v>5344</v>
      </c>
      <c r="B2204" t="s">
        <v>79</v>
      </c>
      <c r="C2204" t="s">
        <v>5345</v>
      </c>
      <c r="D2204" t="s">
        <v>81</v>
      </c>
      <c r="E2204" s="2" t="str">
        <f>HYPERLINK("capsilon://?command=openfolder&amp;siteaddress=FAM.docvelocity-na8.net&amp;folderid=FXE60D7637-532C-854C-E161-865529330095","FX210112514")</f>
        <v>FX210112514</v>
      </c>
      <c r="F2204" t="s">
        <v>19</v>
      </c>
      <c r="G2204" t="s">
        <v>19</v>
      </c>
      <c r="H2204" t="s">
        <v>82</v>
      </c>
      <c r="I2204" t="s">
        <v>5346</v>
      </c>
      <c r="J2204">
        <v>297</v>
      </c>
      <c r="K2204" t="s">
        <v>84</v>
      </c>
      <c r="L2204" t="s">
        <v>85</v>
      </c>
      <c r="M2204" t="s">
        <v>86</v>
      </c>
      <c r="N2204">
        <v>3</v>
      </c>
      <c r="O2204" s="1">
        <v>44218.515763888892</v>
      </c>
      <c r="P2204" s="1">
        <v>44218.704583333332</v>
      </c>
      <c r="Q2204">
        <v>6677</v>
      </c>
      <c r="R2204">
        <v>9637</v>
      </c>
      <c r="S2204" t="b">
        <v>0</v>
      </c>
      <c r="T2204" t="s">
        <v>87</v>
      </c>
      <c r="U2204" t="b">
        <v>0</v>
      </c>
      <c r="V2204" t="s">
        <v>262</v>
      </c>
      <c r="W2204" s="1">
        <v>44218.616701388892</v>
      </c>
      <c r="X2204">
        <v>7294</v>
      </c>
      <c r="Y2204">
        <v>328</v>
      </c>
      <c r="Z2204">
        <v>0</v>
      </c>
      <c r="AA2204">
        <v>328</v>
      </c>
      <c r="AB2204">
        <v>1</v>
      </c>
      <c r="AC2204">
        <v>271</v>
      </c>
      <c r="AD2204">
        <v>-31</v>
      </c>
      <c r="AE2204">
        <v>0</v>
      </c>
      <c r="AF2204">
        <v>0</v>
      </c>
      <c r="AG2204">
        <v>0</v>
      </c>
      <c r="AH2204" t="s">
        <v>267</v>
      </c>
      <c r="AI2204" s="1">
        <v>44218.624861111108</v>
      </c>
      <c r="AJ2204">
        <v>541</v>
      </c>
      <c r="AK2204">
        <v>4</v>
      </c>
      <c r="AL2204">
        <v>0</v>
      </c>
      <c r="AM2204">
        <v>4</v>
      </c>
      <c r="AN2204">
        <v>0</v>
      </c>
      <c r="AO2204">
        <v>3</v>
      </c>
      <c r="AP2204">
        <v>-35</v>
      </c>
      <c r="AQ2204">
        <v>0</v>
      </c>
      <c r="AR2204">
        <v>0</v>
      </c>
      <c r="AS2204">
        <v>0</v>
      </c>
      <c r="AT2204" t="s">
        <v>549</v>
      </c>
      <c r="AU2204" s="1">
        <v>44218.704583333332</v>
      </c>
      <c r="AV2204">
        <v>442</v>
      </c>
      <c r="AW2204">
        <v>14</v>
      </c>
      <c r="AX2204">
        <v>0</v>
      </c>
      <c r="AY2204">
        <v>14</v>
      </c>
      <c r="AZ2204">
        <v>0</v>
      </c>
      <c r="BA2204">
        <v>14</v>
      </c>
      <c r="BB2204">
        <v>-49</v>
      </c>
      <c r="BC2204">
        <v>0</v>
      </c>
      <c r="BD2204">
        <v>0</v>
      </c>
      <c r="BE2204">
        <v>0</v>
      </c>
    </row>
    <row r="2205" spans="1:57" x14ac:dyDescent="0.45">
      <c r="A2205" t="s">
        <v>5347</v>
      </c>
      <c r="B2205" t="s">
        <v>79</v>
      </c>
      <c r="C2205" t="s">
        <v>1279</v>
      </c>
      <c r="D2205" t="s">
        <v>81</v>
      </c>
      <c r="E2205" s="2" t="str">
        <f>HYPERLINK("capsilon://?command=openfolder&amp;siteaddress=FAM.docvelocity-na8.net&amp;folderid=FXBAF44389-6C6A-AE82-504B-F9635C0F4C6C","FX201110221")</f>
        <v>FX201110221</v>
      </c>
      <c r="F2205" t="s">
        <v>19</v>
      </c>
      <c r="G2205" t="s">
        <v>19</v>
      </c>
      <c r="H2205" t="s">
        <v>82</v>
      </c>
      <c r="I2205" t="s">
        <v>5348</v>
      </c>
      <c r="J2205">
        <v>66</v>
      </c>
      <c r="K2205" t="s">
        <v>84</v>
      </c>
      <c r="L2205" t="s">
        <v>85</v>
      </c>
      <c r="M2205" t="s">
        <v>86</v>
      </c>
      <c r="N2205">
        <v>3</v>
      </c>
      <c r="O2205" s="1">
        <v>44201.520069444443</v>
      </c>
      <c r="P2205" s="1">
        <v>44201.595995370371</v>
      </c>
      <c r="Q2205">
        <v>6153</v>
      </c>
      <c r="R2205">
        <v>407</v>
      </c>
      <c r="S2205" t="b">
        <v>0</v>
      </c>
      <c r="T2205" t="s">
        <v>87</v>
      </c>
      <c r="U2205" t="b">
        <v>0</v>
      </c>
      <c r="V2205" t="s">
        <v>171</v>
      </c>
      <c r="W2205" s="1">
        <v>44201.524548611109</v>
      </c>
      <c r="X2205">
        <v>380</v>
      </c>
      <c r="Y2205">
        <v>5</v>
      </c>
      <c r="Z2205">
        <v>0</v>
      </c>
      <c r="AA2205">
        <v>5</v>
      </c>
      <c r="AB2205">
        <v>52</v>
      </c>
      <c r="AC2205">
        <v>5</v>
      </c>
      <c r="AD2205">
        <v>61</v>
      </c>
      <c r="AE2205">
        <v>0</v>
      </c>
      <c r="AF2205">
        <v>0</v>
      </c>
      <c r="AG2205">
        <v>0</v>
      </c>
      <c r="AH2205" t="s">
        <v>267</v>
      </c>
      <c r="AI2205" s="1">
        <v>44201.567233796297</v>
      </c>
      <c r="AJ2205">
        <v>24</v>
      </c>
      <c r="AK2205">
        <v>0</v>
      </c>
      <c r="AL2205">
        <v>0</v>
      </c>
      <c r="AM2205">
        <v>0</v>
      </c>
      <c r="AN2205">
        <v>52</v>
      </c>
      <c r="AO2205">
        <v>0</v>
      </c>
      <c r="AP2205">
        <v>61</v>
      </c>
      <c r="AQ2205">
        <v>0</v>
      </c>
      <c r="AR2205">
        <v>0</v>
      </c>
      <c r="AS2205">
        <v>0</v>
      </c>
      <c r="AT2205" t="s">
        <v>90</v>
      </c>
      <c r="AU2205" s="1">
        <v>44201.595995370371</v>
      </c>
      <c r="AV2205">
        <v>3</v>
      </c>
      <c r="AW2205">
        <v>0</v>
      </c>
      <c r="AX2205">
        <v>0</v>
      </c>
      <c r="AY2205">
        <v>0</v>
      </c>
      <c r="AZ2205">
        <v>52</v>
      </c>
      <c r="BA2205">
        <v>0</v>
      </c>
      <c r="BB2205">
        <v>61</v>
      </c>
      <c r="BC2205">
        <v>0</v>
      </c>
      <c r="BD2205">
        <v>0</v>
      </c>
      <c r="BE2205">
        <v>0</v>
      </c>
    </row>
    <row r="2206" spans="1:57" x14ac:dyDescent="0.45">
      <c r="A2206" t="s">
        <v>5349</v>
      </c>
      <c r="B2206" t="s">
        <v>79</v>
      </c>
      <c r="C2206" t="s">
        <v>5350</v>
      </c>
      <c r="D2206" t="s">
        <v>81</v>
      </c>
      <c r="E2206" s="2" t="str">
        <f>HYPERLINK("capsilon://?command=openfolder&amp;siteaddress=FAM.docvelocity-na8.net&amp;folderid=FX3893ADD9-1166-4F45-D997-0A5A1E278313","FX210112253")</f>
        <v>FX210112253</v>
      </c>
      <c r="F2206" t="s">
        <v>19</v>
      </c>
      <c r="G2206" t="s">
        <v>19</v>
      </c>
      <c r="H2206" t="s">
        <v>82</v>
      </c>
      <c r="I2206" t="s">
        <v>5351</v>
      </c>
      <c r="J2206">
        <v>465</v>
      </c>
      <c r="K2206" t="s">
        <v>84</v>
      </c>
      <c r="L2206" t="s">
        <v>85</v>
      </c>
      <c r="M2206" t="s">
        <v>86</v>
      </c>
      <c r="N2206">
        <v>3</v>
      </c>
      <c r="O2206" s="1">
        <v>44218.52553240741</v>
      </c>
      <c r="P2206" s="1">
        <v>44218.577766203707</v>
      </c>
      <c r="Q2206">
        <v>481</v>
      </c>
      <c r="R2206">
        <v>4032</v>
      </c>
      <c r="S2206" t="b">
        <v>0</v>
      </c>
      <c r="T2206" t="s">
        <v>87</v>
      </c>
      <c r="U2206" t="b">
        <v>0</v>
      </c>
      <c r="V2206" t="s">
        <v>259</v>
      </c>
      <c r="W2206" s="1">
        <v>44218.563622685186</v>
      </c>
      <c r="X2206">
        <v>3270</v>
      </c>
      <c r="Y2206">
        <v>399</v>
      </c>
      <c r="Z2206">
        <v>0</v>
      </c>
      <c r="AA2206">
        <v>399</v>
      </c>
      <c r="AB2206">
        <v>74</v>
      </c>
      <c r="AC2206">
        <v>236</v>
      </c>
      <c r="AD2206">
        <v>66</v>
      </c>
      <c r="AE2206">
        <v>0</v>
      </c>
      <c r="AF2206">
        <v>0</v>
      </c>
      <c r="AG2206">
        <v>0</v>
      </c>
      <c r="AH2206" t="s">
        <v>267</v>
      </c>
      <c r="AI2206" s="1">
        <v>44218.572060185186</v>
      </c>
      <c r="AJ2206">
        <v>686</v>
      </c>
      <c r="AK2206">
        <v>3</v>
      </c>
      <c r="AL2206">
        <v>0</v>
      </c>
      <c r="AM2206">
        <v>3</v>
      </c>
      <c r="AN2206">
        <v>74</v>
      </c>
      <c r="AO2206">
        <v>2</v>
      </c>
      <c r="AP2206">
        <v>63</v>
      </c>
      <c r="AQ2206">
        <v>0</v>
      </c>
      <c r="AR2206">
        <v>0</v>
      </c>
      <c r="AS2206">
        <v>0</v>
      </c>
      <c r="AT2206" t="s">
        <v>90</v>
      </c>
      <c r="AU2206" s="1">
        <v>44218.577766203707</v>
      </c>
      <c r="AV2206">
        <v>76</v>
      </c>
      <c r="AW2206">
        <v>0</v>
      </c>
      <c r="AX2206">
        <v>0</v>
      </c>
      <c r="AY2206">
        <v>0</v>
      </c>
      <c r="AZ2206">
        <v>74</v>
      </c>
      <c r="BA2206">
        <v>0</v>
      </c>
      <c r="BB2206">
        <v>63</v>
      </c>
      <c r="BC2206">
        <v>0</v>
      </c>
      <c r="BD2206">
        <v>0</v>
      </c>
      <c r="BE2206">
        <v>0</v>
      </c>
    </row>
    <row r="2207" spans="1:57" x14ac:dyDescent="0.45">
      <c r="A2207" t="s">
        <v>5352</v>
      </c>
      <c r="B2207" t="s">
        <v>79</v>
      </c>
      <c r="C2207" t="s">
        <v>5353</v>
      </c>
      <c r="D2207" t="s">
        <v>81</v>
      </c>
      <c r="E2207" s="2" t="str">
        <f>HYPERLINK("capsilon://?command=openfolder&amp;siteaddress=FAM.docvelocity-na8.net&amp;folderid=FXF98086F0-BEE1-EC95-B489-CE68EDB68F43","FX201110580")</f>
        <v>FX201110580</v>
      </c>
      <c r="F2207" t="s">
        <v>19</v>
      </c>
      <c r="G2207" t="s">
        <v>19</v>
      </c>
      <c r="H2207" t="s">
        <v>82</v>
      </c>
      <c r="I2207" t="s">
        <v>5354</v>
      </c>
      <c r="J2207">
        <v>66</v>
      </c>
      <c r="K2207" t="s">
        <v>84</v>
      </c>
      <c r="L2207" t="s">
        <v>85</v>
      </c>
      <c r="M2207" t="s">
        <v>86</v>
      </c>
      <c r="N2207">
        <v>3</v>
      </c>
      <c r="O2207" s="1">
        <v>44201.521041666667</v>
      </c>
      <c r="P2207" s="1">
        <v>44201.59715277778</v>
      </c>
      <c r="Q2207">
        <v>4883</v>
      </c>
      <c r="R2207">
        <v>1693</v>
      </c>
      <c r="S2207" t="b">
        <v>0</v>
      </c>
      <c r="T2207" t="s">
        <v>87</v>
      </c>
      <c r="U2207" t="b">
        <v>0</v>
      </c>
      <c r="V2207" t="s">
        <v>255</v>
      </c>
      <c r="W2207" s="1">
        <v>44201.538865740738</v>
      </c>
      <c r="X2207">
        <v>1475</v>
      </c>
      <c r="Y2207">
        <v>52</v>
      </c>
      <c r="Z2207">
        <v>0</v>
      </c>
      <c r="AA2207">
        <v>52</v>
      </c>
      <c r="AB2207">
        <v>0</v>
      </c>
      <c r="AC2207">
        <v>45</v>
      </c>
      <c r="AD2207">
        <v>14</v>
      </c>
      <c r="AE2207">
        <v>0</v>
      </c>
      <c r="AF2207">
        <v>0</v>
      </c>
      <c r="AG2207">
        <v>0</v>
      </c>
      <c r="AH2207" t="s">
        <v>267</v>
      </c>
      <c r="AI2207" s="1">
        <v>44201.568622685183</v>
      </c>
      <c r="AJ2207">
        <v>119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14</v>
      </c>
      <c r="AQ2207">
        <v>0</v>
      </c>
      <c r="AR2207">
        <v>0</v>
      </c>
      <c r="AS2207">
        <v>0</v>
      </c>
      <c r="AT2207" t="s">
        <v>90</v>
      </c>
      <c r="AU2207" s="1">
        <v>44201.59715277778</v>
      </c>
      <c r="AV2207">
        <v>99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14</v>
      </c>
      <c r="BC2207">
        <v>0</v>
      </c>
      <c r="BD2207">
        <v>0</v>
      </c>
      <c r="BE2207">
        <v>0</v>
      </c>
    </row>
    <row r="2208" spans="1:57" x14ac:dyDescent="0.45">
      <c r="A2208" t="s">
        <v>5355</v>
      </c>
      <c r="B2208" t="s">
        <v>79</v>
      </c>
      <c r="C2208" t="s">
        <v>5356</v>
      </c>
      <c r="D2208" t="s">
        <v>81</v>
      </c>
      <c r="E2208" s="2" t="str">
        <f>HYPERLINK("capsilon://?command=openfolder&amp;siteaddress=FAM.docvelocity-na8.net&amp;folderid=FX92F2F400-878C-FE89-BBD2-C47EFF1A0BC3","FX201226836")</f>
        <v>FX201226836</v>
      </c>
      <c r="F2208" t="s">
        <v>19</v>
      </c>
      <c r="G2208" t="s">
        <v>19</v>
      </c>
      <c r="H2208" t="s">
        <v>82</v>
      </c>
      <c r="I2208" t="s">
        <v>5357</v>
      </c>
      <c r="J2208">
        <v>882</v>
      </c>
      <c r="K2208" t="s">
        <v>84</v>
      </c>
      <c r="L2208" t="s">
        <v>85</v>
      </c>
      <c r="M2208" t="s">
        <v>86</v>
      </c>
      <c r="N2208">
        <v>3</v>
      </c>
      <c r="O2208" s="1">
        <v>44201.521261574075</v>
      </c>
      <c r="P2208" s="1">
        <v>44201.612719907411</v>
      </c>
      <c r="Q2208">
        <v>545</v>
      </c>
      <c r="R2208">
        <v>7357</v>
      </c>
      <c r="S2208" t="b">
        <v>0</v>
      </c>
      <c r="T2208" t="s">
        <v>87</v>
      </c>
      <c r="U2208" t="b">
        <v>0</v>
      </c>
      <c r="V2208" t="s">
        <v>242</v>
      </c>
      <c r="W2208" s="1">
        <v>44201.577604166669</v>
      </c>
      <c r="X2208">
        <v>4545</v>
      </c>
      <c r="Y2208">
        <v>768</v>
      </c>
      <c r="Z2208">
        <v>0</v>
      </c>
      <c r="AA2208">
        <v>768</v>
      </c>
      <c r="AB2208">
        <v>0</v>
      </c>
      <c r="AC2208">
        <v>292</v>
      </c>
      <c r="AD2208">
        <v>114</v>
      </c>
      <c r="AE2208">
        <v>0</v>
      </c>
      <c r="AF2208">
        <v>0</v>
      </c>
      <c r="AG2208">
        <v>0</v>
      </c>
      <c r="AH2208" t="s">
        <v>128</v>
      </c>
      <c r="AI2208" s="1">
        <v>44201.608101851853</v>
      </c>
      <c r="AJ2208">
        <v>2563</v>
      </c>
      <c r="AK2208">
        <v>7</v>
      </c>
      <c r="AL2208">
        <v>0</v>
      </c>
      <c r="AM2208">
        <v>7</v>
      </c>
      <c r="AN2208">
        <v>0</v>
      </c>
      <c r="AO2208">
        <v>7</v>
      </c>
      <c r="AP2208">
        <v>107</v>
      </c>
      <c r="AQ2208">
        <v>0</v>
      </c>
      <c r="AR2208">
        <v>0</v>
      </c>
      <c r="AS2208">
        <v>0</v>
      </c>
      <c r="AT2208" t="s">
        <v>90</v>
      </c>
      <c r="AU2208" s="1">
        <v>44201.612719907411</v>
      </c>
      <c r="AV2208">
        <v>89</v>
      </c>
      <c r="AW2208">
        <v>2</v>
      </c>
      <c r="AX2208">
        <v>0</v>
      </c>
      <c r="AY2208">
        <v>2</v>
      </c>
      <c r="AZ2208">
        <v>0</v>
      </c>
      <c r="BA2208">
        <v>2</v>
      </c>
      <c r="BB2208">
        <v>105</v>
      </c>
      <c r="BC2208">
        <v>0</v>
      </c>
      <c r="BD2208">
        <v>0</v>
      </c>
      <c r="BE2208">
        <v>0</v>
      </c>
    </row>
    <row r="2209" spans="1:57" x14ac:dyDescent="0.45">
      <c r="A2209" t="s">
        <v>5358</v>
      </c>
      <c r="B2209" t="s">
        <v>79</v>
      </c>
      <c r="C2209" t="s">
        <v>5359</v>
      </c>
      <c r="D2209" t="s">
        <v>81</v>
      </c>
      <c r="E2209" s="2" t="str">
        <f>HYPERLINK("capsilon://?command=openfolder&amp;siteaddress=FAM.docvelocity-na8.net&amp;folderid=FX1E139097-732E-166D-4E04-75B3C43377CB","FX20124708")</f>
        <v>FX20124708</v>
      </c>
      <c r="F2209" t="s">
        <v>19</v>
      </c>
      <c r="G2209" t="s">
        <v>19</v>
      </c>
      <c r="H2209" t="s">
        <v>82</v>
      </c>
      <c r="I2209" t="s">
        <v>5360</v>
      </c>
      <c r="J2209">
        <v>31</v>
      </c>
      <c r="K2209" t="s">
        <v>84</v>
      </c>
      <c r="L2209" t="s">
        <v>85</v>
      </c>
      <c r="M2209" t="s">
        <v>86</v>
      </c>
      <c r="N2209">
        <v>3</v>
      </c>
      <c r="O2209" s="1">
        <v>44218.531956018516</v>
      </c>
      <c r="P2209" s="1">
        <v>44218.578055555554</v>
      </c>
      <c r="Q2209">
        <v>2046</v>
      </c>
      <c r="R2209">
        <v>1937</v>
      </c>
      <c r="S2209" t="b">
        <v>0</v>
      </c>
      <c r="T2209" t="s">
        <v>87</v>
      </c>
      <c r="U2209" t="b">
        <v>0</v>
      </c>
      <c r="V2209" t="s">
        <v>179</v>
      </c>
      <c r="W2209" s="1">
        <v>44218.551099537035</v>
      </c>
      <c r="X2209">
        <v>1653</v>
      </c>
      <c r="Y2209">
        <v>46</v>
      </c>
      <c r="Z2209">
        <v>0</v>
      </c>
      <c r="AA2209">
        <v>46</v>
      </c>
      <c r="AB2209">
        <v>0</v>
      </c>
      <c r="AC2209">
        <v>39</v>
      </c>
      <c r="AD2209">
        <v>-15</v>
      </c>
      <c r="AE2209">
        <v>0</v>
      </c>
      <c r="AF2209">
        <v>0</v>
      </c>
      <c r="AG2209">
        <v>0</v>
      </c>
      <c r="AH2209" t="s">
        <v>267</v>
      </c>
      <c r="AI2209" s="1">
        <v>44218.564108796294</v>
      </c>
      <c r="AJ2209">
        <v>260</v>
      </c>
      <c r="AK2209">
        <v>1</v>
      </c>
      <c r="AL2209">
        <v>0</v>
      </c>
      <c r="AM2209">
        <v>1</v>
      </c>
      <c r="AN2209">
        <v>0</v>
      </c>
      <c r="AO2209">
        <v>1</v>
      </c>
      <c r="AP2209">
        <v>-16</v>
      </c>
      <c r="AQ2209">
        <v>0</v>
      </c>
      <c r="AR2209">
        <v>0</v>
      </c>
      <c r="AS2209">
        <v>0</v>
      </c>
      <c r="AT2209" t="s">
        <v>90</v>
      </c>
      <c r="AU2209" s="1">
        <v>44218.578055555554</v>
      </c>
      <c r="AV2209">
        <v>24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-16</v>
      </c>
      <c r="BC2209">
        <v>0</v>
      </c>
      <c r="BD2209">
        <v>0</v>
      </c>
      <c r="BE2209">
        <v>0</v>
      </c>
    </row>
    <row r="2210" spans="1:57" x14ac:dyDescent="0.45">
      <c r="A2210" t="s">
        <v>5361</v>
      </c>
      <c r="B2210" t="s">
        <v>79</v>
      </c>
      <c r="C2210" t="s">
        <v>5362</v>
      </c>
      <c r="D2210" t="s">
        <v>81</v>
      </c>
      <c r="E2210" s="2" t="str">
        <f>HYPERLINK("capsilon://?command=openfolder&amp;siteaddress=FAM.docvelocity-na8.net&amp;folderid=FX2342A514-DA1E-511F-96B9-190B0B605D22","FX201227563")</f>
        <v>FX201227563</v>
      </c>
      <c r="F2210" t="s">
        <v>19</v>
      </c>
      <c r="G2210" t="s">
        <v>19</v>
      </c>
      <c r="H2210" t="s">
        <v>82</v>
      </c>
      <c r="I2210" t="s">
        <v>5363</v>
      </c>
      <c r="J2210">
        <v>66</v>
      </c>
      <c r="K2210" t="s">
        <v>84</v>
      </c>
      <c r="L2210" t="s">
        <v>85</v>
      </c>
      <c r="M2210" t="s">
        <v>86</v>
      </c>
      <c r="N2210">
        <v>3</v>
      </c>
      <c r="O2210" s="1">
        <v>44201.521284722221</v>
      </c>
      <c r="P2210" s="1">
        <v>44201.597349537034</v>
      </c>
      <c r="Q2210">
        <v>5886</v>
      </c>
      <c r="R2210">
        <v>686</v>
      </c>
      <c r="S2210" t="b">
        <v>0</v>
      </c>
      <c r="T2210" t="s">
        <v>87</v>
      </c>
      <c r="U2210" t="b">
        <v>0</v>
      </c>
      <c r="V2210" t="s">
        <v>343</v>
      </c>
      <c r="W2210" s="1">
        <v>44201.528101851851</v>
      </c>
      <c r="X2210">
        <v>481</v>
      </c>
      <c r="Y2210">
        <v>52</v>
      </c>
      <c r="Z2210">
        <v>0</v>
      </c>
      <c r="AA2210">
        <v>52</v>
      </c>
      <c r="AB2210">
        <v>1</v>
      </c>
      <c r="AC2210">
        <v>28</v>
      </c>
      <c r="AD2210">
        <v>14</v>
      </c>
      <c r="AE2210">
        <v>0</v>
      </c>
      <c r="AF2210">
        <v>0</v>
      </c>
      <c r="AG2210">
        <v>0</v>
      </c>
      <c r="AH2210" t="s">
        <v>128</v>
      </c>
      <c r="AI2210" s="1">
        <v>44201.578425925924</v>
      </c>
      <c r="AJ2210">
        <v>176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14</v>
      </c>
      <c r="AQ2210">
        <v>0</v>
      </c>
      <c r="AR2210">
        <v>0</v>
      </c>
      <c r="AS2210">
        <v>0</v>
      </c>
      <c r="AT2210" t="s">
        <v>90</v>
      </c>
      <c r="AU2210" s="1">
        <v>44201.597349537034</v>
      </c>
      <c r="AV2210">
        <v>16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14</v>
      </c>
      <c r="BC2210">
        <v>0</v>
      </c>
      <c r="BD2210">
        <v>0</v>
      </c>
      <c r="BE2210">
        <v>0</v>
      </c>
    </row>
    <row r="2211" spans="1:57" x14ac:dyDescent="0.45">
      <c r="A2211" t="s">
        <v>5364</v>
      </c>
      <c r="B2211" t="s">
        <v>79</v>
      </c>
      <c r="C2211" t="s">
        <v>5365</v>
      </c>
      <c r="D2211" t="s">
        <v>81</v>
      </c>
      <c r="E2211" s="2" t="str">
        <f>HYPERLINK("capsilon://?command=openfolder&amp;siteaddress=FAM.docvelocity-na8.net&amp;folderid=FX97A43E2A-08CD-E690-36DF-E2BED33FEAB8","FX210112825")</f>
        <v>FX210112825</v>
      </c>
      <c r="F2211" t="s">
        <v>19</v>
      </c>
      <c r="G2211" t="s">
        <v>19</v>
      </c>
      <c r="H2211" t="s">
        <v>82</v>
      </c>
      <c r="I2211" t="s">
        <v>5366</v>
      </c>
      <c r="J2211">
        <v>82</v>
      </c>
      <c r="K2211" t="s">
        <v>84</v>
      </c>
      <c r="L2211" t="s">
        <v>85</v>
      </c>
      <c r="M2211" t="s">
        <v>86</v>
      </c>
      <c r="N2211">
        <v>3</v>
      </c>
      <c r="O2211" s="1">
        <v>44218.536192129628</v>
      </c>
      <c r="P2211" s="1">
        <v>44218.579733796294</v>
      </c>
      <c r="Q2211">
        <v>2131</v>
      </c>
      <c r="R2211">
        <v>1631</v>
      </c>
      <c r="S2211" t="b">
        <v>0</v>
      </c>
      <c r="T2211" t="s">
        <v>87</v>
      </c>
      <c r="U2211" t="b">
        <v>0</v>
      </c>
      <c r="V2211" t="s">
        <v>168</v>
      </c>
      <c r="W2211" s="1">
        <v>44218.551319444443</v>
      </c>
      <c r="X2211">
        <v>1306</v>
      </c>
      <c r="Y2211">
        <v>57</v>
      </c>
      <c r="Z2211">
        <v>0</v>
      </c>
      <c r="AA2211">
        <v>57</v>
      </c>
      <c r="AB2211">
        <v>0</v>
      </c>
      <c r="AC2211">
        <v>50</v>
      </c>
      <c r="AD2211">
        <v>25</v>
      </c>
      <c r="AE2211">
        <v>0</v>
      </c>
      <c r="AF2211">
        <v>0</v>
      </c>
      <c r="AG2211">
        <v>0</v>
      </c>
      <c r="AH2211" t="s">
        <v>128</v>
      </c>
      <c r="AI2211" s="1">
        <v>44218.569780092592</v>
      </c>
      <c r="AJ2211">
        <v>180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25</v>
      </c>
      <c r="AQ2211">
        <v>0</v>
      </c>
      <c r="AR2211">
        <v>0</v>
      </c>
      <c r="AS2211">
        <v>0</v>
      </c>
      <c r="AT2211" t="s">
        <v>90</v>
      </c>
      <c r="AU2211" s="1">
        <v>44218.579733796294</v>
      </c>
      <c r="AV2211">
        <v>145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25</v>
      </c>
      <c r="BC2211">
        <v>0</v>
      </c>
      <c r="BD2211">
        <v>0</v>
      </c>
      <c r="BE2211">
        <v>0</v>
      </c>
    </row>
    <row r="2212" spans="1:57" x14ac:dyDescent="0.45">
      <c r="A2212" t="s">
        <v>5367</v>
      </c>
      <c r="B2212" t="s">
        <v>79</v>
      </c>
      <c r="C2212" t="s">
        <v>5368</v>
      </c>
      <c r="D2212" t="s">
        <v>81</v>
      </c>
      <c r="E2212" s="2" t="str">
        <f>HYPERLINK("capsilon://?command=openfolder&amp;siteaddress=FAM.docvelocity-na8.net&amp;folderid=FX29B3596D-3376-83BE-2023-284935E878D4","FX21018405")</f>
        <v>FX21018405</v>
      </c>
      <c r="F2212" t="s">
        <v>19</v>
      </c>
      <c r="G2212" t="s">
        <v>19</v>
      </c>
      <c r="H2212" t="s">
        <v>82</v>
      </c>
      <c r="I2212" t="s">
        <v>5369</v>
      </c>
      <c r="J2212">
        <v>38</v>
      </c>
      <c r="K2212" t="s">
        <v>84</v>
      </c>
      <c r="L2212" t="s">
        <v>85</v>
      </c>
      <c r="M2212" t="s">
        <v>86</v>
      </c>
      <c r="N2212">
        <v>3</v>
      </c>
      <c r="O2212" s="1">
        <v>44218.536481481482</v>
      </c>
      <c r="P2212" s="1">
        <v>44218.580081018517</v>
      </c>
      <c r="Q2212">
        <v>3240</v>
      </c>
      <c r="R2212">
        <v>527</v>
      </c>
      <c r="S2212" t="b">
        <v>0</v>
      </c>
      <c r="T2212" t="s">
        <v>87</v>
      </c>
      <c r="U2212" t="b">
        <v>0</v>
      </c>
      <c r="V2212" t="s">
        <v>242</v>
      </c>
      <c r="W2212" s="1">
        <v>44218.540358796294</v>
      </c>
      <c r="X2212">
        <v>328</v>
      </c>
      <c r="Y2212">
        <v>37</v>
      </c>
      <c r="Z2212">
        <v>0</v>
      </c>
      <c r="AA2212">
        <v>37</v>
      </c>
      <c r="AB2212">
        <v>0</v>
      </c>
      <c r="AC2212">
        <v>20</v>
      </c>
      <c r="AD2212">
        <v>1</v>
      </c>
      <c r="AE2212">
        <v>0</v>
      </c>
      <c r="AF2212">
        <v>0</v>
      </c>
      <c r="AG2212">
        <v>0</v>
      </c>
      <c r="AH2212" t="s">
        <v>128</v>
      </c>
      <c r="AI2212" s="1">
        <v>44218.571759259263</v>
      </c>
      <c r="AJ2212">
        <v>170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 t="s">
        <v>90</v>
      </c>
      <c r="AU2212" s="1">
        <v>44218.580081018517</v>
      </c>
      <c r="AV2212">
        <v>29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</row>
    <row r="2213" spans="1:57" x14ac:dyDescent="0.45">
      <c r="A2213" t="s">
        <v>5370</v>
      </c>
      <c r="B2213" t="s">
        <v>79</v>
      </c>
      <c r="C2213" t="s">
        <v>5371</v>
      </c>
      <c r="D2213" t="s">
        <v>81</v>
      </c>
      <c r="E2213" s="2" t="str">
        <f>HYPERLINK("capsilon://?command=openfolder&amp;siteaddress=FAM.docvelocity-na8.net&amp;folderid=FXC90A91BE-A607-BC7F-A457-AF4DFC4D5B0B","FX20125505")</f>
        <v>FX20125505</v>
      </c>
      <c r="F2213" t="s">
        <v>19</v>
      </c>
      <c r="G2213" t="s">
        <v>19</v>
      </c>
      <c r="H2213" t="s">
        <v>82</v>
      </c>
      <c r="I2213" t="s">
        <v>5372</v>
      </c>
      <c r="J2213">
        <v>55</v>
      </c>
      <c r="K2213" t="s">
        <v>84</v>
      </c>
      <c r="L2213" t="s">
        <v>85</v>
      </c>
      <c r="M2213" t="s">
        <v>86</v>
      </c>
      <c r="N2213">
        <v>3</v>
      </c>
      <c r="O2213" s="1">
        <v>44218.547905092593</v>
      </c>
      <c r="P2213" s="1">
        <v>44218.580567129633</v>
      </c>
      <c r="Q2213">
        <v>2360</v>
      </c>
      <c r="R2213">
        <v>462</v>
      </c>
      <c r="S2213" t="b">
        <v>0</v>
      </c>
      <c r="T2213" t="s">
        <v>87</v>
      </c>
      <c r="U2213" t="b">
        <v>0</v>
      </c>
      <c r="V2213" t="s">
        <v>255</v>
      </c>
      <c r="W2213" s="1">
        <v>44218.551261574074</v>
      </c>
      <c r="X2213">
        <v>286</v>
      </c>
      <c r="Y2213">
        <v>54</v>
      </c>
      <c r="Z2213">
        <v>0</v>
      </c>
      <c r="AA2213">
        <v>54</v>
      </c>
      <c r="AB2213">
        <v>0</v>
      </c>
      <c r="AC2213">
        <v>32</v>
      </c>
      <c r="AD2213">
        <v>1</v>
      </c>
      <c r="AE2213">
        <v>0</v>
      </c>
      <c r="AF2213">
        <v>0</v>
      </c>
      <c r="AG2213">
        <v>0</v>
      </c>
      <c r="AH2213" t="s">
        <v>128</v>
      </c>
      <c r="AI2213" s="1">
        <v>44218.573321759257</v>
      </c>
      <c r="AJ2213">
        <v>134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S2213">
        <v>0</v>
      </c>
      <c r="AT2213" t="s">
        <v>90</v>
      </c>
      <c r="AU2213" s="1">
        <v>44218.580567129633</v>
      </c>
      <c r="AV2213">
        <v>42</v>
      </c>
      <c r="AW2213">
        <v>1</v>
      </c>
      <c r="AX2213">
        <v>0</v>
      </c>
      <c r="AY2213">
        <v>1</v>
      </c>
      <c r="AZ2213">
        <v>0</v>
      </c>
      <c r="BA2213">
        <v>1</v>
      </c>
      <c r="BB2213">
        <v>0</v>
      </c>
      <c r="BC2213">
        <v>0</v>
      </c>
      <c r="BD2213">
        <v>0</v>
      </c>
      <c r="BE2213">
        <v>0</v>
      </c>
    </row>
    <row r="2214" spans="1:57" x14ac:dyDescent="0.45">
      <c r="A2214" t="s">
        <v>5373</v>
      </c>
      <c r="B2214" t="s">
        <v>79</v>
      </c>
      <c r="C2214" t="s">
        <v>5371</v>
      </c>
      <c r="D2214" t="s">
        <v>81</v>
      </c>
      <c r="E2214" s="2" t="str">
        <f>HYPERLINK("capsilon://?command=openfolder&amp;siteaddress=FAM.docvelocity-na8.net&amp;folderid=FXC90A91BE-A607-BC7F-A457-AF4DFC4D5B0B","FX20125505")</f>
        <v>FX20125505</v>
      </c>
      <c r="F2214" t="s">
        <v>19</v>
      </c>
      <c r="G2214" t="s">
        <v>19</v>
      </c>
      <c r="H2214" t="s">
        <v>82</v>
      </c>
      <c r="I2214" t="s">
        <v>5374</v>
      </c>
      <c r="J2214">
        <v>47</v>
      </c>
      <c r="K2214" t="s">
        <v>84</v>
      </c>
      <c r="L2214" t="s">
        <v>85</v>
      </c>
      <c r="M2214" t="s">
        <v>86</v>
      </c>
      <c r="N2214">
        <v>3</v>
      </c>
      <c r="O2214" s="1">
        <v>44218.548182870371</v>
      </c>
      <c r="P2214" s="1">
        <v>44218.580694444441</v>
      </c>
      <c r="Q2214">
        <v>2054</v>
      </c>
      <c r="R2214">
        <v>755</v>
      </c>
      <c r="S2214" t="b">
        <v>0</v>
      </c>
      <c r="T2214" t="s">
        <v>87</v>
      </c>
      <c r="U2214" t="b">
        <v>0</v>
      </c>
      <c r="V2214" t="s">
        <v>343</v>
      </c>
      <c r="W2214" s="1">
        <v>44218.556342592594</v>
      </c>
      <c r="X2214">
        <v>660</v>
      </c>
      <c r="Y2214">
        <v>49</v>
      </c>
      <c r="Z2214">
        <v>0</v>
      </c>
      <c r="AA2214">
        <v>49</v>
      </c>
      <c r="AB2214">
        <v>0</v>
      </c>
      <c r="AC2214">
        <v>32</v>
      </c>
      <c r="AD2214">
        <v>-2</v>
      </c>
      <c r="AE2214">
        <v>0</v>
      </c>
      <c r="AF2214">
        <v>0</v>
      </c>
      <c r="AG2214">
        <v>0</v>
      </c>
      <c r="AH2214" t="s">
        <v>267</v>
      </c>
      <c r="AI2214" s="1">
        <v>44218.57304398148</v>
      </c>
      <c r="AJ2214">
        <v>84</v>
      </c>
      <c r="AK2214">
        <v>3</v>
      </c>
      <c r="AL2214">
        <v>0</v>
      </c>
      <c r="AM2214">
        <v>3</v>
      </c>
      <c r="AN2214">
        <v>0</v>
      </c>
      <c r="AO2214">
        <v>2</v>
      </c>
      <c r="AP2214">
        <v>-5</v>
      </c>
      <c r="AQ2214">
        <v>0</v>
      </c>
      <c r="AR2214">
        <v>0</v>
      </c>
      <c r="AS2214">
        <v>0</v>
      </c>
      <c r="AT2214" t="s">
        <v>90</v>
      </c>
      <c r="AU2214" s="1">
        <v>44218.580694444441</v>
      </c>
      <c r="AV2214">
        <v>11</v>
      </c>
      <c r="AW2214">
        <v>1</v>
      </c>
      <c r="AX2214">
        <v>0</v>
      </c>
      <c r="AY2214">
        <v>1</v>
      </c>
      <c r="AZ2214">
        <v>0</v>
      </c>
      <c r="BA2214">
        <v>1</v>
      </c>
      <c r="BB2214">
        <v>-6</v>
      </c>
      <c r="BC2214">
        <v>0</v>
      </c>
      <c r="BD2214">
        <v>0</v>
      </c>
      <c r="BE2214">
        <v>0</v>
      </c>
    </row>
    <row r="2215" spans="1:57" x14ac:dyDescent="0.45">
      <c r="A2215" t="s">
        <v>5375</v>
      </c>
      <c r="B2215" t="s">
        <v>79</v>
      </c>
      <c r="C2215" t="s">
        <v>5371</v>
      </c>
      <c r="D2215" t="s">
        <v>81</v>
      </c>
      <c r="E2215" s="2" t="str">
        <f>HYPERLINK("capsilon://?command=openfolder&amp;siteaddress=FAM.docvelocity-na8.net&amp;folderid=FXC90A91BE-A607-BC7F-A457-AF4DFC4D5B0B","FX20125505")</f>
        <v>FX20125505</v>
      </c>
      <c r="F2215" t="s">
        <v>19</v>
      </c>
      <c r="G2215" t="s">
        <v>19</v>
      </c>
      <c r="H2215" t="s">
        <v>82</v>
      </c>
      <c r="I2215" t="s">
        <v>5376</v>
      </c>
      <c r="J2215">
        <v>58</v>
      </c>
      <c r="K2215" t="s">
        <v>84</v>
      </c>
      <c r="L2215" t="s">
        <v>85</v>
      </c>
      <c r="M2215" t="s">
        <v>86</v>
      </c>
      <c r="N2215">
        <v>3</v>
      </c>
      <c r="O2215" s="1">
        <v>44218.548726851855</v>
      </c>
      <c r="P2215" s="1">
        <v>44218.580833333333</v>
      </c>
      <c r="Q2215">
        <v>2238</v>
      </c>
      <c r="R2215">
        <v>536</v>
      </c>
      <c r="S2215" t="b">
        <v>0</v>
      </c>
      <c r="T2215" t="s">
        <v>87</v>
      </c>
      <c r="U2215" t="b">
        <v>0</v>
      </c>
      <c r="V2215" t="s">
        <v>242</v>
      </c>
      <c r="W2215" s="1">
        <v>44218.554571759261</v>
      </c>
      <c r="X2215">
        <v>434</v>
      </c>
      <c r="Y2215">
        <v>54</v>
      </c>
      <c r="Z2215">
        <v>0</v>
      </c>
      <c r="AA2215">
        <v>54</v>
      </c>
      <c r="AB2215">
        <v>0</v>
      </c>
      <c r="AC2215">
        <v>27</v>
      </c>
      <c r="AD2215">
        <v>4</v>
      </c>
      <c r="AE2215">
        <v>0</v>
      </c>
      <c r="AF2215">
        <v>0</v>
      </c>
      <c r="AG2215">
        <v>0</v>
      </c>
      <c r="AH2215" t="s">
        <v>267</v>
      </c>
      <c r="AI2215" s="1">
        <v>44218.574097222219</v>
      </c>
      <c r="AJ2215">
        <v>91</v>
      </c>
      <c r="AK2215">
        <v>3</v>
      </c>
      <c r="AL2215">
        <v>0</v>
      </c>
      <c r="AM2215">
        <v>3</v>
      </c>
      <c r="AN2215">
        <v>0</v>
      </c>
      <c r="AO2215">
        <v>2</v>
      </c>
      <c r="AP2215">
        <v>1</v>
      </c>
      <c r="AQ2215">
        <v>0</v>
      </c>
      <c r="AR2215">
        <v>0</v>
      </c>
      <c r="AS2215">
        <v>0</v>
      </c>
      <c r="AT2215" t="s">
        <v>90</v>
      </c>
      <c r="AU2215" s="1">
        <v>44218.580833333333</v>
      </c>
      <c r="AV2215">
        <v>11</v>
      </c>
      <c r="AW2215">
        <v>1</v>
      </c>
      <c r="AX2215">
        <v>0</v>
      </c>
      <c r="AY2215">
        <v>1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</row>
    <row r="2216" spans="1:57" x14ac:dyDescent="0.45">
      <c r="A2216" t="s">
        <v>5377</v>
      </c>
      <c r="B2216" t="s">
        <v>79</v>
      </c>
      <c r="C2216" t="s">
        <v>5371</v>
      </c>
      <c r="D2216" t="s">
        <v>81</v>
      </c>
      <c r="E2216" s="2" t="str">
        <f>HYPERLINK("capsilon://?command=openfolder&amp;siteaddress=FAM.docvelocity-na8.net&amp;folderid=FXC90A91BE-A607-BC7F-A457-AF4DFC4D5B0B","FX20125505")</f>
        <v>FX20125505</v>
      </c>
      <c r="F2216" t="s">
        <v>19</v>
      </c>
      <c r="G2216" t="s">
        <v>19</v>
      </c>
      <c r="H2216" t="s">
        <v>82</v>
      </c>
      <c r="I2216" t="s">
        <v>5378</v>
      </c>
      <c r="J2216">
        <v>53</v>
      </c>
      <c r="K2216" t="s">
        <v>84</v>
      </c>
      <c r="L2216" t="s">
        <v>85</v>
      </c>
      <c r="M2216" t="s">
        <v>86</v>
      </c>
      <c r="N2216">
        <v>3</v>
      </c>
      <c r="O2216" s="1">
        <v>44218.549131944441</v>
      </c>
      <c r="P2216" s="1">
        <v>44218.580972222226</v>
      </c>
      <c r="Q2216">
        <v>1733</v>
      </c>
      <c r="R2216">
        <v>1018</v>
      </c>
      <c r="S2216" t="b">
        <v>0</v>
      </c>
      <c r="T2216" t="s">
        <v>87</v>
      </c>
      <c r="U2216" t="b">
        <v>0</v>
      </c>
      <c r="V2216" t="s">
        <v>179</v>
      </c>
      <c r="W2216" s="1">
        <v>44218.560682870368</v>
      </c>
      <c r="X2216">
        <v>827</v>
      </c>
      <c r="Y2216">
        <v>49</v>
      </c>
      <c r="Z2216">
        <v>0</v>
      </c>
      <c r="AA2216">
        <v>49</v>
      </c>
      <c r="AB2216">
        <v>0</v>
      </c>
      <c r="AC2216">
        <v>36</v>
      </c>
      <c r="AD2216">
        <v>4</v>
      </c>
      <c r="AE2216">
        <v>0</v>
      </c>
      <c r="AF2216">
        <v>0</v>
      </c>
      <c r="AG2216">
        <v>0</v>
      </c>
      <c r="AH2216" t="s">
        <v>128</v>
      </c>
      <c r="AI2216" s="1">
        <v>44218.575416666667</v>
      </c>
      <c r="AJ2216">
        <v>180</v>
      </c>
      <c r="AK2216">
        <v>2</v>
      </c>
      <c r="AL2216">
        <v>0</v>
      </c>
      <c r="AM2216">
        <v>2</v>
      </c>
      <c r="AN2216">
        <v>0</v>
      </c>
      <c r="AO2216">
        <v>2</v>
      </c>
      <c r="AP2216">
        <v>2</v>
      </c>
      <c r="AQ2216">
        <v>0</v>
      </c>
      <c r="AR2216">
        <v>0</v>
      </c>
      <c r="AS2216">
        <v>0</v>
      </c>
      <c r="AT2216" t="s">
        <v>90</v>
      </c>
      <c r="AU2216" s="1">
        <v>44218.580972222226</v>
      </c>
      <c r="AV2216">
        <v>11</v>
      </c>
      <c r="AW2216">
        <v>1</v>
      </c>
      <c r="AX2216">
        <v>0</v>
      </c>
      <c r="AY2216">
        <v>1</v>
      </c>
      <c r="AZ2216">
        <v>0</v>
      </c>
      <c r="BA2216">
        <v>1</v>
      </c>
      <c r="BB2216">
        <v>1</v>
      </c>
      <c r="BC2216">
        <v>0</v>
      </c>
      <c r="BD2216">
        <v>0</v>
      </c>
      <c r="BE2216">
        <v>0</v>
      </c>
    </row>
    <row r="2217" spans="1:57" x14ac:dyDescent="0.45">
      <c r="A2217" t="s">
        <v>5379</v>
      </c>
      <c r="B2217" t="s">
        <v>79</v>
      </c>
      <c r="C2217" t="s">
        <v>5380</v>
      </c>
      <c r="D2217" t="s">
        <v>81</v>
      </c>
      <c r="E2217" s="2" t="str">
        <f>HYPERLINK("capsilon://?command=openfolder&amp;siteaddress=FAM.docvelocity-na8.net&amp;folderid=FXC4E94AC7-EE66-9E3A-8746-6AAA12F43DC0","FX210113798")</f>
        <v>FX210113798</v>
      </c>
      <c r="F2217" t="s">
        <v>19</v>
      </c>
      <c r="G2217" t="s">
        <v>19</v>
      </c>
      <c r="H2217" t="s">
        <v>82</v>
      </c>
      <c r="I2217" t="s">
        <v>5381</v>
      </c>
      <c r="J2217">
        <v>270</v>
      </c>
      <c r="K2217" t="s">
        <v>84</v>
      </c>
      <c r="L2217" t="s">
        <v>85</v>
      </c>
      <c r="M2217" t="s">
        <v>86</v>
      </c>
      <c r="N2217">
        <v>3</v>
      </c>
      <c r="O2217" s="1">
        <v>44218.552673611113</v>
      </c>
      <c r="P2217" s="1">
        <v>44218.58148148148</v>
      </c>
      <c r="Q2217">
        <v>542</v>
      </c>
      <c r="R2217">
        <v>1947</v>
      </c>
      <c r="S2217" t="b">
        <v>0</v>
      </c>
      <c r="T2217" t="s">
        <v>87</v>
      </c>
      <c r="U2217" t="b">
        <v>0</v>
      </c>
      <c r="V2217" t="s">
        <v>168</v>
      </c>
      <c r="W2217" s="1">
        <v>44218.570381944446</v>
      </c>
      <c r="X2217">
        <v>1528</v>
      </c>
      <c r="Y2217">
        <v>163</v>
      </c>
      <c r="Z2217">
        <v>0</v>
      </c>
      <c r="AA2217">
        <v>163</v>
      </c>
      <c r="AB2217">
        <v>0</v>
      </c>
      <c r="AC2217">
        <v>51</v>
      </c>
      <c r="AD2217">
        <v>107</v>
      </c>
      <c r="AE2217">
        <v>0</v>
      </c>
      <c r="AF2217">
        <v>0</v>
      </c>
      <c r="AG2217">
        <v>0</v>
      </c>
      <c r="AH2217" t="s">
        <v>267</v>
      </c>
      <c r="AI2217" s="1">
        <v>44218.578460648147</v>
      </c>
      <c r="AJ2217">
        <v>376</v>
      </c>
      <c r="AK2217">
        <v>2</v>
      </c>
      <c r="AL2217">
        <v>0</v>
      </c>
      <c r="AM2217">
        <v>2</v>
      </c>
      <c r="AN2217">
        <v>0</v>
      </c>
      <c r="AO2217">
        <v>1</v>
      </c>
      <c r="AP2217">
        <v>105</v>
      </c>
      <c r="AQ2217">
        <v>0</v>
      </c>
      <c r="AR2217">
        <v>0</v>
      </c>
      <c r="AS2217">
        <v>0</v>
      </c>
      <c r="AT2217" t="s">
        <v>90</v>
      </c>
      <c r="AU2217" s="1">
        <v>44218.58148148148</v>
      </c>
      <c r="AV2217">
        <v>43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105</v>
      </c>
      <c r="BC2217">
        <v>0</v>
      </c>
      <c r="BD2217">
        <v>0</v>
      </c>
      <c r="BE2217">
        <v>0</v>
      </c>
    </row>
    <row r="2218" spans="1:57" x14ac:dyDescent="0.45">
      <c r="A2218" t="s">
        <v>5382</v>
      </c>
      <c r="B2218" t="s">
        <v>79</v>
      </c>
      <c r="C2218" t="s">
        <v>5021</v>
      </c>
      <c r="D2218" t="s">
        <v>81</v>
      </c>
      <c r="E2218" s="2" t="str">
        <f>HYPERLINK("capsilon://?command=openfolder&amp;siteaddress=FAM.docvelocity-na8.net&amp;folderid=FX24CF20C8-728D-2D61-0D3A-346862CAA4E6","FX210111941")</f>
        <v>FX210111941</v>
      </c>
      <c r="F2218" t="s">
        <v>19</v>
      </c>
      <c r="G2218" t="s">
        <v>19</v>
      </c>
      <c r="H2218" t="s">
        <v>82</v>
      </c>
      <c r="I2218" t="s">
        <v>5383</v>
      </c>
      <c r="J2218">
        <v>127</v>
      </c>
      <c r="K2218" t="s">
        <v>84</v>
      </c>
      <c r="L2218" t="s">
        <v>85</v>
      </c>
      <c r="M2218" t="s">
        <v>86</v>
      </c>
      <c r="N2218">
        <v>3</v>
      </c>
      <c r="O2218" s="1">
        <v>44218.553981481484</v>
      </c>
      <c r="P2218" s="1">
        <v>44218.582673611112</v>
      </c>
      <c r="Q2218">
        <v>1705</v>
      </c>
      <c r="R2218">
        <v>774</v>
      </c>
      <c r="S2218" t="b">
        <v>0</v>
      </c>
      <c r="T2218" t="s">
        <v>87</v>
      </c>
      <c r="U2218" t="b">
        <v>0</v>
      </c>
      <c r="V2218" t="s">
        <v>255</v>
      </c>
      <c r="W2218" s="1">
        <v>44218.559849537036</v>
      </c>
      <c r="X2218">
        <v>467</v>
      </c>
      <c r="Y2218">
        <v>102</v>
      </c>
      <c r="Z2218">
        <v>0</v>
      </c>
      <c r="AA2218">
        <v>102</v>
      </c>
      <c r="AB2218">
        <v>0</v>
      </c>
      <c r="AC2218">
        <v>48</v>
      </c>
      <c r="AD2218">
        <v>25</v>
      </c>
      <c r="AE2218">
        <v>0</v>
      </c>
      <c r="AF2218">
        <v>0</v>
      </c>
      <c r="AG2218">
        <v>0</v>
      </c>
      <c r="AH2218" t="s">
        <v>128</v>
      </c>
      <c r="AI2218" s="1">
        <v>44218.577789351853</v>
      </c>
      <c r="AJ2218">
        <v>204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25</v>
      </c>
      <c r="AQ2218">
        <v>0</v>
      </c>
      <c r="AR2218">
        <v>0</v>
      </c>
      <c r="AS2218">
        <v>0</v>
      </c>
      <c r="AT2218" t="s">
        <v>90</v>
      </c>
      <c r="AU2218" s="1">
        <v>44218.582673611112</v>
      </c>
      <c r="AV2218">
        <v>103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25</v>
      </c>
      <c r="BC2218">
        <v>0</v>
      </c>
      <c r="BD2218">
        <v>0</v>
      </c>
      <c r="BE2218">
        <v>0</v>
      </c>
    </row>
    <row r="2219" spans="1:57" x14ac:dyDescent="0.45">
      <c r="A2219" t="s">
        <v>5384</v>
      </c>
      <c r="B2219" t="s">
        <v>79</v>
      </c>
      <c r="C2219" t="s">
        <v>5021</v>
      </c>
      <c r="D2219" t="s">
        <v>81</v>
      </c>
      <c r="E2219" s="2" t="str">
        <f>HYPERLINK("capsilon://?command=openfolder&amp;siteaddress=FAM.docvelocity-na8.net&amp;folderid=FX24CF20C8-728D-2D61-0D3A-346862CAA4E6","FX210111941")</f>
        <v>FX210111941</v>
      </c>
      <c r="F2219" t="s">
        <v>19</v>
      </c>
      <c r="G2219" t="s">
        <v>19</v>
      </c>
      <c r="H2219" t="s">
        <v>82</v>
      </c>
      <c r="I2219" t="s">
        <v>5385</v>
      </c>
      <c r="J2219">
        <v>87</v>
      </c>
      <c r="K2219" t="s">
        <v>84</v>
      </c>
      <c r="L2219" t="s">
        <v>85</v>
      </c>
      <c r="M2219" t="s">
        <v>86</v>
      </c>
      <c r="N2219">
        <v>3</v>
      </c>
      <c r="O2219" s="1">
        <v>44218.554930555554</v>
      </c>
      <c r="P2219" s="1">
        <v>44218.582743055558</v>
      </c>
      <c r="Q2219">
        <v>1936</v>
      </c>
      <c r="R2219">
        <v>467</v>
      </c>
      <c r="S2219" t="b">
        <v>0</v>
      </c>
      <c r="T2219" t="s">
        <v>87</v>
      </c>
      <c r="U2219" t="b">
        <v>0</v>
      </c>
      <c r="V2219" t="s">
        <v>242</v>
      </c>
      <c r="W2219" s="1">
        <v>44218.559363425928</v>
      </c>
      <c r="X2219">
        <v>378</v>
      </c>
      <c r="Y2219">
        <v>59</v>
      </c>
      <c r="Z2219">
        <v>0</v>
      </c>
      <c r="AA2219">
        <v>59</v>
      </c>
      <c r="AB2219">
        <v>0</v>
      </c>
      <c r="AC2219">
        <v>23</v>
      </c>
      <c r="AD2219">
        <v>28</v>
      </c>
      <c r="AE2219">
        <v>0</v>
      </c>
      <c r="AF2219">
        <v>0</v>
      </c>
      <c r="AG2219">
        <v>0</v>
      </c>
      <c r="AH2219" t="s">
        <v>267</v>
      </c>
      <c r="AI2219" s="1">
        <v>44218.579432870371</v>
      </c>
      <c r="AJ2219">
        <v>84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28</v>
      </c>
      <c r="AQ2219">
        <v>0</v>
      </c>
      <c r="AR2219">
        <v>0</v>
      </c>
      <c r="AS2219">
        <v>0</v>
      </c>
      <c r="AT2219" t="s">
        <v>90</v>
      </c>
      <c r="AU2219" s="1">
        <v>44218.582743055558</v>
      </c>
      <c r="AV2219">
        <v>5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28</v>
      </c>
      <c r="BC2219">
        <v>0</v>
      </c>
      <c r="BD2219">
        <v>0</v>
      </c>
      <c r="BE2219">
        <v>0</v>
      </c>
    </row>
    <row r="2220" spans="1:57" x14ac:dyDescent="0.45">
      <c r="A2220" t="s">
        <v>5386</v>
      </c>
      <c r="B2220" t="s">
        <v>79</v>
      </c>
      <c r="C2220" t="s">
        <v>5021</v>
      </c>
      <c r="D2220" t="s">
        <v>81</v>
      </c>
      <c r="E2220" s="2" t="str">
        <f>HYPERLINK("capsilon://?command=openfolder&amp;siteaddress=FAM.docvelocity-na8.net&amp;folderid=FX24CF20C8-728D-2D61-0D3A-346862CAA4E6","FX210111941")</f>
        <v>FX210111941</v>
      </c>
      <c r="F2220" t="s">
        <v>19</v>
      </c>
      <c r="G2220" t="s">
        <v>19</v>
      </c>
      <c r="H2220" t="s">
        <v>82</v>
      </c>
      <c r="I2220" t="s">
        <v>5387</v>
      </c>
      <c r="J2220">
        <v>121</v>
      </c>
      <c r="K2220" t="s">
        <v>84</v>
      </c>
      <c r="L2220" t="s">
        <v>85</v>
      </c>
      <c r="M2220" t="s">
        <v>86</v>
      </c>
      <c r="N2220">
        <v>3</v>
      </c>
      <c r="O2220" s="1">
        <v>44218.555671296293</v>
      </c>
      <c r="P2220" s="1">
        <v>44218.582800925928</v>
      </c>
      <c r="Q2220">
        <v>1713</v>
      </c>
      <c r="R2220">
        <v>631</v>
      </c>
      <c r="S2220" t="b">
        <v>0</v>
      </c>
      <c r="T2220" t="s">
        <v>87</v>
      </c>
      <c r="U2220" t="b">
        <v>0</v>
      </c>
      <c r="V2220" t="s">
        <v>343</v>
      </c>
      <c r="W2220" s="1">
        <v>44218.5621875</v>
      </c>
      <c r="X2220">
        <v>504</v>
      </c>
      <c r="Y2220">
        <v>102</v>
      </c>
      <c r="Z2220">
        <v>0</v>
      </c>
      <c r="AA2220">
        <v>102</v>
      </c>
      <c r="AB2220">
        <v>0</v>
      </c>
      <c r="AC2220">
        <v>42</v>
      </c>
      <c r="AD2220">
        <v>19</v>
      </c>
      <c r="AE2220">
        <v>0</v>
      </c>
      <c r="AF2220">
        <v>0</v>
      </c>
      <c r="AG2220">
        <v>0</v>
      </c>
      <c r="AH2220" t="s">
        <v>267</v>
      </c>
      <c r="AI2220" s="1">
        <v>44218.580868055556</v>
      </c>
      <c r="AJ2220">
        <v>123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19</v>
      </c>
      <c r="AQ2220">
        <v>0</v>
      </c>
      <c r="AR2220">
        <v>0</v>
      </c>
      <c r="AS2220">
        <v>0</v>
      </c>
      <c r="AT2220" t="s">
        <v>90</v>
      </c>
      <c r="AU2220" s="1">
        <v>44218.582800925928</v>
      </c>
      <c r="AV2220">
        <v>4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19</v>
      </c>
      <c r="BC2220">
        <v>0</v>
      </c>
      <c r="BD2220">
        <v>0</v>
      </c>
      <c r="BE2220">
        <v>0</v>
      </c>
    </row>
    <row r="2221" spans="1:57" x14ac:dyDescent="0.45">
      <c r="A2221" t="s">
        <v>5388</v>
      </c>
      <c r="B2221" t="s">
        <v>79</v>
      </c>
      <c r="C2221" t="s">
        <v>5021</v>
      </c>
      <c r="D2221" t="s">
        <v>81</v>
      </c>
      <c r="E2221" s="2" t="str">
        <f>HYPERLINK("capsilon://?command=openfolder&amp;siteaddress=FAM.docvelocity-na8.net&amp;folderid=FX24CF20C8-728D-2D61-0D3A-346862CAA4E6","FX210111941")</f>
        <v>FX210111941</v>
      </c>
      <c r="F2221" t="s">
        <v>19</v>
      </c>
      <c r="G2221" t="s">
        <v>19</v>
      </c>
      <c r="H2221" t="s">
        <v>82</v>
      </c>
      <c r="I2221" t="s">
        <v>5389</v>
      </c>
      <c r="J2221">
        <v>82</v>
      </c>
      <c r="K2221" t="s">
        <v>84</v>
      </c>
      <c r="L2221" t="s">
        <v>85</v>
      </c>
      <c r="M2221" t="s">
        <v>86</v>
      </c>
      <c r="N2221">
        <v>3</v>
      </c>
      <c r="O2221" s="1">
        <v>44218.556481481479</v>
      </c>
      <c r="P2221" s="1">
        <v>44218.58284722222</v>
      </c>
      <c r="Q2221">
        <v>846</v>
      </c>
      <c r="R2221">
        <v>1432</v>
      </c>
      <c r="S2221" t="b">
        <v>0</v>
      </c>
      <c r="T2221" t="s">
        <v>87</v>
      </c>
      <c r="U2221" t="b">
        <v>0</v>
      </c>
      <c r="V2221" t="s">
        <v>160</v>
      </c>
      <c r="W2221" s="1">
        <v>44218.573634259257</v>
      </c>
      <c r="X2221">
        <v>1364</v>
      </c>
      <c r="Y2221">
        <v>51</v>
      </c>
      <c r="Z2221">
        <v>0</v>
      </c>
      <c r="AA2221">
        <v>51</v>
      </c>
      <c r="AB2221">
        <v>0</v>
      </c>
      <c r="AC2221">
        <v>47</v>
      </c>
      <c r="AD2221">
        <v>31</v>
      </c>
      <c r="AE2221">
        <v>0</v>
      </c>
      <c r="AF2221">
        <v>0</v>
      </c>
      <c r="AG2221">
        <v>0</v>
      </c>
      <c r="AH2221" t="s">
        <v>267</v>
      </c>
      <c r="AI2221" s="1">
        <v>44218.581631944442</v>
      </c>
      <c r="AJ2221">
        <v>65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31</v>
      </c>
      <c r="AQ2221">
        <v>0</v>
      </c>
      <c r="AR2221">
        <v>0</v>
      </c>
      <c r="AS2221">
        <v>0</v>
      </c>
      <c r="AT2221" t="s">
        <v>90</v>
      </c>
      <c r="AU2221" s="1">
        <v>44218.58284722222</v>
      </c>
      <c r="AV2221">
        <v>3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31</v>
      </c>
      <c r="BC2221">
        <v>0</v>
      </c>
      <c r="BD2221">
        <v>0</v>
      </c>
      <c r="BE2221">
        <v>0</v>
      </c>
    </row>
    <row r="2222" spans="1:57" hidden="1" x14ac:dyDescent="0.45">
      <c r="A2222" t="s">
        <v>5390</v>
      </c>
      <c r="B2222" t="s">
        <v>79</v>
      </c>
      <c r="C2222" t="s">
        <v>5391</v>
      </c>
      <c r="D2222" t="s">
        <v>81</v>
      </c>
      <c r="E2222" s="2" t="str">
        <f>HYPERLINK("capsilon://?command=openfolder&amp;siteaddress=FAM.docvelocity-na8.net&amp;folderid=FX34F42E65-C3E2-1546-E558-32AB92AF86F4","FX20121103")</f>
        <v>FX20121103</v>
      </c>
      <c r="F2222" t="s">
        <v>19</v>
      </c>
      <c r="G2222" t="s">
        <v>19</v>
      </c>
      <c r="H2222" t="s">
        <v>82</v>
      </c>
      <c r="I2222" t="s">
        <v>5392</v>
      </c>
      <c r="J2222">
        <v>158</v>
      </c>
      <c r="K2222" t="s">
        <v>84</v>
      </c>
      <c r="L2222" t="s">
        <v>85</v>
      </c>
      <c r="M2222" t="s">
        <v>86</v>
      </c>
      <c r="N2222">
        <v>1</v>
      </c>
      <c r="O2222" s="1">
        <v>44218.560127314813</v>
      </c>
      <c r="P2222" s="1">
        <v>44218.562604166669</v>
      </c>
      <c r="Q2222">
        <v>1</v>
      </c>
      <c r="R2222">
        <v>213</v>
      </c>
      <c r="S2222" t="b">
        <v>0</v>
      </c>
      <c r="T2222" t="s">
        <v>87</v>
      </c>
      <c r="U2222" t="b">
        <v>0</v>
      </c>
      <c r="V2222" t="s">
        <v>171</v>
      </c>
      <c r="W2222" s="1">
        <v>44218.562604166669</v>
      </c>
      <c r="X2222">
        <v>213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158</v>
      </c>
      <c r="AE2222">
        <v>150</v>
      </c>
      <c r="AF2222">
        <v>0</v>
      </c>
      <c r="AG2222">
        <v>4</v>
      </c>
      <c r="AH2222" t="s">
        <v>87</v>
      </c>
      <c r="AI2222" t="s">
        <v>87</v>
      </c>
      <c r="AJ2222" t="s">
        <v>87</v>
      </c>
      <c r="AK2222" t="s">
        <v>87</v>
      </c>
      <c r="AL2222" t="s">
        <v>87</v>
      </c>
      <c r="AM2222" t="s">
        <v>87</v>
      </c>
      <c r="AN2222" t="s">
        <v>87</v>
      </c>
      <c r="AO2222" t="s">
        <v>87</v>
      </c>
      <c r="AP2222" t="s">
        <v>87</v>
      </c>
      <c r="AQ2222" t="s">
        <v>87</v>
      </c>
      <c r="AR2222" t="s">
        <v>87</v>
      </c>
      <c r="AS2222" t="s">
        <v>87</v>
      </c>
      <c r="AT2222" t="s">
        <v>87</v>
      </c>
      <c r="AU2222" t="s">
        <v>87</v>
      </c>
      <c r="AV2222" t="s">
        <v>87</v>
      </c>
      <c r="AW2222" t="s">
        <v>87</v>
      </c>
      <c r="AX2222" t="s">
        <v>87</v>
      </c>
      <c r="AY2222" t="s">
        <v>87</v>
      </c>
      <c r="AZ2222" t="s">
        <v>87</v>
      </c>
      <c r="BA2222" t="s">
        <v>87</v>
      </c>
      <c r="BB2222" t="s">
        <v>87</v>
      </c>
      <c r="BC2222" t="s">
        <v>87</v>
      </c>
      <c r="BD2222" t="s">
        <v>87</v>
      </c>
      <c r="BE2222" t="s">
        <v>87</v>
      </c>
    </row>
    <row r="2223" spans="1:57" x14ac:dyDescent="0.45">
      <c r="A2223" t="s">
        <v>5393</v>
      </c>
      <c r="B2223" t="s">
        <v>79</v>
      </c>
      <c r="C2223" t="s">
        <v>193</v>
      </c>
      <c r="D2223" t="s">
        <v>81</v>
      </c>
      <c r="E2223" s="2" t="str">
        <f>HYPERLINK("capsilon://?command=openfolder&amp;siteaddress=FAM.docvelocity-na8.net&amp;folderid=FX97628894-3772-D745-AAED-F250C6C1944B","FX210110200")</f>
        <v>FX210110200</v>
      </c>
      <c r="F2223" t="s">
        <v>19</v>
      </c>
      <c r="G2223" t="s">
        <v>19</v>
      </c>
      <c r="H2223" t="s">
        <v>82</v>
      </c>
      <c r="I2223" t="s">
        <v>5394</v>
      </c>
      <c r="J2223">
        <v>66</v>
      </c>
      <c r="K2223" t="s">
        <v>84</v>
      </c>
      <c r="L2223" t="s">
        <v>85</v>
      </c>
      <c r="M2223" t="s">
        <v>86</v>
      </c>
      <c r="N2223">
        <v>3</v>
      </c>
      <c r="O2223" s="1">
        <v>44218.560879629629</v>
      </c>
      <c r="P2223" s="1">
        <v>44218.582881944443</v>
      </c>
      <c r="Q2223">
        <v>1592</v>
      </c>
      <c r="R2223">
        <v>309</v>
      </c>
      <c r="S2223" t="b">
        <v>0</v>
      </c>
      <c r="T2223" t="s">
        <v>87</v>
      </c>
      <c r="U2223" t="b">
        <v>0</v>
      </c>
      <c r="V2223" t="s">
        <v>146</v>
      </c>
      <c r="W2223" s="1">
        <v>44218.563437500001</v>
      </c>
      <c r="X2223">
        <v>220</v>
      </c>
      <c r="Y2223">
        <v>2</v>
      </c>
      <c r="Z2223">
        <v>0</v>
      </c>
      <c r="AA2223">
        <v>2</v>
      </c>
      <c r="AB2223">
        <v>52</v>
      </c>
      <c r="AC2223">
        <v>0</v>
      </c>
      <c r="AD2223">
        <v>64</v>
      </c>
      <c r="AE2223">
        <v>0</v>
      </c>
      <c r="AF2223">
        <v>0</v>
      </c>
      <c r="AG2223">
        <v>0</v>
      </c>
      <c r="AH2223" t="s">
        <v>267</v>
      </c>
      <c r="AI2223" s="1">
        <v>44218.582638888889</v>
      </c>
      <c r="AJ2223">
        <v>86</v>
      </c>
      <c r="AK2223">
        <v>0</v>
      </c>
      <c r="AL2223">
        <v>0</v>
      </c>
      <c r="AM2223">
        <v>0</v>
      </c>
      <c r="AN2223">
        <v>52</v>
      </c>
      <c r="AO2223">
        <v>0</v>
      </c>
      <c r="AP2223">
        <v>64</v>
      </c>
      <c r="AQ2223">
        <v>0</v>
      </c>
      <c r="AR2223">
        <v>0</v>
      </c>
      <c r="AS2223">
        <v>0</v>
      </c>
      <c r="AT2223" t="s">
        <v>90</v>
      </c>
      <c r="AU2223" s="1">
        <v>44218.582881944443</v>
      </c>
      <c r="AV2223">
        <v>3</v>
      </c>
      <c r="AW2223">
        <v>0</v>
      </c>
      <c r="AX2223">
        <v>0</v>
      </c>
      <c r="AY2223">
        <v>0</v>
      </c>
      <c r="AZ2223">
        <v>52</v>
      </c>
      <c r="BA2223">
        <v>0</v>
      </c>
      <c r="BB2223">
        <v>64</v>
      </c>
      <c r="BC2223">
        <v>0</v>
      </c>
      <c r="BD2223">
        <v>0</v>
      </c>
      <c r="BE2223">
        <v>0</v>
      </c>
    </row>
    <row r="2224" spans="1:57" x14ac:dyDescent="0.45">
      <c r="A2224" t="s">
        <v>5395</v>
      </c>
      <c r="B2224" t="s">
        <v>79</v>
      </c>
      <c r="C2224" t="s">
        <v>5396</v>
      </c>
      <c r="D2224" t="s">
        <v>81</v>
      </c>
      <c r="E2224" s="2" t="str">
        <f>HYPERLINK("capsilon://?command=openfolder&amp;siteaddress=FAM.docvelocity-na8.net&amp;folderid=FXED4A6C1E-592F-D3AB-DC75-F6806DE8A913","FX210112355")</f>
        <v>FX210112355</v>
      </c>
      <c r="F2224" t="s">
        <v>19</v>
      </c>
      <c r="G2224" t="s">
        <v>19</v>
      </c>
      <c r="H2224" t="s">
        <v>82</v>
      </c>
      <c r="I2224" t="s">
        <v>5397</v>
      </c>
      <c r="J2224">
        <v>38</v>
      </c>
      <c r="K2224" t="s">
        <v>84</v>
      </c>
      <c r="L2224" t="s">
        <v>85</v>
      </c>
      <c r="M2224" t="s">
        <v>86</v>
      </c>
      <c r="N2224">
        <v>3</v>
      </c>
      <c r="O2224" s="1">
        <v>44218.562083333331</v>
      </c>
      <c r="P2224" s="1">
        <v>44218.619525462964</v>
      </c>
      <c r="Q2224">
        <v>4217</v>
      </c>
      <c r="R2224">
        <v>746</v>
      </c>
      <c r="S2224" t="b">
        <v>0</v>
      </c>
      <c r="T2224" t="s">
        <v>87</v>
      </c>
      <c r="U2224" t="b">
        <v>0</v>
      </c>
      <c r="V2224" t="s">
        <v>343</v>
      </c>
      <c r="W2224" s="1">
        <v>44218.569618055553</v>
      </c>
      <c r="X2224">
        <v>641</v>
      </c>
      <c r="Y2224">
        <v>37</v>
      </c>
      <c r="Z2224">
        <v>0</v>
      </c>
      <c r="AA2224">
        <v>37</v>
      </c>
      <c r="AB2224">
        <v>0</v>
      </c>
      <c r="AC2224">
        <v>23</v>
      </c>
      <c r="AD2224">
        <v>1</v>
      </c>
      <c r="AE2224">
        <v>0</v>
      </c>
      <c r="AF2224">
        <v>0</v>
      </c>
      <c r="AG2224">
        <v>0</v>
      </c>
      <c r="AH2224" t="s">
        <v>267</v>
      </c>
      <c r="AI2224" s="1">
        <v>44218.583796296298</v>
      </c>
      <c r="AJ2224">
        <v>99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 t="s">
        <v>90</v>
      </c>
      <c r="AU2224" s="1">
        <v>44218.619525462964</v>
      </c>
      <c r="AV2224">
        <v>6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1</v>
      </c>
      <c r="BC2224">
        <v>0</v>
      </c>
      <c r="BD2224">
        <v>0</v>
      </c>
      <c r="BE2224">
        <v>0</v>
      </c>
    </row>
    <row r="2225" spans="1:57" x14ac:dyDescent="0.45">
      <c r="A2225" t="s">
        <v>5398</v>
      </c>
      <c r="B2225" t="s">
        <v>79</v>
      </c>
      <c r="C2225" t="s">
        <v>5391</v>
      </c>
      <c r="D2225" t="s">
        <v>81</v>
      </c>
      <c r="E2225" s="2" t="str">
        <f>HYPERLINK("capsilon://?command=openfolder&amp;siteaddress=FAM.docvelocity-na8.net&amp;folderid=FX34F42E65-C3E2-1546-E558-32AB92AF86F4","FX20121103")</f>
        <v>FX20121103</v>
      </c>
      <c r="F2225" t="s">
        <v>19</v>
      </c>
      <c r="G2225" t="s">
        <v>19</v>
      </c>
      <c r="H2225" t="s">
        <v>82</v>
      </c>
      <c r="I2225" t="s">
        <v>5392</v>
      </c>
      <c r="J2225">
        <v>270</v>
      </c>
      <c r="K2225" t="s">
        <v>84</v>
      </c>
      <c r="L2225" t="s">
        <v>85</v>
      </c>
      <c r="M2225" t="s">
        <v>86</v>
      </c>
      <c r="N2225">
        <v>3</v>
      </c>
      <c r="O2225" s="1">
        <v>44218.564097222225</v>
      </c>
      <c r="P2225" s="1">
        <v>44218.619097222225</v>
      </c>
      <c r="Q2225">
        <v>1862</v>
      </c>
      <c r="R2225">
        <v>2890</v>
      </c>
      <c r="S2225" t="b">
        <v>0</v>
      </c>
      <c r="T2225" t="s">
        <v>87</v>
      </c>
      <c r="U2225" t="b">
        <v>1</v>
      </c>
      <c r="V2225" t="s">
        <v>171</v>
      </c>
      <c r="W2225" s="1">
        <v>44218.591493055559</v>
      </c>
      <c r="X2225">
        <v>2366</v>
      </c>
      <c r="Y2225">
        <v>236</v>
      </c>
      <c r="Z2225">
        <v>0</v>
      </c>
      <c r="AA2225">
        <v>236</v>
      </c>
      <c r="AB2225">
        <v>0</v>
      </c>
      <c r="AC2225">
        <v>92</v>
      </c>
      <c r="AD2225">
        <v>34</v>
      </c>
      <c r="AE2225">
        <v>0</v>
      </c>
      <c r="AF2225">
        <v>0</v>
      </c>
      <c r="AG2225">
        <v>0</v>
      </c>
      <c r="AH2225" t="s">
        <v>128</v>
      </c>
      <c r="AI2225" s="1">
        <v>44218.602418981478</v>
      </c>
      <c r="AJ2225">
        <v>494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34</v>
      </c>
      <c r="AQ2225">
        <v>0</v>
      </c>
      <c r="AR2225">
        <v>0</v>
      </c>
      <c r="AS2225">
        <v>0</v>
      </c>
      <c r="AT2225" t="s">
        <v>90</v>
      </c>
      <c r="AU2225" s="1">
        <v>44218.619097222225</v>
      </c>
      <c r="AV2225">
        <v>18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34</v>
      </c>
      <c r="BC2225">
        <v>0</v>
      </c>
      <c r="BD2225">
        <v>0</v>
      </c>
      <c r="BE2225">
        <v>0</v>
      </c>
    </row>
    <row r="2226" spans="1:57" x14ac:dyDescent="0.45">
      <c r="A2226" t="s">
        <v>5399</v>
      </c>
      <c r="B2226" t="s">
        <v>79</v>
      </c>
      <c r="C2226" t="s">
        <v>3925</v>
      </c>
      <c r="D2226" t="s">
        <v>81</v>
      </c>
      <c r="E2226" s="2" t="str">
        <f>HYPERLINK("capsilon://?command=openfolder&amp;siteaddress=FAM.docvelocity-na8.net&amp;folderid=FXAC1ED14C-1305-BD3E-0697-AFCD46D165A7","FX21019246")</f>
        <v>FX21019246</v>
      </c>
      <c r="F2226" t="s">
        <v>19</v>
      </c>
      <c r="G2226" t="s">
        <v>19</v>
      </c>
      <c r="H2226" t="s">
        <v>82</v>
      </c>
      <c r="I2226" t="s">
        <v>5400</v>
      </c>
      <c r="J2226">
        <v>66</v>
      </c>
      <c r="K2226" t="s">
        <v>84</v>
      </c>
      <c r="L2226" t="s">
        <v>85</v>
      </c>
      <c r="M2226" t="s">
        <v>86</v>
      </c>
      <c r="N2226">
        <v>3</v>
      </c>
      <c r="O2226" s="1">
        <v>44218.564409722225</v>
      </c>
      <c r="P2226" s="1">
        <v>44218.619606481479</v>
      </c>
      <c r="Q2226">
        <v>3776</v>
      </c>
      <c r="R2226">
        <v>993</v>
      </c>
      <c r="S2226" t="b">
        <v>0</v>
      </c>
      <c r="T2226" t="s">
        <v>87</v>
      </c>
      <c r="U2226" t="b">
        <v>0</v>
      </c>
      <c r="V2226" t="s">
        <v>146</v>
      </c>
      <c r="W2226" s="1">
        <v>44218.574745370373</v>
      </c>
      <c r="X2226">
        <v>892</v>
      </c>
      <c r="Y2226">
        <v>52</v>
      </c>
      <c r="Z2226">
        <v>0</v>
      </c>
      <c r="AA2226">
        <v>52</v>
      </c>
      <c r="AB2226">
        <v>0</v>
      </c>
      <c r="AC2226">
        <v>35</v>
      </c>
      <c r="AD2226">
        <v>14</v>
      </c>
      <c r="AE2226">
        <v>0</v>
      </c>
      <c r="AF2226">
        <v>0</v>
      </c>
      <c r="AG2226">
        <v>0</v>
      </c>
      <c r="AH2226" t="s">
        <v>267</v>
      </c>
      <c r="AI2226" s="1">
        <v>44218.584907407407</v>
      </c>
      <c r="AJ2226">
        <v>95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14</v>
      </c>
      <c r="AQ2226">
        <v>0</v>
      </c>
      <c r="AR2226">
        <v>0</v>
      </c>
      <c r="AS2226">
        <v>0</v>
      </c>
      <c r="AT2226" t="s">
        <v>90</v>
      </c>
      <c r="AU2226" s="1">
        <v>44218.619606481479</v>
      </c>
      <c r="AV2226">
        <v>6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14</v>
      </c>
      <c r="BC2226">
        <v>0</v>
      </c>
      <c r="BD2226">
        <v>0</v>
      </c>
      <c r="BE2226">
        <v>0</v>
      </c>
    </row>
    <row r="2227" spans="1:57" x14ac:dyDescent="0.45">
      <c r="A2227" t="s">
        <v>5401</v>
      </c>
      <c r="B2227" t="s">
        <v>79</v>
      </c>
      <c r="C2227" t="s">
        <v>5402</v>
      </c>
      <c r="D2227" t="s">
        <v>81</v>
      </c>
      <c r="E2227" s="2" t="str">
        <f>HYPERLINK("capsilon://?command=openfolder&amp;siteaddress=FAM.docvelocity-na8.net&amp;folderid=FX1740DD86-E7A0-C56E-B499-1FDCCE64FE7D","FX20121153")</f>
        <v>FX20121153</v>
      </c>
      <c r="F2227" t="s">
        <v>19</v>
      </c>
      <c r="G2227" t="s">
        <v>19</v>
      </c>
      <c r="H2227" t="s">
        <v>82</v>
      </c>
      <c r="I2227" t="s">
        <v>5403</v>
      </c>
      <c r="J2227">
        <v>31</v>
      </c>
      <c r="K2227" t="s">
        <v>84</v>
      </c>
      <c r="L2227" t="s">
        <v>85</v>
      </c>
      <c r="M2227" t="s">
        <v>86</v>
      </c>
      <c r="N2227">
        <v>3</v>
      </c>
      <c r="O2227" s="1">
        <v>44218.565034722225</v>
      </c>
      <c r="P2227" s="1">
        <v>44218.620081018518</v>
      </c>
      <c r="Q2227">
        <v>4188</v>
      </c>
      <c r="R2227">
        <v>568</v>
      </c>
      <c r="S2227" t="b">
        <v>0</v>
      </c>
      <c r="T2227" t="s">
        <v>87</v>
      </c>
      <c r="U2227" t="b">
        <v>0</v>
      </c>
      <c r="V2227" t="s">
        <v>242</v>
      </c>
      <c r="W2227" s="1">
        <v>44218.570289351854</v>
      </c>
      <c r="X2227">
        <v>447</v>
      </c>
      <c r="Y2227">
        <v>33</v>
      </c>
      <c r="Z2227">
        <v>0</v>
      </c>
      <c r="AA2227">
        <v>33</v>
      </c>
      <c r="AB2227">
        <v>0</v>
      </c>
      <c r="AC2227">
        <v>27</v>
      </c>
      <c r="AD2227">
        <v>-2</v>
      </c>
      <c r="AE2227">
        <v>0</v>
      </c>
      <c r="AF2227">
        <v>0</v>
      </c>
      <c r="AG2227">
        <v>0</v>
      </c>
      <c r="AH2227" t="s">
        <v>267</v>
      </c>
      <c r="AI2227" s="1">
        <v>44218.585856481484</v>
      </c>
      <c r="AJ2227">
        <v>81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-2</v>
      </c>
      <c r="AQ2227">
        <v>0</v>
      </c>
      <c r="AR2227">
        <v>0</v>
      </c>
      <c r="AS2227">
        <v>0</v>
      </c>
      <c r="AT2227" t="s">
        <v>90</v>
      </c>
      <c r="AU2227" s="1">
        <v>44218.620081018518</v>
      </c>
      <c r="AV2227">
        <v>40</v>
      </c>
      <c r="AW2227">
        <v>1</v>
      </c>
      <c r="AX2227">
        <v>0</v>
      </c>
      <c r="AY2227">
        <v>1</v>
      </c>
      <c r="AZ2227">
        <v>0</v>
      </c>
      <c r="BA2227">
        <v>1</v>
      </c>
      <c r="BB2227">
        <v>-3</v>
      </c>
      <c r="BC2227">
        <v>0</v>
      </c>
      <c r="BD2227">
        <v>0</v>
      </c>
      <c r="BE2227">
        <v>0</v>
      </c>
    </row>
    <row r="2228" spans="1:57" x14ac:dyDescent="0.45">
      <c r="A2228" t="s">
        <v>5404</v>
      </c>
      <c r="B2228" t="s">
        <v>79</v>
      </c>
      <c r="C2228" t="s">
        <v>5402</v>
      </c>
      <c r="D2228" t="s">
        <v>81</v>
      </c>
      <c r="E2228" s="2" t="str">
        <f>HYPERLINK("capsilon://?command=openfolder&amp;siteaddress=FAM.docvelocity-na8.net&amp;folderid=FX1740DD86-E7A0-C56E-B499-1FDCCE64FE7D","FX20121153")</f>
        <v>FX20121153</v>
      </c>
      <c r="F2228" t="s">
        <v>19</v>
      </c>
      <c r="G2228" t="s">
        <v>19</v>
      </c>
      <c r="H2228" t="s">
        <v>82</v>
      </c>
      <c r="I2228" t="s">
        <v>5405</v>
      </c>
      <c r="J2228">
        <v>76</v>
      </c>
      <c r="K2228" t="s">
        <v>84</v>
      </c>
      <c r="L2228" t="s">
        <v>85</v>
      </c>
      <c r="M2228" t="s">
        <v>86</v>
      </c>
      <c r="N2228">
        <v>3</v>
      </c>
      <c r="O2228" s="1">
        <v>44218.565324074072</v>
      </c>
      <c r="P2228" s="1">
        <v>44218.620266203703</v>
      </c>
      <c r="Q2228">
        <v>4264</v>
      </c>
      <c r="R2228">
        <v>483</v>
      </c>
      <c r="S2228" t="b">
        <v>0</v>
      </c>
      <c r="T2228" t="s">
        <v>87</v>
      </c>
      <c r="U2228" t="b">
        <v>0</v>
      </c>
      <c r="V2228" t="s">
        <v>255</v>
      </c>
      <c r="W2228" s="1">
        <v>44218.569606481484</v>
      </c>
      <c r="X2228">
        <v>283</v>
      </c>
      <c r="Y2228">
        <v>46</v>
      </c>
      <c r="Z2228">
        <v>0</v>
      </c>
      <c r="AA2228">
        <v>46</v>
      </c>
      <c r="AB2228">
        <v>0</v>
      </c>
      <c r="AC2228">
        <v>20</v>
      </c>
      <c r="AD2228">
        <v>30</v>
      </c>
      <c r="AE2228">
        <v>0</v>
      </c>
      <c r="AF2228">
        <v>0</v>
      </c>
      <c r="AG2228">
        <v>0</v>
      </c>
      <c r="AH2228" t="s">
        <v>267</v>
      </c>
      <c r="AI2228" s="1">
        <v>44218.588009259256</v>
      </c>
      <c r="AJ2228">
        <v>185</v>
      </c>
      <c r="AK2228">
        <v>2</v>
      </c>
      <c r="AL2228">
        <v>0</v>
      </c>
      <c r="AM2228">
        <v>2</v>
      </c>
      <c r="AN2228">
        <v>0</v>
      </c>
      <c r="AO2228">
        <v>1</v>
      </c>
      <c r="AP2228">
        <v>28</v>
      </c>
      <c r="AQ2228">
        <v>0</v>
      </c>
      <c r="AR2228">
        <v>0</v>
      </c>
      <c r="AS2228">
        <v>0</v>
      </c>
      <c r="AT2228" t="s">
        <v>90</v>
      </c>
      <c r="AU2228" s="1">
        <v>44218.620266203703</v>
      </c>
      <c r="AV2228">
        <v>15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28</v>
      </c>
      <c r="BC2228">
        <v>0</v>
      </c>
      <c r="BD2228">
        <v>0</v>
      </c>
      <c r="BE2228">
        <v>0</v>
      </c>
    </row>
    <row r="2229" spans="1:57" x14ac:dyDescent="0.45">
      <c r="A2229" t="s">
        <v>5406</v>
      </c>
      <c r="B2229" t="s">
        <v>79</v>
      </c>
      <c r="C2229" t="s">
        <v>5402</v>
      </c>
      <c r="D2229" t="s">
        <v>81</v>
      </c>
      <c r="E2229" s="2" t="str">
        <f>HYPERLINK("capsilon://?command=openfolder&amp;siteaddress=FAM.docvelocity-na8.net&amp;folderid=FX1740DD86-E7A0-C56E-B499-1FDCCE64FE7D","FX20121153")</f>
        <v>FX20121153</v>
      </c>
      <c r="F2229" t="s">
        <v>19</v>
      </c>
      <c r="G2229" t="s">
        <v>19</v>
      </c>
      <c r="H2229" t="s">
        <v>82</v>
      </c>
      <c r="I2229" t="s">
        <v>5407</v>
      </c>
      <c r="J2229">
        <v>76</v>
      </c>
      <c r="K2229" t="s">
        <v>84</v>
      </c>
      <c r="L2229" t="s">
        <v>85</v>
      </c>
      <c r="M2229" t="s">
        <v>86</v>
      </c>
      <c r="N2229">
        <v>3</v>
      </c>
      <c r="O2229" s="1">
        <v>44218.566157407404</v>
      </c>
      <c r="P2229" s="1">
        <v>44218.620324074072</v>
      </c>
      <c r="Q2229">
        <v>3064</v>
      </c>
      <c r="R2229">
        <v>1616</v>
      </c>
      <c r="S2229" t="b">
        <v>0</v>
      </c>
      <c r="T2229" t="s">
        <v>87</v>
      </c>
      <c r="U2229" t="b">
        <v>0</v>
      </c>
      <c r="V2229" t="s">
        <v>179</v>
      </c>
      <c r="W2229" s="1">
        <v>44218.585381944446</v>
      </c>
      <c r="X2229">
        <v>1475</v>
      </c>
      <c r="Y2229">
        <v>48</v>
      </c>
      <c r="Z2229">
        <v>0</v>
      </c>
      <c r="AA2229">
        <v>48</v>
      </c>
      <c r="AB2229">
        <v>0</v>
      </c>
      <c r="AC2229">
        <v>36</v>
      </c>
      <c r="AD2229">
        <v>28</v>
      </c>
      <c r="AE2229">
        <v>0</v>
      </c>
      <c r="AF2229">
        <v>0</v>
      </c>
      <c r="AG2229">
        <v>0</v>
      </c>
      <c r="AH2229" t="s">
        <v>128</v>
      </c>
      <c r="AI2229" s="1">
        <v>44218.587465277778</v>
      </c>
      <c r="AJ2229">
        <v>136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28</v>
      </c>
      <c r="AQ2229">
        <v>0</v>
      </c>
      <c r="AR2229">
        <v>0</v>
      </c>
      <c r="AS2229">
        <v>0</v>
      </c>
      <c r="AT2229" t="s">
        <v>90</v>
      </c>
      <c r="AU2229" s="1">
        <v>44218.620324074072</v>
      </c>
      <c r="AV2229">
        <v>5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28</v>
      </c>
      <c r="BC2229">
        <v>0</v>
      </c>
      <c r="BD2229">
        <v>0</v>
      </c>
      <c r="BE2229">
        <v>0</v>
      </c>
    </row>
    <row r="2230" spans="1:57" x14ac:dyDescent="0.45">
      <c r="A2230" t="s">
        <v>5408</v>
      </c>
      <c r="B2230" t="s">
        <v>79</v>
      </c>
      <c r="C2230" t="s">
        <v>5409</v>
      </c>
      <c r="D2230" t="s">
        <v>81</v>
      </c>
      <c r="E2230" s="2" t="str">
        <f>HYPERLINK("capsilon://?command=openfolder&amp;siteaddress=FAM.docvelocity-na8.net&amp;folderid=FXDC2ECF25-F9A9-31BF-94BD-2DC78F89A1B1","FX210114128")</f>
        <v>FX210114128</v>
      </c>
      <c r="F2230" t="s">
        <v>19</v>
      </c>
      <c r="G2230" t="s">
        <v>19</v>
      </c>
      <c r="H2230" t="s">
        <v>82</v>
      </c>
      <c r="I2230" t="s">
        <v>5410</v>
      </c>
      <c r="J2230">
        <v>439</v>
      </c>
      <c r="K2230" t="s">
        <v>84</v>
      </c>
      <c r="L2230" t="s">
        <v>85</v>
      </c>
      <c r="M2230" t="s">
        <v>86</v>
      </c>
      <c r="N2230">
        <v>3</v>
      </c>
      <c r="O2230" s="1">
        <v>44218.570462962962</v>
      </c>
      <c r="P2230" s="1">
        <v>44218.621053240742</v>
      </c>
      <c r="Q2230">
        <v>1514</v>
      </c>
      <c r="R2230">
        <v>2857</v>
      </c>
      <c r="S2230" t="b">
        <v>0</v>
      </c>
      <c r="T2230" t="s">
        <v>87</v>
      </c>
      <c r="U2230" t="b">
        <v>0</v>
      </c>
      <c r="V2230" t="s">
        <v>168</v>
      </c>
      <c r="W2230" s="1">
        <v>44218.598553240743</v>
      </c>
      <c r="X2230">
        <v>2426</v>
      </c>
      <c r="Y2230">
        <v>256</v>
      </c>
      <c r="Z2230">
        <v>0</v>
      </c>
      <c r="AA2230">
        <v>256</v>
      </c>
      <c r="AB2230">
        <v>37</v>
      </c>
      <c r="AC2230">
        <v>99</v>
      </c>
      <c r="AD2230">
        <v>183</v>
      </c>
      <c r="AE2230">
        <v>0</v>
      </c>
      <c r="AF2230">
        <v>0</v>
      </c>
      <c r="AG2230">
        <v>0</v>
      </c>
      <c r="AH2230" t="s">
        <v>267</v>
      </c>
      <c r="AI2230" s="1">
        <v>44218.606122685182</v>
      </c>
      <c r="AJ2230">
        <v>369</v>
      </c>
      <c r="AK2230">
        <v>2</v>
      </c>
      <c r="AL2230">
        <v>0</v>
      </c>
      <c r="AM2230">
        <v>2</v>
      </c>
      <c r="AN2230">
        <v>37</v>
      </c>
      <c r="AO2230">
        <v>1</v>
      </c>
      <c r="AP2230">
        <v>181</v>
      </c>
      <c r="AQ2230">
        <v>0</v>
      </c>
      <c r="AR2230">
        <v>0</v>
      </c>
      <c r="AS2230">
        <v>0</v>
      </c>
      <c r="AT2230" t="s">
        <v>90</v>
      </c>
      <c r="AU2230" s="1">
        <v>44218.621053240742</v>
      </c>
      <c r="AV2230">
        <v>62</v>
      </c>
      <c r="AW2230">
        <v>1</v>
      </c>
      <c r="AX2230">
        <v>0</v>
      </c>
      <c r="AY2230">
        <v>1</v>
      </c>
      <c r="AZ2230">
        <v>37</v>
      </c>
      <c r="BA2230">
        <v>1</v>
      </c>
      <c r="BB2230">
        <v>180</v>
      </c>
      <c r="BC2230">
        <v>0</v>
      </c>
      <c r="BD2230">
        <v>0</v>
      </c>
      <c r="BE2230">
        <v>0</v>
      </c>
    </row>
    <row r="2231" spans="1:57" x14ac:dyDescent="0.45">
      <c r="A2231" t="s">
        <v>5411</v>
      </c>
      <c r="B2231" t="s">
        <v>79</v>
      </c>
      <c r="C2231" t="s">
        <v>2234</v>
      </c>
      <c r="D2231" t="s">
        <v>81</v>
      </c>
      <c r="E2231" s="2" t="str">
        <f>HYPERLINK("capsilon://?command=openfolder&amp;siteaddress=FAM.docvelocity-na8.net&amp;folderid=FXE4AEE163-953A-0F64-B70C-8A23167A726A","FX21013741")</f>
        <v>FX21013741</v>
      </c>
      <c r="F2231" t="s">
        <v>19</v>
      </c>
      <c r="G2231" t="s">
        <v>19</v>
      </c>
      <c r="H2231" t="s">
        <v>82</v>
      </c>
      <c r="I2231" t="s">
        <v>5412</v>
      </c>
      <c r="J2231">
        <v>55</v>
      </c>
      <c r="K2231" t="s">
        <v>84</v>
      </c>
      <c r="L2231" t="s">
        <v>85</v>
      </c>
      <c r="M2231" t="s">
        <v>86</v>
      </c>
      <c r="N2231">
        <v>3</v>
      </c>
      <c r="O2231" s="1">
        <v>44218.573310185187</v>
      </c>
      <c r="P2231" s="1">
        <v>44218.621319444443</v>
      </c>
      <c r="Q2231">
        <v>3664</v>
      </c>
      <c r="R2231">
        <v>484</v>
      </c>
      <c r="S2231" t="b">
        <v>0</v>
      </c>
      <c r="T2231" t="s">
        <v>87</v>
      </c>
      <c r="U2231" t="b">
        <v>0</v>
      </c>
      <c r="V2231" t="s">
        <v>255</v>
      </c>
      <c r="W2231" s="1">
        <v>44218.577199074076</v>
      </c>
      <c r="X2231">
        <v>333</v>
      </c>
      <c r="Y2231">
        <v>41</v>
      </c>
      <c r="Z2231">
        <v>0</v>
      </c>
      <c r="AA2231">
        <v>41</v>
      </c>
      <c r="AB2231">
        <v>0</v>
      </c>
      <c r="AC2231">
        <v>18</v>
      </c>
      <c r="AD2231">
        <v>14</v>
      </c>
      <c r="AE2231">
        <v>0</v>
      </c>
      <c r="AF2231">
        <v>0</v>
      </c>
      <c r="AG2231">
        <v>0</v>
      </c>
      <c r="AH2231" t="s">
        <v>128</v>
      </c>
      <c r="AI2231" s="1">
        <v>44218.588958333334</v>
      </c>
      <c r="AJ2231">
        <v>128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14</v>
      </c>
      <c r="AQ2231">
        <v>0</v>
      </c>
      <c r="AR2231">
        <v>0</v>
      </c>
      <c r="AS2231">
        <v>0</v>
      </c>
      <c r="AT2231" t="s">
        <v>90</v>
      </c>
      <c r="AU2231" s="1">
        <v>44218.621319444443</v>
      </c>
      <c r="AV2231">
        <v>23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14</v>
      </c>
      <c r="BC2231">
        <v>0</v>
      </c>
      <c r="BD2231">
        <v>0</v>
      </c>
      <c r="BE2231">
        <v>0</v>
      </c>
    </row>
    <row r="2232" spans="1:57" x14ac:dyDescent="0.45">
      <c r="A2232" t="s">
        <v>5413</v>
      </c>
      <c r="B2232" t="s">
        <v>79</v>
      </c>
      <c r="C2232" t="s">
        <v>2234</v>
      </c>
      <c r="D2232" t="s">
        <v>81</v>
      </c>
      <c r="E2232" s="2" t="str">
        <f>HYPERLINK("capsilon://?command=openfolder&amp;siteaddress=FAM.docvelocity-na8.net&amp;folderid=FXE4AEE163-953A-0F64-B70C-8A23167A726A","FX21013741")</f>
        <v>FX21013741</v>
      </c>
      <c r="F2232" t="s">
        <v>19</v>
      </c>
      <c r="G2232" t="s">
        <v>19</v>
      </c>
      <c r="H2232" t="s">
        <v>82</v>
      </c>
      <c r="I2232" t="s">
        <v>5414</v>
      </c>
      <c r="J2232">
        <v>55</v>
      </c>
      <c r="K2232" t="s">
        <v>84</v>
      </c>
      <c r="L2232" t="s">
        <v>85</v>
      </c>
      <c r="M2232" t="s">
        <v>86</v>
      </c>
      <c r="N2232">
        <v>3</v>
      </c>
      <c r="O2232" s="1">
        <v>44218.57335648148</v>
      </c>
      <c r="P2232" s="1">
        <v>44218.621400462966</v>
      </c>
      <c r="Q2232">
        <v>3447</v>
      </c>
      <c r="R2232">
        <v>704</v>
      </c>
      <c r="S2232" t="b">
        <v>0</v>
      </c>
      <c r="T2232" t="s">
        <v>87</v>
      </c>
      <c r="U2232" t="b">
        <v>0</v>
      </c>
      <c r="V2232" t="s">
        <v>242</v>
      </c>
      <c r="W2232" s="1">
        <v>44218.580451388887</v>
      </c>
      <c r="X2232">
        <v>607</v>
      </c>
      <c r="Y2232">
        <v>41</v>
      </c>
      <c r="Z2232">
        <v>0</v>
      </c>
      <c r="AA2232">
        <v>41</v>
      </c>
      <c r="AB2232">
        <v>0</v>
      </c>
      <c r="AC2232">
        <v>19</v>
      </c>
      <c r="AD2232">
        <v>14</v>
      </c>
      <c r="AE2232">
        <v>0</v>
      </c>
      <c r="AF2232">
        <v>0</v>
      </c>
      <c r="AG2232">
        <v>0</v>
      </c>
      <c r="AH2232" t="s">
        <v>267</v>
      </c>
      <c r="AI2232" s="1">
        <v>44218.589062500003</v>
      </c>
      <c r="AJ2232">
        <v>90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14</v>
      </c>
      <c r="AQ2232">
        <v>0</v>
      </c>
      <c r="AR2232">
        <v>0</v>
      </c>
      <c r="AS2232">
        <v>0</v>
      </c>
      <c r="AT2232" t="s">
        <v>90</v>
      </c>
      <c r="AU2232" s="1">
        <v>44218.621400462966</v>
      </c>
      <c r="AV2232">
        <v>7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14</v>
      </c>
      <c r="BC2232">
        <v>0</v>
      </c>
      <c r="BD2232">
        <v>0</v>
      </c>
      <c r="BE2232">
        <v>0</v>
      </c>
    </row>
    <row r="2233" spans="1:57" x14ac:dyDescent="0.45">
      <c r="A2233" t="s">
        <v>5415</v>
      </c>
      <c r="B2233" t="s">
        <v>79</v>
      </c>
      <c r="C2233" t="s">
        <v>2234</v>
      </c>
      <c r="D2233" t="s">
        <v>81</v>
      </c>
      <c r="E2233" s="2" t="str">
        <f>HYPERLINK("capsilon://?command=openfolder&amp;siteaddress=FAM.docvelocity-na8.net&amp;folderid=FXE4AEE163-953A-0F64-B70C-8A23167A726A","FX21013741")</f>
        <v>FX21013741</v>
      </c>
      <c r="F2233" t="s">
        <v>19</v>
      </c>
      <c r="G2233" t="s">
        <v>19</v>
      </c>
      <c r="H2233" t="s">
        <v>82</v>
      </c>
      <c r="I2233" t="s">
        <v>5416</v>
      </c>
      <c r="J2233">
        <v>26</v>
      </c>
      <c r="K2233" t="s">
        <v>84</v>
      </c>
      <c r="L2233" t="s">
        <v>85</v>
      </c>
      <c r="M2233" t="s">
        <v>86</v>
      </c>
      <c r="N2233">
        <v>3</v>
      </c>
      <c r="O2233" s="1">
        <v>44218.573831018519</v>
      </c>
      <c r="P2233" s="1">
        <v>44218.621481481481</v>
      </c>
      <c r="Q2233">
        <v>3740</v>
      </c>
      <c r="R2233">
        <v>377</v>
      </c>
      <c r="S2233" t="b">
        <v>0</v>
      </c>
      <c r="T2233" t="s">
        <v>87</v>
      </c>
      <c r="U2233" t="b">
        <v>0</v>
      </c>
      <c r="V2233" t="s">
        <v>259</v>
      </c>
      <c r="W2233" s="1">
        <v>44218.577453703707</v>
      </c>
      <c r="X2233">
        <v>268</v>
      </c>
      <c r="Y2233">
        <v>21</v>
      </c>
      <c r="Z2233">
        <v>0</v>
      </c>
      <c r="AA2233">
        <v>21</v>
      </c>
      <c r="AB2233">
        <v>0</v>
      </c>
      <c r="AC2233">
        <v>5</v>
      </c>
      <c r="AD2233">
        <v>5</v>
      </c>
      <c r="AE2233">
        <v>0</v>
      </c>
      <c r="AF2233">
        <v>0</v>
      </c>
      <c r="AG2233">
        <v>0</v>
      </c>
      <c r="AH2233" t="s">
        <v>128</v>
      </c>
      <c r="AI2233" s="1">
        <v>44218.590150462966</v>
      </c>
      <c r="AJ2233">
        <v>102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5</v>
      </c>
      <c r="AQ2233">
        <v>0</v>
      </c>
      <c r="AR2233">
        <v>0</v>
      </c>
      <c r="AS2233">
        <v>0</v>
      </c>
      <c r="AT2233" t="s">
        <v>90</v>
      </c>
      <c r="AU2233" s="1">
        <v>44218.621481481481</v>
      </c>
      <c r="AV2233">
        <v>7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5</v>
      </c>
      <c r="BC2233">
        <v>0</v>
      </c>
      <c r="BD2233">
        <v>0</v>
      </c>
      <c r="BE2233">
        <v>0</v>
      </c>
    </row>
    <row r="2234" spans="1:57" hidden="1" x14ac:dyDescent="0.45">
      <c r="A2234" t="s">
        <v>5417</v>
      </c>
      <c r="B2234" t="s">
        <v>79</v>
      </c>
      <c r="C2234" t="s">
        <v>496</v>
      </c>
      <c r="D2234" t="s">
        <v>81</v>
      </c>
      <c r="E2234" s="2" t="str">
        <f>HYPERLINK("capsilon://?command=openfolder&amp;siteaddress=FAM.docvelocity-na8.net&amp;folderid=FXA8AD27CF-5ADC-8B3F-D90E-0066BBB4FEAF","FX20127897")</f>
        <v>FX20127897</v>
      </c>
      <c r="F2234" t="s">
        <v>19</v>
      </c>
      <c r="G2234" t="s">
        <v>19</v>
      </c>
      <c r="H2234" t="s">
        <v>82</v>
      </c>
      <c r="I2234" t="s">
        <v>5418</v>
      </c>
      <c r="J2234">
        <v>66</v>
      </c>
      <c r="K2234" t="s">
        <v>84</v>
      </c>
      <c r="L2234" t="s">
        <v>85</v>
      </c>
      <c r="M2234" t="s">
        <v>86</v>
      </c>
      <c r="N2234">
        <v>3</v>
      </c>
      <c r="O2234" s="1">
        <v>44201.52375</v>
      </c>
      <c r="P2234" s="1">
        <v>44201.597395833334</v>
      </c>
      <c r="Q2234">
        <v>6173</v>
      </c>
      <c r="R2234">
        <v>190</v>
      </c>
      <c r="S2234" t="b">
        <v>0</v>
      </c>
      <c r="T2234" t="s">
        <v>87</v>
      </c>
      <c r="U2234" t="b">
        <v>0</v>
      </c>
      <c r="V2234" t="s">
        <v>142</v>
      </c>
      <c r="W2234" s="1">
        <v>44201.525648148148</v>
      </c>
      <c r="X2234">
        <v>142</v>
      </c>
      <c r="Y2234">
        <v>0</v>
      </c>
      <c r="Z2234">
        <v>0</v>
      </c>
      <c r="AA2234">
        <v>0</v>
      </c>
      <c r="AB2234">
        <v>52</v>
      </c>
      <c r="AC2234">
        <v>0</v>
      </c>
      <c r="AD2234">
        <v>66</v>
      </c>
      <c r="AE2234">
        <v>0</v>
      </c>
      <c r="AF2234">
        <v>0</v>
      </c>
      <c r="AG2234">
        <v>0</v>
      </c>
      <c r="AH2234" t="s">
        <v>94</v>
      </c>
      <c r="AI2234" s="1">
        <v>44201.569965277777</v>
      </c>
      <c r="AJ2234">
        <v>45</v>
      </c>
      <c r="AK2234">
        <v>0</v>
      </c>
      <c r="AL2234">
        <v>0</v>
      </c>
      <c r="AM2234">
        <v>0</v>
      </c>
      <c r="AN2234">
        <v>52</v>
      </c>
      <c r="AO2234">
        <v>0</v>
      </c>
      <c r="AP2234">
        <v>66</v>
      </c>
      <c r="AQ2234">
        <v>0</v>
      </c>
      <c r="AR2234">
        <v>0</v>
      </c>
      <c r="AS2234">
        <v>0</v>
      </c>
      <c r="AT2234" t="s">
        <v>90</v>
      </c>
      <c r="AU2234" s="1">
        <v>44201.597395833334</v>
      </c>
      <c r="AV2234">
        <v>3</v>
      </c>
      <c r="AW2234">
        <v>0</v>
      </c>
      <c r="AX2234">
        <v>0</v>
      </c>
      <c r="AY2234">
        <v>0</v>
      </c>
      <c r="AZ2234">
        <v>52</v>
      </c>
      <c r="BA2234">
        <v>0</v>
      </c>
      <c r="BB2234">
        <v>66</v>
      </c>
      <c r="BC2234">
        <v>0</v>
      </c>
      <c r="BD2234">
        <v>0</v>
      </c>
      <c r="BE2234">
        <v>0</v>
      </c>
    </row>
    <row r="2235" spans="1:57" x14ac:dyDescent="0.45">
      <c r="A2235" t="s">
        <v>5419</v>
      </c>
      <c r="B2235" t="s">
        <v>79</v>
      </c>
      <c r="C2235" t="s">
        <v>5420</v>
      </c>
      <c r="D2235" t="s">
        <v>81</v>
      </c>
      <c r="E2235" s="2" t="str">
        <f>HYPERLINK("capsilon://?command=openfolder&amp;siteaddress=FAM.docvelocity-na8.net&amp;folderid=FXE8648B21-2D03-7DB5-063F-5359F4C23814","FX210113178")</f>
        <v>FX210113178</v>
      </c>
      <c r="F2235" t="s">
        <v>19</v>
      </c>
      <c r="G2235" t="s">
        <v>19</v>
      </c>
      <c r="H2235" t="s">
        <v>82</v>
      </c>
      <c r="I2235" t="s">
        <v>5421</v>
      </c>
      <c r="J2235">
        <v>297</v>
      </c>
      <c r="K2235" t="s">
        <v>84</v>
      </c>
      <c r="L2235" t="s">
        <v>85</v>
      </c>
      <c r="M2235" t="s">
        <v>86</v>
      </c>
      <c r="N2235">
        <v>3</v>
      </c>
      <c r="O2235" s="1">
        <v>44218.58662037037</v>
      </c>
      <c r="P2235" s="1">
        <v>44218.715960648151</v>
      </c>
      <c r="Q2235">
        <v>4709</v>
      </c>
      <c r="R2235">
        <v>6466</v>
      </c>
      <c r="S2235" t="b">
        <v>0</v>
      </c>
      <c r="T2235" t="s">
        <v>87</v>
      </c>
      <c r="U2235" t="b">
        <v>0</v>
      </c>
      <c r="V2235" t="s">
        <v>179</v>
      </c>
      <c r="W2235" s="1">
        <v>44218.662754629629</v>
      </c>
      <c r="X2235">
        <v>3775</v>
      </c>
      <c r="Y2235">
        <v>266</v>
      </c>
      <c r="Z2235">
        <v>0</v>
      </c>
      <c r="AA2235">
        <v>266</v>
      </c>
      <c r="AB2235">
        <v>0</v>
      </c>
      <c r="AC2235">
        <v>190</v>
      </c>
      <c r="AD2235">
        <v>31</v>
      </c>
      <c r="AE2235">
        <v>0</v>
      </c>
      <c r="AF2235">
        <v>0</v>
      </c>
      <c r="AG2235">
        <v>0</v>
      </c>
      <c r="AH2235" t="s">
        <v>128</v>
      </c>
      <c r="AI2235" s="1">
        <v>44218.673900462964</v>
      </c>
      <c r="AJ2235">
        <v>911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31</v>
      </c>
      <c r="AQ2235">
        <v>0</v>
      </c>
      <c r="AR2235">
        <v>0</v>
      </c>
      <c r="AS2235">
        <v>0</v>
      </c>
      <c r="AT2235" t="s">
        <v>90</v>
      </c>
      <c r="AU2235" s="1">
        <v>44218.715960648151</v>
      </c>
      <c r="AV2235">
        <v>548</v>
      </c>
      <c r="AW2235">
        <v>4</v>
      </c>
      <c r="AX2235">
        <v>0</v>
      </c>
      <c r="AY2235">
        <v>4</v>
      </c>
      <c r="AZ2235">
        <v>0</v>
      </c>
      <c r="BA2235">
        <v>5</v>
      </c>
      <c r="BB2235">
        <v>27</v>
      </c>
      <c r="BC2235">
        <v>0</v>
      </c>
      <c r="BD2235">
        <v>0</v>
      </c>
      <c r="BE2235">
        <v>0</v>
      </c>
    </row>
    <row r="2236" spans="1:57" hidden="1" x14ac:dyDescent="0.45">
      <c r="A2236" t="s">
        <v>5422</v>
      </c>
      <c r="B2236" t="s">
        <v>79</v>
      </c>
      <c r="C2236" t="s">
        <v>5423</v>
      </c>
      <c r="D2236" t="s">
        <v>81</v>
      </c>
      <c r="E2236" s="2" t="str">
        <f>HYPERLINK("capsilon://?command=openfolder&amp;siteaddress=FAM.docvelocity-na8.net&amp;folderid=FX66166754-E468-AFFB-28C6-AB01A9103E51","FX20125198")</f>
        <v>FX20125198</v>
      </c>
      <c r="F2236" t="s">
        <v>19</v>
      </c>
      <c r="G2236" t="s">
        <v>19</v>
      </c>
      <c r="H2236" t="s">
        <v>82</v>
      </c>
      <c r="I2236" t="s">
        <v>5424</v>
      </c>
      <c r="J2236">
        <v>66</v>
      </c>
      <c r="K2236" t="s">
        <v>84</v>
      </c>
      <c r="L2236" t="s">
        <v>85</v>
      </c>
      <c r="M2236" t="s">
        <v>86</v>
      </c>
      <c r="N2236">
        <v>3</v>
      </c>
      <c r="O2236" s="1">
        <v>44218.587685185186</v>
      </c>
      <c r="P2236" s="1">
        <v>44218.621516203704</v>
      </c>
      <c r="Q2236">
        <v>2700</v>
      </c>
      <c r="R2236">
        <v>223</v>
      </c>
      <c r="S2236" t="b">
        <v>0</v>
      </c>
      <c r="T2236" t="s">
        <v>87</v>
      </c>
      <c r="U2236" t="b">
        <v>0</v>
      </c>
      <c r="V2236" t="s">
        <v>146</v>
      </c>
      <c r="W2236" s="1">
        <v>44218.58997685185</v>
      </c>
      <c r="X2236">
        <v>198</v>
      </c>
      <c r="Y2236">
        <v>0</v>
      </c>
      <c r="Z2236">
        <v>0</v>
      </c>
      <c r="AA2236">
        <v>0</v>
      </c>
      <c r="AB2236">
        <v>52</v>
      </c>
      <c r="AC2236">
        <v>0</v>
      </c>
      <c r="AD2236">
        <v>66</v>
      </c>
      <c r="AE2236">
        <v>0</v>
      </c>
      <c r="AF2236">
        <v>0</v>
      </c>
      <c r="AG2236">
        <v>0</v>
      </c>
      <c r="AH2236" t="s">
        <v>128</v>
      </c>
      <c r="AI2236" s="1">
        <v>44218.590416666666</v>
      </c>
      <c r="AJ2236">
        <v>22</v>
      </c>
      <c r="AK2236">
        <v>0</v>
      </c>
      <c r="AL2236">
        <v>0</v>
      </c>
      <c r="AM2236">
        <v>0</v>
      </c>
      <c r="AN2236">
        <v>52</v>
      </c>
      <c r="AO2236">
        <v>0</v>
      </c>
      <c r="AP2236">
        <v>66</v>
      </c>
      <c r="AQ2236">
        <v>0</v>
      </c>
      <c r="AR2236">
        <v>0</v>
      </c>
      <c r="AS2236">
        <v>0</v>
      </c>
      <c r="AT2236" t="s">
        <v>90</v>
      </c>
      <c r="AU2236" s="1">
        <v>44218.621516203704</v>
      </c>
      <c r="AV2236">
        <v>3</v>
      </c>
      <c r="AW2236">
        <v>0</v>
      </c>
      <c r="AX2236">
        <v>0</v>
      </c>
      <c r="AY2236">
        <v>0</v>
      </c>
      <c r="AZ2236">
        <v>52</v>
      </c>
      <c r="BA2236">
        <v>0</v>
      </c>
      <c r="BB2236">
        <v>66</v>
      </c>
      <c r="BC2236">
        <v>0</v>
      </c>
      <c r="BD2236">
        <v>0</v>
      </c>
      <c r="BE2236">
        <v>0</v>
      </c>
    </row>
    <row r="2237" spans="1:57" hidden="1" x14ac:dyDescent="0.45">
      <c r="A2237" t="s">
        <v>5425</v>
      </c>
      <c r="B2237" t="s">
        <v>79</v>
      </c>
      <c r="C2237" t="s">
        <v>1673</v>
      </c>
      <c r="D2237" t="s">
        <v>81</v>
      </c>
      <c r="E2237" s="2" t="str">
        <f>HYPERLINK("capsilon://?command=openfolder&amp;siteaddress=FAM.docvelocity-na8.net&amp;folderid=FX9D0FDC21-052F-3980-BD5A-56CAB7C228BB","FX201113730")</f>
        <v>FX201113730</v>
      </c>
      <c r="F2237" t="s">
        <v>19</v>
      </c>
      <c r="G2237" t="s">
        <v>19</v>
      </c>
      <c r="H2237" t="s">
        <v>82</v>
      </c>
      <c r="I2237" t="s">
        <v>5426</v>
      </c>
      <c r="J2237">
        <v>66</v>
      </c>
      <c r="K2237" t="s">
        <v>84</v>
      </c>
      <c r="L2237" t="s">
        <v>85</v>
      </c>
      <c r="M2237" t="s">
        <v>86</v>
      </c>
      <c r="N2237">
        <v>1</v>
      </c>
      <c r="O2237" s="1">
        <v>44218.59002314815</v>
      </c>
      <c r="P2237" s="1">
        <v>44218.590775462966</v>
      </c>
      <c r="Q2237">
        <v>3</v>
      </c>
      <c r="R2237">
        <v>62</v>
      </c>
      <c r="S2237" t="b">
        <v>0</v>
      </c>
      <c r="T2237" t="s">
        <v>87</v>
      </c>
      <c r="U2237" t="b">
        <v>0</v>
      </c>
      <c r="V2237" t="s">
        <v>255</v>
      </c>
      <c r="W2237" s="1">
        <v>44218.590775462966</v>
      </c>
      <c r="X2237">
        <v>62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66</v>
      </c>
      <c r="AE2237">
        <v>52</v>
      </c>
      <c r="AF2237">
        <v>0</v>
      </c>
      <c r="AG2237">
        <v>1</v>
      </c>
      <c r="AH2237" t="s">
        <v>87</v>
      </c>
      <c r="AI2237" t="s">
        <v>87</v>
      </c>
      <c r="AJ2237" t="s">
        <v>87</v>
      </c>
      <c r="AK2237" t="s">
        <v>87</v>
      </c>
      <c r="AL2237" t="s">
        <v>87</v>
      </c>
      <c r="AM2237" t="s">
        <v>87</v>
      </c>
      <c r="AN2237" t="s">
        <v>87</v>
      </c>
      <c r="AO2237" t="s">
        <v>87</v>
      </c>
      <c r="AP2237" t="s">
        <v>87</v>
      </c>
      <c r="AQ2237" t="s">
        <v>87</v>
      </c>
      <c r="AR2237" t="s">
        <v>87</v>
      </c>
      <c r="AS2237" t="s">
        <v>87</v>
      </c>
      <c r="AT2237" t="s">
        <v>87</v>
      </c>
      <c r="AU2237" t="s">
        <v>87</v>
      </c>
      <c r="AV2237" t="s">
        <v>87</v>
      </c>
      <c r="AW2237" t="s">
        <v>87</v>
      </c>
      <c r="AX2237" t="s">
        <v>87</v>
      </c>
      <c r="AY2237" t="s">
        <v>87</v>
      </c>
      <c r="AZ2237" t="s">
        <v>87</v>
      </c>
      <c r="BA2237" t="s">
        <v>87</v>
      </c>
      <c r="BB2237" t="s">
        <v>87</v>
      </c>
      <c r="BC2237" t="s">
        <v>87</v>
      </c>
      <c r="BD2237" t="s">
        <v>87</v>
      </c>
      <c r="BE2237" t="s">
        <v>87</v>
      </c>
    </row>
    <row r="2238" spans="1:57" x14ac:dyDescent="0.45">
      <c r="A2238" t="s">
        <v>5427</v>
      </c>
      <c r="B2238" t="s">
        <v>79</v>
      </c>
      <c r="C2238" t="s">
        <v>5428</v>
      </c>
      <c r="D2238" t="s">
        <v>81</v>
      </c>
      <c r="E2238" s="2" t="str">
        <f>HYPERLINK("capsilon://?command=openfolder&amp;siteaddress=FAM.docvelocity-na8.net&amp;folderid=FX64A4544D-4DF6-7E20-C6DB-D41F3EACED86","FX201110289")</f>
        <v>FX201110289</v>
      </c>
      <c r="F2238" t="s">
        <v>19</v>
      </c>
      <c r="G2238" t="s">
        <v>19</v>
      </c>
      <c r="H2238" t="s">
        <v>82</v>
      </c>
      <c r="I2238" t="s">
        <v>5429</v>
      </c>
      <c r="J2238">
        <v>116</v>
      </c>
      <c r="K2238" t="s">
        <v>84</v>
      </c>
      <c r="L2238" t="s">
        <v>85</v>
      </c>
      <c r="M2238" t="s">
        <v>86</v>
      </c>
      <c r="N2238">
        <v>3</v>
      </c>
      <c r="O2238" s="1">
        <v>44218.592268518521</v>
      </c>
      <c r="P2238" s="1">
        <v>44218.622534722221</v>
      </c>
      <c r="Q2238">
        <v>1447</v>
      </c>
      <c r="R2238">
        <v>1168</v>
      </c>
      <c r="S2238" t="b">
        <v>0</v>
      </c>
      <c r="T2238" t="s">
        <v>87</v>
      </c>
      <c r="U2238" t="b">
        <v>0</v>
      </c>
      <c r="V2238" t="s">
        <v>242</v>
      </c>
      <c r="W2238" s="1">
        <v>44218.600983796299</v>
      </c>
      <c r="X2238">
        <v>744</v>
      </c>
      <c r="Y2238">
        <v>112</v>
      </c>
      <c r="Z2238">
        <v>0</v>
      </c>
      <c r="AA2238">
        <v>112</v>
      </c>
      <c r="AB2238">
        <v>0</v>
      </c>
      <c r="AC2238">
        <v>27</v>
      </c>
      <c r="AD2238">
        <v>4</v>
      </c>
      <c r="AE2238">
        <v>0</v>
      </c>
      <c r="AF2238">
        <v>0</v>
      </c>
      <c r="AG2238">
        <v>0</v>
      </c>
      <c r="AH2238" t="s">
        <v>128</v>
      </c>
      <c r="AI2238" s="1">
        <v>44218.606215277781</v>
      </c>
      <c r="AJ2238">
        <v>327</v>
      </c>
      <c r="AK2238">
        <v>3</v>
      </c>
      <c r="AL2238">
        <v>0</v>
      </c>
      <c r="AM2238">
        <v>3</v>
      </c>
      <c r="AN2238">
        <v>0</v>
      </c>
      <c r="AO2238">
        <v>3</v>
      </c>
      <c r="AP2238">
        <v>1</v>
      </c>
      <c r="AQ2238">
        <v>0</v>
      </c>
      <c r="AR2238">
        <v>0</v>
      </c>
      <c r="AS2238">
        <v>0</v>
      </c>
      <c r="AT2238" t="s">
        <v>90</v>
      </c>
      <c r="AU2238" s="1">
        <v>44218.622534722221</v>
      </c>
      <c r="AV2238">
        <v>87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1</v>
      </c>
      <c r="BC2238">
        <v>0</v>
      </c>
      <c r="BD2238">
        <v>0</v>
      </c>
      <c r="BE2238">
        <v>0</v>
      </c>
    </row>
    <row r="2239" spans="1:57" x14ac:dyDescent="0.45">
      <c r="A2239" t="s">
        <v>5430</v>
      </c>
      <c r="B2239" t="s">
        <v>79</v>
      </c>
      <c r="C2239" t="s">
        <v>1673</v>
      </c>
      <c r="D2239" t="s">
        <v>81</v>
      </c>
      <c r="E2239" s="2" t="str">
        <f>HYPERLINK("capsilon://?command=openfolder&amp;siteaddress=FAM.docvelocity-na8.net&amp;folderid=FX9D0FDC21-052F-3980-BD5A-56CAB7C228BB","FX201113730")</f>
        <v>FX201113730</v>
      </c>
      <c r="F2239" t="s">
        <v>19</v>
      </c>
      <c r="G2239" t="s">
        <v>19</v>
      </c>
      <c r="H2239" t="s">
        <v>82</v>
      </c>
      <c r="I2239" t="s">
        <v>5426</v>
      </c>
      <c r="J2239">
        <v>38</v>
      </c>
      <c r="K2239" t="s">
        <v>84</v>
      </c>
      <c r="L2239" t="s">
        <v>85</v>
      </c>
      <c r="M2239" t="s">
        <v>86</v>
      </c>
      <c r="N2239">
        <v>3</v>
      </c>
      <c r="O2239" s="1">
        <v>44218.592615740738</v>
      </c>
      <c r="P2239" s="1">
        <v>44218.619155092594</v>
      </c>
      <c r="Q2239">
        <v>1945</v>
      </c>
      <c r="R2239">
        <v>348</v>
      </c>
      <c r="S2239" t="b">
        <v>0</v>
      </c>
      <c r="T2239" t="s">
        <v>87</v>
      </c>
      <c r="U2239" t="b">
        <v>1</v>
      </c>
      <c r="V2239" t="s">
        <v>255</v>
      </c>
      <c r="W2239" s="1">
        <v>44218.595868055556</v>
      </c>
      <c r="X2239">
        <v>277</v>
      </c>
      <c r="Y2239">
        <v>37</v>
      </c>
      <c r="Z2239">
        <v>0</v>
      </c>
      <c r="AA2239">
        <v>37</v>
      </c>
      <c r="AB2239">
        <v>0</v>
      </c>
      <c r="AC2239">
        <v>35</v>
      </c>
      <c r="AD2239">
        <v>1</v>
      </c>
      <c r="AE2239">
        <v>0</v>
      </c>
      <c r="AF2239">
        <v>0</v>
      </c>
      <c r="AG2239">
        <v>0</v>
      </c>
      <c r="AH2239" t="s">
        <v>267</v>
      </c>
      <c r="AI2239" s="1">
        <v>44218.601840277777</v>
      </c>
      <c r="AJ2239">
        <v>66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0</v>
      </c>
      <c r="AT2239" t="s">
        <v>90</v>
      </c>
      <c r="AU2239" s="1">
        <v>44218.619155092594</v>
      </c>
      <c r="AV2239">
        <v>5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</row>
    <row r="2240" spans="1:57" x14ac:dyDescent="0.45">
      <c r="A2240" t="s">
        <v>5431</v>
      </c>
      <c r="B2240" t="s">
        <v>79</v>
      </c>
      <c r="C2240" t="s">
        <v>5432</v>
      </c>
      <c r="D2240" t="s">
        <v>81</v>
      </c>
      <c r="E2240" s="2" t="str">
        <f>HYPERLINK("capsilon://?command=openfolder&amp;siteaddress=FAM.docvelocity-na8.net&amp;folderid=FXBB994B75-86A4-03C9-03E6-C28DEB6FC855","FX201113004")</f>
        <v>FX201113004</v>
      </c>
      <c r="F2240" t="s">
        <v>19</v>
      </c>
      <c r="G2240" t="s">
        <v>19</v>
      </c>
      <c r="H2240" t="s">
        <v>82</v>
      </c>
      <c r="I2240" t="s">
        <v>5433</v>
      </c>
      <c r="J2240">
        <v>71</v>
      </c>
      <c r="K2240" t="s">
        <v>84</v>
      </c>
      <c r="L2240" t="s">
        <v>85</v>
      </c>
      <c r="M2240" t="s">
        <v>86</v>
      </c>
      <c r="N2240">
        <v>3</v>
      </c>
      <c r="O2240" s="1">
        <v>44218.592731481483</v>
      </c>
      <c r="P2240" s="1">
        <v>44218.707743055558</v>
      </c>
      <c r="Q2240">
        <v>8291</v>
      </c>
      <c r="R2240">
        <v>1646</v>
      </c>
      <c r="S2240" t="b">
        <v>0</v>
      </c>
      <c r="T2240" t="s">
        <v>87</v>
      </c>
      <c r="U2240" t="b">
        <v>0</v>
      </c>
      <c r="V2240" t="s">
        <v>343</v>
      </c>
      <c r="W2240" s="1">
        <v>44218.623391203706</v>
      </c>
      <c r="X2240">
        <v>1371</v>
      </c>
      <c r="Y2240">
        <v>102</v>
      </c>
      <c r="Z2240">
        <v>0</v>
      </c>
      <c r="AA2240">
        <v>102</v>
      </c>
      <c r="AB2240">
        <v>0</v>
      </c>
      <c r="AC2240">
        <v>79</v>
      </c>
      <c r="AD2240">
        <v>-31</v>
      </c>
      <c r="AE2240">
        <v>0</v>
      </c>
      <c r="AF2240">
        <v>0</v>
      </c>
      <c r="AG2240">
        <v>0</v>
      </c>
      <c r="AH2240" t="s">
        <v>128</v>
      </c>
      <c r="AI2240" s="1">
        <v>44218.627465277779</v>
      </c>
      <c r="AJ2240">
        <v>255</v>
      </c>
      <c r="AK2240">
        <v>2</v>
      </c>
      <c r="AL2240">
        <v>0</v>
      </c>
      <c r="AM2240">
        <v>2</v>
      </c>
      <c r="AN2240">
        <v>0</v>
      </c>
      <c r="AO2240">
        <v>2</v>
      </c>
      <c r="AP2240">
        <v>-33</v>
      </c>
      <c r="AQ2240">
        <v>0</v>
      </c>
      <c r="AR2240">
        <v>0</v>
      </c>
      <c r="AS2240">
        <v>0</v>
      </c>
      <c r="AT2240" t="s">
        <v>90</v>
      </c>
      <c r="AU2240" s="1">
        <v>44218.707743055558</v>
      </c>
      <c r="AV2240">
        <v>20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-33</v>
      </c>
      <c r="BC2240">
        <v>0</v>
      </c>
      <c r="BD2240">
        <v>0</v>
      </c>
      <c r="BE2240">
        <v>0</v>
      </c>
    </row>
    <row r="2241" spans="1:57" x14ac:dyDescent="0.45">
      <c r="A2241" t="s">
        <v>5434</v>
      </c>
      <c r="B2241" t="s">
        <v>79</v>
      </c>
      <c r="C2241" t="s">
        <v>5428</v>
      </c>
      <c r="D2241" t="s">
        <v>81</v>
      </c>
      <c r="E2241" s="2" t="str">
        <f>HYPERLINK("capsilon://?command=openfolder&amp;siteaddress=FAM.docvelocity-na8.net&amp;folderid=FX64A4544D-4DF6-7E20-C6DB-D41F3EACED86","FX201110289")</f>
        <v>FX201110289</v>
      </c>
      <c r="F2241" t="s">
        <v>19</v>
      </c>
      <c r="G2241" t="s">
        <v>19</v>
      </c>
      <c r="H2241" t="s">
        <v>82</v>
      </c>
      <c r="I2241" t="s">
        <v>5435</v>
      </c>
      <c r="J2241">
        <v>96</v>
      </c>
      <c r="K2241" t="s">
        <v>84</v>
      </c>
      <c r="L2241" t="s">
        <v>85</v>
      </c>
      <c r="M2241" t="s">
        <v>86</v>
      </c>
      <c r="N2241">
        <v>3</v>
      </c>
      <c r="O2241" s="1">
        <v>44218.594166666669</v>
      </c>
      <c r="P2241" s="1">
        <v>44218.622627314813</v>
      </c>
      <c r="Q2241">
        <v>1468</v>
      </c>
      <c r="R2241">
        <v>991</v>
      </c>
      <c r="S2241" t="b">
        <v>0</v>
      </c>
      <c r="T2241" t="s">
        <v>87</v>
      </c>
      <c r="U2241" t="b">
        <v>0</v>
      </c>
      <c r="V2241" t="s">
        <v>160</v>
      </c>
      <c r="W2241" s="1">
        <v>44218.610347222224</v>
      </c>
      <c r="X2241">
        <v>777</v>
      </c>
      <c r="Y2241">
        <v>92</v>
      </c>
      <c r="Z2241">
        <v>0</v>
      </c>
      <c r="AA2241">
        <v>92</v>
      </c>
      <c r="AB2241">
        <v>0</v>
      </c>
      <c r="AC2241">
        <v>70</v>
      </c>
      <c r="AD2241">
        <v>4</v>
      </c>
      <c r="AE2241">
        <v>0</v>
      </c>
      <c r="AF2241">
        <v>0</v>
      </c>
      <c r="AG2241">
        <v>0</v>
      </c>
      <c r="AH2241" t="s">
        <v>128</v>
      </c>
      <c r="AI2241" s="1">
        <v>44218.613703703704</v>
      </c>
      <c r="AJ2241">
        <v>206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4</v>
      </c>
      <c r="AQ2241">
        <v>0</v>
      </c>
      <c r="AR2241">
        <v>0</v>
      </c>
      <c r="AS2241">
        <v>0</v>
      </c>
      <c r="AT2241" t="s">
        <v>90</v>
      </c>
      <c r="AU2241" s="1">
        <v>44218.622627314813</v>
      </c>
      <c r="AV2241">
        <v>8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4</v>
      </c>
      <c r="BC2241">
        <v>0</v>
      </c>
      <c r="BD2241">
        <v>0</v>
      </c>
      <c r="BE2241">
        <v>0</v>
      </c>
    </row>
    <row r="2242" spans="1:57" hidden="1" x14ac:dyDescent="0.45">
      <c r="A2242" t="s">
        <v>5436</v>
      </c>
      <c r="B2242" t="s">
        <v>79</v>
      </c>
      <c r="C2242" t="s">
        <v>2774</v>
      </c>
      <c r="D2242" t="s">
        <v>81</v>
      </c>
      <c r="E2242" s="2" t="str">
        <f>HYPERLINK("capsilon://?command=openfolder&amp;siteaddress=FAM.docvelocity-na8.net&amp;folderid=FX8F24DB13-6008-B68A-08D1-C3794301B6E2","FX201221601")</f>
        <v>FX201221601</v>
      </c>
      <c r="F2242" t="s">
        <v>19</v>
      </c>
      <c r="G2242" t="s">
        <v>19</v>
      </c>
      <c r="H2242" t="s">
        <v>82</v>
      </c>
      <c r="I2242" t="s">
        <v>5437</v>
      </c>
      <c r="J2242">
        <v>66</v>
      </c>
      <c r="K2242" t="s">
        <v>84</v>
      </c>
      <c r="L2242" t="s">
        <v>85</v>
      </c>
      <c r="M2242" t="s">
        <v>86</v>
      </c>
      <c r="N2242">
        <v>1</v>
      </c>
      <c r="O2242" s="1">
        <v>44218.594502314816</v>
      </c>
      <c r="P2242" s="1">
        <v>44218.601944444446</v>
      </c>
      <c r="Q2242">
        <v>593</v>
      </c>
      <c r="R2242">
        <v>50</v>
      </c>
      <c r="S2242" t="b">
        <v>0</v>
      </c>
      <c r="T2242" t="s">
        <v>87</v>
      </c>
      <c r="U2242" t="b">
        <v>0</v>
      </c>
      <c r="V2242" t="s">
        <v>242</v>
      </c>
      <c r="W2242" s="1">
        <v>44218.601944444446</v>
      </c>
      <c r="X2242">
        <v>50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66</v>
      </c>
      <c r="AE2242">
        <v>52</v>
      </c>
      <c r="AF2242">
        <v>0</v>
      </c>
      <c r="AG2242">
        <v>1</v>
      </c>
      <c r="AH2242" t="s">
        <v>87</v>
      </c>
      <c r="AI2242" t="s">
        <v>87</v>
      </c>
      <c r="AJ2242" t="s">
        <v>87</v>
      </c>
      <c r="AK2242" t="s">
        <v>87</v>
      </c>
      <c r="AL2242" t="s">
        <v>87</v>
      </c>
      <c r="AM2242" t="s">
        <v>87</v>
      </c>
      <c r="AN2242" t="s">
        <v>87</v>
      </c>
      <c r="AO2242" t="s">
        <v>87</v>
      </c>
      <c r="AP2242" t="s">
        <v>87</v>
      </c>
      <c r="AQ2242" t="s">
        <v>87</v>
      </c>
      <c r="AR2242" t="s">
        <v>87</v>
      </c>
      <c r="AS2242" t="s">
        <v>87</v>
      </c>
      <c r="AT2242" t="s">
        <v>87</v>
      </c>
      <c r="AU2242" t="s">
        <v>87</v>
      </c>
      <c r="AV2242" t="s">
        <v>87</v>
      </c>
      <c r="AW2242" t="s">
        <v>87</v>
      </c>
      <c r="AX2242" t="s">
        <v>87</v>
      </c>
      <c r="AY2242" t="s">
        <v>87</v>
      </c>
      <c r="AZ2242" t="s">
        <v>87</v>
      </c>
      <c r="BA2242" t="s">
        <v>87</v>
      </c>
      <c r="BB2242" t="s">
        <v>87</v>
      </c>
      <c r="BC2242" t="s">
        <v>87</v>
      </c>
      <c r="BD2242" t="s">
        <v>87</v>
      </c>
      <c r="BE2242" t="s">
        <v>87</v>
      </c>
    </row>
    <row r="2243" spans="1:57" x14ac:dyDescent="0.45">
      <c r="A2243" t="s">
        <v>5438</v>
      </c>
      <c r="B2243" t="s">
        <v>79</v>
      </c>
      <c r="C2243" t="s">
        <v>5428</v>
      </c>
      <c r="D2243" t="s">
        <v>81</v>
      </c>
      <c r="E2243" s="2" t="str">
        <f>HYPERLINK("capsilon://?command=openfolder&amp;siteaddress=FAM.docvelocity-na8.net&amp;folderid=FX64A4544D-4DF6-7E20-C6DB-D41F3EACED86","FX201110289")</f>
        <v>FX201110289</v>
      </c>
      <c r="F2243" t="s">
        <v>19</v>
      </c>
      <c r="G2243" t="s">
        <v>19</v>
      </c>
      <c r="H2243" t="s">
        <v>82</v>
      </c>
      <c r="I2243" t="s">
        <v>5439</v>
      </c>
      <c r="J2243">
        <v>116</v>
      </c>
      <c r="K2243" t="s">
        <v>84</v>
      </c>
      <c r="L2243" t="s">
        <v>85</v>
      </c>
      <c r="M2243" t="s">
        <v>81</v>
      </c>
      <c r="N2243">
        <v>2</v>
      </c>
      <c r="O2243" s="1">
        <v>44218.59574074074</v>
      </c>
      <c r="P2243" s="1">
        <v>44218.609409722223</v>
      </c>
      <c r="Q2243">
        <v>585</v>
      </c>
      <c r="R2243">
        <v>596</v>
      </c>
      <c r="S2243" t="b">
        <v>0</v>
      </c>
      <c r="T2243" t="s">
        <v>255</v>
      </c>
      <c r="U2243" t="b">
        <v>0</v>
      </c>
      <c r="V2243" t="s">
        <v>255</v>
      </c>
      <c r="W2243" s="1">
        <v>44218.605706018519</v>
      </c>
      <c r="X2243">
        <v>355</v>
      </c>
      <c r="Y2243">
        <v>112</v>
      </c>
      <c r="Z2243">
        <v>0</v>
      </c>
      <c r="AA2243">
        <v>112</v>
      </c>
      <c r="AB2243">
        <v>0</v>
      </c>
      <c r="AC2243">
        <v>26</v>
      </c>
      <c r="AD2243">
        <v>4</v>
      </c>
      <c r="AE2243">
        <v>0</v>
      </c>
      <c r="AF2243">
        <v>0</v>
      </c>
      <c r="AG2243">
        <v>0</v>
      </c>
      <c r="AH2243" t="s">
        <v>255</v>
      </c>
      <c r="AI2243" s="1">
        <v>44218.609409722223</v>
      </c>
      <c r="AJ2243">
        <v>153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4</v>
      </c>
      <c r="AQ2243">
        <v>112</v>
      </c>
      <c r="AR2243">
        <v>0</v>
      </c>
      <c r="AS2243">
        <v>3</v>
      </c>
      <c r="AT2243" t="s">
        <v>87</v>
      </c>
      <c r="AU2243" t="s">
        <v>87</v>
      </c>
      <c r="AV2243" t="s">
        <v>87</v>
      </c>
      <c r="AW2243" t="s">
        <v>87</v>
      </c>
      <c r="AX2243" t="s">
        <v>87</v>
      </c>
      <c r="AY2243" t="s">
        <v>87</v>
      </c>
      <c r="AZ2243" t="s">
        <v>87</v>
      </c>
      <c r="BA2243" t="s">
        <v>87</v>
      </c>
      <c r="BB2243" t="s">
        <v>87</v>
      </c>
      <c r="BC2243" t="s">
        <v>87</v>
      </c>
      <c r="BD2243" t="s">
        <v>87</v>
      </c>
      <c r="BE2243" t="s">
        <v>87</v>
      </c>
    </row>
    <row r="2244" spans="1:57" x14ac:dyDescent="0.45">
      <c r="A2244" t="s">
        <v>5440</v>
      </c>
      <c r="B2244" t="s">
        <v>79</v>
      </c>
      <c r="C2244" t="s">
        <v>5441</v>
      </c>
      <c r="D2244" t="s">
        <v>81</v>
      </c>
      <c r="E2244" s="2" t="str">
        <f>HYPERLINK("capsilon://?command=openfolder&amp;siteaddress=FAM.docvelocity-na8.net&amp;folderid=FX24D2E8B3-D2AD-58C1-FC85-389FCCF4201E","FX210112114")</f>
        <v>FX210112114</v>
      </c>
      <c r="F2244" t="s">
        <v>19</v>
      </c>
      <c r="G2244" t="s">
        <v>19</v>
      </c>
      <c r="H2244" t="s">
        <v>82</v>
      </c>
      <c r="I2244" t="s">
        <v>5442</v>
      </c>
      <c r="J2244">
        <v>147</v>
      </c>
      <c r="K2244" t="s">
        <v>84</v>
      </c>
      <c r="L2244" t="s">
        <v>85</v>
      </c>
      <c r="M2244" t="s">
        <v>86</v>
      </c>
      <c r="N2244">
        <v>3</v>
      </c>
      <c r="O2244" s="1">
        <v>44218.59815972222</v>
      </c>
      <c r="P2244" s="1">
        <v>44218.708541666667</v>
      </c>
      <c r="Q2244">
        <v>5272</v>
      </c>
      <c r="R2244">
        <v>4265</v>
      </c>
      <c r="S2244" t="b">
        <v>0</v>
      </c>
      <c r="T2244" t="s">
        <v>87</v>
      </c>
      <c r="U2244" t="b">
        <v>0</v>
      </c>
      <c r="V2244" t="s">
        <v>242</v>
      </c>
      <c r="W2244" s="1">
        <v>44218.634918981479</v>
      </c>
      <c r="X2244">
        <v>2560</v>
      </c>
      <c r="Y2244">
        <v>148</v>
      </c>
      <c r="Z2244">
        <v>0</v>
      </c>
      <c r="AA2244">
        <v>148</v>
      </c>
      <c r="AB2244">
        <v>0</v>
      </c>
      <c r="AC2244">
        <v>78</v>
      </c>
      <c r="AD2244">
        <v>-1</v>
      </c>
      <c r="AE2244">
        <v>0</v>
      </c>
      <c r="AF2244">
        <v>0</v>
      </c>
      <c r="AG2244">
        <v>0</v>
      </c>
      <c r="AH2244" t="s">
        <v>267</v>
      </c>
      <c r="AI2244" s="1">
        <v>44218.654687499999</v>
      </c>
      <c r="AJ2244">
        <v>79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-1</v>
      </c>
      <c r="AQ2244">
        <v>0</v>
      </c>
      <c r="AR2244">
        <v>0</v>
      </c>
      <c r="AS2244">
        <v>0</v>
      </c>
      <c r="AT2244" t="s">
        <v>90</v>
      </c>
      <c r="AU2244" s="1">
        <v>44218.708541666667</v>
      </c>
      <c r="AV2244">
        <v>68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-1</v>
      </c>
      <c r="BC2244">
        <v>0</v>
      </c>
      <c r="BD2244">
        <v>0</v>
      </c>
      <c r="BE2244">
        <v>0</v>
      </c>
    </row>
    <row r="2245" spans="1:57" x14ac:dyDescent="0.45">
      <c r="A2245" t="s">
        <v>5443</v>
      </c>
      <c r="B2245" t="s">
        <v>79</v>
      </c>
      <c r="C2245" t="s">
        <v>2774</v>
      </c>
      <c r="D2245" t="s">
        <v>81</v>
      </c>
      <c r="E2245" s="2" t="str">
        <f>HYPERLINK("capsilon://?command=openfolder&amp;siteaddress=FAM.docvelocity-na8.net&amp;folderid=FX8F24DB13-6008-B68A-08D1-C3794301B6E2","FX201221601")</f>
        <v>FX201221601</v>
      </c>
      <c r="F2245" t="s">
        <v>19</v>
      </c>
      <c r="G2245" t="s">
        <v>19</v>
      </c>
      <c r="H2245" t="s">
        <v>82</v>
      </c>
      <c r="I2245" t="s">
        <v>5437</v>
      </c>
      <c r="J2245">
        <v>38</v>
      </c>
      <c r="K2245" t="s">
        <v>84</v>
      </c>
      <c r="L2245" t="s">
        <v>85</v>
      </c>
      <c r="M2245" t="s">
        <v>86</v>
      </c>
      <c r="N2245">
        <v>3</v>
      </c>
      <c r="O2245" s="1">
        <v>44218.60229166667</v>
      </c>
      <c r="P2245" s="1">
        <v>44218.619212962964</v>
      </c>
      <c r="Q2245">
        <v>1134</v>
      </c>
      <c r="R2245">
        <v>328</v>
      </c>
      <c r="S2245" t="b">
        <v>0</v>
      </c>
      <c r="T2245" t="s">
        <v>87</v>
      </c>
      <c r="U2245" t="b">
        <v>1</v>
      </c>
      <c r="V2245" t="s">
        <v>242</v>
      </c>
      <c r="W2245" s="1">
        <v>44218.60527777778</v>
      </c>
      <c r="X2245">
        <v>254</v>
      </c>
      <c r="Y2245">
        <v>37</v>
      </c>
      <c r="Z2245">
        <v>0</v>
      </c>
      <c r="AA2245">
        <v>37</v>
      </c>
      <c r="AB2245">
        <v>0</v>
      </c>
      <c r="AC2245">
        <v>34</v>
      </c>
      <c r="AD2245">
        <v>1</v>
      </c>
      <c r="AE2245">
        <v>0</v>
      </c>
      <c r="AF2245">
        <v>0</v>
      </c>
      <c r="AG2245">
        <v>0</v>
      </c>
      <c r="AH2245" t="s">
        <v>267</v>
      </c>
      <c r="AI2245" s="1">
        <v>44218.606932870367</v>
      </c>
      <c r="AJ2245">
        <v>70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 t="s">
        <v>90</v>
      </c>
      <c r="AU2245" s="1">
        <v>44218.619212962964</v>
      </c>
      <c r="AV2245">
        <v>4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0</v>
      </c>
    </row>
    <row r="2246" spans="1:57" x14ac:dyDescent="0.45">
      <c r="A2246" t="s">
        <v>5444</v>
      </c>
      <c r="B2246" t="s">
        <v>79</v>
      </c>
      <c r="C2246" t="s">
        <v>4844</v>
      </c>
      <c r="D2246" t="s">
        <v>81</v>
      </c>
      <c r="E2246" s="2" t="str">
        <f>HYPERLINK("capsilon://?command=openfolder&amp;siteaddress=FAM.docvelocity-na8.net&amp;folderid=FXD28E63C6-4968-F4EA-356E-DFE9FDED7DFA","FX21017859")</f>
        <v>FX21017859</v>
      </c>
      <c r="F2246" t="s">
        <v>19</v>
      </c>
      <c r="G2246" t="s">
        <v>19</v>
      </c>
      <c r="H2246" t="s">
        <v>82</v>
      </c>
      <c r="I2246" t="s">
        <v>5445</v>
      </c>
      <c r="J2246">
        <v>66</v>
      </c>
      <c r="K2246" t="s">
        <v>84</v>
      </c>
      <c r="L2246" t="s">
        <v>85</v>
      </c>
      <c r="M2246" t="s">
        <v>86</v>
      </c>
      <c r="N2246">
        <v>3</v>
      </c>
      <c r="O2246" s="1">
        <v>44218.60601851852</v>
      </c>
      <c r="P2246" s="1">
        <v>44218.623090277775</v>
      </c>
      <c r="Q2246">
        <v>539</v>
      </c>
      <c r="R2246">
        <v>936</v>
      </c>
      <c r="S2246" t="b">
        <v>0</v>
      </c>
      <c r="T2246" t="s">
        <v>87</v>
      </c>
      <c r="U2246" t="b">
        <v>0</v>
      </c>
      <c r="V2246" t="s">
        <v>255</v>
      </c>
      <c r="W2246" s="1">
        <v>44218.614444444444</v>
      </c>
      <c r="X2246">
        <v>690</v>
      </c>
      <c r="Y2246">
        <v>52</v>
      </c>
      <c r="Z2246">
        <v>0</v>
      </c>
      <c r="AA2246">
        <v>52</v>
      </c>
      <c r="AB2246">
        <v>0</v>
      </c>
      <c r="AC2246">
        <v>37</v>
      </c>
      <c r="AD2246">
        <v>14</v>
      </c>
      <c r="AE2246">
        <v>0</v>
      </c>
      <c r="AF2246">
        <v>0</v>
      </c>
      <c r="AG2246">
        <v>0</v>
      </c>
      <c r="AH2246" t="s">
        <v>128</v>
      </c>
      <c r="AI2246" s="1">
        <v>44218.619432870371</v>
      </c>
      <c r="AJ2246">
        <v>207</v>
      </c>
      <c r="AK2246">
        <v>1</v>
      </c>
      <c r="AL2246">
        <v>0</v>
      </c>
      <c r="AM2246">
        <v>1</v>
      </c>
      <c r="AN2246">
        <v>0</v>
      </c>
      <c r="AO2246">
        <v>1</v>
      </c>
      <c r="AP2246">
        <v>13</v>
      </c>
      <c r="AQ2246">
        <v>0</v>
      </c>
      <c r="AR2246">
        <v>0</v>
      </c>
      <c r="AS2246">
        <v>0</v>
      </c>
      <c r="AT2246" t="s">
        <v>90</v>
      </c>
      <c r="AU2246" s="1">
        <v>44218.623090277775</v>
      </c>
      <c r="AV2246">
        <v>39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13</v>
      </c>
      <c r="BC2246">
        <v>0</v>
      </c>
      <c r="BD2246">
        <v>0</v>
      </c>
      <c r="BE2246">
        <v>0</v>
      </c>
    </row>
    <row r="2247" spans="1:57" x14ac:dyDescent="0.45">
      <c r="A2247" t="s">
        <v>5446</v>
      </c>
      <c r="B2247" t="s">
        <v>79</v>
      </c>
      <c r="C2247" t="s">
        <v>5447</v>
      </c>
      <c r="D2247" t="s">
        <v>81</v>
      </c>
      <c r="E2247" s="2" t="str">
        <f>HYPERLINK("capsilon://?command=openfolder&amp;siteaddress=FAM.docvelocity-na8.net&amp;folderid=FX6B885C78-62E6-2293-2B33-8C83D386A96D","FX201228349")</f>
        <v>FX201228349</v>
      </c>
      <c r="F2247" t="s">
        <v>19</v>
      </c>
      <c r="G2247" t="s">
        <v>19</v>
      </c>
      <c r="H2247" t="s">
        <v>82</v>
      </c>
      <c r="I2247" t="s">
        <v>5448</v>
      </c>
      <c r="J2247">
        <v>66</v>
      </c>
      <c r="K2247" t="s">
        <v>84</v>
      </c>
      <c r="L2247" t="s">
        <v>85</v>
      </c>
      <c r="M2247" t="s">
        <v>86</v>
      </c>
      <c r="N2247">
        <v>3</v>
      </c>
      <c r="O2247" s="1">
        <v>44201.527789351851</v>
      </c>
      <c r="P2247" s="1">
        <v>44201.598726851851</v>
      </c>
      <c r="Q2247">
        <v>3814</v>
      </c>
      <c r="R2247">
        <v>2315</v>
      </c>
      <c r="S2247" t="b">
        <v>0</v>
      </c>
      <c r="T2247" t="s">
        <v>87</v>
      </c>
      <c r="U2247" t="b">
        <v>0</v>
      </c>
      <c r="V2247" t="s">
        <v>259</v>
      </c>
      <c r="W2247" s="1">
        <v>44201.544606481482</v>
      </c>
      <c r="X2247">
        <v>1160</v>
      </c>
      <c r="Y2247">
        <v>52</v>
      </c>
      <c r="Z2247">
        <v>0</v>
      </c>
      <c r="AA2247">
        <v>52</v>
      </c>
      <c r="AB2247">
        <v>0</v>
      </c>
      <c r="AC2247">
        <v>27</v>
      </c>
      <c r="AD2247">
        <v>14</v>
      </c>
      <c r="AE2247">
        <v>0</v>
      </c>
      <c r="AF2247">
        <v>0</v>
      </c>
      <c r="AG2247">
        <v>0</v>
      </c>
      <c r="AH2247" t="s">
        <v>94</v>
      </c>
      <c r="AI2247" s="1">
        <v>44201.579039351855</v>
      </c>
      <c r="AJ2247">
        <v>783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14</v>
      </c>
      <c r="AQ2247">
        <v>0</v>
      </c>
      <c r="AR2247">
        <v>0</v>
      </c>
      <c r="AS2247">
        <v>0</v>
      </c>
      <c r="AT2247" t="s">
        <v>90</v>
      </c>
      <c r="AU2247" s="1">
        <v>44201.598726851851</v>
      </c>
      <c r="AV2247">
        <v>114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14</v>
      </c>
      <c r="BC2247">
        <v>0</v>
      </c>
      <c r="BD2247">
        <v>0</v>
      </c>
      <c r="BE2247">
        <v>0</v>
      </c>
    </row>
    <row r="2248" spans="1:57" x14ac:dyDescent="0.45">
      <c r="A2248" t="s">
        <v>5449</v>
      </c>
      <c r="B2248" t="s">
        <v>79</v>
      </c>
      <c r="C2248" t="s">
        <v>5428</v>
      </c>
      <c r="D2248" t="s">
        <v>81</v>
      </c>
      <c r="E2248" s="2" t="str">
        <f>HYPERLINK("capsilon://?command=openfolder&amp;siteaddress=FAM.docvelocity-na8.net&amp;folderid=FX64A4544D-4DF6-7E20-C6DB-D41F3EACED86","FX201110289")</f>
        <v>FX201110289</v>
      </c>
      <c r="F2248" t="s">
        <v>19</v>
      </c>
      <c r="G2248" t="s">
        <v>19</v>
      </c>
      <c r="H2248" t="s">
        <v>82</v>
      </c>
      <c r="I2248" t="s">
        <v>5439</v>
      </c>
      <c r="J2248">
        <v>288</v>
      </c>
      <c r="K2248" t="s">
        <v>84</v>
      </c>
      <c r="L2248" t="s">
        <v>85</v>
      </c>
      <c r="M2248" t="s">
        <v>86</v>
      </c>
      <c r="N2248">
        <v>3</v>
      </c>
      <c r="O2248" s="1">
        <v>44218.611041666663</v>
      </c>
      <c r="P2248" s="1">
        <v>44218.696273148147</v>
      </c>
      <c r="Q2248">
        <v>5829</v>
      </c>
      <c r="R2248">
        <v>1535</v>
      </c>
      <c r="S2248" t="b">
        <v>0</v>
      </c>
      <c r="T2248" t="s">
        <v>87</v>
      </c>
      <c r="U2248" t="b">
        <v>1</v>
      </c>
      <c r="V2248" t="s">
        <v>142</v>
      </c>
      <c r="W2248" s="1">
        <v>44218.626400462963</v>
      </c>
      <c r="X2248">
        <v>969</v>
      </c>
      <c r="Y2248">
        <v>276</v>
      </c>
      <c r="Z2248">
        <v>0</v>
      </c>
      <c r="AA2248">
        <v>276</v>
      </c>
      <c r="AB2248">
        <v>0</v>
      </c>
      <c r="AC2248">
        <v>56</v>
      </c>
      <c r="AD2248">
        <v>12</v>
      </c>
      <c r="AE2248">
        <v>0</v>
      </c>
      <c r="AF2248">
        <v>0</v>
      </c>
      <c r="AG2248">
        <v>0</v>
      </c>
      <c r="AH2248" t="s">
        <v>128</v>
      </c>
      <c r="AI2248" s="1">
        <v>44218.6328125</v>
      </c>
      <c r="AJ2248">
        <v>461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12</v>
      </c>
      <c r="AQ2248">
        <v>0</v>
      </c>
      <c r="AR2248">
        <v>0</v>
      </c>
      <c r="AS2248">
        <v>0</v>
      </c>
      <c r="AT2248" t="s">
        <v>549</v>
      </c>
      <c r="AU2248" s="1">
        <v>44218.696273148147</v>
      </c>
      <c r="AV2248">
        <v>32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12</v>
      </c>
      <c r="BC2248">
        <v>0</v>
      </c>
      <c r="BD2248">
        <v>0</v>
      </c>
      <c r="BE2248">
        <v>0</v>
      </c>
    </row>
    <row r="2249" spans="1:57" x14ac:dyDescent="0.45">
      <c r="A2249" t="s">
        <v>5450</v>
      </c>
      <c r="B2249" t="s">
        <v>79</v>
      </c>
      <c r="C2249" t="s">
        <v>656</v>
      </c>
      <c r="D2249" t="s">
        <v>81</v>
      </c>
      <c r="E2249" s="2" t="str">
        <f>HYPERLINK("capsilon://?command=openfolder&amp;siteaddress=FAM.docvelocity-na8.net&amp;folderid=FX56248E6A-011F-BB32-4646-F5C5E1B7C09D","FX20122029")</f>
        <v>FX20122029</v>
      </c>
      <c r="F2249" t="s">
        <v>19</v>
      </c>
      <c r="G2249" t="s">
        <v>19</v>
      </c>
      <c r="H2249" t="s">
        <v>82</v>
      </c>
      <c r="I2249" t="s">
        <v>5451</v>
      </c>
      <c r="J2249">
        <v>70</v>
      </c>
      <c r="K2249" t="s">
        <v>84</v>
      </c>
      <c r="L2249" t="s">
        <v>85</v>
      </c>
      <c r="M2249" t="s">
        <v>86</v>
      </c>
      <c r="N2249">
        <v>3</v>
      </c>
      <c r="O2249" s="1">
        <v>44218.611504629633</v>
      </c>
      <c r="P2249" s="1">
        <v>44218.623310185183</v>
      </c>
      <c r="Q2249">
        <v>508</v>
      </c>
      <c r="R2249">
        <v>512</v>
      </c>
      <c r="S2249" t="b">
        <v>0</v>
      </c>
      <c r="T2249" t="s">
        <v>87</v>
      </c>
      <c r="U2249" t="b">
        <v>0</v>
      </c>
      <c r="V2249" t="s">
        <v>255</v>
      </c>
      <c r="W2249" s="1">
        <v>44218.61891203704</v>
      </c>
      <c r="X2249">
        <v>385</v>
      </c>
      <c r="Y2249">
        <v>39</v>
      </c>
      <c r="Z2249">
        <v>0</v>
      </c>
      <c r="AA2249">
        <v>39</v>
      </c>
      <c r="AB2249">
        <v>0</v>
      </c>
      <c r="AC2249">
        <v>16</v>
      </c>
      <c r="AD2249">
        <v>31</v>
      </c>
      <c r="AE2249">
        <v>0</v>
      </c>
      <c r="AF2249">
        <v>0</v>
      </c>
      <c r="AG2249">
        <v>0</v>
      </c>
      <c r="AH2249" t="s">
        <v>128</v>
      </c>
      <c r="AI2249" s="1">
        <v>44218.620706018519</v>
      </c>
      <c r="AJ2249">
        <v>109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31</v>
      </c>
      <c r="AQ2249">
        <v>0</v>
      </c>
      <c r="AR2249">
        <v>0</v>
      </c>
      <c r="AS2249">
        <v>0</v>
      </c>
      <c r="AT2249" t="s">
        <v>90</v>
      </c>
      <c r="AU2249" s="1">
        <v>44218.623310185183</v>
      </c>
      <c r="AV2249">
        <v>18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31</v>
      </c>
      <c r="BC2249">
        <v>0</v>
      </c>
      <c r="BD2249">
        <v>0</v>
      </c>
      <c r="BE2249">
        <v>0</v>
      </c>
    </row>
    <row r="2250" spans="1:57" x14ac:dyDescent="0.45">
      <c r="A2250" t="s">
        <v>5452</v>
      </c>
      <c r="B2250" t="s">
        <v>79</v>
      </c>
      <c r="C2250" t="s">
        <v>1231</v>
      </c>
      <c r="D2250" t="s">
        <v>81</v>
      </c>
      <c r="E2250" s="2" t="str">
        <f>HYPERLINK("capsilon://?command=openfolder&amp;siteaddress=FAM.docvelocity-na8.net&amp;folderid=FX71ED44C4-444A-1D3C-1044-EF027071D396","FX2101439")</f>
        <v>FX2101439</v>
      </c>
      <c r="F2250" t="s">
        <v>19</v>
      </c>
      <c r="G2250" t="s">
        <v>19</v>
      </c>
      <c r="H2250" t="s">
        <v>82</v>
      </c>
      <c r="I2250" t="s">
        <v>5453</v>
      </c>
      <c r="J2250">
        <v>66</v>
      </c>
      <c r="K2250" t="s">
        <v>84</v>
      </c>
      <c r="L2250" t="s">
        <v>85</v>
      </c>
      <c r="M2250" t="s">
        <v>86</v>
      </c>
      <c r="N2250">
        <v>3</v>
      </c>
      <c r="O2250" s="1">
        <v>44218.6171412037</v>
      </c>
      <c r="P2250" s="1">
        <v>44218.708761574075</v>
      </c>
      <c r="Q2250">
        <v>7486</v>
      </c>
      <c r="R2250">
        <v>430</v>
      </c>
      <c r="S2250" t="b">
        <v>0</v>
      </c>
      <c r="T2250" t="s">
        <v>87</v>
      </c>
      <c r="U2250" t="b">
        <v>0</v>
      </c>
      <c r="V2250" t="s">
        <v>255</v>
      </c>
      <c r="W2250" s="1">
        <v>44218.621840277781</v>
      </c>
      <c r="X2250">
        <v>252</v>
      </c>
      <c r="Y2250">
        <v>52</v>
      </c>
      <c r="Z2250">
        <v>0</v>
      </c>
      <c r="AA2250">
        <v>52</v>
      </c>
      <c r="AB2250">
        <v>0</v>
      </c>
      <c r="AC2250">
        <v>32</v>
      </c>
      <c r="AD2250">
        <v>14</v>
      </c>
      <c r="AE2250">
        <v>0</v>
      </c>
      <c r="AF2250">
        <v>0</v>
      </c>
      <c r="AG2250">
        <v>0</v>
      </c>
      <c r="AH2250" t="s">
        <v>128</v>
      </c>
      <c r="AI2250" s="1">
        <v>44218.624502314815</v>
      </c>
      <c r="AJ2250">
        <v>159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14</v>
      </c>
      <c r="AQ2250">
        <v>0</v>
      </c>
      <c r="AR2250">
        <v>0</v>
      </c>
      <c r="AS2250">
        <v>0</v>
      </c>
      <c r="AT2250" t="s">
        <v>90</v>
      </c>
      <c r="AU2250" s="1">
        <v>44218.708761574075</v>
      </c>
      <c r="AV2250">
        <v>19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14</v>
      </c>
      <c r="BC2250">
        <v>0</v>
      </c>
      <c r="BD2250">
        <v>0</v>
      </c>
      <c r="BE2250">
        <v>0</v>
      </c>
    </row>
    <row r="2251" spans="1:57" x14ac:dyDescent="0.45">
      <c r="A2251" t="s">
        <v>5454</v>
      </c>
      <c r="B2251" t="s">
        <v>79</v>
      </c>
      <c r="C2251" t="s">
        <v>2422</v>
      </c>
      <c r="D2251" t="s">
        <v>81</v>
      </c>
      <c r="E2251" s="2" t="str">
        <f>HYPERLINK("capsilon://?command=openfolder&amp;siteaddress=FAM.docvelocity-na8.net&amp;folderid=FXB96D62E4-3896-65BC-62C6-48BB8E66D263","FX2101571")</f>
        <v>FX2101571</v>
      </c>
      <c r="F2251" t="s">
        <v>19</v>
      </c>
      <c r="G2251" t="s">
        <v>19</v>
      </c>
      <c r="H2251" t="s">
        <v>82</v>
      </c>
      <c r="I2251" t="s">
        <v>5455</v>
      </c>
      <c r="J2251">
        <v>26</v>
      </c>
      <c r="K2251" t="s">
        <v>84</v>
      </c>
      <c r="L2251" t="s">
        <v>85</v>
      </c>
      <c r="M2251" t="s">
        <v>86</v>
      </c>
      <c r="N2251">
        <v>3</v>
      </c>
      <c r="O2251" s="1">
        <v>44218.618738425925</v>
      </c>
      <c r="P2251" s="1">
        <v>44218.70884259259</v>
      </c>
      <c r="Q2251">
        <v>7114</v>
      </c>
      <c r="R2251">
        <v>671</v>
      </c>
      <c r="S2251" t="b">
        <v>0</v>
      </c>
      <c r="T2251" t="s">
        <v>87</v>
      </c>
      <c r="U2251" t="b">
        <v>0</v>
      </c>
      <c r="V2251" t="s">
        <v>255</v>
      </c>
      <c r="W2251" s="1">
        <v>44218.628437500003</v>
      </c>
      <c r="X2251">
        <v>569</v>
      </c>
      <c r="Y2251">
        <v>21</v>
      </c>
      <c r="Z2251">
        <v>0</v>
      </c>
      <c r="AA2251">
        <v>21</v>
      </c>
      <c r="AB2251">
        <v>0</v>
      </c>
      <c r="AC2251">
        <v>19</v>
      </c>
      <c r="AD2251">
        <v>5</v>
      </c>
      <c r="AE2251">
        <v>0</v>
      </c>
      <c r="AF2251">
        <v>0</v>
      </c>
      <c r="AG2251">
        <v>0</v>
      </c>
      <c r="AH2251" t="s">
        <v>267</v>
      </c>
      <c r="AI2251" s="1">
        <v>44218.631620370368</v>
      </c>
      <c r="AJ2251">
        <v>98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5</v>
      </c>
      <c r="AQ2251">
        <v>0</v>
      </c>
      <c r="AR2251">
        <v>0</v>
      </c>
      <c r="AS2251">
        <v>0</v>
      </c>
      <c r="AT2251" t="s">
        <v>90</v>
      </c>
      <c r="AU2251" s="1">
        <v>44218.70884259259</v>
      </c>
      <c r="AV2251">
        <v>4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5</v>
      </c>
      <c r="BC2251">
        <v>0</v>
      </c>
      <c r="BD2251">
        <v>0</v>
      </c>
      <c r="BE2251">
        <v>0</v>
      </c>
    </row>
    <row r="2252" spans="1:57" x14ac:dyDescent="0.45">
      <c r="A2252" t="s">
        <v>5456</v>
      </c>
      <c r="B2252" t="s">
        <v>79</v>
      </c>
      <c r="C2252" t="s">
        <v>5058</v>
      </c>
      <c r="D2252" t="s">
        <v>81</v>
      </c>
      <c r="E2252" s="2" t="str">
        <f>HYPERLINK("capsilon://?command=openfolder&amp;siteaddress=FAM.docvelocity-na8.net&amp;folderid=FX7324B021-AAB2-B5B8-BEFE-4CC3182D4C7B","FX21017803")</f>
        <v>FX21017803</v>
      </c>
      <c r="F2252" t="s">
        <v>19</v>
      </c>
      <c r="G2252" t="s">
        <v>19</v>
      </c>
      <c r="H2252" t="s">
        <v>82</v>
      </c>
      <c r="I2252" t="s">
        <v>5457</v>
      </c>
      <c r="J2252">
        <v>66</v>
      </c>
      <c r="K2252" t="s">
        <v>84</v>
      </c>
      <c r="L2252" t="s">
        <v>85</v>
      </c>
      <c r="M2252" t="s">
        <v>86</v>
      </c>
      <c r="N2252">
        <v>3</v>
      </c>
      <c r="O2252" s="1">
        <v>44218.619085648148</v>
      </c>
      <c r="P2252" s="1">
        <v>44218.709606481483</v>
      </c>
      <c r="Q2252">
        <v>7238</v>
      </c>
      <c r="R2252">
        <v>583</v>
      </c>
      <c r="S2252" t="b">
        <v>0</v>
      </c>
      <c r="T2252" t="s">
        <v>87</v>
      </c>
      <c r="U2252" t="b">
        <v>0</v>
      </c>
      <c r="V2252" t="s">
        <v>262</v>
      </c>
      <c r="W2252" s="1">
        <v>44218.628344907411</v>
      </c>
      <c r="X2252">
        <v>438</v>
      </c>
      <c r="Y2252">
        <v>52</v>
      </c>
      <c r="Z2252">
        <v>0</v>
      </c>
      <c r="AA2252">
        <v>52</v>
      </c>
      <c r="AB2252">
        <v>0</v>
      </c>
      <c r="AC2252">
        <v>25</v>
      </c>
      <c r="AD2252">
        <v>14</v>
      </c>
      <c r="AE2252">
        <v>0</v>
      </c>
      <c r="AF2252">
        <v>0</v>
      </c>
      <c r="AG2252">
        <v>0</v>
      </c>
      <c r="AH2252" t="s">
        <v>267</v>
      </c>
      <c r="AI2252" s="1">
        <v>44218.632557870369</v>
      </c>
      <c r="AJ2252">
        <v>80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14</v>
      </c>
      <c r="AQ2252">
        <v>0</v>
      </c>
      <c r="AR2252">
        <v>0</v>
      </c>
      <c r="AS2252">
        <v>0</v>
      </c>
      <c r="AT2252" t="s">
        <v>90</v>
      </c>
      <c r="AU2252" s="1">
        <v>44218.709606481483</v>
      </c>
      <c r="AV2252">
        <v>65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14</v>
      </c>
      <c r="BC2252">
        <v>0</v>
      </c>
      <c r="BD2252">
        <v>0</v>
      </c>
      <c r="BE2252">
        <v>0</v>
      </c>
    </row>
    <row r="2253" spans="1:57" hidden="1" x14ac:dyDescent="0.45">
      <c r="A2253" t="s">
        <v>5458</v>
      </c>
      <c r="B2253" t="s">
        <v>79</v>
      </c>
      <c r="C2253" t="s">
        <v>656</v>
      </c>
      <c r="D2253" t="s">
        <v>81</v>
      </c>
      <c r="E2253" s="2" t="str">
        <f>HYPERLINK("capsilon://?command=openfolder&amp;siteaddress=FAM.docvelocity-na8.net&amp;folderid=FX56248E6A-011F-BB32-4646-F5C5E1B7C09D","FX20122029")</f>
        <v>FX20122029</v>
      </c>
      <c r="F2253" t="s">
        <v>19</v>
      </c>
      <c r="G2253" t="s">
        <v>19</v>
      </c>
      <c r="H2253" t="s">
        <v>82</v>
      </c>
      <c r="I2253" t="s">
        <v>5459</v>
      </c>
      <c r="J2253">
        <v>49</v>
      </c>
      <c r="K2253" t="s">
        <v>84</v>
      </c>
      <c r="L2253" t="s">
        <v>85</v>
      </c>
      <c r="M2253" t="s">
        <v>86</v>
      </c>
      <c r="N2253">
        <v>1</v>
      </c>
      <c r="O2253" s="1">
        <v>44218.620393518519</v>
      </c>
      <c r="P2253" s="1">
        <v>44218.624907407408</v>
      </c>
      <c r="Q2253">
        <v>259</v>
      </c>
      <c r="R2253">
        <v>131</v>
      </c>
      <c r="S2253" t="b">
        <v>0</v>
      </c>
      <c r="T2253" t="s">
        <v>87</v>
      </c>
      <c r="U2253" t="b">
        <v>0</v>
      </c>
      <c r="V2253" t="s">
        <v>343</v>
      </c>
      <c r="W2253" s="1">
        <v>44218.624907407408</v>
      </c>
      <c r="X2253">
        <v>131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49</v>
      </c>
      <c r="AE2253">
        <v>45</v>
      </c>
      <c r="AF2253">
        <v>0</v>
      </c>
      <c r="AG2253">
        <v>1</v>
      </c>
      <c r="AH2253" t="s">
        <v>87</v>
      </c>
      <c r="AI2253" t="s">
        <v>87</v>
      </c>
      <c r="AJ2253" t="s">
        <v>87</v>
      </c>
      <c r="AK2253" t="s">
        <v>87</v>
      </c>
      <c r="AL2253" t="s">
        <v>87</v>
      </c>
      <c r="AM2253" t="s">
        <v>87</v>
      </c>
      <c r="AN2253" t="s">
        <v>87</v>
      </c>
      <c r="AO2253" t="s">
        <v>87</v>
      </c>
      <c r="AP2253" t="s">
        <v>87</v>
      </c>
      <c r="AQ2253" t="s">
        <v>87</v>
      </c>
      <c r="AR2253" t="s">
        <v>87</v>
      </c>
      <c r="AS2253" t="s">
        <v>87</v>
      </c>
      <c r="AT2253" t="s">
        <v>87</v>
      </c>
      <c r="AU2253" t="s">
        <v>87</v>
      </c>
      <c r="AV2253" t="s">
        <v>87</v>
      </c>
      <c r="AW2253" t="s">
        <v>87</v>
      </c>
      <c r="AX2253" t="s">
        <v>87</v>
      </c>
      <c r="AY2253" t="s">
        <v>87</v>
      </c>
      <c r="AZ2253" t="s">
        <v>87</v>
      </c>
      <c r="BA2253" t="s">
        <v>87</v>
      </c>
      <c r="BB2253" t="s">
        <v>87</v>
      </c>
      <c r="BC2253" t="s">
        <v>87</v>
      </c>
      <c r="BD2253" t="s">
        <v>87</v>
      </c>
      <c r="BE2253" t="s">
        <v>87</v>
      </c>
    </row>
    <row r="2254" spans="1:57" x14ac:dyDescent="0.45">
      <c r="A2254" t="s">
        <v>5460</v>
      </c>
      <c r="B2254" t="s">
        <v>79</v>
      </c>
      <c r="C2254" t="s">
        <v>1054</v>
      </c>
      <c r="D2254" t="s">
        <v>81</v>
      </c>
      <c r="E2254" s="2" t="str">
        <f>HYPERLINK("capsilon://?command=openfolder&amp;siteaddress=FAM.docvelocity-na8.net&amp;folderid=FXEC951C66-FA5B-4337-89FB-B24EC4D9F654","FX2012313")</f>
        <v>FX2012313</v>
      </c>
      <c r="F2254" t="s">
        <v>19</v>
      </c>
      <c r="G2254" t="s">
        <v>19</v>
      </c>
      <c r="H2254" t="s">
        <v>82</v>
      </c>
      <c r="I2254" t="s">
        <v>5461</v>
      </c>
      <c r="J2254">
        <v>80</v>
      </c>
      <c r="K2254" t="s">
        <v>84</v>
      </c>
      <c r="L2254" t="s">
        <v>85</v>
      </c>
      <c r="M2254" t="s">
        <v>86</v>
      </c>
      <c r="N2254">
        <v>3</v>
      </c>
      <c r="O2254" s="1">
        <v>44218.621921296297</v>
      </c>
      <c r="P2254" s="1">
        <v>44218.718402777777</v>
      </c>
      <c r="Q2254">
        <v>7859</v>
      </c>
      <c r="R2254">
        <v>477</v>
      </c>
      <c r="S2254" t="b">
        <v>0</v>
      </c>
      <c r="T2254" t="s">
        <v>87</v>
      </c>
      <c r="U2254" t="b">
        <v>0</v>
      </c>
      <c r="V2254" t="s">
        <v>343</v>
      </c>
      <c r="W2254" s="1">
        <v>44218.62709490741</v>
      </c>
      <c r="X2254">
        <v>188</v>
      </c>
      <c r="Y2254">
        <v>49</v>
      </c>
      <c r="Z2254">
        <v>0</v>
      </c>
      <c r="AA2254">
        <v>49</v>
      </c>
      <c r="AB2254">
        <v>0</v>
      </c>
      <c r="AC2254">
        <v>9</v>
      </c>
      <c r="AD2254">
        <v>31</v>
      </c>
      <c r="AE2254">
        <v>0</v>
      </c>
      <c r="AF2254">
        <v>0</v>
      </c>
      <c r="AG2254">
        <v>0</v>
      </c>
      <c r="AH2254" t="s">
        <v>267</v>
      </c>
      <c r="AI2254" s="1">
        <v>44218.633483796293</v>
      </c>
      <c r="AJ2254">
        <v>79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31</v>
      </c>
      <c r="AQ2254">
        <v>0</v>
      </c>
      <c r="AR2254">
        <v>0</v>
      </c>
      <c r="AS2254">
        <v>0</v>
      </c>
      <c r="AT2254" t="s">
        <v>90</v>
      </c>
      <c r="AU2254" s="1">
        <v>44218.718402777777</v>
      </c>
      <c r="AV2254">
        <v>210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31</v>
      </c>
      <c r="BC2254">
        <v>0</v>
      </c>
      <c r="BD2254">
        <v>0</v>
      </c>
      <c r="BE2254">
        <v>0</v>
      </c>
    </row>
    <row r="2255" spans="1:57" hidden="1" x14ac:dyDescent="0.45">
      <c r="A2255" t="s">
        <v>5462</v>
      </c>
      <c r="B2255" t="s">
        <v>79</v>
      </c>
      <c r="C2255" t="s">
        <v>5463</v>
      </c>
      <c r="D2255" t="s">
        <v>81</v>
      </c>
      <c r="E2255" s="2" t="str">
        <f>HYPERLINK("capsilon://?command=openfolder&amp;siteaddress=FAM.docvelocity-na8.net&amp;folderid=FX0C1FF346-F669-B67F-1D4B-BD810D992DB1","FX20118950")</f>
        <v>FX20118950</v>
      </c>
      <c r="F2255" t="s">
        <v>19</v>
      </c>
      <c r="G2255" t="s">
        <v>19</v>
      </c>
      <c r="H2255" t="s">
        <v>82</v>
      </c>
      <c r="I2255" t="s">
        <v>5464</v>
      </c>
      <c r="J2255">
        <v>533</v>
      </c>
      <c r="K2255" t="s">
        <v>183</v>
      </c>
      <c r="L2255" t="s">
        <v>19</v>
      </c>
      <c r="M2255" t="s">
        <v>81</v>
      </c>
      <c r="N2255">
        <v>0</v>
      </c>
      <c r="O2255" s="1">
        <v>44218.625300925924</v>
      </c>
      <c r="P2255" s="1">
        <v>44218.626261574071</v>
      </c>
      <c r="Q2255">
        <v>62</v>
      </c>
      <c r="R2255">
        <v>21</v>
      </c>
      <c r="S2255" t="b">
        <v>0</v>
      </c>
      <c r="T2255" t="s">
        <v>87</v>
      </c>
      <c r="U2255" t="b">
        <v>0</v>
      </c>
      <c r="V2255" t="s">
        <v>87</v>
      </c>
      <c r="W2255" t="s">
        <v>87</v>
      </c>
      <c r="X2255" t="s">
        <v>87</v>
      </c>
      <c r="Y2255" t="s">
        <v>87</v>
      </c>
      <c r="Z2255" t="s">
        <v>87</v>
      </c>
      <c r="AA2255" t="s">
        <v>87</v>
      </c>
      <c r="AB2255" t="s">
        <v>87</v>
      </c>
      <c r="AC2255" t="s">
        <v>87</v>
      </c>
      <c r="AD2255" t="s">
        <v>87</v>
      </c>
      <c r="AE2255" t="s">
        <v>87</v>
      </c>
      <c r="AF2255" t="s">
        <v>87</v>
      </c>
      <c r="AG2255" t="s">
        <v>87</v>
      </c>
      <c r="AH2255" t="s">
        <v>87</v>
      </c>
      <c r="AI2255" t="s">
        <v>87</v>
      </c>
      <c r="AJ2255" t="s">
        <v>87</v>
      </c>
      <c r="AK2255" t="s">
        <v>87</v>
      </c>
      <c r="AL2255" t="s">
        <v>87</v>
      </c>
      <c r="AM2255" t="s">
        <v>87</v>
      </c>
      <c r="AN2255" t="s">
        <v>87</v>
      </c>
      <c r="AO2255" t="s">
        <v>87</v>
      </c>
      <c r="AP2255" t="s">
        <v>87</v>
      </c>
      <c r="AQ2255" t="s">
        <v>87</v>
      </c>
      <c r="AR2255" t="s">
        <v>87</v>
      </c>
      <c r="AS2255" t="s">
        <v>87</v>
      </c>
      <c r="AT2255" t="s">
        <v>87</v>
      </c>
      <c r="AU2255" t="s">
        <v>87</v>
      </c>
      <c r="AV2255" t="s">
        <v>87</v>
      </c>
      <c r="AW2255" t="s">
        <v>87</v>
      </c>
      <c r="AX2255" t="s">
        <v>87</v>
      </c>
      <c r="AY2255" t="s">
        <v>87</v>
      </c>
      <c r="AZ2255" t="s">
        <v>87</v>
      </c>
      <c r="BA2255" t="s">
        <v>87</v>
      </c>
      <c r="BB2255" t="s">
        <v>87</v>
      </c>
      <c r="BC2255" t="s">
        <v>87</v>
      </c>
      <c r="BD2255" t="s">
        <v>87</v>
      </c>
      <c r="BE2255" t="s">
        <v>87</v>
      </c>
    </row>
    <row r="2256" spans="1:57" x14ac:dyDescent="0.45">
      <c r="A2256" t="s">
        <v>5465</v>
      </c>
      <c r="B2256" t="s">
        <v>79</v>
      </c>
      <c r="C2256" t="s">
        <v>656</v>
      </c>
      <c r="D2256" t="s">
        <v>81</v>
      </c>
      <c r="E2256" s="2" t="str">
        <f>HYPERLINK("capsilon://?command=openfolder&amp;siteaddress=FAM.docvelocity-na8.net&amp;folderid=FX56248E6A-011F-BB32-4646-F5C5E1B7C09D","FX20122029")</f>
        <v>FX20122029</v>
      </c>
      <c r="F2256" t="s">
        <v>19</v>
      </c>
      <c r="G2256" t="s">
        <v>19</v>
      </c>
      <c r="H2256" t="s">
        <v>82</v>
      </c>
      <c r="I2256" t="s">
        <v>5459</v>
      </c>
      <c r="J2256">
        <v>49</v>
      </c>
      <c r="K2256" t="s">
        <v>84</v>
      </c>
      <c r="L2256" t="s">
        <v>85</v>
      </c>
      <c r="M2256" t="s">
        <v>86</v>
      </c>
      <c r="N2256">
        <v>3</v>
      </c>
      <c r="O2256" s="1">
        <v>44218.625717592593</v>
      </c>
      <c r="P2256" s="1">
        <v>44218.697291666664</v>
      </c>
      <c r="Q2256">
        <v>4909</v>
      </c>
      <c r="R2256">
        <v>1275</v>
      </c>
      <c r="S2256" t="b">
        <v>0</v>
      </c>
      <c r="T2256" t="s">
        <v>87</v>
      </c>
      <c r="U2256" t="b">
        <v>1</v>
      </c>
      <c r="V2256" t="s">
        <v>142</v>
      </c>
      <c r="W2256" s="1">
        <v>44218.637708333335</v>
      </c>
      <c r="X2256">
        <v>977</v>
      </c>
      <c r="Y2256">
        <v>49</v>
      </c>
      <c r="Z2256">
        <v>0</v>
      </c>
      <c r="AA2256">
        <v>49</v>
      </c>
      <c r="AB2256">
        <v>0</v>
      </c>
      <c r="AC2256">
        <v>37</v>
      </c>
      <c r="AD2256">
        <v>0</v>
      </c>
      <c r="AE2256">
        <v>0</v>
      </c>
      <c r="AF2256">
        <v>0</v>
      </c>
      <c r="AG2256">
        <v>0</v>
      </c>
      <c r="AH2256" t="s">
        <v>267</v>
      </c>
      <c r="AI2256" s="1">
        <v>44218.641342592593</v>
      </c>
      <c r="AJ2256">
        <v>211</v>
      </c>
      <c r="AK2256">
        <v>2</v>
      </c>
      <c r="AL2256">
        <v>0</v>
      </c>
      <c r="AM2256">
        <v>2</v>
      </c>
      <c r="AN2256">
        <v>0</v>
      </c>
      <c r="AO2256">
        <v>1</v>
      </c>
      <c r="AP2256">
        <v>-2</v>
      </c>
      <c r="AQ2256">
        <v>0</v>
      </c>
      <c r="AR2256">
        <v>0</v>
      </c>
      <c r="AS2256">
        <v>0</v>
      </c>
      <c r="AT2256" t="s">
        <v>549</v>
      </c>
      <c r="AU2256" s="1">
        <v>44218.697291666664</v>
      </c>
      <c r="AV2256">
        <v>87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-2</v>
      </c>
      <c r="BC2256">
        <v>0</v>
      </c>
      <c r="BD2256">
        <v>0</v>
      </c>
      <c r="BE2256">
        <v>0</v>
      </c>
    </row>
    <row r="2257" spans="1:57" hidden="1" x14ac:dyDescent="0.45">
      <c r="A2257" t="s">
        <v>5466</v>
      </c>
      <c r="B2257" t="s">
        <v>79</v>
      </c>
      <c r="C2257" t="s">
        <v>3451</v>
      </c>
      <c r="D2257" t="s">
        <v>81</v>
      </c>
      <c r="E2257" s="2" t="str">
        <f>HYPERLINK("capsilon://?command=openfolder&amp;siteaddress=FAM.docvelocity-na8.net&amp;folderid=FXC38983E1-4B1A-FD5E-CF9E-A8D02E884564","FX21018504")</f>
        <v>FX21018504</v>
      </c>
      <c r="F2257" t="s">
        <v>19</v>
      </c>
      <c r="G2257" t="s">
        <v>19</v>
      </c>
      <c r="H2257" t="s">
        <v>82</v>
      </c>
      <c r="I2257" t="s">
        <v>5467</v>
      </c>
      <c r="J2257">
        <v>66</v>
      </c>
      <c r="K2257" t="s">
        <v>84</v>
      </c>
      <c r="L2257" t="s">
        <v>85</v>
      </c>
      <c r="M2257" t="s">
        <v>86</v>
      </c>
      <c r="N2257">
        <v>3</v>
      </c>
      <c r="O2257" s="1">
        <v>44218.626458333332</v>
      </c>
      <c r="P2257" s="1">
        <v>44218.7184375</v>
      </c>
      <c r="Q2257">
        <v>7763</v>
      </c>
      <c r="R2257">
        <v>184</v>
      </c>
      <c r="S2257" t="b">
        <v>0</v>
      </c>
      <c r="T2257" t="s">
        <v>87</v>
      </c>
      <c r="U2257" t="b">
        <v>0</v>
      </c>
      <c r="V2257" t="s">
        <v>262</v>
      </c>
      <c r="W2257" s="1">
        <v>44218.629942129628</v>
      </c>
      <c r="X2257">
        <v>138</v>
      </c>
      <c r="Y2257">
        <v>0</v>
      </c>
      <c r="Z2257">
        <v>0</v>
      </c>
      <c r="AA2257">
        <v>0</v>
      </c>
      <c r="AB2257">
        <v>52</v>
      </c>
      <c r="AC2257">
        <v>0</v>
      </c>
      <c r="AD2257">
        <v>66</v>
      </c>
      <c r="AE2257">
        <v>0</v>
      </c>
      <c r="AF2257">
        <v>0</v>
      </c>
      <c r="AG2257">
        <v>0</v>
      </c>
      <c r="AH2257" t="s">
        <v>128</v>
      </c>
      <c r="AI2257" s="1">
        <v>44218.633020833331</v>
      </c>
      <c r="AJ2257">
        <v>17</v>
      </c>
      <c r="AK2257">
        <v>0</v>
      </c>
      <c r="AL2257">
        <v>0</v>
      </c>
      <c r="AM2257">
        <v>0</v>
      </c>
      <c r="AN2257">
        <v>52</v>
      </c>
      <c r="AO2257">
        <v>0</v>
      </c>
      <c r="AP2257">
        <v>66</v>
      </c>
      <c r="AQ2257">
        <v>0</v>
      </c>
      <c r="AR2257">
        <v>0</v>
      </c>
      <c r="AS2257">
        <v>0</v>
      </c>
      <c r="AT2257" t="s">
        <v>90</v>
      </c>
      <c r="AU2257" s="1">
        <v>44218.7184375</v>
      </c>
      <c r="AV2257">
        <v>3</v>
      </c>
      <c r="AW2257">
        <v>0</v>
      </c>
      <c r="AX2257">
        <v>0</v>
      </c>
      <c r="AY2257">
        <v>0</v>
      </c>
      <c r="AZ2257">
        <v>52</v>
      </c>
      <c r="BA2257">
        <v>0</v>
      </c>
      <c r="BB2257">
        <v>66</v>
      </c>
      <c r="BC2257">
        <v>0</v>
      </c>
      <c r="BD2257">
        <v>0</v>
      </c>
      <c r="BE2257">
        <v>0</v>
      </c>
    </row>
    <row r="2258" spans="1:57" x14ac:dyDescent="0.45">
      <c r="A2258" t="s">
        <v>5468</v>
      </c>
      <c r="B2258" t="s">
        <v>79</v>
      </c>
      <c r="C2258" t="s">
        <v>3512</v>
      </c>
      <c r="D2258" t="s">
        <v>81</v>
      </c>
      <c r="E2258" s="2" t="str">
        <f>HYPERLINK("capsilon://?command=openfolder&amp;siteaddress=FAM.docvelocity-na8.net&amp;folderid=FXD523401E-A7A5-67EB-7DB2-07AD832A53FD","FX21015552")</f>
        <v>FX21015552</v>
      </c>
      <c r="F2258" t="s">
        <v>19</v>
      </c>
      <c r="G2258" t="s">
        <v>19</v>
      </c>
      <c r="H2258" t="s">
        <v>82</v>
      </c>
      <c r="I2258" t="s">
        <v>5469</v>
      </c>
      <c r="J2258">
        <v>66</v>
      </c>
      <c r="K2258" t="s">
        <v>84</v>
      </c>
      <c r="L2258" t="s">
        <v>85</v>
      </c>
      <c r="M2258" t="s">
        <v>86</v>
      </c>
      <c r="N2258">
        <v>3</v>
      </c>
      <c r="O2258" s="1">
        <v>44218.626574074071</v>
      </c>
      <c r="P2258" s="1">
        <v>44218.718564814815</v>
      </c>
      <c r="Q2258">
        <v>7498</v>
      </c>
      <c r="R2258">
        <v>450</v>
      </c>
      <c r="S2258" t="b">
        <v>0</v>
      </c>
      <c r="T2258" t="s">
        <v>87</v>
      </c>
      <c r="U2258" t="b">
        <v>0</v>
      </c>
      <c r="V2258" t="s">
        <v>259</v>
      </c>
      <c r="W2258" s="1">
        <v>44218.630624999998</v>
      </c>
      <c r="X2258">
        <v>298</v>
      </c>
      <c r="Y2258">
        <v>52</v>
      </c>
      <c r="Z2258">
        <v>0</v>
      </c>
      <c r="AA2258">
        <v>52</v>
      </c>
      <c r="AB2258">
        <v>0</v>
      </c>
      <c r="AC2258">
        <v>27</v>
      </c>
      <c r="AD2258">
        <v>14</v>
      </c>
      <c r="AE2258">
        <v>0</v>
      </c>
      <c r="AF2258">
        <v>0</v>
      </c>
      <c r="AG2258">
        <v>0</v>
      </c>
      <c r="AH2258" t="s">
        <v>128</v>
      </c>
      <c r="AI2258" s="1">
        <v>44218.634664351855</v>
      </c>
      <c r="AJ2258">
        <v>141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14</v>
      </c>
      <c r="AQ2258">
        <v>0</v>
      </c>
      <c r="AR2258">
        <v>0</v>
      </c>
      <c r="AS2258">
        <v>0</v>
      </c>
      <c r="AT2258" t="s">
        <v>90</v>
      </c>
      <c r="AU2258" s="1">
        <v>44218.718564814815</v>
      </c>
      <c r="AV2258">
        <v>11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14</v>
      </c>
      <c r="BC2258">
        <v>0</v>
      </c>
      <c r="BD2258">
        <v>0</v>
      </c>
      <c r="BE2258">
        <v>0</v>
      </c>
    </row>
    <row r="2259" spans="1:57" x14ac:dyDescent="0.45">
      <c r="A2259" t="s">
        <v>5470</v>
      </c>
      <c r="B2259" t="s">
        <v>79</v>
      </c>
      <c r="C2259" t="s">
        <v>4897</v>
      </c>
      <c r="D2259" t="s">
        <v>81</v>
      </c>
      <c r="E2259" s="2" t="str">
        <f>HYPERLINK("capsilon://?command=openfolder&amp;siteaddress=FAM.docvelocity-na8.net&amp;folderid=FXB7F2670E-DF5F-A996-275D-D621385E4A34","FX21019441")</f>
        <v>FX21019441</v>
      </c>
      <c r="F2259" t="s">
        <v>19</v>
      </c>
      <c r="G2259" t="s">
        <v>19</v>
      </c>
      <c r="H2259" t="s">
        <v>82</v>
      </c>
      <c r="I2259" t="s">
        <v>5471</v>
      </c>
      <c r="J2259">
        <v>66</v>
      </c>
      <c r="K2259" t="s">
        <v>84</v>
      </c>
      <c r="L2259" t="s">
        <v>85</v>
      </c>
      <c r="M2259" t="s">
        <v>86</v>
      </c>
      <c r="N2259">
        <v>3</v>
      </c>
      <c r="O2259" s="1">
        <v>44218.627488425926</v>
      </c>
      <c r="P2259" s="1">
        <v>44218.718854166669</v>
      </c>
      <c r="Q2259">
        <v>7508</v>
      </c>
      <c r="R2259">
        <v>386</v>
      </c>
      <c r="S2259" t="b">
        <v>0</v>
      </c>
      <c r="T2259" t="s">
        <v>87</v>
      </c>
      <c r="U2259" t="b">
        <v>0</v>
      </c>
      <c r="V2259" t="s">
        <v>255</v>
      </c>
      <c r="W2259" s="1">
        <v>44218.63177083333</v>
      </c>
      <c r="X2259">
        <v>287</v>
      </c>
      <c r="Y2259">
        <v>52</v>
      </c>
      <c r="Z2259">
        <v>0</v>
      </c>
      <c r="AA2259">
        <v>52</v>
      </c>
      <c r="AB2259">
        <v>0</v>
      </c>
      <c r="AC2259">
        <v>32</v>
      </c>
      <c r="AD2259">
        <v>14</v>
      </c>
      <c r="AE2259">
        <v>0</v>
      </c>
      <c r="AF2259">
        <v>0</v>
      </c>
      <c r="AG2259">
        <v>0</v>
      </c>
      <c r="AH2259" t="s">
        <v>267</v>
      </c>
      <c r="AI2259" s="1">
        <v>44218.634351851855</v>
      </c>
      <c r="AJ2259">
        <v>75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14</v>
      </c>
      <c r="AQ2259">
        <v>0</v>
      </c>
      <c r="AR2259">
        <v>0</v>
      </c>
      <c r="AS2259">
        <v>0</v>
      </c>
      <c r="AT2259" t="s">
        <v>90</v>
      </c>
      <c r="AU2259" s="1">
        <v>44218.718854166669</v>
      </c>
      <c r="AV2259">
        <v>24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14</v>
      </c>
      <c r="BC2259">
        <v>0</v>
      </c>
      <c r="BD2259">
        <v>0</v>
      </c>
      <c r="BE2259">
        <v>0</v>
      </c>
    </row>
    <row r="2260" spans="1:57" hidden="1" x14ac:dyDescent="0.45">
      <c r="A2260" t="s">
        <v>5472</v>
      </c>
      <c r="B2260" t="s">
        <v>79</v>
      </c>
      <c r="C2260" t="s">
        <v>1149</v>
      </c>
      <c r="D2260" t="s">
        <v>81</v>
      </c>
      <c r="E2260" s="2" t="str">
        <f>HYPERLINK("capsilon://?command=openfolder&amp;siteaddress=FAM.docvelocity-na8.net&amp;folderid=FXF5CA5CD7-5FC7-2730-9CFE-0F9165670136","FX201116794")</f>
        <v>FX201116794</v>
      </c>
      <c r="F2260" t="s">
        <v>19</v>
      </c>
      <c r="G2260" t="s">
        <v>19</v>
      </c>
      <c r="H2260" t="s">
        <v>82</v>
      </c>
      <c r="I2260" t="s">
        <v>5473</v>
      </c>
      <c r="J2260">
        <v>66</v>
      </c>
      <c r="K2260" t="s">
        <v>84</v>
      </c>
      <c r="L2260" t="s">
        <v>85</v>
      </c>
      <c r="M2260" t="s">
        <v>86</v>
      </c>
      <c r="N2260">
        <v>1</v>
      </c>
      <c r="O2260" s="1">
        <v>44218.627523148149</v>
      </c>
      <c r="P2260" s="1">
        <v>44218.63077546296</v>
      </c>
      <c r="Q2260">
        <v>113</v>
      </c>
      <c r="R2260">
        <v>168</v>
      </c>
      <c r="S2260" t="b">
        <v>0</v>
      </c>
      <c r="T2260" t="s">
        <v>87</v>
      </c>
      <c r="U2260" t="b">
        <v>0</v>
      </c>
      <c r="V2260" t="s">
        <v>171</v>
      </c>
      <c r="W2260" s="1">
        <v>44218.63077546296</v>
      </c>
      <c r="X2260">
        <v>168</v>
      </c>
      <c r="Y2260">
        <v>0</v>
      </c>
      <c r="Z2260">
        <v>0</v>
      </c>
      <c r="AA2260">
        <v>0</v>
      </c>
      <c r="AB2260">
        <v>0</v>
      </c>
      <c r="AC2260">
        <v>5</v>
      </c>
      <c r="AD2260">
        <v>66</v>
      </c>
      <c r="AE2260">
        <v>52</v>
      </c>
      <c r="AF2260">
        <v>0</v>
      </c>
      <c r="AG2260">
        <v>1</v>
      </c>
      <c r="AH2260" t="s">
        <v>87</v>
      </c>
      <c r="AI2260" t="s">
        <v>87</v>
      </c>
      <c r="AJ2260" t="s">
        <v>87</v>
      </c>
      <c r="AK2260" t="s">
        <v>87</v>
      </c>
      <c r="AL2260" t="s">
        <v>87</v>
      </c>
      <c r="AM2260" t="s">
        <v>87</v>
      </c>
      <c r="AN2260" t="s">
        <v>87</v>
      </c>
      <c r="AO2260" t="s">
        <v>87</v>
      </c>
      <c r="AP2260" t="s">
        <v>87</v>
      </c>
      <c r="AQ2260" t="s">
        <v>87</v>
      </c>
      <c r="AR2260" t="s">
        <v>87</v>
      </c>
      <c r="AS2260" t="s">
        <v>87</v>
      </c>
      <c r="AT2260" t="s">
        <v>87</v>
      </c>
      <c r="AU2260" t="s">
        <v>87</v>
      </c>
      <c r="AV2260" t="s">
        <v>87</v>
      </c>
      <c r="AW2260" t="s">
        <v>87</v>
      </c>
      <c r="AX2260" t="s">
        <v>87</v>
      </c>
      <c r="AY2260" t="s">
        <v>87</v>
      </c>
      <c r="AZ2260" t="s">
        <v>87</v>
      </c>
      <c r="BA2260" t="s">
        <v>87</v>
      </c>
      <c r="BB2260" t="s">
        <v>87</v>
      </c>
      <c r="BC2260" t="s">
        <v>87</v>
      </c>
      <c r="BD2260" t="s">
        <v>87</v>
      </c>
      <c r="BE2260" t="s">
        <v>87</v>
      </c>
    </row>
    <row r="2261" spans="1:57" x14ac:dyDescent="0.45">
      <c r="A2261" t="s">
        <v>5474</v>
      </c>
      <c r="B2261" t="s">
        <v>79</v>
      </c>
      <c r="C2261" t="s">
        <v>285</v>
      </c>
      <c r="D2261" t="s">
        <v>81</v>
      </c>
      <c r="E2261" s="2" t="str">
        <f>HYPERLINK("capsilon://?command=openfolder&amp;siteaddress=FAM.docvelocity-na8.net&amp;folderid=FX2D5E71D1-474C-5A40-734F-6E40DCD221E7","FX20123627")</f>
        <v>FX20123627</v>
      </c>
      <c r="F2261" t="s">
        <v>19</v>
      </c>
      <c r="G2261" t="s">
        <v>19</v>
      </c>
      <c r="H2261" t="s">
        <v>82</v>
      </c>
      <c r="I2261" t="s">
        <v>5475</v>
      </c>
      <c r="J2261">
        <v>66</v>
      </c>
      <c r="K2261" t="s">
        <v>84</v>
      </c>
      <c r="L2261" t="s">
        <v>85</v>
      </c>
      <c r="M2261" t="s">
        <v>86</v>
      </c>
      <c r="N2261">
        <v>3</v>
      </c>
      <c r="O2261" s="1">
        <v>44218.630729166667</v>
      </c>
      <c r="P2261" s="1">
        <v>44218.721493055556</v>
      </c>
      <c r="Q2261">
        <v>6399</v>
      </c>
      <c r="R2261">
        <v>1443</v>
      </c>
      <c r="S2261" t="b">
        <v>0</v>
      </c>
      <c r="T2261" t="s">
        <v>87</v>
      </c>
      <c r="U2261" t="b">
        <v>0</v>
      </c>
      <c r="V2261" t="s">
        <v>171</v>
      </c>
      <c r="W2261" s="1">
        <v>44218.643750000003</v>
      </c>
      <c r="X2261">
        <v>1037</v>
      </c>
      <c r="Y2261">
        <v>52</v>
      </c>
      <c r="Z2261">
        <v>0</v>
      </c>
      <c r="AA2261">
        <v>52</v>
      </c>
      <c r="AB2261">
        <v>0</v>
      </c>
      <c r="AC2261">
        <v>39</v>
      </c>
      <c r="AD2261">
        <v>14</v>
      </c>
      <c r="AE2261">
        <v>0</v>
      </c>
      <c r="AF2261">
        <v>0</v>
      </c>
      <c r="AG2261">
        <v>0</v>
      </c>
      <c r="AH2261" t="s">
        <v>267</v>
      </c>
      <c r="AI2261" s="1">
        <v>44218.64880787037</v>
      </c>
      <c r="AJ2261">
        <v>105</v>
      </c>
      <c r="AK2261">
        <v>2</v>
      </c>
      <c r="AL2261">
        <v>0</v>
      </c>
      <c r="AM2261">
        <v>2</v>
      </c>
      <c r="AN2261">
        <v>0</v>
      </c>
      <c r="AO2261">
        <v>1</v>
      </c>
      <c r="AP2261">
        <v>12</v>
      </c>
      <c r="AQ2261">
        <v>0</v>
      </c>
      <c r="AR2261">
        <v>0</v>
      </c>
      <c r="AS2261">
        <v>0</v>
      </c>
      <c r="AT2261" t="s">
        <v>90</v>
      </c>
      <c r="AU2261" s="1">
        <v>44218.721493055556</v>
      </c>
      <c r="AV2261">
        <v>227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12</v>
      </c>
      <c r="BC2261">
        <v>0</v>
      </c>
      <c r="BD2261">
        <v>0</v>
      </c>
      <c r="BE2261">
        <v>0</v>
      </c>
    </row>
    <row r="2262" spans="1:57" x14ac:dyDescent="0.45">
      <c r="A2262" t="s">
        <v>5476</v>
      </c>
      <c r="B2262" t="s">
        <v>79</v>
      </c>
      <c r="C2262" t="s">
        <v>4608</v>
      </c>
      <c r="D2262" t="s">
        <v>81</v>
      </c>
      <c r="E2262" s="2" t="str">
        <f>HYPERLINK("capsilon://?command=openfolder&amp;siteaddress=FAM.docvelocity-na8.net&amp;folderid=FX41514BF3-C103-6D39-0C75-80C470F8CDF8","FX201225246")</f>
        <v>FX201225246</v>
      </c>
      <c r="F2262" t="s">
        <v>19</v>
      </c>
      <c r="G2262" t="s">
        <v>19</v>
      </c>
      <c r="H2262" t="s">
        <v>82</v>
      </c>
      <c r="I2262" t="s">
        <v>5477</v>
      </c>
      <c r="J2262">
        <v>66</v>
      </c>
      <c r="K2262" t="s">
        <v>84</v>
      </c>
      <c r="L2262" t="s">
        <v>85</v>
      </c>
      <c r="M2262" t="s">
        <v>86</v>
      </c>
      <c r="N2262">
        <v>3</v>
      </c>
      <c r="O2262" s="1">
        <v>44218.630902777775</v>
      </c>
      <c r="P2262" s="1">
        <v>44218.724560185183</v>
      </c>
      <c r="Q2262">
        <v>6023</v>
      </c>
      <c r="R2262">
        <v>2069</v>
      </c>
      <c r="S2262" t="b">
        <v>0</v>
      </c>
      <c r="T2262" t="s">
        <v>87</v>
      </c>
      <c r="U2262" t="b">
        <v>0</v>
      </c>
      <c r="V2262" t="s">
        <v>343</v>
      </c>
      <c r="W2262" s="1">
        <v>44218.648657407408</v>
      </c>
      <c r="X2262">
        <v>1459</v>
      </c>
      <c r="Y2262">
        <v>52</v>
      </c>
      <c r="Z2262">
        <v>0</v>
      </c>
      <c r="AA2262">
        <v>52</v>
      </c>
      <c r="AB2262">
        <v>0</v>
      </c>
      <c r="AC2262">
        <v>28</v>
      </c>
      <c r="AD2262">
        <v>14</v>
      </c>
      <c r="AE2262">
        <v>0</v>
      </c>
      <c r="AF2262">
        <v>0</v>
      </c>
      <c r="AG2262">
        <v>0</v>
      </c>
      <c r="AH2262" t="s">
        <v>267</v>
      </c>
      <c r="AI2262" s="1">
        <v>44218.652812499997</v>
      </c>
      <c r="AJ2262">
        <v>345</v>
      </c>
      <c r="AK2262">
        <v>4</v>
      </c>
      <c r="AL2262">
        <v>0</v>
      </c>
      <c r="AM2262">
        <v>4</v>
      </c>
      <c r="AN2262">
        <v>0</v>
      </c>
      <c r="AO2262">
        <v>3</v>
      </c>
      <c r="AP2262">
        <v>10</v>
      </c>
      <c r="AQ2262">
        <v>0</v>
      </c>
      <c r="AR2262">
        <v>0</v>
      </c>
      <c r="AS2262">
        <v>0</v>
      </c>
      <c r="AT2262" t="s">
        <v>90</v>
      </c>
      <c r="AU2262" s="1">
        <v>44218.724560185183</v>
      </c>
      <c r="AV2262">
        <v>265</v>
      </c>
      <c r="AW2262">
        <v>2</v>
      </c>
      <c r="AX2262">
        <v>0</v>
      </c>
      <c r="AY2262">
        <v>2</v>
      </c>
      <c r="AZ2262">
        <v>0</v>
      </c>
      <c r="BA2262">
        <v>2</v>
      </c>
      <c r="BB2262">
        <v>8</v>
      </c>
      <c r="BC2262">
        <v>0</v>
      </c>
      <c r="BD2262">
        <v>0</v>
      </c>
      <c r="BE2262">
        <v>0</v>
      </c>
    </row>
    <row r="2263" spans="1:57" x14ac:dyDescent="0.45">
      <c r="A2263" t="s">
        <v>5478</v>
      </c>
      <c r="B2263" t="s">
        <v>79</v>
      </c>
      <c r="C2263" t="s">
        <v>1149</v>
      </c>
      <c r="D2263" t="s">
        <v>81</v>
      </c>
      <c r="E2263" s="2" t="str">
        <f>HYPERLINK("capsilon://?command=openfolder&amp;siteaddress=FAM.docvelocity-na8.net&amp;folderid=FXF5CA5CD7-5FC7-2730-9CFE-0F9165670136","FX201116794")</f>
        <v>FX201116794</v>
      </c>
      <c r="F2263" t="s">
        <v>19</v>
      </c>
      <c r="G2263" t="s">
        <v>19</v>
      </c>
      <c r="H2263" t="s">
        <v>82</v>
      </c>
      <c r="I2263" t="s">
        <v>5473</v>
      </c>
      <c r="J2263">
        <v>38</v>
      </c>
      <c r="K2263" t="s">
        <v>84</v>
      </c>
      <c r="L2263" t="s">
        <v>85</v>
      </c>
      <c r="M2263" t="s">
        <v>86</v>
      </c>
      <c r="N2263">
        <v>3</v>
      </c>
      <c r="O2263" s="1">
        <v>44218.631030092591</v>
      </c>
      <c r="P2263" s="1">
        <v>44218.69871527778</v>
      </c>
      <c r="Q2263">
        <v>5120</v>
      </c>
      <c r="R2263">
        <v>728</v>
      </c>
      <c r="S2263" t="b">
        <v>0</v>
      </c>
      <c r="T2263" t="s">
        <v>87</v>
      </c>
      <c r="U2263" t="b">
        <v>1</v>
      </c>
      <c r="V2263" t="s">
        <v>259</v>
      </c>
      <c r="W2263" s="1">
        <v>44218.636863425927</v>
      </c>
      <c r="X2263">
        <v>498</v>
      </c>
      <c r="Y2263">
        <v>37</v>
      </c>
      <c r="Z2263">
        <v>0</v>
      </c>
      <c r="AA2263">
        <v>37</v>
      </c>
      <c r="AB2263">
        <v>0</v>
      </c>
      <c r="AC2263">
        <v>28</v>
      </c>
      <c r="AD2263">
        <v>1</v>
      </c>
      <c r="AE2263">
        <v>0</v>
      </c>
      <c r="AF2263">
        <v>0</v>
      </c>
      <c r="AG2263">
        <v>0</v>
      </c>
      <c r="AH2263" t="s">
        <v>267</v>
      </c>
      <c r="AI2263" s="1">
        <v>44218.638888888891</v>
      </c>
      <c r="AJ2263">
        <v>108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</v>
      </c>
      <c r="AQ2263">
        <v>0</v>
      </c>
      <c r="AR2263">
        <v>0</v>
      </c>
      <c r="AS2263">
        <v>0</v>
      </c>
      <c r="AT2263" t="s">
        <v>549</v>
      </c>
      <c r="AU2263" s="1">
        <v>44218.69871527778</v>
      </c>
      <c r="AV2263">
        <v>122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1</v>
      </c>
      <c r="BC2263">
        <v>0</v>
      </c>
      <c r="BD2263">
        <v>0</v>
      </c>
      <c r="BE2263">
        <v>0</v>
      </c>
    </row>
    <row r="2264" spans="1:57" x14ac:dyDescent="0.45">
      <c r="A2264" t="s">
        <v>5479</v>
      </c>
      <c r="B2264" t="s">
        <v>79</v>
      </c>
      <c r="C2264" t="s">
        <v>4522</v>
      </c>
      <c r="D2264" t="s">
        <v>81</v>
      </c>
      <c r="E2264" s="2" t="str">
        <f>HYPERLINK("capsilon://?command=openfolder&amp;siteaddress=FAM.docvelocity-na8.net&amp;folderid=FX0114594A-DCC1-3483-6AD4-FC8EF7BFE753","FX201221942")</f>
        <v>FX201221942</v>
      </c>
      <c r="F2264" t="s">
        <v>19</v>
      </c>
      <c r="G2264" t="s">
        <v>19</v>
      </c>
      <c r="H2264" t="s">
        <v>82</v>
      </c>
      <c r="I2264" t="s">
        <v>5480</v>
      </c>
      <c r="J2264">
        <v>26</v>
      </c>
      <c r="K2264" t="s">
        <v>84</v>
      </c>
      <c r="L2264" t="s">
        <v>85</v>
      </c>
      <c r="M2264" t="s">
        <v>86</v>
      </c>
      <c r="N2264">
        <v>3</v>
      </c>
      <c r="O2264" s="1">
        <v>44218.636481481481</v>
      </c>
      <c r="P2264" s="1">
        <v>44218.724618055552</v>
      </c>
      <c r="Q2264">
        <v>7347</v>
      </c>
      <c r="R2264">
        <v>268</v>
      </c>
      <c r="S2264" t="b">
        <v>0</v>
      </c>
      <c r="T2264" t="s">
        <v>87</v>
      </c>
      <c r="U2264" t="b">
        <v>0</v>
      </c>
      <c r="V2264" t="s">
        <v>255</v>
      </c>
      <c r="W2264" s="1">
        <v>44218.638923611114</v>
      </c>
      <c r="X2264">
        <v>198</v>
      </c>
      <c r="Y2264">
        <v>21</v>
      </c>
      <c r="Z2264">
        <v>0</v>
      </c>
      <c r="AA2264">
        <v>21</v>
      </c>
      <c r="AB2264">
        <v>0</v>
      </c>
      <c r="AC2264">
        <v>7</v>
      </c>
      <c r="AD2264">
        <v>5</v>
      </c>
      <c r="AE2264">
        <v>0</v>
      </c>
      <c r="AF2264">
        <v>0</v>
      </c>
      <c r="AG2264">
        <v>0</v>
      </c>
      <c r="AH2264" t="s">
        <v>267</v>
      </c>
      <c r="AI2264" s="1">
        <v>44218.642118055555</v>
      </c>
      <c r="AJ2264">
        <v>66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5</v>
      </c>
      <c r="AQ2264">
        <v>0</v>
      </c>
      <c r="AR2264">
        <v>0</v>
      </c>
      <c r="AS2264">
        <v>0</v>
      </c>
      <c r="AT2264" t="s">
        <v>90</v>
      </c>
      <c r="AU2264" s="1">
        <v>44218.724618055552</v>
      </c>
      <c r="AV2264">
        <v>4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5</v>
      </c>
      <c r="BC2264">
        <v>0</v>
      </c>
      <c r="BD2264">
        <v>0</v>
      </c>
      <c r="BE2264">
        <v>0</v>
      </c>
    </row>
    <row r="2265" spans="1:57" hidden="1" x14ac:dyDescent="0.45">
      <c r="A2265" t="s">
        <v>5481</v>
      </c>
      <c r="B2265" t="s">
        <v>79</v>
      </c>
      <c r="C2265" t="s">
        <v>4522</v>
      </c>
      <c r="D2265" t="s">
        <v>81</v>
      </c>
      <c r="E2265" s="2" t="str">
        <f>HYPERLINK("capsilon://?command=openfolder&amp;siteaddress=FAM.docvelocity-na8.net&amp;folderid=FX0114594A-DCC1-3483-6AD4-FC8EF7BFE753","FX201221942")</f>
        <v>FX201221942</v>
      </c>
      <c r="F2265" t="s">
        <v>19</v>
      </c>
      <c r="G2265" t="s">
        <v>19</v>
      </c>
      <c r="H2265" t="s">
        <v>82</v>
      </c>
      <c r="I2265" t="s">
        <v>5482</v>
      </c>
      <c r="J2265">
        <v>66</v>
      </c>
      <c r="K2265" t="s">
        <v>84</v>
      </c>
      <c r="L2265" t="s">
        <v>85</v>
      </c>
      <c r="M2265" t="s">
        <v>86</v>
      </c>
      <c r="N2265">
        <v>3</v>
      </c>
      <c r="O2265" s="1">
        <v>44218.636921296296</v>
      </c>
      <c r="P2265" s="1">
        <v>44218.724664351852</v>
      </c>
      <c r="Q2265">
        <v>7456</v>
      </c>
      <c r="R2265">
        <v>125</v>
      </c>
      <c r="S2265" t="b">
        <v>0</v>
      </c>
      <c r="T2265" t="s">
        <v>87</v>
      </c>
      <c r="U2265" t="b">
        <v>0</v>
      </c>
      <c r="V2265" t="s">
        <v>242</v>
      </c>
      <c r="W2265" s="1">
        <v>44218.638043981482</v>
      </c>
      <c r="X2265">
        <v>84</v>
      </c>
      <c r="Y2265">
        <v>0</v>
      </c>
      <c r="Z2265">
        <v>0</v>
      </c>
      <c r="AA2265">
        <v>0</v>
      </c>
      <c r="AB2265">
        <v>52</v>
      </c>
      <c r="AC2265">
        <v>0</v>
      </c>
      <c r="AD2265">
        <v>66</v>
      </c>
      <c r="AE2265">
        <v>0</v>
      </c>
      <c r="AF2265">
        <v>0</v>
      </c>
      <c r="AG2265">
        <v>0</v>
      </c>
      <c r="AH2265" t="s">
        <v>267</v>
      </c>
      <c r="AI2265" s="1">
        <v>44218.642569444448</v>
      </c>
      <c r="AJ2265">
        <v>38</v>
      </c>
      <c r="AK2265">
        <v>0</v>
      </c>
      <c r="AL2265">
        <v>0</v>
      </c>
      <c r="AM2265">
        <v>0</v>
      </c>
      <c r="AN2265">
        <v>52</v>
      </c>
      <c r="AO2265">
        <v>0</v>
      </c>
      <c r="AP2265">
        <v>66</v>
      </c>
      <c r="AQ2265">
        <v>0</v>
      </c>
      <c r="AR2265">
        <v>0</v>
      </c>
      <c r="AS2265">
        <v>0</v>
      </c>
      <c r="AT2265" t="s">
        <v>90</v>
      </c>
      <c r="AU2265" s="1">
        <v>44218.724664351852</v>
      </c>
      <c r="AV2265">
        <v>3</v>
      </c>
      <c r="AW2265">
        <v>0</v>
      </c>
      <c r="AX2265">
        <v>0</v>
      </c>
      <c r="AY2265">
        <v>0</v>
      </c>
      <c r="AZ2265">
        <v>52</v>
      </c>
      <c r="BA2265">
        <v>0</v>
      </c>
      <c r="BB2265">
        <v>66</v>
      </c>
      <c r="BC2265">
        <v>0</v>
      </c>
      <c r="BD2265">
        <v>0</v>
      </c>
      <c r="BE2265">
        <v>0</v>
      </c>
    </row>
    <row r="2266" spans="1:57" x14ac:dyDescent="0.45">
      <c r="A2266" t="s">
        <v>5483</v>
      </c>
      <c r="B2266" t="s">
        <v>79</v>
      </c>
      <c r="C2266" t="s">
        <v>5484</v>
      </c>
      <c r="D2266" t="s">
        <v>81</v>
      </c>
      <c r="E2266" s="2" t="str">
        <f>HYPERLINK("capsilon://?command=openfolder&amp;siteaddress=FAM.docvelocity-na8.net&amp;folderid=FXA6730723-B2D5-3D0D-7E3E-84CCA7BD389B","FX210113907")</f>
        <v>FX210113907</v>
      </c>
      <c r="F2266" t="s">
        <v>19</v>
      </c>
      <c r="G2266" t="s">
        <v>19</v>
      </c>
      <c r="H2266" t="s">
        <v>82</v>
      </c>
      <c r="I2266" t="s">
        <v>5485</v>
      </c>
      <c r="J2266">
        <v>394</v>
      </c>
      <c r="K2266" t="s">
        <v>84</v>
      </c>
      <c r="L2266" t="s">
        <v>85</v>
      </c>
      <c r="M2266" t="s">
        <v>86</v>
      </c>
      <c r="N2266">
        <v>3</v>
      </c>
      <c r="O2266" s="1">
        <v>44218.637824074074</v>
      </c>
      <c r="P2266" s="1">
        <v>44218.72587962963</v>
      </c>
      <c r="Q2266">
        <v>4874</v>
      </c>
      <c r="R2266">
        <v>2734</v>
      </c>
      <c r="S2266" t="b">
        <v>0</v>
      </c>
      <c r="T2266" t="s">
        <v>87</v>
      </c>
      <c r="U2266" t="b">
        <v>0</v>
      </c>
      <c r="V2266" t="s">
        <v>142</v>
      </c>
      <c r="W2266" s="1">
        <v>44218.662951388891</v>
      </c>
      <c r="X2266">
        <v>2154</v>
      </c>
      <c r="Y2266">
        <v>342</v>
      </c>
      <c r="Z2266">
        <v>0</v>
      </c>
      <c r="AA2266">
        <v>342</v>
      </c>
      <c r="AB2266">
        <v>0</v>
      </c>
      <c r="AC2266">
        <v>206</v>
      </c>
      <c r="AD2266">
        <v>52</v>
      </c>
      <c r="AE2266">
        <v>0</v>
      </c>
      <c r="AF2266">
        <v>0</v>
      </c>
      <c r="AG2266">
        <v>0</v>
      </c>
      <c r="AH2266" t="s">
        <v>267</v>
      </c>
      <c r="AI2266" s="1">
        <v>44218.668587962966</v>
      </c>
      <c r="AJ2266">
        <v>463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52</v>
      </c>
      <c r="AQ2266">
        <v>0</v>
      </c>
      <c r="AR2266">
        <v>0</v>
      </c>
      <c r="AS2266">
        <v>0</v>
      </c>
      <c r="AT2266" t="s">
        <v>90</v>
      </c>
      <c r="AU2266" s="1">
        <v>44218.72587962963</v>
      </c>
      <c r="AV2266">
        <v>104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52</v>
      </c>
      <c r="BC2266">
        <v>0</v>
      </c>
      <c r="BD2266">
        <v>0</v>
      </c>
      <c r="BE2266">
        <v>0</v>
      </c>
    </row>
    <row r="2267" spans="1:57" x14ac:dyDescent="0.45">
      <c r="A2267" t="s">
        <v>5486</v>
      </c>
      <c r="B2267" t="s">
        <v>79</v>
      </c>
      <c r="C2267" t="s">
        <v>4364</v>
      </c>
      <c r="D2267" t="s">
        <v>81</v>
      </c>
      <c r="E2267" s="2" t="str">
        <f>HYPERLINK("capsilon://?command=openfolder&amp;siteaddress=FAM.docvelocity-na8.net&amp;folderid=FXCDA2C0F8-F31A-3B65-F410-64DEDF0366CB","FX210110746")</f>
        <v>FX210110746</v>
      </c>
      <c r="F2267" t="s">
        <v>19</v>
      </c>
      <c r="G2267" t="s">
        <v>19</v>
      </c>
      <c r="H2267" t="s">
        <v>82</v>
      </c>
      <c r="I2267" t="s">
        <v>5487</v>
      </c>
      <c r="J2267">
        <v>66</v>
      </c>
      <c r="K2267" t="s">
        <v>84</v>
      </c>
      <c r="L2267" t="s">
        <v>85</v>
      </c>
      <c r="M2267" t="s">
        <v>86</v>
      </c>
      <c r="N2267">
        <v>3</v>
      </c>
      <c r="O2267" s="1">
        <v>44218.638275462959</v>
      </c>
      <c r="P2267" s="1">
        <v>44218.726412037038</v>
      </c>
      <c r="Q2267">
        <v>7016</v>
      </c>
      <c r="R2267">
        <v>599</v>
      </c>
      <c r="S2267" t="b">
        <v>0</v>
      </c>
      <c r="T2267" t="s">
        <v>87</v>
      </c>
      <c r="U2267" t="b">
        <v>0</v>
      </c>
      <c r="V2267" t="s">
        <v>242</v>
      </c>
      <c r="W2267" s="1">
        <v>44218.642696759256</v>
      </c>
      <c r="X2267">
        <v>377</v>
      </c>
      <c r="Y2267">
        <v>52</v>
      </c>
      <c r="Z2267">
        <v>0</v>
      </c>
      <c r="AA2267">
        <v>52</v>
      </c>
      <c r="AB2267">
        <v>0</v>
      </c>
      <c r="AC2267">
        <v>33</v>
      </c>
      <c r="AD2267">
        <v>14</v>
      </c>
      <c r="AE2267">
        <v>0</v>
      </c>
      <c r="AF2267">
        <v>0</v>
      </c>
      <c r="AG2267">
        <v>0</v>
      </c>
      <c r="AH2267" t="s">
        <v>128</v>
      </c>
      <c r="AI2267" s="1">
        <v>44218.649918981479</v>
      </c>
      <c r="AJ2267">
        <v>196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14</v>
      </c>
      <c r="AQ2267">
        <v>0</v>
      </c>
      <c r="AR2267">
        <v>0</v>
      </c>
      <c r="AS2267">
        <v>0</v>
      </c>
      <c r="AT2267" t="s">
        <v>90</v>
      </c>
      <c r="AU2267" s="1">
        <v>44218.726412037038</v>
      </c>
      <c r="AV2267">
        <v>26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14</v>
      </c>
      <c r="BC2267">
        <v>0</v>
      </c>
      <c r="BD2267">
        <v>0</v>
      </c>
      <c r="BE2267">
        <v>0</v>
      </c>
    </row>
    <row r="2268" spans="1:57" x14ac:dyDescent="0.45">
      <c r="A2268" t="s">
        <v>5488</v>
      </c>
      <c r="B2268" t="s">
        <v>79</v>
      </c>
      <c r="C2268" t="s">
        <v>4522</v>
      </c>
      <c r="D2268" t="s">
        <v>81</v>
      </c>
      <c r="E2268" s="2" t="str">
        <f>HYPERLINK("capsilon://?command=openfolder&amp;siteaddress=FAM.docvelocity-na8.net&amp;folderid=FX0114594A-DCC1-3483-6AD4-FC8EF7BFE753","FX201221942")</f>
        <v>FX201221942</v>
      </c>
      <c r="F2268" t="s">
        <v>19</v>
      </c>
      <c r="G2268" t="s">
        <v>19</v>
      </c>
      <c r="H2268" t="s">
        <v>82</v>
      </c>
      <c r="I2268" t="s">
        <v>5489</v>
      </c>
      <c r="J2268">
        <v>40</v>
      </c>
      <c r="K2268" t="s">
        <v>84</v>
      </c>
      <c r="L2268" t="s">
        <v>85</v>
      </c>
      <c r="M2268" t="s">
        <v>86</v>
      </c>
      <c r="N2268">
        <v>3</v>
      </c>
      <c r="O2268" s="1">
        <v>44218.638518518521</v>
      </c>
      <c r="P2268" s="1">
        <v>44218.727071759262</v>
      </c>
      <c r="Q2268">
        <v>6845</v>
      </c>
      <c r="R2268">
        <v>806</v>
      </c>
      <c r="S2268" t="b">
        <v>0</v>
      </c>
      <c r="T2268" t="s">
        <v>87</v>
      </c>
      <c r="U2268" t="b">
        <v>0</v>
      </c>
      <c r="V2268" t="s">
        <v>168</v>
      </c>
      <c r="W2268" s="1">
        <v>44218.644884259258</v>
      </c>
      <c r="X2268">
        <v>541</v>
      </c>
      <c r="Y2268">
        <v>41</v>
      </c>
      <c r="Z2268">
        <v>0</v>
      </c>
      <c r="AA2268">
        <v>41</v>
      </c>
      <c r="AB2268">
        <v>0</v>
      </c>
      <c r="AC2268">
        <v>13</v>
      </c>
      <c r="AD2268">
        <v>-1</v>
      </c>
      <c r="AE2268">
        <v>0</v>
      </c>
      <c r="AF2268">
        <v>0</v>
      </c>
      <c r="AG2268">
        <v>0</v>
      </c>
      <c r="AH2268" t="s">
        <v>128</v>
      </c>
      <c r="AI2268" s="1">
        <v>44218.652349537035</v>
      </c>
      <c r="AJ2268">
        <v>209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-1</v>
      </c>
      <c r="AQ2268">
        <v>0</v>
      </c>
      <c r="AR2268">
        <v>0</v>
      </c>
      <c r="AS2268">
        <v>0</v>
      </c>
      <c r="AT2268" t="s">
        <v>90</v>
      </c>
      <c r="AU2268" s="1">
        <v>44218.727071759262</v>
      </c>
      <c r="AV2268">
        <v>56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-1</v>
      </c>
      <c r="BC2268">
        <v>0</v>
      </c>
      <c r="BD2268">
        <v>0</v>
      </c>
      <c r="BE2268">
        <v>0</v>
      </c>
    </row>
    <row r="2269" spans="1:57" x14ac:dyDescent="0.45">
      <c r="A2269" t="s">
        <v>5490</v>
      </c>
      <c r="B2269" t="s">
        <v>79</v>
      </c>
      <c r="C2269" t="s">
        <v>5491</v>
      </c>
      <c r="D2269" t="s">
        <v>81</v>
      </c>
      <c r="E2269" s="2" t="str">
        <f>HYPERLINK("capsilon://?command=openfolder&amp;siteaddress=FAM.docvelocity-na8.net&amp;folderid=FX6FED5E2C-A6AF-E466-BEEC-642AB535FCD4","FX20114014")</f>
        <v>FX20114014</v>
      </c>
      <c r="F2269" t="s">
        <v>19</v>
      </c>
      <c r="G2269" t="s">
        <v>19</v>
      </c>
      <c r="H2269" t="s">
        <v>82</v>
      </c>
      <c r="I2269" t="s">
        <v>5492</v>
      </c>
      <c r="J2269">
        <v>31</v>
      </c>
      <c r="K2269" t="s">
        <v>84</v>
      </c>
      <c r="L2269" t="s">
        <v>85</v>
      </c>
      <c r="M2269" t="s">
        <v>86</v>
      </c>
      <c r="N2269">
        <v>3</v>
      </c>
      <c r="O2269" s="1">
        <v>44218.641157407408</v>
      </c>
      <c r="P2269" s="1">
        <v>44218.727430555555</v>
      </c>
      <c r="Q2269">
        <v>7014</v>
      </c>
      <c r="R2269">
        <v>440</v>
      </c>
      <c r="S2269" t="b">
        <v>0</v>
      </c>
      <c r="T2269" t="s">
        <v>87</v>
      </c>
      <c r="U2269" t="b">
        <v>0</v>
      </c>
      <c r="V2269" t="s">
        <v>242</v>
      </c>
      <c r="W2269" s="1">
        <v>44218.646041666667</v>
      </c>
      <c r="X2269">
        <v>288</v>
      </c>
      <c r="Y2269">
        <v>36</v>
      </c>
      <c r="Z2269">
        <v>0</v>
      </c>
      <c r="AA2269">
        <v>36</v>
      </c>
      <c r="AB2269">
        <v>0</v>
      </c>
      <c r="AC2269">
        <v>20</v>
      </c>
      <c r="AD2269">
        <v>-5</v>
      </c>
      <c r="AE2269">
        <v>0</v>
      </c>
      <c r="AF2269">
        <v>0</v>
      </c>
      <c r="AG2269">
        <v>0</v>
      </c>
      <c r="AH2269" t="s">
        <v>128</v>
      </c>
      <c r="AI2269" s="1">
        <v>44218.653773148151</v>
      </c>
      <c r="AJ2269">
        <v>122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-5</v>
      </c>
      <c r="AQ2269">
        <v>0</v>
      </c>
      <c r="AR2269">
        <v>0</v>
      </c>
      <c r="AS2269">
        <v>0</v>
      </c>
      <c r="AT2269" t="s">
        <v>90</v>
      </c>
      <c r="AU2269" s="1">
        <v>44218.727430555555</v>
      </c>
      <c r="AV2269">
        <v>30</v>
      </c>
      <c r="AW2269">
        <v>1</v>
      </c>
      <c r="AX2269">
        <v>0</v>
      </c>
      <c r="AY2269">
        <v>1</v>
      </c>
      <c r="AZ2269">
        <v>0</v>
      </c>
      <c r="BA2269">
        <v>1</v>
      </c>
      <c r="BB2269">
        <v>-6</v>
      </c>
      <c r="BC2269">
        <v>0</v>
      </c>
      <c r="BD2269">
        <v>0</v>
      </c>
      <c r="BE2269">
        <v>0</v>
      </c>
    </row>
    <row r="2270" spans="1:57" x14ac:dyDescent="0.45">
      <c r="A2270" t="s">
        <v>5493</v>
      </c>
      <c r="B2270" t="s">
        <v>79</v>
      </c>
      <c r="C2270" t="s">
        <v>5484</v>
      </c>
      <c r="D2270" t="s">
        <v>81</v>
      </c>
      <c r="E2270" s="2" t="str">
        <f>HYPERLINK("capsilon://?command=openfolder&amp;siteaddress=FAM.docvelocity-na8.net&amp;folderid=FXA6730723-B2D5-3D0D-7E3E-84CCA7BD389B","FX210113907")</f>
        <v>FX210113907</v>
      </c>
      <c r="F2270" t="s">
        <v>19</v>
      </c>
      <c r="G2270" t="s">
        <v>19</v>
      </c>
      <c r="H2270" t="s">
        <v>82</v>
      </c>
      <c r="I2270" t="s">
        <v>5494</v>
      </c>
      <c r="J2270">
        <v>60</v>
      </c>
      <c r="K2270" t="s">
        <v>84</v>
      </c>
      <c r="L2270" t="s">
        <v>85</v>
      </c>
      <c r="M2270" t="s">
        <v>86</v>
      </c>
      <c r="N2270">
        <v>3</v>
      </c>
      <c r="O2270" s="1">
        <v>44218.641481481478</v>
      </c>
      <c r="P2270" s="1">
        <v>44218.727708333332</v>
      </c>
      <c r="Q2270">
        <v>6098</v>
      </c>
      <c r="R2270">
        <v>1352</v>
      </c>
      <c r="S2270" t="b">
        <v>0</v>
      </c>
      <c r="T2270" t="s">
        <v>87</v>
      </c>
      <c r="U2270" t="b">
        <v>0</v>
      </c>
      <c r="V2270" t="s">
        <v>171</v>
      </c>
      <c r="W2270" s="1">
        <v>44218.658148148148</v>
      </c>
      <c r="X2270">
        <v>1243</v>
      </c>
      <c r="Y2270">
        <v>50</v>
      </c>
      <c r="Z2270">
        <v>0</v>
      </c>
      <c r="AA2270">
        <v>50</v>
      </c>
      <c r="AB2270">
        <v>0</v>
      </c>
      <c r="AC2270">
        <v>31</v>
      </c>
      <c r="AD2270">
        <v>10</v>
      </c>
      <c r="AE2270">
        <v>0</v>
      </c>
      <c r="AF2270">
        <v>0</v>
      </c>
      <c r="AG2270">
        <v>0</v>
      </c>
      <c r="AH2270" t="s">
        <v>267</v>
      </c>
      <c r="AI2270" s="1">
        <v>44218.660231481481</v>
      </c>
      <c r="AJ2270">
        <v>86</v>
      </c>
      <c r="AK2270">
        <v>3</v>
      </c>
      <c r="AL2270">
        <v>0</v>
      </c>
      <c r="AM2270">
        <v>3</v>
      </c>
      <c r="AN2270">
        <v>0</v>
      </c>
      <c r="AO2270">
        <v>2</v>
      </c>
      <c r="AP2270">
        <v>7</v>
      </c>
      <c r="AQ2270">
        <v>0</v>
      </c>
      <c r="AR2270">
        <v>0</v>
      </c>
      <c r="AS2270">
        <v>0</v>
      </c>
      <c r="AT2270" t="s">
        <v>90</v>
      </c>
      <c r="AU2270" s="1">
        <v>44218.727708333332</v>
      </c>
      <c r="AV2270">
        <v>23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7</v>
      </c>
      <c r="BC2270">
        <v>0</v>
      </c>
      <c r="BD2270">
        <v>0</v>
      </c>
      <c r="BE2270">
        <v>0</v>
      </c>
    </row>
    <row r="2271" spans="1:57" x14ac:dyDescent="0.45">
      <c r="A2271" t="s">
        <v>5495</v>
      </c>
      <c r="B2271" t="s">
        <v>79</v>
      </c>
      <c r="C2271" t="s">
        <v>5484</v>
      </c>
      <c r="D2271" t="s">
        <v>81</v>
      </c>
      <c r="E2271" s="2" t="str">
        <f>HYPERLINK("capsilon://?command=openfolder&amp;siteaddress=FAM.docvelocity-na8.net&amp;folderid=FXA6730723-B2D5-3D0D-7E3E-84CCA7BD389B","FX210113907")</f>
        <v>FX210113907</v>
      </c>
      <c r="F2271" t="s">
        <v>19</v>
      </c>
      <c r="G2271" t="s">
        <v>19</v>
      </c>
      <c r="H2271" t="s">
        <v>82</v>
      </c>
      <c r="I2271" t="s">
        <v>5496</v>
      </c>
      <c r="J2271">
        <v>60</v>
      </c>
      <c r="K2271" t="s">
        <v>84</v>
      </c>
      <c r="L2271" t="s">
        <v>85</v>
      </c>
      <c r="M2271" t="s">
        <v>86</v>
      </c>
      <c r="N2271">
        <v>3</v>
      </c>
      <c r="O2271" s="1">
        <v>44218.643009259256</v>
      </c>
      <c r="P2271" s="1">
        <v>44218.727766203701</v>
      </c>
      <c r="Q2271">
        <v>6634</v>
      </c>
      <c r="R2271">
        <v>689</v>
      </c>
      <c r="S2271" t="b">
        <v>0</v>
      </c>
      <c r="T2271" t="s">
        <v>87</v>
      </c>
      <c r="U2271" t="b">
        <v>0</v>
      </c>
      <c r="V2271" t="s">
        <v>168</v>
      </c>
      <c r="W2271" s="1">
        <v>44218.651863425926</v>
      </c>
      <c r="X2271">
        <v>602</v>
      </c>
      <c r="Y2271">
        <v>50</v>
      </c>
      <c r="Z2271">
        <v>0</v>
      </c>
      <c r="AA2271">
        <v>50</v>
      </c>
      <c r="AB2271">
        <v>0</v>
      </c>
      <c r="AC2271">
        <v>30</v>
      </c>
      <c r="AD2271">
        <v>10</v>
      </c>
      <c r="AE2271">
        <v>0</v>
      </c>
      <c r="AF2271">
        <v>0</v>
      </c>
      <c r="AG2271">
        <v>0</v>
      </c>
      <c r="AH2271" t="s">
        <v>267</v>
      </c>
      <c r="AI2271" s="1">
        <v>44218.653761574074</v>
      </c>
      <c r="AJ2271">
        <v>82</v>
      </c>
      <c r="AK2271">
        <v>3</v>
      </c>
      <c r="AL2271">
        <v>0</v>
      </c>
      <c r="AM2271">
        <v>3</v>
      </c>
      <c r="AN2271">
        <v>0</v>
      </c>
      <c r="AO2271">
        <v>2</v>
      </c>
      <c r="AP2271">
        <v>7</v>
      </c>
      <c r="AQ2271">
        <v>0</v>
      </c>
      <c r="AR2271">
        <v>0</v>
      </c>
      <c r="AS2271">
        <v>0</v>
      </c>
      <c r="AT2271" t="s">
        <v>90</v>
      </c>
      <c r="AU2271" s="1">
        <v>44218.727766203701</v>
      </c>
      <c r="AV2271">
        <v>5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7</v>
      </c>
      <c r="BC2271">
        <v>0</v>
      </c>
      <c r="BD2271">
        <v>0</v>
      </c>
      <c r="BE2271">
        <v>0</v>
      </c>
    </row>
    <row r="2272" spans="1:57" x14ac:dyDescent="0.45">
      <c r="A2272" t="s">
        <v>5497</v>
      </c>
      <c r="B2272" t="s">
        <v>79</v>
      </c>
      <c r="C2272" t="s">
        <v>5365</v>
      </c>
      <c r="D2272" t="s">
        <v>81</v>
      </c>
      <c r="E2272" s="2" t="str">
        <f>HYPERLINK("capsilon://?command=openfolder&amp;siteaddress=FAM.docvelocity-na8.net&amp;folderid=FX97A43E2A-08CD-E690-36DF-E2BED33FEAB8","FX210112825")</f>
        <v>FX210112825</v>
      </c>
      <c r="F2272" t="s">
        <v>19</v>
      </c>
      <c r="G2272" t="s">
        <v>19</v>
      </c>
      <c r="H2272" t="s">
        <v>82</v>
      </c>
      <c r="I2272" t="s">
        <v>5498</v>
      </c>
      <c r="J2272">
        <v>66</v>
      </c>
      <c r="K2272" t="s">
        <v>84</v>
      </c>
      <c r="L2272" t="s">
        <v>85</v>
      </c>
      <c r="M2272" t="s">
        <v>86</v>
      </c>
      <c r="N2272">
        <v>3</v>
      </c>
      <c r="O2272" s="1">
        <v>44218.643587962964</v>
      </c>
      <c r="P2272" s="1">
        <v>44218.727847222224</v>
      </c>
      <c r="Q2272">
        <v>6639</v>
      </c>
      <c r="R2272">
        <v>641</v>
      </c>
      <c r="S2272" t="b">
        <v>0</v>
      </c>
      <c r="T2272" t="s">
        <v>87</v>
      </c>
      <c r="U2272" t="b">
        <v>0</v>
      </c>
      <c r="V2272" t="s">
        <v>262</v>
      </c>
      <c r="W2272" s="1">
        <v>44218.651562500003</v>
      </c>
      <c r="X2272">
        <v>484</v>
      </c>
      <c r="Y2272">
        <v>52</v>
      </c>
      <c r="Z2272">
        <v>0</v>
      </c>
      <c r="AA2272">
        <v>52</v>
      </c>
      <c r="AB2272">
        <v>0</v>
      </c>
      <c r="AC2272">
        <v>31</v>
      </c>
      <c r="AD2272">
        <v>14</v>
      </c>
      <c r="AE2272">
        <v>0</v>
      </c>
      <c r="AF2272">
        <v>0</v>
      </c>
      <c r="AG2272">
        <v>0</v>
      </c>
      <c r="AH2272" t="s">
        <v>128</v>
      </c>
      <c r="AI2272" s="1">
        <v>44218.65552083333</v>
      </c>
      <c r="AJ2272">
        <v>151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14</v>
      </c>
      <c r="AQ2272">
        <v>0</v>
      </c>
      <c r="AR2272">
        <v>0</v>
      </c>
      <c r="AS2272">
        <v>0</v>
      </c>
      <c r="AT2272" t="s">
        <v>90</v>
      </c>
      <c r="AU2272" s="1">
        <v>44218.727847222224</v>
      </c>
      <c r="AV2272">
        <v>6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14</v>
      </c>
      <c r="BC2272">
        <v>0</v>
      </c>
      <c r="BD2272">
        <v>0</v>
      </c>
      <c r="BE2272">
        <v>0</v>
      </c>
    </row>
    <row r="2273" spans="1:57" x14ac:dyDescent="0.45">
      <c r="A2273" t="s">
        <v>5499</v>
      </c>
      <c r="B2273" t="s">
        <v>79</v>
      </c>
      <c r="C2273" t="s">
        <v>5484</v>
      </c>
      <c r="D2273" t="s">
        <v>81</v>
      </c>
      <c r="E2273" s="2" t="str">
        <f>HYPERLINK("capsilon://?command=openfolder&amp;siteaddress=FAM.docvelocity-na8.net&amp;folderid=FXA6730723-B2D5-3D0D-7E3E-84CCA7BD389B","FX210113907")</f>
        <v>FX210113907</v>
      </c>
      <c r="F2273" t="s">
        <v>19</v>
      </c>
      <c r="G2273" t="s">
        <v>19</v>
      </c>
      <c r="H2273" t="s">
        <v>82</v>
      </c>
      <c r="I2273" t="s">
        <v>5500</v>
      </c>
      <c r="J2273">
        <v>26</v>
      </c>
      <c r="K2273" t="s">
        <v>84</v>
      </c>
      <c r="L2273" t="s">
        <v>85</v>
      </c>
      <c r="M2273" t="s">
        <v>86</v>
      </c>
      <c r="N2273">
        <v>3</v>
      </c>
      <c r="O2273" s="1">
        <v>44218.643657407411</v>
      </c>
      <c r="P2273" s="1">
        <v>44218.727916666663</v>
      </c>
      <c r="Q2273">
        <v>6474</v>
      </c>
      <c r="R2273">
        <v>806</v>
      </c>
      <c r="S2273" t="b">
        <v>0</v>
      </c>
      <c r="T2273" t="s">
        <v>87</v>
      </c>
      <c r="U2273" t="b">
        <v>0</v>
      </c>
      <c r="V2273" t="s">
        <v>242</v>
      </c>
      <c r="W2273" s="1">
        <v>44218.654583333337</v>
      </c>
      <c r="X2273">
        <v>737</v>
      </c>
      <c r="Y2273">
        <v>21</v>
      </c>
      <c r="Z2273">
        <v>0</v>
      </c>
      <c r="AA2273">
        <v>21</v>
      </c>
      <c r="AB2273">
        <v>0</v>
      </c>
      <c r="AC2273">
        <v>9</v>
      </c>
      <c r="AD2273">
        <v>5</v>
      </c>
      <c r="AE2273">
        <v>0</v>
      </c>
      <c r="AF2273">
        <v>0</v>
      </c>
      <c r="AG2273">
        <v>0</v>
      </c>
      <c r="AH2273" t="s">
        <v>267</v>
      </c>
      <c r="AI2273" s="1">
        <v>44218.655439814815</v>
      </c>
      <c r="AJ2273">
        <v>64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5</v>
      </c>
      <c r="AQ2273">
        <v>0</v>
      </c>
      <c r="AR2273">
        <v>0</v>
      </c>
      <c r="AS2273">
        <v>0</v>
      </c>
      <c r="AT2273" t="s">
        <v>90</v>
      </c>
      <c r="AU2273" s="1">
        <v>44218.727916666663</v>
      </c>
      <c r="AV2273">
        <v>5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5</v>
      </c>
      <c r="BC2273">
        <v>0</v>
      </c>
      <c r="BD2273">
        <v>0</v>
      </c>
      <c r="BE2273">
        <v>0</v>
      </c>
    </row>
    <row r="2274" spans="1:57" x14ac:dyDescent="0.45">
      <c r="A2274" t="s">
        <v>5501</v>
      </c>
      <c r="B2274" t="s">
        <v>79</v>
      </c>
      <c r="C2274" t="s">
        <v>2905</v>
      </c>
      <c r="D2274" t="s">
        <v>81</v>
      </c>
      <c r="E2274" s="2" t="str">
        <f>HYPERLINK("capsilon://?command=openfolder&amp;siteaddress=FAM.docvelocity-na8.net&amp;folderid=FX3EC03454-FB9E-CC8F-8B5D-31EF58E2DF55","FX21016785")</f>
        <v>FX21016785</v>
      </c>
      <c r="F2274" t="s">
        <v>19</v>
      </c>
      <c r="G2274" t="s">
        <v>19</v>
      </c>
      <c r="H2274" t="s">
        <v>82</v>
      </c>
      <c r="I2274" t="s">
        <v>5502</v>
      </c>
      <c r="J2274">
        <v>26</v>
      </c>
      <c r="K2274" t="s">
        <v>84</v>
      </c>
      <c r="L2274" t="s">
        <v>85</v>
      </c>
      <c r="M2274" t="s">
        <v>86</v>
      </c>
      <c r="N2274">
        <v>3</v>
      </c>
      <c r="O2274" s="1">
        <v>44218.644479166665</v>
      </c>
      <c r="P2274" s="1">
        <v>44218.727962962963</v>
      </c>
      <c r="Q2274">
        <v>6192</v>
      </c>
      <c r="R2274">
        <v>1021</v>
      </c>
      <c r="S2274" t="b">
        <v>0</v>
      </c>
      <c r="T2274" t="s">
        <v>87</v>
      </c>
      <c r="U2274" t="b">
        <v>0</v>
      </c>
      <c r="V2274" t="s">
        <v>146</v>
      </c>
      <c r="W2274" s="1">
        <v>44218.658912037034</v>
      </c>
      <c r="X2274">
        <v>899</v>
      </c>
      <c r="Y2274">
        <v>21</v>
      </c>
      <c r="Z2274">
        <v>0</v>
      </c>
      <c r="AA2274">
        <v>21</v>
      </c>
      <c r="AB2274">
        <v>0</v>
      </c>
      <c r="AC2274">
        <v>19</v>
      </c>
      <c r="AD2274">
        <v>5</v>
      </c>
      <c r="AE2274">
        <v>0</v>
      </c>
      <c r="AF2274">
        <v>0</v>
      </c>
      <c r="AG2274">
        <v>0</v>
      </c>
      <c r="AH2274" t="s">
        <v>128</v>
      </c>
      <c r="AI2274" s="1">
        <v>44218.66065972222</v>
      </c>
      <c r="AJ2274">
        <v>118</v>
      </c>
      <c r="AK2274">
        <v>1</v>
      </c>
      <c r="AL2274">
        <v>0</v>
      </c>
      <c r="AM2274">
        <v>1</v>
      </c>
      <c r="AN2274">
        <v>0</v>
      </c>
      <c r="AO2274">
        <v>1</v>
      </c>
      <c r="AP2274">
        <v>4</v>
      </c>
      <c r="AQ2274">
        <v>0</v>
      </c>
      <c r="AR2274">
        <v>0</v>
      </c>
      <c r="AS2274">
        <v>0</v>
      </c>
      <c r="AT2274" t="s">
        <v>90</v>
      </c>
      <c r="AU2274" s="1">
        <v>44218.727962962963</v>
      </c>
      <c r="AV2274">
        <v>4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4</v>
      </c>
      <c r="BC2274">
        <v>0</v>
      </c>
      <c r="BD2274">
        <v>0</v>
      </c>
      <c r="BE2274">
        <v>0</v>
      </c>
    </row>
    <row r="2275" spans="1:57" hidden="1" x14ac:dyDescent="0.45">
      <c r="A2275" t="s">
        <v>5503</v>
      </c>
      <c r="B2275" t="s">
        <v>79</v>
      </c>
      <c r="C2275" t="s">
        <v>854</v>
      </c>
      <c r="D2275" t="s">
        <v>81</v>
      </c>
      <c r="E2275" s="2" t="str">
        <f>HYPERLINK("capsilon://?command=openfolder&amp;siteaddress=FAM.docvelocity-na8.net&amp;folderid=FX260FD5A5-6DCB-1B1A-1371-0D43A37BC893","FX2011193")</f>
        <v>FX2011193</v>
      </c>
      <c r="F2275" t="s">
        <v>19</v>
      </c>
      <c r="G2275" t="s">
        <v>19</v>
      </c>
      <c r="H2275" t="s">
        <v>82</v>
      </c>
      <c r="I2275" t="s">
        <v>5504</v>
      </c>
      <c r="J2275">
        <v>66</v>
      </c>
      <c r="K2275" t="s">
        <v>84</v>
      </c>
      <c r="L2275" t="s">
        <v>85</v>
      </c>
      <c r="M2275" t="s">
        <v>86</v>
      </c>
      <c r="N2275">
        <v>3</v>
      </c>
      <c r="O2275" s="1">
        <v>44218.644988425927</v>
      </c>
      <c r="P2275" s="1">
        <v>44218.728009259263</v>
      </c>
      <c r="Q2275">
        <v>7057</v>
      </c>
      <c r="R2275">
        <v>116</v>
      </c>
      <c r="S2275" t="b">
        <v>0</v>
      </c>
      <c r="T2275" t="s">
        <v>87</v>
      </c>
      <c r="U2275" t="b">
        <v>0</v>
      </c>
      <c r="V2275" t="s">
        <v>160</v>
      </c>
      <c r="W2275" s="1">
        <v>44218.652280092596</v>
      </c>
      <c r="X2275">
        <v>71</v>
      </c>
      <c r="Y2275">
        <v>0</v>
      </c>
      <c r="Z2275">
        <v>0</v>
      </c>
      <c r="AA2275">
        <v>0</v>
      </c>
      <c r="AB2275">
        <v>52</v>
      </c>
      <c r="AC2275">
        <v>0</v>
      </c>
      <c r="AD2275">
        <v>66</v>
      </c>
      <c r="AE2275">
        <v>0</v>
      </c>
      <c r="AF2275">
        <v>0</v>
      </c>
      <c r="AG2275">
        <v>0</v>
      </c>
      <c r="AH2275" t="s">
        <v>267</v>
      </c>
      <c r="AI2275" s="1">
        <v>44218.655775462961</v>
      </c>
      <c r="AJ2275">
        <v>28</v>
      </c>
      <c r="AK2275">
        <v>0</v>
      </c>
      <c r="AL2275">
        <v>0</v>
      </c>
      <c r="AM2275">
        <v>0</v>
      </c>
      <c r="AN2275">
        <v>52</v>
      </c>
      <c r="AO2275">
        <v>0</v>
      </c>
      <c r="AP2275">
        <v>66</v>
      </c>
      <c r="AQ2275">
        <v>0</v>
      </c>
      <c r="AR2275">
        <v>0</v>
      </c>
      <c r="AS2275">
        <v>0</v>
      </c>
      <c r="AT2275" t="s">
        <v>90</v>
      </c>
      <c r="AU2275" s="1">
        <v>44218.728009259263</v>
      </c>
      <c r="AV2275">
        <v>3</v>
      </c>
      <c r="AW2275">
        <v>0</v>
      </c>
      <c r="AX2275">
        <v>0</v>
      </c>
      <c r="AY2275">
        <v>0</v>
      </c>
      <c r="AZ2275">
        <v>52</v>
      </c>
      <c r="BA2275">
        <v>0</v>
      </c>
      <c r="BB2275">
        <v>66</v>
      </c>
      <c r="BC2275">
        <v>0</v>
      </c>
      <c r="BD2275">
        <v>0</v>
      </c>
      <c r="BE2275">
        <v>0</v>
      </c>
    </row>
    <row r="2276" spans="1:57" x14ac:dyDescent="0.45">
      <c r="A2276" t="s">
        <v>5505</v>
      </c>
      <c r="B2276" t="s">
        <v>79</v>
      </c>
      <c r="C2276" t="s">
        <v>2256</v>
      </c>
      <c r="D2276" t="s">
        <v>81</v>
      </c>
      <c r="E2276" s="2" t="str">
        <f>HYPERLINK("capsilon://?command=openfolder&amp;siteaddress=FAM.docvelocity-na8.net&amp;folderid=FX12B64DBF-2092-75E2-CB5F-61A3C45C931A","FX201225000")</f>
        <v>FX201225000</v>
      </c>
      <c r="F2276" t="s">
        <v>19</v>
      </c>
      <c r="G2276" t="s">
        <v>19</v>
      </c>
      <c r="H2276" t="s">
        <v>82</v>
      </c>
      <c r="I2276" t="s">
        <v>5506</v>
      </c>
      <c r="J2276">
        <v>76</v>
      </c>
      <c r="K2276" t="s">
        <v>84</v>
      </c>
      <c r="L2276" t="s">
        <v>85</v>
      </c>
      <c r="M2276" t="s">
        <v>86</v>
      </c>
      <c r="N2276">
        <v>3</v>
      </c>
      <c r="O2276" s="1">
        <v>44201.533113425925</v>
      </c>
      <c r="P2276" s="1">
        <v>44201.599560185183</v>
      </c>
      <c r="Q2276">
        <v>4408</v>
      </c>
      <c r="R2276">
        <v>1333</v>
      </c>
      <c r="S2276" t="b">
        <v>0</v>
      </c>
      <c r="T2276" t="s">
        <v>87</v>
      </c>
      <c r="U2276" t="b">
        <v>0</v>
      </c>
      <c r="V2276" t="s">
        <v>171</v>
      </c>
      <c r="W2276" s="1">
        <v>44201.546550925923</v>
      </c>
      <c r="X2276">
        <v>1141</v>
      </c>
      <c r="Y2276">
        <v>66</v>
      </c>
      <c r="Z2276">
        <v>0</v>
      </c>
      <c r="AA2276">
        <v>66</v>
      </c>
      <c r="AB2276">
        <v>0</v>
      </c>
      <c r="AC2276">
        <v>31</v>
      </c>
      <c r="AD2276">
        <v>10</v>
      </c>
      <c r="AE2276">
        <v>0</v>
      </c>
      <c r="AF2276">
        <v>0</v>
      </c>
      <c r="AG2276">
        <v>0</v>
      </c>
      <c r="AH2276" t="s">
        <v>267</v>
      </c>
      <c r="AI2276" s="1">
        <v>44201.578912037039</v>
      </c>
      <c r="AJ2276">
        <v>121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10</v>
      </c>
      <c r="AQ2276">
        <v>0</v>
      </c>
      <c r="AR2276">
        <v>0</v>
      </c>
      <c r="AS2276">
        <v>0</v>
      </c>
      <c r="AT2276" t="s">
        <v>90</v>
      </c>
      <c r="AU2276" s="1">
        <v>44201.599560185183</v>
      </c>
      <c r="AV2276">
        <v>71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10</v>
      </c>
      <c r="BC2276">
        <v>0</v>
      </c>
      <c r="BD2276">
        <v>0</v>
      </c>
      <c r="BE2276">
        <v>0</v>
      </c>
    </row>
    <row r="2277" spans="1:57" x14ac:dyDescent="0.45">
      <c r="A2277" t="s">
        <v>5507</v>
      </c>
      <c r="B2277" t="s">
        <v>79</v>
      </c>
      <c r="C2277" t="s">
        <v>5508</v>
      </c>
      <c r="D2277" t="s">
        <v>81</v>
      </c>
      <c r="E2277" s="2" t="str">
        <f>HYPERLINK("capsilon://?command=openfolder&amp;siteaddress=FAM.docvelocity-na8.net&amp;folderid=FXA8A6C592-70E0-096E-4EE8-A50FA790BFAC","FX21019889")</f>
        <v>FX21019889</v>
      </c>
      <c r="F2277" t="s">
        <v>19</v>
      </c>
      <c r="G2277" t="s">
        <v>19</v>
      </c>
      <c r="H2277" t="s">
        <v>82</v>
      </c>
      <c r="I2277" t="s">
        <v>5509</v>
      </c>
      <c r="J2277">
        <v>266</v>
      </c>
      <c r="K2277" t="s">
        <v>84</v>
      </c>
      <c r="L2277" t="s">
        <v>85</v>
      </c>
      <c r="M2277" t="s">
        <v>86</v>
      </c>
      <c r="N2277">
        <v>3</v>
      </c>
      <c r="O2277" s="1">
        <v>44218.646122685182</v>
      </c>
      <c r="P2277" s="1">
        <v>44218.728460648148</v>
      </c>
      <c r="Q2277">
        <v>5274</v>
      </c>
      <c r="R2277">
        <v>1840</v>
      </c>
      <c r="S2277" t="b">
        <v>0</v>
      </c>
      <c r="T2277" t="s">
        <v>87</v>
      </c>
      <c r="U2277" t="b">
        <v>0</v>
      </c>
      <c r="V2277" t="s">
        <v>262</v>
      </c>
      <c r="W2277" s="1">
        <v>44218.664560185185</v>
      </c>
      <c r="X2277">
        <v>1122</v>
      </c>
      <c r="Y2277">
        <v>217</v>
      </c>
      <c r="Z2277">
        <v>0</v>
      </c>
      <c r="AA2277">
        <v>217</v>
      </c>
      <c r="AB2277">
        <v>0</v>
      </c>
      <c r="AC2277">
        <v>91</v>
      </c>
      <c r="AD2277">
        <v>49</v>
      </c>
      <c r="AE2277">
        <v>0</v>
      </c>
      <c r="AF2277">
        <v>0</v>
      </c>
      <c r="AG2277">
        <v>0</v>
      </c>
      <c r="AH2277" t="s">
        <v>147</v>
      </c>
      <c r="AI2277" s="1">
        <v>44218.673518518517</v>
      </c>
      <c r="AJ2277">
        <v>679</v>
      </c>
      <c r="AK2277">
        <v>2</v>
      </c>
      <c r="AL2277">
        <v>0</v>
      </c>
      <c r="AM2277">
        <v>2</v>
      </c>
      <c r="AN2277">
        <v>0</v>
      </c>
      <c r="AO2277">
        <v>6</v>
      </c>
      <c r="AP2277">
        <v>47</v>
      </c>
      <c r="AQ2277">
        <v>0</v>
      </c>
      <c r="AR2277">
        <v>0</v>
      </c>
      <c r="AS2277">
        <v>0</v>
      </c>
      <c r="AT2277" t="s">
        <v>90</v>
      </c>
      <c r="AU2277" s="1">
        <v>44218.728460648148</v>
      </c>
      <c r="AV2277">
        <v>39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47</v>
      </c>
      <c r="BC2277">
        <v>0</v>
      </c>
      <c r="BD2277">
        <v>0</v>
      </c>
      <c r="BE2277">
        <v>0</v>
      </c>
    </row>
    <row r="2278" spans="1:57" x14ac:dyDescent="0.45">
      <c r="A2278" t="s">
        <v>5510</v>
      </c>
      <c r="B2278" t="s">
        <v>79</v>
      </c>
      <c r="C2278" t="s">
        <v>5484</v>
      </c>
      <c r="D2278" t="s">
        <v>81</v>
      </c>
      <c r="E2278" s="2" t="str">
        <f>HYPERLINK("capsilon://?command=openfolder&amp;siteaddress=FAM.docvelocity-na8.net&amp;folderid=FXA6730723-B2D5-3D0D-7E3E-84CCA7BD389B","FX210113907")</f>
        <v>FX210113907</v>
      </c>
      <c r="F2278" t="s">
        <v>19</v>
      </c>
      <c r="G2278" t="s">
        <v>19</v>
      </c>
      <c r="H2278" t="s">
        <v>82</v>
      </c>
      <c r="I2278" t="s">
        <v>5511</v>
      </c>
      <c r="J2278">
        <v>26</v>
      </c>
      <c r="K2278" t="s">
        <v>84</v>
      </c>
      <c r="L2278" t="s">
        <v>85</v>
      </c>
      <c r="M2278" t="s">
        <v>86</v>
      </c>
      <c r="N2278">
        <v>3</v>
      </c>
      <c r="O2278" s="1">
        <v>44218.64707175926</v>
      </c>
      <c r="P2278" s="1">
        <v>44218.728541666664</v>
      </c>
      <c r="Q2278">
        <v>6693</v>
      </c>
      <c r="R2278">
        <v>346</v>
      </c>
      <c r="S2278" t="b">
        <v>0</v>
      </c>
      <c r="T2278" t="s">
        <v>87</v>
      </c>
      <c r="U2278" t="b">
        <v>0</v>
      </c>
      <c r="V2278" t="s">
        <v>168</v>
      </c>
      <c r="W2278" s="1">
        <v>44218.654317129629</v>
      </c>
      <c r="X2278">
        <v>212</v>
      </c>
      <c r="Y2278">
        <v>21</v>
      </c>
      <c r="Z2278">
        <v>0</v>
      </c>
      <c r="AA2278">
        <v>21</v>
      </c>
      <c r="AB2278">
        <v>0</v>
      </c>
      <c r="AC2278">
        <v>5</v>
      </c>
      <c r="AD2278">
        <v>5</v>
      </c>
      <c r="AE2278">
        <v>0</v>
      </c>
      <c r="AF2278">
        <v>0</v>
      </c>
      <c r="AG2278">
        <v>0</v>
      </c>
      <c r="AH2278" t="s">
        <v>128</v>
      </c>
      <c r="AI2278" s="1">
        <v>44218.657013888886</v>
      </c>
      <c r="AJ2278">
        <v>128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5</v>
      </c>
      <c r="AQ2278">
        <v>0</v>
      </c>
      <c r="AR2278">
        <v>0</v>
      </c>
      <c r="AS2278">
        <v>0</v>
      </c>
      <c r="AT2278" t="s">
        <v>90</v>
      </c>
      <c r="AU2278" s="1">
        <v>44218.728541666664</v>
      </c>
      <c r="AV2278">
        <v>6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5</v>
      </c>
      <c r="BC2278">
        <v>0</v>
      </c>
      <c r="BD2278">
        <v>0</v>
      </c>
      <c r="BE2278">
        <v>0</v>
      </c>
    </row>
    <row r="2279" spans="1:57" x14ac:dyDescent="0.45">
      <c r="A2279" t="s">
        <v>5512</v>
      </c>
      <c r="B2279" t="s">
        <v>79</v>
      </c>
      <c r="C2279" t="s">
        <v>5484</v>
      </c>
      <c r="D2279" t="s">
        <v>81</v>
      </c>
      <c r="E2279" s="2" t="str">
        <f>HYPERLINK("capsilon://?command=openfolder&amp;siteaddress=FAM.docvelocity-na8.net&amp;folderid=FXA6730723-B2D5-3D0D-7E3E-84CCA7BD389B","FX210113907")</f>
        <v>FX210113907</v>
      </c>
      <c r="F2279" t="s">
        <v>19</v>
      </c>
      <c r="G2279" t="s">
        <v>19</v>
      </c>
      <c r="H2279" t="s">
        <v>82</v>
      </c>
      <c r="I2279" t="s">
        <v>5513</v>
      </c>
      <c r="J2279">
        <v>60</v>
      </c>
      <c r="K2279" t="s">
        <v>84</v>
      </c>
      <c r="L2279" t="s">
        <v>85</v>
      </c>
      <c r="M2279" t="s">
        <v>86</v>
      </c>
      <c r="N2279">
        <v>3</v>
      </c>
      <c r="O2279" s="1">
        <v>44218.648599537039</v>
      </c>
      <c r="P2279" s="1">
        <v>44221.34615740741</v>
      </c>
      <c r="Q2279">
        <v>232066</v>
      </c>
      <c r="R2279">
        <v>1003</v>
      </c>
      <c r="S2279" t="b">
        <v>0</v>
      </c>
      <c r="T2279" t="s">
        <v>87</v>
      </c>
      <c r="U2279" t="b">
        <v>0</v>
      </c>
      <c r="V2279" t="s">
        <v>160</v>
      </c>
      <c r="W2279" s="1">
        <v>44218.660798611112</v>
      </c>
      <c r="X2279">
        <v>736</v>
      </c>
      <c r="Y2279">
        <v>50</v>
      </c>
      <c r="Z2279">
        <v>0</v>
      </c>
      <c r="AA2279">
        <v>50</v>
      </c>
      <c r="AB2279">
        <v>0</v>
      </c>
      <c r="AC2279">
        <v>43</v>
      </c>
      <c r="AD2279">
        <v>10</v>
      </c>
      <c r="AE2279">
        <v>0</v>
      </c>
      <c r="AF2279">
        <v>0</v>
      </c>
      <c r="AG2279">
        <v>0</v>
      </c>
      <c r="AH2279" t="s">
        <v>147</v>
      </c>
      <c r="AI2279" s="1">
        <v>44218.662766203706</v>
      </c>
      <c r="AJ2279">
        <v>170</v>
      </c>
      <c r="AK2279">
        <v>1</v>
      </c>
      <c r="AL2279">
        <v>0</v>
      </c>
      <c r="AM2279">
        <v>1</v>
      </c>
      <c r="AN2279">
        <v>0</v>
      </c>
      <c r="AO2279">
        <v>3</v>
      </c>
      <c r="AP2279">
        <v>9</v>
      </c>
      <c r="AQ2279">
        <v>0</v>
      </c>
      <c r="AR2279">
        <v>0</v>
      </c>
      <c r="AS2279">
        <v>0</v>
      </c>
      <c r="AT2279" t="s">
        <v>90</v>
      </c>
      <c r="AU2279" s="1">
        <v>44221.34615740741</v>
      </c>
      <c r="AV2279">
        <v>20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9</v>
      </c>
      <c r="BC2279">
        <v>0</v>
      </c>
      <c r="BD2279">
        <v>0</v>
      </c>
      <c r="BE2279">
        <v>0</v>
      </c>
    </row>
    <row r="2280" spans="1:57" x14ac:dyDescent="0.45">
      <c r="A2280" t="s">
        <v>5514</v>
      </c>
      <c r="B2280" t="s">
        <v>79</v>
      </c>
      <c r="C2280" t="s">
        <v>5484</v>
      </c>
      <c r="D2280" t="s">
        <v>81</v>
      </c>
      <c r="E2280" s="2" t="str">
        <f>HYPERLINK("capsilon://?command=openfolder&amp;siteaddress=FAM.docvelocity-na8.net&amp;folderid=FXA6730723-B2D5-3D0D-7E3E-84CCA7BD389B","FX210113907")</f>
        <v>FX210113907</v>
      </c>
      <c r="F2280" t="s">
        <v>19</v>
      </c>
      <c r="G2280" t="s">
        <v>19</v>
      </c>
      <c r="H2280" t="s">
        <v>82</v>
      </c>
      <c r="I2280" t="s">
        <v>5515</v>
      </c>
      <c r="J2280">
        <v>51</v>
      </c>
      <c r="K2280" t="s">
        <v>84</v>
      </c>
      <c r="L2280" t="s">
        <v>85</v>
      </c>
      <c r="M2280" t="s">
        <v>86</v>
      </c>
      <c r="N2280">
        <v>3</v>
      </c>
      <c r="O2280" s="1">
        <v>44218.649733796294</v>
      </c>
      <c r="P2280" s="1">
        <v>44221.346215277779</v>
      </c>
      <c r="Q2280">
        <v>232246</v>
      </c>
      <c r="R2280">
        <v>730</v>
      </c>
      <c r="S2280" t="b">
        <v>0</v>
      </c>
      <c r="T2280" t="s">
        <v>87</v>
      </c>
      <c r="U2280" t="b">
        <v>0</v>
      </c>
      <c r="V2280" t="s">
        <v>343</v>
      </c>
      <c r="W2280" s="1">
        <v>44218.658125000002</v>
      </c>
      <c r="X2280">
        <v>483</v>
      </c>
      <c r="Y2280">
        <v>50</v>
      </c>
      <c r="Z2280">
        <v>0</v>
      </c>
      <c r="AA2280">
        <v>50</v>
      </c>
      <c r="AB2280">
        <v>0</v>
      </c>
      <c r="AC2280">
        <v>33</v>
      </c>
      <c r="AD2280">
        <v>1</v>
      </c>
      <c r="AE2280">
        <v>0</v>
      </c>
      <c r="AF2280">
        <v>0</v>
      </c>
      <c r="AG2280">
        <v>0</v>
      </c>
      <c r="AH2280" t="s">
        <v>128</v>
      </c>
      <c r="AI2280" s="1">
        <v>44218.662766203706</v>
      </c>
      <c r="AJ2280">
        <v>181</v>
      </c>
      <c r="AK2280">
        <v>3</v>
      </c>
      <c r="AL2280">
        <v>0</v>
      </c>
      <c r="AM2280">
        <v>3</v>
      </c>
      <c r="AN2280">
        <v>0</v>
      </c>
      <c r="AO2280">
        <v>3</v>
      </c>
      <c r="AP2280">
        <v>-2</v>
      </c>
      <c r="AQ2280">
        <v>0</v>
      </c>
      <c r="AR2280">
        <v>0</v>
      </c>
      <c r="AS2280">
        <v>0</v>
      </c>
      <c r="AT2280" t="s">
        <v>90</v>
      </c>
      <c r="AU2280" s="1">
        <v>44221.346215277779</v>
      </c>
      <c r="AV2280">
        <v>5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-2</v>
      </c>
      <c r="BC2280">
        <v>0</v>
      </c>
      <c r="BD2280">
        <v>0</v>
      </c>
      <c r="BE2280">
        <v>0</v>
      </c>
    </row>
    <row r="2281" spans="1:57" hidden="1" x14ac:dyDescent="0.45">
      <c r="A2281" t="s">
        <v>5516</v>
      </c>
      <c r="B2281" t="s">
        <v>79</v>
      </c>
      <c r="C2281" t="s">
        <v>5517</v>
      </c>
      <c r="D2281" t="s">
        <v>81</v>
      </c>
      <c r="E2281" s="2" t="str">
        <f>HYPERLINK("capsilon://?command=openfolder&amp;siteaddress=FAM.docvelocity-na8.net&amp;folderid=FXD4B5F19C-0919-8191-47A9-4873B7B811D0","FX201223358")</f>
        <v>FX201223358</v>
      </c>
      <c r="F2281" t="s">
        <v>19</v>
      </c>
      <c r="G2281" t="s">
        <v>19</v>
      </c>
      <c r="H2281" t="s">
        <v>82</v>
      </c>
      <c r="I2281" t="s">
        <v>5518</v>
      </c>
      <c r="J2281">
        <v>66</v>
      </c>
      <c r="K2281" t="s">
        <v>84</v>
      </c>
      <c r="L2281" t="s">
        <v>85</v>
      </c>
      <c r="M2281" t="s">
        <v>86</v>
      </c>
      <c r="N2281">
        <v>3</v>
      </c>
      <c r="O2281" s="1">
        <v>44218.652789351851</v>
      </c>
      <c r="P2281" s="1">
        <v>44221.346261574072</v>
      </c>
      <c r="Q2281">
        <v>232600</v>
      </c>
      <c r="R2281">
        <v>116</v>
      </c>
      <c r="S2281" t="b">
        <v>0</v>
      </c>
      <c r="T2281" t="s">
        <v>87</v>
      </c>
      <c r="U2281" t="b">
        <v>0</v>
      </c>
      <c r="V2281" t="s">
        <v>259</v>
      </c>
      <c r="W2281" s="1">
        <v>44218.654062499998</v>
      </c>
      <c r="X2281">
        <v>86</v>
      </c>
      <c r="Y2281">
        <v>0</v>
      </c>
      <c r="Z2281">
        <v>0</v>
      </c>
      <c r="AA2281">
        <v>0</v>
      </c>
      <c r="AB2281">
        <v>52</v>
      </c>
      <c r="AC2281">
        <v>0</v>
      </c>
      <c r="AD2281">
        <v>66</v>
      </c>
      <c r="AE2281">
        <v>0</v>
      </c>
      <c r="AF2281">
        <v>0</v>
      </c>
      <c r="AG2281">
        <v>0</v>
      </c>
      <c r="AH2281" t="s">
        <v>267</v>
      </c>
      <c r="AI2281" s="1">
        <v>44218.656099537038</v>
      </c>
      <c r="AJ2281">
        <v>27</v>
      </c>
      <c r="AK2281">
        <v>0</v>
      </c>
      <c r="AL2281">
        <v>0</v>
      </c>
      <c r="AM2281">
        <v>0</v>
      </c>
      <c r="AN2281">
        <v>52</v>
      </c>
      <c r="AO2281">
        <v>0</v>
      </c>
      <c r="AP2281">
        <v>66</v>
      </c>
      <c r="AQ2281">
        <v>0</v>
      </c>
      <c r="AR2281">
        <v>0</v>
      </c>
      <c r="AS2281">
        <v>0</v>
      </c>
      <c r="AT2281" t="s">
        <v>90</v>
      </c>
      <c r="AU2281" s="1">
        <v>44221.346261574072</v>
      </c>
      <c r="AV2281">
        <v>3</v>
      </c>
      <c r="AW2281">
        <v>0</v>
      </c>
      <c r="AX2281">
        <v>0</v>
      </c>
      <c r="AY2281">
        <v>0</v>
      </c>
      <c r="AZ2281">
        <v>52</v>
      </c>
      <c r="BA2281">
        <v>0</v>
      </c>
      <c r="BB2281">
        <v>66</v>
      </c>
      <c r="BC2281">
        <v>0</v>
      </c>
      <c r="BD2281">
        <v>0</v>
      </c>
      <c r="BE2281">
        <v>0</v>
      </c>
    </row>
    <row r="2282" spans="1:57" x14ac:dyDescent="0.45">
      <c r="A2282" t="s">
        <v>5519</v>
      </c>
      <c r="B2282" t="s">
        <v>79</v>
      </c>
      <c r="C2282" t="s">
        <v>5520</v>
      </c>
      <c r="D2282" t="s">
        <v>81</v>
      </c>
      <c r="E2282" s="2" t="str">
        <f>HYPERLINK("capsilon://?command=openfolder&amp;siteaddress=FAM.docvelocity-na8.net&amp;folderid=FXFA450147-19B7-506E-5CF5-7CD9C31BF8F7","FX201224849")</f>
        <v>FX201224849</v>
      </c>
      <c r="F2282" t="s">
        <v>19</v>
      </c>
      <c r="G2282" t="s">
        <v>19</v>
      </c>
      <c r="H2282" t="s">
        <v>82</v>
      </c>
      <c r="I2282" t="s">
        <v>5521</v>
      </c>
      <c r="J2282">
        <v>66</v>
      </c>
      <c r="K2282" t="s">
        <v>84</v>
      </c>
      <c r="L2282" t="s">
        <v>85</v>
      </c>
      <c r="M2282" t="s">
        <v>86</v>
      </c>
      <c r="N2282">
        <v>3</v>
      </c>
      <c r="O2282" s="1">
        <v>44218.655138888891</v>
      </c>
      <c r="P2282" s="1">
        <v>44221.358090277776</v>
      </c>
      <c r="Q2282">
        <v>231533</v>
      </c>
      <c r="R2282">
        <v>2002</v>
      </c>
      <c r="S2282" t="b">
        <v>0</v>
      </c>
      <c r="T2282" t="s">
        <v>87</v>
      </c>
      <c r="U2282" t="b">
        <v>0</v>
      </c>
      <c r="V2282" t="s">
        <v>168</v>
      </c>
      <c r="W2282" s="1">
        <v>44218.665567129632</v>
      </c>
      <c r="X2282">
        <v>893</v>
      </c>
      <c r="Y2282">
        <v>52</v>
      </c>
      <c r="Z2282">
        <v>0</v>
      </c>
      <c r="AA2282">
        <v>52</v>
      </c>
      <c r="AB2282">
        <v>0</v>
      </c>
      <c r="AC2282">
        <v>33</v>
      </c>
      <c r="AD2282">
        <v>14</v>
      </c>
      <c r="AE2282">
        <v>0</v>
      </c>
      <c r="AF2282">
        <v>0</v>
      </c>
      <c r="AG2282">
        <v>0</v>
      </c>
      <c r="AH2282" t="s">
        <v>267</v>
      </c>
      <c r="AI2282" s="1">
        <v>44218.669618055559</v>
      </c>
      <c r="AJ2282">
        <v>88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14</v>
      </c>
      <c r="AQ2282">
        <v>0</v>
      </c>
      <c r="AR2282">
        <v>0</v>
      </c>
      <c r="AS2282">
        <v>0</v>
      </c>
      <c r="AT2282" t="s">
        <v>90</v>
      </c>
      <c r="AU2282" s="1">
        <v>44221.358090277776</v>
      </c>
      <c r="AV2282">
        <v>1021</v>
      </c>
      <c r="AW2282">
        <v>1</v>
      </c>
      <c r="AX2282">
        <v>0</v>
      </c>
      <c r="AY2282">
        <v>1</v>
      </c>
      <c r="AZ2282">
        <v>0</v>
      </c>
      <c r="BA2282">
        <v>1</v>
      </c>
      <c r="BB2282">
        <v>13</v>
      </c>
      <c r="BC2282">
        <v>0</v>
      </c>
      <c r="BD2282">
        <v>0</v>
      </c>
      <c r="BE2282">
        <v>0</v>
      </c>
    </row>
    <row r="2283" spans="1:57" hidden="1" x14ac:dyDescent="0.45">
      <c r="A2283" t="s">
        <v>5522</v>
      </c>
      <c r="B2283" t="s">
        <v>79</v>
      </c>
      <c r="C2283" t="s">
        <v>4221</v>
      </c>
      <c r="D2283" t="s">
        <v>81</v>
      </c>
      <c r="E2283" s="2" t="str">
        <f>HYPERLINK("capsilon://?command=openfolder&amp;siteaddress=FAM.docvelocity-na8.net&amp;folderid=FX7F171298-412E-8A5C-25D4-425DF3A8017F","FX20122068")</f>
        <v>FX20122068</v>
      </c>
      <c r="F2283" t="s">
        <v>19</v>
      </c>
      <c r="G2283" t="s">
        <v>19</v>
      </c>
      <c r="H2283" t="s">
        <v>82</v>
      </c>
      <c r="I2283" t="s">
        <v>5523</v>
      </c>
      <c r="J2283">
        <v>66</v>
      </c>
      <c r="K2283" t="s">
        <v>84</v>
      </c>
      <c r="L2283" t="s">
        <v>85</v>
      </c>
      <c r="M2283" t="s">
        <v>86</v>
      </c>
      <c r="N2283">
        <v>1</v>
      </c>
      <c r="O2283" s="1">
        <v>44218.655312499999</v>
      </c>
      <c r="P2283" s="1">
        <v>44218.657118055555</v>
      </c>
      <c r="Q2283">
        <v>68</v>
      </c>
      <c r="R2283">
        <v>88</v>
      </c>
      <c r="S2283" t="b">
        <v>0</v>
      </c>
      <c r="T2283" t="s">
        <v>87</v>
      </c>
      <c r="U2283" t="b">
        <v>0</v>
      </c>
      <c r="V2283" t="s">
        <v>242</v>
      </c>
      <c r="W2283" s="1">
        <v>44218.657118055555</v>
      </c>
      <c r="X2283">
        <v>65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66</v>
      </c>
      <c r="AE2283">
        <v>52</v>
      </c>
      <c r="AF2283">
        <v>0</v>
      </c>
      <c r="AG2283">
        <v>1</v>
      </c>
      <c r="AH2283" t="s">
        <v>87</v>
      </c>
      <c r="AI2283" t="s">
        <v>87</v>
      </c>
      <c r="AJ2283" t="s">
        <v>87</v>
      </c>
      <c r="AK2283" t="s">
        <v>87</v>
      </c>
      <c r="AL2283" t="s">
        <v>87</v>
      </c>
      <c r="AM2283" t="s">
        <v>87</v>
      </c>
      <c r="AN2283" t="s">
        <v>87</v>
      </c>
      <c r="AO2283" t="s">
        <v>87</v>
      </c>
      <c r="AP2283" t="s">
        <v>87</v>
      </c>
      <c r="AQ2283" t="s">
        <v>87</v>
      </c>
      <c r="AR2283" t="s">
        <v>87</v>
      </c>
      <c r="AS2283" t="s">
        <v>87</v>
      </c>
      <c r="AT2283" t="s">
        <v>87</v>
      </c>
      <c r="AU2283" t="s">
        <v>87</v>
      </c>
      <c r="AV2283" t="s">
        <v>87</v>
      </c>
      <c r="AW2283" t="s">
        <v>87</v>
      </c>
      <c r="AX2283" t="s">
        <v>87</v>
      </c>
      <c r="AY2283" t="s">
        <v>87</v>
      </c>
      <c r="AZ2283" t="s">
        <v>87</v>
      </c>
      <c r="BA2283" t="s">
        <v>87</v>
      </c>
      <c r="BB2283" t="s">
        <v>87</v>
      </c>
      <c r="BC2283" t="s">
        <v>87</v>
      </c>
      <c r="BD2283" t="s">
        <v>87</v>
      </c>
      <c r="BE2283" t="s">
        <v>87</v>
      </c>
    </row>
    <row r="2284" spans="1:57" x14ac:dyDescent="0.45">
      <c r="A2284" t="s">
        <v>5524</v>
      </c>
      <c r="B2284" t="s">
        <v>79</v>
      </c>
      <c r="C2284" t="s">
        <v>5484</v>
      </c>
      <c r="D2284" t="s">
        <v>81</v>
      </c>
      <c r="E2284" s="2" t="str">
        <f>HYPERLINK("capsilon://?command=openfolder&amp;siteaddress=FAM.docvelocity-na8.net&amp;folderid=FXA6730723-B2D5-3D0D-7E3E-84CCA7BD389B","FX210113907")</f>
        <v>FX210113907</v>
      </c>
      <c r="F2284" t="s">
        <v>19</v>
      </c>
      <c r="G2284" t="s">
        <v>19</v>
      </c>
      <c r="H2284" t="s">
        <v>82</v>
      </c>
      <c r="I2284" t="s">
        <v>5525</v>
      </c>
      <c r="J2284">
        <v>26</v>
      </c>
      <c r="K2284" t="s">
        <v>84</v>
      </c>
      <c r="L2284" t="s">
        <v>85</v>
      </c>
      <c r="M2284" t="s">
        <v>86</v>
      </c>
      <c r="N2284">
        <v>3</v>
      </c>
      <c r="O2284" s="1">
        <v>44218.656006944446</v>
      </c>
      <c r="P2284" s="1">
        <v>44221.358159722222</v>
      </c>
      <c r="Q2284">
        <v>233164</v>
      </c>
      <c r="R2284">
        <v>302</v>
      </c>
      <c r="S2284" t="b">
        <v>0</v>
      </c>
      <c r="T2284" t="s">
        <v>87</v>
      </c>
      <c r="U2284" t="b">
        <v>0</v>
      </c>
      <c r="V2284" t="s">
        <v>259</v>
      </c>
      <c r="W2284" s="1">
        <v>44218.658831018518</v>
      </c>
      <c r="X2284">
        <v>227</v>
      </c>
      <c r="Y2284">
        <v>21</v>
      </c>
      <c r="Z2284">
        <v>0</v>
      </c>
      <c r="AA2284">
        <v>21</v>
      </c>
      <c r="AB2284">
        <v>0</v>
      </c>
      <c r="AC2284">
        <v>9</v>
      </c>
      <c r="AD2284">
        <v>5</v>
      </c>
      <c r="AE2284">
        <v>0</v>
      </c>
      <c r="AF2284">
        <v>0</v>
      </c>
      <c r="AG2284">
        <v>0</v>
      </c>
      <c r="AH2284" t="s">
        <v>267</v>
      </c>
      <c r="AI2284" s="1">
        <v>44218.660914351851</v>
      </c>
      <c r="AJ2284">
        <v>58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5</v>
      </c>
      <c r="AQ2284">
        <v>0</v>
      </c>
      <c r="AR2284">
        <v>0</v>
      </c>
      <c r="AS2284">
        <v>0</v>
      </c>
      <c r="AT2284" t="s">
        <v>90</v>
      </c>
      <c r="AU2284" s="1">
        <v>44221.358159722222</v>
      </c>
      <c r="AV2284">
        <v>6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5</v>
      </c>
      <c r="BC2284">
        <v>0</v>
      </c>
      <c r="BD2284">
        <v>0</v>
      </c>
      <c r="BE2284">
        <v>0</v>
      </c>
    </row>
    <row r="2285" spans="1:57" x14ac:dyDescent="0.45">
      <c r="A2285" t="s">
        <v>5526</v>
      </c>
      <c r="B2285" t="s">
        <v>79</v>
      </c>
      <c r="C2285" t="s">
        <v>4221</v>
      </c>
      <c r="D2285" t="s">
        <v>81</v>
      </c>
      <c r="E2285" s="2" t="str">
        <f>HYPERLINK("capsilon://?command=openfolder&amp;siteaddress=FAM.docvelocity-na8.net&amp;folderid=FX7F171298-412E-8A5C-25D4-425DF3A8017F","FX20122068")</f>
        <v>FX20122068</v>
      </c>
      <c r="F2285" t="s">
        <v>19</v>
      </c>
      <c r="G2285" t="s">
        <v>19</v>
      </c>
      <c r="H2285" t="s">
        <v>82</v>
      </c>
      <c r="I2285" t="s">
        <v>5523</v>
      </c>
      <c r="J2285">
        <v>38</v>
      </c>
      <c r="K2285" t="s">
        <v>84</v>
      </c>
      <c r="L2285" t="s">
        <v>85</v>
      </c>
      <c r="M2285" t="s">
        <v>86</v>
      </c>
      <c r="N2285">
        <v>3</v>
      </c>
      <c r="O2285" s="1">
        <v>44218.657384259262</v>
      </c>
      <c r="P2285" s="1">
        <v>44218.699178240742</v>
      </c>
      <c r="Q2285">
        <v>3180</v>
      </c>
      <c r="R2285">
        <v>431</v>
      </c>
      <c r="S2285" t="b">
        <v>0</v>
      </c>
      <c r="T2285" t="s">
        <v>87</v>
      </c>
      <c r="U2285" t="b">
        <v>1</v>
      </c>
      <c r="V2285" t="s">
        <v>242</v>
      </c>
      <c r="W2285" s="1">
        <v>44218.661215277774</v>
      </c>
      <c r="X2285">
        <v>326</v>
      </c>
      <c r="Y2285">
        <v>37</v>
      </c>
      <c r="Z2285">
        <v>0</v>
      </c>
      <c r="AA2285">
        <v>37</v>
      </c>
      <c r="AB2285">
        <v>0</v>
      </c>
      <c r="AC2285">
        <v>34</v>
      </c>
      <c r="AD2285">
        <v>1</v>
      </c>
      <c r="AE2285">
        <v>0</v>
      </c>
      <c r="AF2285">
        <v>0</v>
      </c>
      <c r="AG2285">
        <v>0</v>
      </c>
      <c r="AH2285" t="s">
        <v>267</v>
      </c>
      <c r="AI2285" s="1">
        <v>44218.663217592592</v>
      </c>
      <c r="AJ2285">
        <v>66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</v>
      </c>
      <c r="AQ2285">
        <v>0</v>
      </c>
      <c r="AR2285">
        <v>0</v>
      </c>
      <c r="AS2285">
        <v>0</v>
      </c>
      <c r="AT2285" t="s">
        <v>549</v>
      </c>
      <c r="AU2285" s="1">
        <v>44218.699178240742</v>
      </c>
      <c r="AV2285">
        <v>39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</row>
    <row r="2286" spans="1:57" hidden="1" x14ac:dyDescent="0.45">
      <c r="A2286" t="s">
        <v>5527</v>
      </c>
      <c r="B2286" t="s">
        <v>79</v>
      </c>
      <c r="C2286" t="s">
        <v>5528</v>
      </c>
      <c r="D2286" t="s">
        <v>81</v>
      </c>
      <c r="E2286" s="2" t="str">
        <f>HYPERLINK("capsilon://?command=openfolder&amp;siteaddress=FAM.docvelocity-na8.net&amp;folderid=FX1E5041E4-8B03-61B1-97F6-68A18EDA346B","FX201222097")</f>
        <v>FX201222097</v>
      </c>
      <c r="F2286" t="s">
        <v>19</v>
      </c>
      <c r="G2286" t="s">
        <v>19</v>
      </c>
      <c r="H2286" t="s">
        <v>82</v>
      </c>
      <c r="I2286" t="s">
        <v>5529</v>
      </c>
      <c r="J2286">
        <v>66</v>
      </c>
      <c r="K2286" t="s">
        <v>84</v>
      </c>
      <c r="L2286" t="s">
        <v>85</v>
      </c>
      <c r="M2286" t="s">
        <v>86</v>
      </c>
      <c r="N2286">
        <v>1</v>
      </c>
      <c r="O2286" s="1">
        <v>44218.666203703702</v>
      </c>
      <c r="P2286" s="1">
        <v>44218.667939814812</v>
      </c>
      <c r="Q2286">
        <v>80</v>
      </c>
      <c r="R2286">
        <v>70</v>
      </c>
      <c r="S2286" t="b">
        <v>0</v>
      </c>
      <c r="T2286" t="s">
        <v>87</v>
      </c>
      <c r="U2286" t="b">
        <v>0</v>
      </c>
      <c r="V2286" t="s">
        <v>168</v>
      </c>
      <c r="W2286" s="1">
        <v>44218.667939814812</v>
      </c>
      <c r="X2286">
        <v>48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66</v>
      </c>
      <c r="AE2286">
        <v>0</v>
      </c>
      <c r="AF2286">
        <v>0</v>
      </c>
      <c r="AG2286">
        <v>1</v>
      </c>
      <c r="AH2286" t="s">
        <v>87</v>
      </c>
      <c r="AI2286" t="s">
        <v>87</v>
      </c>
      <c r="AJ2286" t="s">
        <v>87</v>
      </c>
      <c r="AK2286" t="s">
        <v>87</v>
      </c>
      <c r="AL2286" t="s">
        <v>87</v>
      </c>
      <c r="AM2286" t="s">
        <v>87</v>
      </c>
      <c r="AN2286" t="s">
        <v>87</v>
      </c>
      <c r="AO2286" t="s">
        <v>87</v>
      </c>
      <c r="AP2286" t="s">
        <v>87</v>
      </c>
      <c r="AQ2286" t="s">
        <v>87</v>
      </c>
      <c r="AR2286" t="s">
        <v>87</v>
      </c>
      <c r="AS2286" t="s">
        <v>87</v>
      </c>
      <c r="AT2286" t="s">
        <v>87</v>
      </c>
      <c r="AU2286" t="s">
        <v>87</v>
      </c>
      <c r="AV2286" t="s">
        <v>87</v>
      </c>
      <c r="AW2286" t="s">
        <v>87</v>
      </c>
      <c r="AX2286" t="s">
        <v>87</v>
      </c>
      <c r="AY2286" t="s">
        <v>87</v>
      </c>
      <c r="AZ2286" t="s">
        <v>87</v>
      </c>
      <c r="BA2286" t="s">
        <v>87</v>
      </c>
      <c r="BB2286" t="s">
        <v>87</v>
      </c>
      <c r="BC2286" t="s">
        <v>87</v>
      </c>
      <c r="BD2286" t="s">
        <v>87</v>
      </c>
      <c r="BE2286" t="s">
        <v>87</v>
      </c>
    </row>
    <row r="2287" spans="1:57" x14ac:dyDescent="0.45">
      <c r="A2287" t="s">
        <v>5530</v>
      </c>
      <c r="B2287" t="s">
        <v>79</v>
      </c>
      <c r="C2287" t="s">
        <v>5528</v>
      </c>
      <c r="D2287" t="s">
        <v>81</v>
      </c>
      <c r="E2287" s="2" t="str">
        <f>HYPERLINK("capsilon://?command=openfolder&amp;siteaddress=FAM.docvelocity-na8.net&amp;folderid=FX1E5041E4-8B03-61B1-97F6-68A18EDA346B","FX201222097")</f>
        <v>FX201222097</v>
      </c>
      <c r="F2287" t="s">
        <v>19</v>
      </c>
      <c r="G2287" t="s">
        <v>19</v>
      </c>
      <c r="H2287" t="s">
        <v>82</v>
      </c>
      <c r="I2287" t="s">
        <v>5529</v>
      </c>
      <c r="J2287">
        <v>38</v>
      </c>
      <c r="K2287" t="s">
        <v>84</v>
      </c>
      <c r="L2287" t="s">
        <v>85</v>
      </c>
      <c r="M2287" t="s">
        <v>86</v>
      </c>
      <c r="N2287">
        <v>3</v>
      </c>
      <c r="O2287" s="1">
        <v>44218.668240740742</v>
      </c>
      <c r="P2287" s="1">
        <v>44218.699456018519</v>
      </c>
      <c r="Q2287">
        <v>1876</v>
      </c>
      <c r="R2287">
        <v>821</v>
      </c>
      <c r="S2287" t="b">
        <v>0</v>
      </c>
      <c r="T2287" t="s">
        <v>87</v>
      </c>
      <c r="U2287" t="b">
        <v>1</v>
      </c>
      <c r="V2287" t="s">
        <v>179</v>
      </c>
      <c r="W2287" s="1">
        <v>44218.675532407404</v>
      </c>
      <c r="X2287">
        <v>629</v>
      </c>
      <c r="Y2287">
        <v>37</v>
      </c>
      <c r="Z2287">
        <v>0</v>
      </c>
      <c r="AA2287">
        <v>37</v>
      </c>
      <c r="AB2287">
        <v>0</v>
      </c>
      <c r="AC2287">
        <v>35</v>
      </c>
      <c r="AD2287">
        <v>1</v>
      </c>
      <c r="AE2287">
        <v>0</v>
      </c>
      <c r="AF2287">
        <v>0</v>
      </c>
      <c r="AG2287">
        <v>0</v>
      </c>
      <c r="AH2287" t="s">
        <v>147</v>
      </c>
      <c r="AI2287" s="1">
        <v>44218.677488425928</v>
      </c>
      <c r="AJ2287">
        <v>168</v>
      </c>
      <c r="AK2287">
        <v>3</v>
      </c>
      <c r="AL2287">
        <v>0</v>
      </c>
      <c r="AM2287">
        <v>3</v>
      </c>
      <c r="AN2287">
        <v>0</v>
      </c>
      <c r="AO2287">
        <v>1</v>
      </c>
      <c r="AP2287">
        <v>-2</v>
      </c>
      <c r="AQ2287">
        <v>0</v>
      </c>
      <c r="AR2287">
        <v>0</v>
      </c>
      <c r="AS2287">
        <v>0</v>
      </c>
      <c r="AT2287" t="s">
        <v>549</v>
      </c>
      <c r="AU2287" s="1">
        <v>44218.699456018519</v>
      </c>
      <c r="AV2287">
        <v>24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-2</v>
      </c>
      <c r="BC2287">
        <v>0</v>
      </c>
      <c r="BD2287">
        <v>0</v>
      </c>
      <c r="BE2287">
        <v>0</v>
      </c>
    </row>
    <row r="2288" spans="1:57" x14ac:dyDescent="0.45">
      <c r="A2288" t="s">
        <v>5531</v>
      </c>
      <c r="B2288" t="s">
        <v>79</v>
      </c>
      <c r="C2288" t="s">
        <v>5484</v>
      </c>
      <c r="D2288" t="s">
        <v>81</v>
      </c>
      <c r="E2288" s="2" t="str">
        <f>HYPERLINK("capsilon://?command=openfolder&amp;siteaddress=FAM.docvelocity-na8.net&amp;folderid=FXA6730723-B2D5-3D0D-7E3E-84CCA7BD389B","FX210113907")</f>
        <v>FX210113907</v>
      </c>
      <c r="F2288" t="s">
        <v>19</v>
      </c>
      <c r="G2288" t="s">
        <v>19</v>
      </c>
      <c r="H2288" t="s">
        <v>82</v>
      </c>
      <c r="I2288" t="s">
        <v>5532</v>
      </c>
      <c r="J2288">
        <v>51</v>
      </c>
      <c r="K2288" t="s">
        <v>84</v>
      </c>
      <c r="L2288" t="s">
        <v>85</v>
      </c>
      <c r="M2288" t="s">
        <v>86</v>
      </c>
      <c r="N2288">
        <v>3</v>
      </c>
      <c r="O2288" s="1">
        <v>44218.668657407405</v>
      </c>
      <c r="P2288" s="1">
        <v>44221.358229166668</v>
      </c>
      <c r="Q2288">
        <v>231656</v>
      </c>
      <c r="R2288">
        <v>723</v>
      </c>
      <c r="S2288" t="b">
        <v>0</v>
      </c>
      <c r="T2288" t="s">
        <v>87</v>
      </c>
      <c r="U2288" t="b">
        <v>0</v>
      </c>
      <c r="V2288" t="s">
        <v>168</v>
      </c>
      <c r="W2288" s="1">
        <v>44218.675092592595</v>
      </c>
      <c r="X2288">
        <v>555</v>
      </c>
      <c r="Y2288">
        <v>50</v>
      </c>
      <c r="Z2288">
        <v>0</v>
      </c>
      <c r="AA2288">
        <v>50</v>
      </c>
      <c r="AB2288">
        <v>0</v>
      </c>
      <c r="AC2288">
        <v>33</v>
      </c>
      <c r="AD2288">
        <v>1</v>
      </c>
      <c r="AE2288">
        <v>0</v>
      </c>
      <c r="AF2288">
        <v>0</v>
      </c>
      <c r="AG2288">
        <v>0</v>
      </c>
      <c r="AH2288" t="s">
        <v>128</v>
      </c>
      <c r="AI2288" s="1">
        <v>44218.677118055559</v>
      </c>
      <c r="AJ2288">
        <v>152</v>
      </c>
      <c r="AK2288">
        <v>2</v>
      </c>
      <c r="AL2288">
        <v>0</v>
      </c>
      <c r="AM2288">
        <v>2</v>
      </c>
      <c r="AN2288">
        <v>0</v>
      </c>
      <c r="AO2288">
        <v>2</v>
      </c>
      <c r="AP2288">
        <v>-1</v>
      </c>
      <c r="AQ2288">
        <v>0</v>
      </c>
      <c r="AR2288">
        <v>0</v>
      </c>
      <c r="AS2288">
        <v>0</v>
      </c>
      <c r="AT2288" t="s">
        <v>90</v>
      </c>
      <c r="AU2288" s="1">
        <v>44221.358229166668</v>
      </c>
      <c r="AV2288">
        <v>5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-1</v>
      </c>
      <c r="BC2288">
        <v>0</v>
      </c>
      <c r="BD2288">
        <v>0</v>
      </c>
      <c r="BE2288">
        <v>0</v>
      </c>
    </row>
    <row r="2289" spans="1:57" x14ac:dyDescent="0.45">
      <c r="A2289" t="s">
        <v>5533</v>
      </c>
      <c r="B2289" t="s">
        <v>79</v>
      </c>
      <c r="C2289" t="s">
        <v>1164</v>
      </c>
      <c r="D2289" t="s">
        <v>81</v>
      </c>
      <c r="E2289" s="2" t="str">
        <f>HYPERLINK("capsilon://?command=openfolder&amp;siteaddress=FAM.docvelocity-na8.net&amp;folderid=FX57074E1C-B2DB-B3D3-77A3-D797A639B30D","FX21013062")</f>
        <v>FX21013062</v>
      </c>
      <c r="F2289" t="s">
        <v>19</v>
      </c>
      <c r="G2289" t="s">
        <v>19</v>
      </c>
      <c r="H2289" t="s">
        <v>82</v>
      </c>
      <c r="I2289" t="s">
        <v>5534</v>
      </c>
      <c r="J2289">
        <v>66</v>
      </c>
      <c r="K2289" t="s">
        <v>84</v>
      </c>
      <c r="L2289" t="s">
        <v>85</v>
      </c>
      <c r="M2289" t="s">
        <v>86</v>
      </c>
      <c r="N2289">
        <v>3</v>
      </c>
      <c r="O2289" s="1">
        <v>44218.669537037036</v>
      </c>
      <c r="P2289" s="1">
        <v>44221.358287037037</v>
      </c>
      <c r="Q2289">
        <v>231079</v>
      </c>
      <c r="R2289">
        <v>1229</v>
      </c>
      <c r="S2289" t="b">
        <v>0</v>
      </c>
      <c r="T2289" t="s">
        <v>87</v>
      </c>
      <c r="U2289" t="b">
        <v>0</v>
      </c>
      <c r="V2289" t="s">
        <v>171</v>
      </c>
      <c r="W2289" s="1">
        <v>44218.681817129633</v>
      </c>
      <c r="X2289">
        <v>1060</v>
      </c>
      <c r="Y2289">
        <v>52</v>
      </c>
      <c r="Z2289">
        <v>0</v>
      </c>
      <c r="AA2289">
        <v>52</v>
      </c>
      <c r="AB2289">
        <v>0</v>
      </c>
      <c r="AC2289">
        <v>40</v>
      </c>
      <c r="AD2289">
        <v>14</v>
      </c>
      <c r="AE2289">
        <v>0</v>
      </c>
      <c r="AF2289">
        <v>0</v>
      </c>
      <c r="AG2289">
        <v>0</v>
      </c>
      <c r="AH2289" t="s">
        <v>128</v>
      </c>
      <c r="AI2289" s="1">
        <v>44218.68478009259</v>
      </c>
      <c r="AJ2289">
        <v>164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14</v>
      </c>
      <c r="AQ2289">
        <v>0</v>
      </c>
      <c r="AR2289">
        <v>0</v>
      </c>
      <c r="AS2289">
        <v>0</v>
      </c>
      <c r="AT2289" t="s">
        <v>90</v>
      </c>
      <c r="AU2289" s="1">
        <v>44221.358287037037</v>
      </c>
      <c r="AV2289">
        <v>5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14</v>
      </c>
      <c r="BC2289">
        <v>0</v>
      </c>
      <c r="BD2289">
        <v>0</v>
      </c>
      <c r="BE2289">
        <v>0</v>
      </c>
    </row>
    <row r="2290" spans="1:57" x14ac:dyDescent="0.45">
      <c r="A2290" t="s">
        <v>5535</v>
      </c>
      <c r="B2290" t="s">
        <v>79</v>
      </c>
      <c r="C2290" t="s">
        <v>5484</v>
      </c>
      <c r="D2290" t="s">
        <v>81</v>
      </c>
      <c r="E2290" s="2" t="str">
        <f>HYPERLINK("capsilon://?command=openfolder&amp;siteaddress=FAM.docvelocity-na8.net&amp;folderid=FXA6730723-B2D5-3D0D-7E3E-84CCA7BD389B","FX210113907")</f>
        <v>FX210113907</v>
      </c>
      <c r="F2290" t="s">
        <v>19</v>
      </c>
      <c r="G2290" t="s">
        <v>19</v>
      </c>
      <c r="H2290" t="s">
        <v>82</v>
      </c>
      <c r="I2290" t="s">
        <v>5536</v>
      </c>
      <c r="J2290">
        <v>60</v>
      </c>
      <c r="K2290" t="s">
        <v>84</v>
      </c>
      <c r="L2290" t="s">
        <v>85</v>
      </c>
      <c r="M2290" t="s">
        <v>86</v>
      </c>
      <c r="N2290">
        <v>3</v>
      </c>
      <c r="O2290" s="1">
        <v>44218.670682870368</v>
      </c>
      <c r="P2290" s="1">
        <v>44221.358368055553</v>
      </c>
      <c r="Q2290">
        <v>230917</v>
      </c>
      <c r="R2290">
        <v>1299</v>
      </c>
      <c r="S2290" t="b">
        <v>0</v>
      </c>
      <c r="T2290" t="s">
        <v>87</v>
      </c>
      <c r="U2290" t="b">
        <v>0</v>
      </c>
      <c r="V2290" t="s">
        <v>146</v>
      </c>
      <c r="W2290" s="1">
        <v>44218.68340277778</v>
      </c>
      <c r="X2290">
        <v>1098</v>
      </c>
      <c r="Y2290">
        <v>50</v>
      </c>
      <c r="Z2290">
        <v>0</v>
      </c>
      <c r="AA2290">
        <v>50</v>
      </c>
      <c r="AB2290">
        <v>0</v>
      </c>
      <c r="AC2290">
        <v>30</v>
      </c>
      <c r="AD2290">
        <v>10</v>
      </c>
      <c r="AE2290">
        <v>0</v>
      </c>
      <c r="AF2290">
        <v>0</v>
      </c>
      <c r="AG2290">
        <v>0</v>
      </c>
      <c r="AH2290" t="s">
        <v>128</v>
      </c>
      <c r="AI2290" s="1">
        <v>44218.686909722222</v>
      </c>
      <c r="AJ2290">
        <v>183</v>
      </c>
      <c r="AK2290">
        <v>2</v>
      </c>
      <c r="AL2290">
        <v>0</v>
      </c>
      <c r="AM2290">
        <v>2</v>
      </c>
      <c r="AN2290">
        <v>0</v>
      </c>
      <c r="AO2290">
        <v>2</v>
      </c>
      <c r="AP2290">
        <v>8</v>
      </c>
      <c r="AQ2290">
        <v>0</v>
      </c>
      <c r="AR2290">
        <v>0</v>
      </c>
      <c r="AS2290">
        <v>0</v>
      </c>
      <c r="AT2290" t="s">
        <v>90</v>
      </c>
      <c r="AU2290" s="1">
        <v>44221.358368055553</v>
      </c>
      <c r="AV2290">
        <v>6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8</v>
      </c>
      <c r="BC2290">
        <v>0</v>
      </c>
      <c r="BD2290">
        <v>0</v>
      </c>
      <c r="BE2290">
        <v>0</v>
      </c>
    </row>
    <row r="2291" spans="1:57" x14ac:dyDescent="0.45">
      <c r="A2291" t="s">
        <v>5537</v>
      </c>
      <c r="B2291" t="s">
        <v>79</v>
      </c>
      <c r="C2291" t="s">
        <v>5484</v>
      </c>
      <c r="D2291" t="s">
        <v>81</v>
      </c>
      <c r="E2291" s="2" t="str">
        <f>HYPERLINK("capsilon://?command=openfolder&amp;siteaddress=FAM.docvelocity-na8.net&amp;folderid=FXA6730723-B2D5-3D0D-7E3E-84CCA7BD389B","FX210113907")</f>
        <v>FX210113907</v>
      </c>
      <c r="F2291" t="s">
        <v>19</v>
      </c>
      <c r="G2291" t="s">
        <v>19</v>
      </c>
      <c r="H2291" t="s">
        <v>82</v>
      </c>
      <c r="I2291" t="s">
        <v>5538</v>
      </c>
      <c r="J2291">
        <v>60</v>
      </c>
      <c r="K2291" t="s">
        <v>84</v>
      </c>
      <c r="L2291" t="s">
        <v>85</v>
      </c>
      <c r="M2291" t="s">
        <v>86</v>
      </c>
      <c r="N2291">
        <v>3</v>
      </c>
      <c r="O2291" s="1">
        <v>44218.67559027778</v>
      </c>
      <c r="P2291" s="1">
        <v>44221.358425925922</v>
      </c>
      <c r="Q2291">
        <v>231081</v>
      </c>
      <c r="R2291">
        <v>716</v>
      </c>
      <c r="S2291" t="b">
        <v>0</v>
      </c>
      <c r="T2291" t="s">
        <v>87</v>
      </c>
      <c r="U2291" t="b">
        <v>0</v>
      </c>
      <c r="V2291" t="s">
        <v>160</v>
      </c>
      <c r="W2291" s="1">
        <v>44218.682037037041</v>
      </c>
      <c r="X2291">
        <v>557</v>
      </c>
      <c r="Y2291">
        <v>50</v>
      </c>
      <c r="Z2291">
        <v>0</v>
      </c>
      <c r="AA2291">
        <v>50</v>
      </c>
      <c r="AB2291">
        <v>0</v>
      </c>
      <c r="AC2291">
        <v>41</v>
      </c>
      <c r="AD2291">
        <v>10</v>
      </c>
      <c r="AE2291">
        <v>0</v>
      </c>
      <c r="AF2291">
        <v>0</v>
      </c>
      <c r="AG2291">
        <v>0</v>
      </c>
      <c r="AH2291" t="s">
        <v>128</v>
      </c>
      <c r="AI2291" s="1">
        <v>44218.688645833332</v>
      </c>
      <c r="AJ2291">
        <v>149</v>
      </c>
      <c r="AK2291">
        <v>2</v>
      </c>
      <c r="AL2291">
        <v>0</v>
      </c>
      <c r="AM2291">
        <v>2</v>
      </c>
      <c r="AN2291">
        <v>0</v>
      </c>
      <c r="AO2291">
        <v>2</v>
      </c>
      <c r="AP2291">
        <v>8</v>
      </c>
      <c r="AQ2291">
        <v>0</v>
      </c>
      <c r="AR2291">
        <v>0</v>
      </c>
      <c r="AS2291">
        <v>0</v>
      </c>
      <c r="AT2291" t="s">
        <v>90</v>
      </c>
      <c r="AU2291" s="1">
        <v>44221.358425925922</v>
      </c>
      <c r="AV2291">
        <v>4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8</v>
      </c>
      <c r="BC2291">
        <v>0</v>
      </c>
      <c r="BD2291">
        <v>0</v>
      </c>
      <c r="BE2291">
        <v>0</v>
      </c>
    </row>
    <row r="2292" spans="1:57" x14ac:dyDescent="0.45">
      <c r="A2292" t="s">
        <v>5539</v>
      </c>
      <c r="B2292" t="s">
        <v>79</v>
      </c>
      <c r="C2292" t="s">
        <v>5484</v>
      </c>
      <c r="D2292" t="s">
        <v>81</v>
      </c>
      <c r="E2292" s="2" t="str">
        <f>HYPERLINK("capsilon://?command=openfolder&amp;siteaddress=FAM.docvelocity-na8.net&amp;folderid=FXA6730723-B2D5-3D0D-7E3E-84CCA7BD389B","FX210113907")</f>
        <v>FX210113907</v>
      </c>
      <c r="F2292" t="s">
        <v>19</v>
      </c>
      <c r="G2292" t="s">
        <v>19</v>
      </c>
      <c r="H2292" t="s">
        <v>82</v>
      </c>
      <c r="I2292" t="s">
        <v>5540</v>
      </c>
      <c r="J2292">
        <v>66</v>
      </c>
      <c r="K2292" t="s">
        <v>84</v>
      </c>
      <c r="L2292" t="s">
        <v>85</v>
      </c>
      <c r="M2292" t="s">
        <v>86</v>
      </c>
      <c r="N2292">
        <v>3</v>
      </c>
      <c r="O2292" s="1">
        <v>44218.676365740743</v>
      </c>
      <c r="P2292" s="1">
        <v>44221.358564814815</v>
      </c>
      <c r="Q2292">
        <v>230842</v>
      </c>
      <c r="R2292">
        <v>900</v>
      </c>
      <c r="S2292" t="b">
        <v>0</v>
      </c>
      <c r="T2292" t="s">
        <v>87</v>
      </c>
      <c r="U2292" t="b">
        <v>0</v>
      </c>
      <c r="V2292" t="s">
        <v>179</v>
      </c>
      <c r="W2292" s="1">
        <v>44218.684965277775</v>
      </c>
      <c r="X2292">
        <v>742</v>
      </c>
      <c r="Y2292">
        <v>52</v>
      </c>
      <c r="Z2292">
        <v>0</v>
      </c>
      <c r="AA2292">
        <v>52</v>
      </c>
      <c r="AB2292">
        <v>0</v>
      </c>
      <c r="AC2292">
        <v>31</v>
      </c>
      <c r="AD2292">
        <v>14</v>
      </c>
      <c r="AE2292">
        <v>0</v>
      </c>
      <c r="AF2292">
        <v>0</v>
      </c>
      <c r="AG2292">
        <v>0</v>
      </c>
      <c r="AH2292" t="s">
        <v>128</v>
      </c>
      <c r="AI2292" s="1">
        <v>44218.69023148148</v>
      </c>
      <c r="AJ2292">
        <v>137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14</v>
      </c>
      <c r="AQ2292">
        <v>0</v>
      </c>
      <c r="AR2292">
        <v>0</v>
      </c>
      <c r="AS2292">
        <v>0</v>
      </c>
      <c r="AT2292" t="s">
        <v>90</v>
      </c>
      <c r="AU2292" s="1">
        <v>44221.358564814815</v>
      </c>
      <c r="AV2292">
        <v>11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14</v>
      </c>
      <c r="BC2292">
        <v>0</v>
      </c>
      <c r="BD2292">
        <v>0</v>
      </c>
      <c r="BE2292">
        <v>0</v>
      </c>
    </row>
    <row r="2293" spans="1:57" x14ac:dyDescent="0.45">
      <c r="A2293" t="s">
        <v>5541</v>
      </c>
      <c r="B2293" t="s">
        <v>79</v>
      </c>
      <c r="C2293" t="s">
        <v>5279</v>
      </c>
      <c r="D2293" t="s">
        <v>81</v>
      </c>
      <c r="E2293" s="2" t="str">
        <f>HYPERLINK("capsilon://?command=openfolder&amp;siteaddress=FAM.docvelocity-na8.net&amp;folderid=FXF438E867-25E0-0C43-4D27-9F203F760BD9","FX21011273")</f>
        <v>FX21011273</v>
      </c>
      <c r="F2293" t="s">
        <v>19</v>
      </c>
      <c r="G2293" t="s">
        <v>19</v>
      </c>
      <c r="H2293" t="s">
        <v>82</v>
      </c>
      <c r="I2293" t="s">
        <v>5542</v>
      </c>
      <c r="J2293">
        <v>66</v>
      </c>
      <c r="K2293" t="s">
        <v>84</v>
      </c>
      <c r="L2293" t="s">
        <v>85</v>
      </c>
      <c r="M2293" t="s">
        <v>86</v>
      </c>
      <c r="N2293">
        <v>3</v>
      </c>
      <c r="O2293" s="1">
        <v>44218.679606481484</v>
      </c>
      <c r="P2293" s="1">
        <v>44221.358634259261</v>
      </c>
      <c r="Q2293">
        <v>230138</v>
      </c>
      <c r="R2293">
        <v>1330</v>
      </c>
      <c r="S2293" t="b">
        <v>0</v>
      </c>
      <c r="T2293" t="s">
        <v>87</v>
      </c>
      <c r="U2293" t="b">
        <v>0</v>
      </c>
      <c r="V2293" t="s">
        <v>168</v>
      </c>
      <c r="W2293" s="1">
        <v>44218.692824074074</v>
      </c>
      <c r="X2293">
        <v>1141</v>
      </c>
      <c r="Y2293">
        <v>52</v>
      </c>
      <c r="Z2293">
        <v>0</v>
      </c>
      <c r="AA2293">
        <v>52</v>
      </c>
      <c r="AB2293">
        <v>0</v>
      </c>
      <c r="AC2293">
        <v>43</v>
      </c>
      <c r="AD2293">
        <v>14</v>
      </c>
      <c r="AE2293">
        <v>0</v>
      </c>
      <c r="AF2293">
        <v>0</v>
      </c>
      <c r="AG2293">
        <v>0</v>
      </c>
      <c r="AH2293" t="s">
        <v>128</v>
      </c>
      <c r="AI2293" s="1">
        <v>44218.695648148147</v>
      </c>
      <c r="AJ2293">
        <v>183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14</v>
      </c>
      <c r="AQ2293">
        <v>0</v>
      </c>
      <c r="AR2293">
        <v>0</v>
      </c>
      <c r="AS2293">
        <v>0</v>
      </c>
      <c r="AT2293" t="s">
        <v>90</v>
      </c>
      <c r="AU2293" s="1">
        <v>44221.358634259261</v>
      </c>
      <c r="AV2293">
        <v>6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14</v>
      </c>
      <c r="BC2293">
        <v>0</v>
      </c>
      <c r="BD2293">
        <v>0</v>
      </c>
      <c r="BE2293">
        <v>0</v>
      </c>
    </row>
    <row r="2294" spans="1:57" x14ac:dyDescent="0.45">
      <c r="A2294" t="s">
        <v>5543</v>
      </c>
      <c r="B2294" t="s">
        <v>79</v>
      </c>
      <c r="C2294" t="s">
        <v>1697</v>
      </c>
      <c r="D2294" t="s">
        <v>81</v>
      </c>
      <c r="E2294" s="2" t="str">
        <f>HYPERLINK("capsilon://?command=openfolder&amp;siteaddress=FAM.docvelocity-na8.net&amp;folderid=FXF3F5B971-23F6-D3C5-6D50-FA40F2A6EB03","FX201227433")</f>
        <v>FX201227433</v>
      </c>
      <c r="F2294" t="s">
        <v>19</v>
      </c>
      <c r="G2294" t="s">
        <v>19</v>
      </c>
      <c r="H2294" t="s">
        <v>82</v>
      </c>
      <c r="I2294" t="s">
        <v>5544</v>
      </c>
      <c r="J2294">
        <v>66</v>
      </c>
      <c r="K2294" t="s">
        <v>84</v>
      </c>
      <c r="L2294" t="s">
        <v>85</v>
      </c>
      <c r="M2294" t="s">
        <v>86</v>
      </c>
      <c r="N2294">
        <v>3</v>
      </c>
      <c r="O2294" s="1">
        <v>44218.680011574077</v>
      </c>
      <c r="P2294" s="1">
        <v>44221.358877314815</v>
      </c>
      <c r="Q2294">
        <v>230296</v>
      </c>
      <c r="R2294">
        <v>1158</v>
      </c>
      <c r="S2294" t="b">
        <v>0</v>
      </c>
      <c r="T2294" t="s">
        <v>87</v>
      </c>
      <c r="U2294" t="b">
        <v>0</v>
      </c>
      <c r="V2294" t="s">
        <v>343</v>
      </c>
      <c r="W2294" s="1">
        <v>44218.691064814811</v>
      </c>
      <c r="X2294">
        <v>947</v>
      </c>
      <c r="Y2294">
        <v>52</v>
      </c>
      <c r="Z2294">
        <v>0</v>
      </c>
      <c r="AA2294">
        <v>52</v>
      </c>
      <c r="AB2294">
        <v>0</v>
      </c>
      <c r="AC2294">
        <v>38</v>
      </c>
      <c r="AD2294">
        <v>14</v>
      </c>
      <c r="AE2294">
        <v>0</v>
      </c>
      <c r="AF2294">
        <v>0</v>
      </c>
      <c r="AG2294">
        <v>0</v>
      </c>
      <c r="AH2294" t="s">
        <v>128</v>
      </c>
      <c r="AI2294" s="1">
        <v>44218.693518518521</v>
      </c>
      <c r="AJ2294">
        <v>191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14</v>
      </c>
      <c r="AQ2294">
        <v>0</v>
      </c>
      <c r="AR2294">
        <v>0</v>
      </c>
      <c r="AS2294">
        <v>0</v>
      </c>
      <c r="AT2294" t="s">
        <v>90</v>
      </c>
      <c r="AU2294" s="1">
        <v>44221.358877314815</v>
      </c>
      <c r="AV2294">
        <v>20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14</v>
      </c>
      <c r="BC2294">
        <v>0</v>
      </c>
      <c r="BD2294">
        <v>0</v>
      </c>
      <c r="BE2294">
        <v>0</v>
      </c>
    </row>
    <row r="2295" spans="1:57" x14ac:dyDescent="0.45">
      <c r="A2295" t="s">
        <v>5545</v>
      </c>
      <c r="B2295" t="s">
        <v>79</v>
      </c>
      <c r="C2295" t="s">
        <v>5484</v>
      </c>
      <c r="D2295" t="s">
        <v>81</v>
      </c>
      <c r="E2295" s="2" t="str">
        <f>HYPERLINK("capsilon://?command=openfolder&amp;siteaddress=FAM.docvelocity-na8.net&amp;folderid=FXA6730723-B2D5-3D0D-7E3E-84CCA7BD389B","FX210113907")</f>
        <v>FX210113907</v>
      </c>
      <c r="F2295" t="s">
        <v>19</v>
      </c>
      <c r="G2295" t="s">
        <v>19</v>
      </c>
      <c r="H2295" t="s">
        <v>82</v>
      </c>
      <c r="I2295" t="s">
        <v>5546</v>
      </c>
      <c r="J2295">
        <v>26</v>
      </c>
      <c r="K2295" t="s">
        <v>84</v>
      </c>
      <c r="L2295" t="s">
        <v>85</v>
      </c>
      <c r="M2295" t="s">
        <v>86</v>
      </c>
      <c r="N2295">
        <v>3</v>
      </c>
      <c r="O2295" s="1">
        <v>44218.682303240741</v>
      </c>
      <c r="P2295" s="1">
        <v>44221.358946759261</v>
      </c>
      <c r="Q2295">
        <v>230764</v>
      </c>
      <c r="R2295">
        <v>498</v>
      </c>
      <c r="S2295" t="b">
        <v>0</v>
      </c>
      <c r="T2295" t="s">
        <v>87</v>
      </c>
      <c r="U2295" t="b">
        <v>0</v>
      </c>
      <c r="V2295" t="s">
        <v>171</v>
      </c>
      <c r="W2295" s="1">
        <v>44218.686874999999</v>
      </c>
      <c r="X2295">
        <v>394</v>
      </c>
      <c r="Y2295">
        <v>21</v>
      </c>
      <c r="Z2295">
        <v>0</v>
      </c>
      <c r="AA2295">
        <v>21</v>
      </c>
      <c r="AB2295">
        <v>0</v>
      </c>
      <c r="AC2295">
        <v>10</v>
      </c>
      <c r="AD2295">
        <v>5</v>
      </c>
      <c r="AE2295">
        <v>0</v>
      </c>
      <c r="AF2295">
        <v>0</v>
      </c>
      <c r="AG2295">
        <v>0</v>
      </c>
      <c r="AH2295" t="s">
        <v>128</v>
      </c>
      <c r="AI2295" s="1">
        <v>44218.691296296296</v>
      </c>
      <c r="AJ2295">
        <v>92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5</v>
      </c>
      <c r="AQ2295">
        <v>0</v>
      </c>
      <c r="AR2295">
        <v>0</v>
      </c>
      <c r="AS2295">
        <v>0</v>
      </c>
      <c r="AT2295" t="s">
        <v>90</v>
      </c>
      <c r="AU2295" s="1">
        <v>44221.358946759261</v>
      </c>
      <c r="AV2295">
        <v>5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5</v>
      </c>
      <c r="BC2295">
        <v>0</v>
      </c>
      <c r="BD2295">
        <v>0</v>
      </c>
      <c r="BE2295">
        <v>0</v>
      </c>
    </row>
    <row r="2296" spans="1:57" hidden="1" x14ac:dyDescent="0.45">
      <c r="A2296" t="s">
        <v>5547</v>
      </c>
      <c r="B2296" t="s">
        <v>79</v>
      </c>
      <c r="C2296" t="s">
        <v>346</v>
      </c>
      <c r="D2296" t="s">
        <v>81</v>
      </c>
      <c r="E2296" s="2" t="str">
        <f>HYPERLINK("capsilon://?command=openfolder&amp;siteaddress=FAM.docvelocity-na8.net&amp;folderid=FX463D5318-D956-0F6F-56FC-642CE044B762","FX20121355")</f>
        <v>FX20121355</v>
      </c>
      <c r="F2296" t="s">
        <v>19</v>
      </c>
      <c r="G2296" t="s">
        <v>19</v>
      </c>
      <c r="H2296" t="s">
        <v>82</v>
      </c>
      <c r="I2296" t="s">
        <v>5548</v>
      </c>
      <c r="J2296">
        <v>66</v>
      </c>
      <c r="K2296" t="s">
        <v>84</v>
      </c>
      <c r="L2296" t="s">
        <v>85</v>
      </c>
      <c r="M2296" t="s">
        <v>86</v>
      </c>
      <c r="N2296">
        <v>1</v>
      </c>
      <c r="O2296" s="1">
        <v>44201.53979166667</v>
      </c>
      <c r="P2296" s="1">
        <v>44201.547384259262</v>
      </c>
      <c r="Q2296">
        <v>57</v>
      </c>
      <c r="R2296">
        <v>599</v>
      </c>
      <c r="S2296" t="b">
        <v>0</v>
      </c>
      <c r="T2296" t="s">
        <v>87</v>
      </c>
      <c r="U2296" t="b">
        <v>0</v>
      </c>
      <c r="V2296" t="s">
        <v>168</v>
      </c>
      <c r="W2296" s="1">
        <v>44201.547384259262</v>
      </c>
      <c r="X2296">
        <v>599</v>
      </c>
      <c r="Y2296">
        <v>15</v>
      </c>
      <c r="Z2296">
        <v>0</v>
      </c>
      <c r="AA2296">
        <v>15</v>
      </c>
      <c r="AB2296">
        <v>0</v>
      </c>
      <c r="AC2296">
        <v>8</v>
      </c>
      <c r="AD2296">
        <v>51</v>
      </c>
      <c r="AE2296">
        <v>52</v>
      </c>
      <c r="AF2296">
        <v>0</v>
      </c>
      <c r="AG2296">
        <v>1</v>
      </c>
      <c r="AH2296" t="s">
        <v>87</v>
      </c>
      <c r="AI2296" t="s">
        <v>87</v>
      </c>
      <c r="AJ2296" t="s">
        <v>87</v>
      </c>
      <c r="AK2296" t="s">
        <v>87</v>
      </c>
      <c r="AL2296" t="s">
        <v>87</v>
      </c>
      <c r="AM2296" t="s">
        <v>87</v>
      </c>
      <c r="AN2296" t="s">
        <v>87</v>
      </c>
      <c r="AO2296" t="s">
        <v>87</v>
      </c>
      <c r="AP2296" t="s">
        <v>87</v>
      </c>
      <c r="AQ2296" t="s">
        <v>87</v>
      </c>
      <c r="AR2296" t="s">
        <v>87</v>
      </c>
      <c r="AS2296" t="s">
        <v>87</v>
      </c>
      <c r="AT2296" t="s">
        <v>87</v>
      </c>
      <c r="AU2296" t="s">
        <v>87</v>
      </c>
      <c r="AV2296" t="s">
        <v>87</v>
      </c>
      <c r="AW2296" t="s">
        <v>87</v>
      </c>
      <c r="AX2296" t="s">
        <v>87</v>
      </c>
      <c r="AY2296" t="s">
        <v>87</v>
      </c>
      <c r="AZ2296" t="s">
        <v>87</v>
      </c>
      <c r="BA2296" t="s">
        <v>87</v>
      </c>
      <c r="BB2296" t="s">
        <v>87</v>
      </c>
      <c r="BC2296" t="s">
        <v>87</v>
      </c>
      <c r="BD2296" t="s">
        <v>87</v>
      </c>
      <c r="BE2296" t="s">
        <v>87</v>
      </c>
    </row>
    <row r="2297" spans="1:57" x14ac:dyDescent="0.45">
      <c r="A2297" t="s">
        <v>5549</v>
      </c>
      <c r="B2297" t="s">
        <v>79</v>
      </c>
      <c r="C2297" t="s">
        <v>5484</v>
      </c>
      <c r="D2297" t="s">
        <v>81</v>
      </c>
      <c r="E2297" s="2" t="str">
        <f>HYPERLINK("capsilon://?command=openfolder&amp;siteaddress=FAM.docvelocity-na8.net&amp;folderid=FXA6730723-B2D5-3D0D-7E3E-84CCA7BD389B","FX210113907")</f>
        <v>FX210113907</v>
      </c>
      <c r="F2297" t="s">
        <v>19</v>
      </c>
      <c r="G2297" t="s">
        <v>19</v>
      </c>
      <c r="H2297" t="s">
        <v>82</v>
      </c>
      <c r="I2297" t="s">
        <v>5550</v>
      </c>
      <c r="J2297">
        <v>26</v>
      </c>
      <c r="K2297" t="s">
        <v>84</v>
      </c>
      <c r="L2297" t="s">
        <v>85</v>
      </c>
      <c r="M2297" t="s">
        <v>86</v>
      </c>
      <c r="N2297">
        <v>3</v>
      </c>
      <c r="O2297" s="1">
        <v>44218.686284722222</v>
      </c>
      <c r="P2297" s="1">
        <v>44221.35900462963</v>
      </c>
      <c r="Q2297">
        <v>230394</v>
      </c>
      <c r="R2297">
        <v>529</v>
      </c>
      <c r="S2297" t="b">
        <v>0</v>
      </c>
      <c r="T2297" t="s">
        <v>87</v>
      </c>
      <c r="U2297" t="b">
        <v>0</v>
      </c>
      <c r="V2297" t="s">
        <v>160</v>
      </c>
      <c r="W2297" s="1">
        <v>44218.690798611111</v>
      </c>
      <c r="X2297">
        <v>389</v>
      </c>
      <c r="Y2297">
        <v>21</v>
      </c>
      <c r="Z2297">
        <v>0</v>
      </c>
      <c r="AA2297">
        <v>21</v>
      </c>
      <c r="AB2297">
        <v>0</v>
      </c>
      <c r="AC2297">
        <v>18</v>
      </c>
      <c r="AD2297">
        <v>5</v>
      </c>
      <c r="AE2297">
        <v>0</v>
      </c>
      <c r="AF2297">
        <v>0</v>
      </c>
      <c r="AG2297">
        <v>0</v>
      </c>
      <c r="AH2297" t="s">
        <v>128</v>
      </c>
      <c r="AI2297" s="1">
        <v>44218.697164351855</v>
      </c>
      <c r="AJ2297">
        <v>130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5</v>
      </c>
      <c r="AQ2297">
        <v>0</v>
      </c>
      <c r="AR2297">
        <v>0</v>
      </c>
      <c r="AS2297">
        <v>0</v>
      </c>
      <c r="AT2297" t="s">
        <v>90</v>
      </c>
      <c r="AU2297" s="1">
        <v>44221.35900462963</v>
      </c>
      <c r="AV2297">
        <v>5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5</v>
      </c>
      <c r="BC2297">
        <v>0</v>
      </c>
      <c r="BD2297">
        <v>0</v>
      </c>
      <c r="BE2297">
        <v>0</v>
      </c>
    </row>
    <row r="2298" spans="1:57" x14ac:dyDescent="0.45">
      <c r="A2298" t="s">
        <v>5551</v>
      </c>
      <c r="B2298" t="s">
        <v>79</v>
      </c>
      <c r="C2298" t="s">
        <v>5552</v>
      </c>
      <c r="D2298" t="s">
        <v>81</v>
      </c>
      <c r="E2298" s="2" t="str">
        <f>HYPERLINK("capsilon://?command=openfolder&amp;siteaddress=FAM.docvelocity-na8.net&amp;folderid=FXD07B5FCC-5988-C207-3934-B757A2D79D95","FX20122423")</f>
        <v>FX20122423</v>
      </c>
      <c r="F2298" t="s">
        <v>19</v>
      </c>
      <c r="G2298" t="s">
        <v>19</v>
      </c>
      <c r="H2298" t="s">
        <v>82</v>
      </c>
      <c r="I2298" t="s">
        <v>5553</v>
      </c>
      <c r="J2298">
        <v>31</v>
      </c>
      <c r="K2298" t="s">
        <v>84</v>
      </c>
      <c r="L2298" t="s">
        <v>85</v>
      </c>
      <c r="M2298" t="s">
        <v>86</v>
      </c>
      <c r="N2298">
        <v>3</v>
      </c>
      <c r="O2298" s="1">
        <v>44218.688032407408</v>
      </c>
      <c r="P2298" s="1">
        <v>44221.3594212963</v>
      </c>
      <c r="Q2298">
        <v>228550</v>
      </c>
      <c r="R2298">
        <v>2258</v>
      </c>
      <c r="S2298" t="b">
        <v>0</v>
      </c>
      <c r="T2298" t="s">
        <v>87</v>
      </c>
      <c r="U2298" t="b">
        <v>0</v>
      </c>
      <c r="V2298" t="s">
        <v>146</v>
      </c>
      <c r="W2298" s="1">
        <v>44218.712372685186</v>
      </c>
      <c r="X2298">
        <v>2102</v>
      </c>
      <c r="Y2298">
        <v>36</v>
      </c>
      <c r="Z2298">
        <v>0</v>
      </c>
      <c r="AA2298">
        <v>36</v>
      </c>
      <c r="AB2298">
        <v>0</v>
      </c>
      <c r="AC2298">
        <v>24</v>
      </c>
      <c r="AD2298">
        <v>-5</v>
      </c>
      <c r="AE2298">
        <v>0</v>
      </c>
      <c r="AF2298">
        <v>0</v>
      </c>
      <c r="AG2298">
        <v>0</v>
      </c>
      <c r="AH2298" t="s">
        <v>128</v>
      </c>
      <c r="AI2298" s="1">
        <v>44218.715324074074</v>
      </c>
      <c r="AJ2298">
        <v>121</v>
      </c>
      <c r="AK2298">
        <v>1</v>
      </c>
      <c r="AL2298">
        <v>0</v>
      </c>
      <c r="AM2298">
        <v>1</v>
      </c>
      <c r="AN2298">
        <v>0</v>
      </c>
      <c r="AO2298">
        <v>1</v>
      </c>
      <c r="AP2298">
        <v>-6</v>
      </c>
      <c r="AQ2298">
        <v>0</v>
      </c>
      <c r="AR2298">
        <v>0</v>
      </c>
      <c r="AS2298">
        <v>0</v>
      </c>
      <c r="AT2298" t="s">
        <v>90</v>
      </c>
      <c r="AU2298" s="1">
        <v>44221.3594212963</v>
      </c>
      <c r="AV2298">
        <v>35</v>
      </c>
      <c r="AW2298">
        <v>1</v>
      </c>
      <c r="AX2298">
        <v>0</v>
      </c>
      <c r="AY2298">
        <v>1</v>
      </c>
      <c r="AZ2298">
        <v>0</v>
      </c>
      <c r="BA2298">
        <v>1</v>
      </c>
      <c r="BB2298">
        <v>-7</v>
      </c>
      <c r="BC2298">
        <v>0</v>
      </c>
      <c r="BD2298">
        <v>0</v>
      </c>
      <c r="BE2298">
        <v>0</v>
      </c>
    </row>
    <row r="2299" spans="1:57" x14ac:dyDescent="0.45">
      <c r="A2299" t="s">
        <v>5554</v>
      </c>
      <c r="B2299" t="s">
        <v>79</v>
      </c>
      <c r="C2299" t="s">
        <v>5552</v>
      </c>
      <c r="D2299" t="s">
        <v>81</v>
      </c>
      <c r="E2299" s="2" t="str">
        <f>HYPERLINK("capsilon://?command=openfolder&amp;siteaddress=FAM.docvelocity-na8.net&amp;folderid=FXD07B5FCC-5988-C207-3934-B757A2D79D95","FX20122423")</f>
        <v>FX20122423</v>
      </c>
      <c r="F2299" t="s">
        <v>19</v>
      </c>
      <c r="G2299" t="s">
        <v>19</v>
      </c>
      <c r="H2299" t="s">
        <v>82</v>
      </c>
      <c r="I2299" t="s">
        <v>5555</v>
      </c>
      <c r="J2299">
        <v>31</v>
      </c>
      <c r="K2299" t="s">
        <v>84</v>
      </c>
      <c r="L2299" t="s">
        <v>85</v>
      </c>
      <c r="M2299" t="s">
        <v>86</v>
      </c>
      <c r="N2299">
        <v>3</v>
      </c>
      <c r="O2299" s="1">
        <v>44218.68818287037</v>
      </c>
      <c r="P2299" s="1">
        <v>44221.359537037039</v>
      </c>
      <c r="Q2299">
        <v>230207</v>
      </c>
      <c r="R2299">
        <v>598</v>
      </c>
      <c r="S2299" t="b">
        <v>0</v>
      </c>
      <c r="T2299" t="s">
        <v>87</v>
      </c>
      <c r="U2299" t="b">
        <v>0</v>
      </c>
      <c r="V2299" t="s">
        <v>262</v>
      </c>
      <c r="W2299" s="1">
        <v>44218.693483796298</v>
      </c>
      <c r="X2299">
        <v>445</v>
      </c>
      <c r="Y2299">
        <v>45</v>
      </c>
      <c r="Z2299">
        <v>0</v>
      </c>
      <c r="AA2299">
        <v>45</v>
      </c>
      <c r="AB2299">
        <v>0</v>
      </c>
      <c r="AC2299">
        <v>31</v>
      </c>
      <c r="AD2299">
        <v>-14</v>
      </c>
      <c r="AE2299">
        <v>0</v>
      </c>
      <c r="AF2299">
        <v>0</v>
      </c>
      <c r="AG2299">
        <v>0</v>
      </c>
      <c r="AH2299" t="s">
        <v>128</v>
      </c>
      <c r="AI2299" s="1">
        <v>44218.698831018519</v>
      </c>
      <c r="AJ2299">
        <v>143</v>
      </c>
      <c r="AK2299">
        <v>2</v>
      </c>
      <c r="AL2299">
        <v>0</v>
      </c>
      <c r="AM2299">
        <v>2</v>
      </c>
      <c r="AN2299">
        <v>0</v>
      </c>
      <c r="AO2299">
        <v>2</v>
      </c>
      <c r="AP2299">
        <v>-16</v>
      </c>
      <c r="AQ2299">
        <v>0</v>
      </c>
      <c r="AR2299">
        <v>0</v>
      </c>
      <c r="AS2299">
        <v>0</v>
      </c>
      <c r="AT2299" t="s">
        <v>90</v>
      </c>
      <c r="AU2299" s="1">
        <v>44221.359537037039</v>
      </c>
      <c r="AV2299">
        <v>10</v>
      </c>
      <c r="AW2299">
        <v>1</v>
      </c>
      <c r="AX2299">
        <v>0</v>
      </c>
      <c r="AY2299">
        <v>1</v>
      </c>
      <c r="AZ2299">
        <v>0</v>
      </c>
      <c r="BA2299">
        <v>1</v>
      </c>
      <c r="BB2299">
        <v>-17</v>
      </c>
      <c r="BC2299">
        <v>0</v>
      </c>
      <c r="BD2299">
        <v>0</v>
      </c>
      <c r="BE2299">
        <v>0</v>
      </c>
    </row>
    <row r="2300" spans="1:57" x14ac:dyDescent="0.45">
      <c r="A2300" t="s">
        <v>5556</v>
      </c>
      <c r="B2300" t="s">
        <v>79</v>
      </c>
      <c r="C2300" t="s">
        <v>4509</v>
      </c>
      <c r="D2300" t="s">
        <v>81</v>
      </c>
      <c r="E2300" s="2" t="str">
        <f>HYPERLINK("capsilon://?command=openfolder&amp;siteaddress=FAM.docvelocity-na8.net&amp;folderid=FXE84E678E-CFD9-B28F-6ABD-403948E7C7A0","FX210110661")</f>
        <v>FX210110661</v>
      </c>
      <c r="F2300" t="s">
        <v>19</v>
      </c>
      <c r="G2300" t="s">
        <v>19</v>
      </c>
      <c r="H2300" t="s">
        <v>82</v>
      </c>
      <c r="I2300" t="s">
        <v>5557</v>
      </c>
      <c r="J2300">
        <v>66</v>
      </c>
      <c r="K2300" t="s">
        <v>84</v>
      </c>
      <c r="L2300" t="s">
        <v>85</v>
      </c>
      <c r="M2300" t="s">
        <v>86</v>
      </c>
      <c r="N2300">
        <v>3</v>
      </c>
      <c r="O2300" s="1">
        <v>44218.68855324074</v>
      </c>
      <c r="P2300" s="1">
        <v>44221.359722222223</v>
      </c>
      <c r="Q2300">
        <v>229629</v>
      </c>
      <c r="R2300">
        <v>1160</v>
      </c>
      <c r="S2300" t="b">
        <v>0</v>
      </c>
      <c r="T2300" t="s">
        <v>87</v>
      </c>
      <c r="U2300" t="b">
        <v>0</v>
      </c>
      <c r="V2300" t="s">
        <v>255</v>
      </c>
      <c r="W2300" s="1">
        <v>44218.698599537034</v>
      </c>
      <c r="X2300">
        <v>840</v>
      </c>
      <c r="Y2300">
        <v>52</v>
      </c>
      <c r="Z2300">
        <v>0</v>
      </c>
      <c r="AA2300">
        <v>52</v>
      </c>
      <c r="AB2300">
        <v>0</v>
      </c>
      <c r="AC2300">
        <v>38</v>
      </c>
      <c r="AD2300">
        <v>14</v>
      </c>
      <c r="AE2300">
        <v>0</v>
      </c>
      <c r="AF2300">
        <v>0</v>
      </c>
      <c r="AG2300">
        <v>0</v>
      </c>
      <c r="AH2300" t="s">
        <v>128</v>
      </c>
      <c r="AI2300" s="1">
        <v>44218.702361111114</v>
      </c>
      <c r="AJ2300">
        <v>304</v>
      </c>
      <c r="AK2300">
        <v>1</v>
      </c>
      <c r="AL2300">
        <v>0</v>
      </c>
      <c r="AM2300">
        <v>1</v>
      </c>
      <c r="AN2300">
        <v>0</v>
      </c>
      <c r="AO2300">
        <v>1</v>
      </c>
      <c r="AP2300">
        <v>13</v>
      </c>
      <c r="AQ2300">
        <v>0</v>
      </c>
      <c r="AR2300">
        <v>0</v>
      </c>
      <c r="AS2300">
        <v>0</v>
      </c>
      <c r="AT2300" t="s">
        <v>90</v>
      </c>
      <c r="AU2300" s="1">
        <v>44221.359722222223</v>
      </c>
      <c r="AV2300">
        <v>16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13</v>
      </c>
      <c r="BC2300">
        <v>0</v>
      </c>
      <c r="BD2300">
        <v>0</v>
      </c>
      <c r="BE2300">
        <v>0</v>
      </c>
    </row>
    <row r="2301" spans="1:57" x14ac:dyDescent="0.45">
      <c r="A2301" t="s">
        <v>5558</v>
      </c>
      <c r="B2301" t="s">
        <v>79</v>
      </c>
      <c r="C2301" t="s">
        <v>5559</v>
      </c>
      <c r="D2301" t="s">
        <v>81</v>
      </c>
      <c r="E2301" s="2" t="str">
        <f>HYPERLINK("capsilon://?command=openfolder&amp;siteaddress=FAM.docvelocity-na8.net&amp;folderid=FXCE4C02BF-94DE-F7C8-9F3F-649494B72680","FX210112404")</f>
        <v>FX210112404</v>
      </c>
      <c r="F2301" t="s">
        <v>19</v>
      </c>
      <c r="G2301" t="s">
        <v>19</v>
      </c>
      <c r="H2301" t="s">
        <v>82</v>
      </c>
      <c r="I2301" t="s">
        <v>5560</v>
      </c>
      <c r="J2301">
        <v>206</v>
      </c>
      <c r="K2301" t="s">
        <v>84</v>
      </c>
      <c r="L2301" t="s">
        <v>85</v>
      </c>
      <c r="M2301" t="s">
        <v>86</v>
      </c>
      <c r="N2301">
        <v>3</v>
      </c>
      <c r="O2301" s="1">
        <v>44218.689467592594</v>
      </c>
      <c r="P2301" s="1">
        <v>44221.360914351855</v>
      </c>
      <c r="Q2301">
        <v>227553</v>
      </c>
      <c r="R2301">
        <v>3260</v>
      </c>
      <c r="S2301" t="b">
        <v>0</v>
      </c>
      <c r="T2301" t="s">
        <v>87</v>
      </c>
      <c r="U2301" t="b">
        <v>0</v>
      </c>
      <c r="V2301" t="s">
        <v>262</v>
      </c>
      <c r="W2301" s="1">
        <v>44218.719872685186</v>
      </c>
      <c r="X2301">
        <v>2279</v>
      </c>
      <c r="Y2301">
        <v>248</v>
      </c>
      <c r="Z2301">
        <v>0</v>
      </c>
      <c r="AA2301">
        <v>248</v>
      </c>
      <c r="AB2301">
        <v>0</v>
      </c>
      <c r="AC2301">
        <v>164</v>
      </c>
      <c r="AD2301">
        <v>-42</v>
      </c>
      <c r="AE2301">
        <v>0</v>
      </c>
      <c r="AF2301">
        <v>0</v>
      </c>
      <c r="AG2301">
        <v>0</v>
      </c>
      <c r="AH2301" t="s">
        <v>128</v>
      </c>
      <c r="AI2301" s="1">
        <v>44218.728518518517</v>
      </c>
      <c r="AJ2301">
        <v>628</v>
      </c>
      <c r="AK2301">
        <v>3</v>
      </c>
      <c r="AL2301">
        <v>0</v>
      </c>
      <c r="AM2301">
        <v>3</v>
      </c>
      <c r="AN2301">
        <v>0</v>
      </c>
      <c r="AO2301">
        <v>4</v>
      </c>
      <c r="AP2301">
        <v>-45</v>
      </c>
      <c r="AQ2301">
        <v>0</v>
      </c>
      <c r="AR2301">
        <v>0</v>
      </c>
      <c r="AS2301">
        <v>0</v>
      </c>
      <c r="AT2301" t="s">
        <v>90</v>
      </c>
      <c r="AU2301" s="1">
        <v>44221.360914351855</v>
      </c>
      <c r="AV2301">
        <v>102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-45</v>
      </c>
      <c r="BC2301">
        <v>0</v>
      </c>
      <c r="BD2301">
        <v>0</v>
      </c>
      <c r="BE2301">
        <v>0</v>
      </c>
    </row>
    <row r="2302" spans="1:57" x14ac:dyDescent="0.45">
      <c r="A2302" t="s">
        <v>5561</v>
      </c>
      <c r="B2302" t="s">
        <v>79</v>
      </c>
      <c r="C2302" t="s">
        <v>5484</v>
      </c>
      <c r="D2302" t="s">
        <v>81</v>
      </c>
      <c r="E2302" s="2" t="str">
        <f>HYPERLINK("capsilon://?command=openfolder&amp;siteaddress=FAM.docvelocity-na8.net&amp;folderid=FXA6730723-B2D5-3D0D-7E3E-84CCA7BD389B","FX210113907")</f>
        <v>FX210113907</v>
      </c>
      <c r="F2302" t="s">
        <v>19</v>
      </c>
      <c r="G2302" t="s">
        <v>19</v>
      </c>
      <c r="H2302" t="s">
        <v>82</v>
      </c>
      <c r="I2302" t="s">
        <v>5562</v>
      </c>
      <c r="J2302">
        <v>26</v>
      </c>
      <c r="K2302" t="s">
        <v>84</v>
      </c>
      <c r="L2302" t="s">
        <v>85</v>
      </c>
      <c r="M2302" t="s">
        <v>86</v>
      </c>
      <c r="N2302">
        <v>3</v>
      </c>
      <c r="O2302" s="1">
        <v>44218.68953703704</v>
      </c>
      <c r="P2302" s="1">
        <v>44221.360972222225</v>
      </c>
      <c r="Q2302">
        <v>230248</v>
      </c>
      <c r="R2302">
        <v>564</v>
      </c>
      <c r="S2302" t="b">
        <v>0</v>
      </c>
      <c r="T2302" t="s">
        <v>87</v>
      </c>
      <c r="U2302" t="b">
        <v>0</v>
      </c>
      <c r="V2302" t="s">
        <v>343</v>
      </c>
      <c r="W2302" s="1">
        <v>44218.6953587963</v>
      </c>
      <c r="X2302">
        <v>370</v>
      </c>
      <c r="Y2302">
        <v>21</v>
      </c>
      <c r="Z2302">
        <v>0</v>
      </c>
      <c r="AA2302">
        <v>21</v>
      </c>
      <c r="AB2302">
        <v>0</v>
      </c>
      <c r="AC2302">
        <v>0</v>
      </c>
      <c r="AD2302">
        <v>5</v>
      </c>
      <c r="AE2302">
        <v>0</v>
      </c>
      <c r="AF2302">
        <v>0</v>
      </c>
      <c r="AG2302">
        <v>0</v>
      </c>
      <c r="AH2302" t="s">
        <v>128</v>
      </c>
      <c r="AI2302" s="1">
        <v>44218.704502314817</v>
      </c>
      <c r="AJ2302">
        <v>184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5</v>
      </c>
      <c r="AQ2302">
        <v>0</v>
      </c>
      <c r="AR2302">
        <v>0</v>
      </c>
      <c r="AS2302">
        <v>0</v>
      </c>
      <c r="AT2302" t="s">
        <v>90</v>
      </c>
      <c r="AU2302" s="1">
        <v>44221.360972222225</v>
      </c>
      <c r="AV2302">
        <v>5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5</v>
      </c>
      <c r="BC2302">
        <v>0</v>
      </c>
      <c r="BD2302">
        <v>0</v>
      </c>
      <c r="BE2302">
        <v>0</v>
      </c>
    </row>
    <row r="2303" spans="1:57" hidden="1" x14ac:dyDescent="0.45">
      <c r="A2303" t="s">
        <v>5563</v>
      </c>
      <c r="B2303" t="s">
        <v>79</v>
      </c>
      <c r="C2303" t="s">
        <v>5564</v>
      </c>
      <c r="D2303" t="s">
        <v>81</v>
      </c>
      <c r="E2303" s="2" t="str">
        <f>HYPERLINK("capsilon://?command=openfolder&amp;siteaddress=FAM.docvelocity-na8.net&amp;folderid=FX31474491-6330-4F48-262E-9538E7341104","FX20125841")</f>
        <v>FX20125841</v>
      </c>
      <c r="F2303" t="s">
        <v>19</v>
      </c>
      <c r="G2303" t="s">
        <v>19</v>
      </c>
      <c r="H2303" t="s">
        <v>82</v>
      </c>
      <c r="I2303" t="s">
        <v>5565</v>
      </c>
      <c r="J2303">
        <v>79</v>
      </c>
      <c r="K2303" t="s">
        <v>84</v>
      </c>
      <c r="L2303" t="s">
        <v>85</v>
      </c>
      <c r="M2303" t="s">
        <v>81</v>
      </c>
      <c r="N2303">
        <v>2</v>
      </c>
      <c r="O2303" s="1">
        <v>44218.691423611112</v>
      </c>
      <c r="P2303" s="1">
        <v>44218.716168981482</v>
      </c>
      <c r="Q2303">
        <v>458</v>
      </c>
      <c r="R2303">
        <v>1680</v>
      </c>
      <c r="S2303" t="b">
        <v>0</v>
      </c>
      <c r="T2303" t="s">
        <v>168</v>
      </c>
      <c r="U2303" t="b">
        <v>0</v>
      </c>
      <c r="V2303" t="s">
        <v>168</v>
      </c>
      <c r="W2303" s="1">
        <v>44218.705081018517</v>
      </c>
      <c r="X2303">
        <v>1058</v>
      </c>
      <c r="Y2303">
        <v>54</v>
      </c>
      <c r="Z2303">
        <v>0</v>
      </c>
      <c r="AA2303">
        <v>54</v>
      </c>
      <c r="AB2303">
        <v>0</v>
      </c>
      <c r="AC2303">
        <v>22</v>
      </c>
      <c r="AD2303">
        <v>25</v>
      </c>
      <c r="AE2303">
        <v>0</v>
      </c>
      <c r="AF2303">
        <v>0</v>
      </c>
      <c r="AG2303">
        <v>0</v>
      </c>
      <c r="AH2303" t="s">
        <v>168</v>
      </c>
      <c r="AI2303" s="1">
        <v>44218.716168981482</v>
      </c>
      <c r="AJ2303">
        <v>40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25</v>
      </c>
      <c r="AQ2303">
        <v>54</v>
      </c>
      <c r="AR2303">
        <v>0</v>
      </c>
      <c r="AS2303">
        <v>2</v>
      </c>
      <c r="AT2303" t="s">
        <v>87</v>
      </c>
      <c r="AU2303" t="s">
        <v>87</v>
      </c>
      <c r="AV2303" t="s">
        <v>87</v>
      </c>
      <c r="AW2303" t="s">
        <v>87</v>
      </c>
      <c r="AX2303" t="s">
        <v>87</v>
      </c>
      <c r="AY2303" t="s">
        <v>87</v>
      </c>
      <c r="AZ2303" t="s">
        <v>87</v>
      </c>
      <c r="BA2303" t="s">
        <v>87</v>
      </c>
      <c r="BB2303" t="s">
        <v>87</v>
      </c>
      <c r="BC2303" t="s">
        <v>87</v>
      </c>
      <c r="BD2303" t="s">
        <v>87</v>
      </c>
      <c r="BE2303" t="s">
        <v>87</v>
      </c>
    </row>
    <row r="2304" spans="1:57" x14ac:dyDescent="0.45">
      <c r="A2304" t="s">
        <v>5566</v>
      </c>
      <c r="B2304" t="s">
        <v>79</v>
      </c>
      <c r="C2304" t="s">
        <v>5065</v>
      </c>
      <c r="D2304" t="s">
        <v>81</v>
      </c>
      <c r="E2304" s="2" t="str">
        <f>HYPERLINK("capsilon://?command=openfolder&amp;siteaddress=FAM.docvelocity-na8.net&amp;folderid=FXC47E0C34-EEBE-46D2-D70B-31CD6188EAC4","FX210111894")</f>
        <v>FX210111894</v>
      </c>
      <c r="F2304" t="s">
        <v>19</v>
      </c>
      <c r="G2304" t="s">
        <v>19</v>
      </c>
      <c r="H2304" t="s">
        <v>82</v>
      </c>
      <c r="I2304" t="s">
        <v>5567</v>
      </c>
      <c r="J2304">
        <v>66</v>
      </c>
      <c r="K2304" t="s">
        <v>84</v>
      </c>
      <c r="L2304" t="s">
        <v>85</v>
      </c>
      <c r="M2304" t="s">
        <v>86</v>
      </c>
      <c r="N2304">
        <v>3</v>
      </c>
      <c r="O2304" s="1">
        <v>44218.691863425927</v>
      </c>
      <c r="P2304" s="1">
        <v>44221.361481481479</v>
      </c>
      <c r="Q2304">
        <v>229922</v>
      </c>
      <c r="R2304">
        <v>733</v>
      </c>
      <c r="S2304" t="b">
        <v>0</v>
      </c>
      <c r="T2304" t="s">
        <v>87</v>
      </c>
      <c r="U2304" t="b">
        <v>0</v>
      </c>
      <c r="V2304" t="s">
        <v>255</v>
      </c>
      <c r="W2304" s="1">
        <v>44218.703506944446</v>
      </c>
      <c r="X2304">
        <v>423</v>
      </c>
      <c r="Y2304">
        <v>52</v>
      </c>
      <c r="Z2304">
        <v>0</v>
      </c>
      <c r="AA2304">
        <v>52</v>
      </c>
      <c r="AB2304">
        <v>0</v>
      </c>
      <c r="AC2304">
        <v>39</v>
      </c>
      <c r="AD2304">
        <v>14</v>
      </c>
      <c r="AE2304">
        <v>0</v>
      </c>
      <c r="AF2304">
        <v>0</v>
      </c>
      <c r="AG2304">
        <v>0</v>
      </c>
      <c r="AH2304" t="s">
        <v>128</v>
      </c>
      <c r="AI2304" s="1">
        <v>44218.707175925927</v>
      </c>
      <c r="AJ2304">
        <v>230</v>
      </c>
      <c r="AK2304">
        <v>1</v>
      </c>
      <c r="AL2304">
        <v>0</v>
      </c>
      <c r="AM2304">
        <v>1</v>
      </c>
      <c r="AN2304">
        <v>0</v>
      </c>
      <c r="AO2304">
        <v>1</v>
      </c>
      <c r="AP2304">
        <v>13</v>
      </c>
      <c r="AQ2304">
        <v>0</v>
      </c>
      <c r="AR2304">
        <v>0</v>
      </c>
      <c r="AS2304">
        <v>0</v>
      </c>
      <c r="AT2304" t="s">
        <v>90</v>
      </c>
      <c r="AU2304" s="1">
        <v>44221.361481481479</v>
      </c>
      <c r="AV2304">
        <v>44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13</v>
      </c>
      <c r="BC2304">
        <v>0</v>
      </c>
      <c r="BD2304">
        <v>0</v>
      </c>
      <c r="BE2304">
        <v>0</v>
      </c>
    </row>
    <row r="2305" spans="1:57" x14ac:dyDescent="0.45">
      <c r="A2305" t="s">
        <v>5568</v>
      </c>
      <c r="B2305" t="s">
        <v>79</v>
      </c>
      <c r="C2305" t="s">
        <v>5484</v>
      </c>
      <c r="D2305" t="s">
        <v>81</v>
      </c>
      <c r="E2305" s="2" t="str">
        <f>HYPERLINK("capsilon://?command=openfolder&amp;siteaddress=FAM.docvelocity-na8.net&amp;folderid=FXA6730723-B2D5-3D0D-7E3E-84CCA7BD389B","FX210113907")</f>
        <v>FX210113907</v>
      </c>
      <c r="F2305" t="s">
        <v>19</v>
      </c>
      <c r="G2305" t="s">
        <v>19</v>
      </c>
      <c r="H2305" t="s">
        <v>82</v>
      </c>
      <c r="I2305" t="s">
        <v>5569</v>
      </c>
      <c r="J2305">
        <v>51</v>
      </c>
      <c r="K2305" t="s">
        <v>84</v>
      </c>
      <c r="L2305" t="s">
        <v>85</v>
      </c>
      <c r="M2305" t="s">
        <v>86</v>
      </c>
      <c r="N2305">
        <v>3</v>
      </c>
      <c r="O2305" s="1">
        <v>44218.692083333335</v>
      </c>
      <c r="P2305" s="1">
        <v>44221.364293981482</v>
      </c>
      <c r="Q2305">
        <v>229579</v>
      </c>
      <c r="R2305">
        <v>1300</v>
      </c>
      <c r="S2305" t="b">
        <v>0</v>
      </c>
      <c r="T2305" t="s">
        <v>87</v>
      </c>
      <c r="U2305" t="b">
        <v>0</v>
      </c>
      <c r="V2305" t="s">
        <v>160</v>
      </c>
      <c r="W2305" s="1">
        <v>44218.706400462965</v>
      </c>
      <c r="X2305">
        <v>933</v>
      </c>
      <c r="Y2305">
        <v>50</v>
      </c>
      <c r="Z2305">
        <v>0</v>
      </c>
      <c r="AA2305">
        <v>50</v>
      </c>
      <c r="AB2305">
        <v>0</v>
      </c>
      <c r="AC2305">
        <v>44</v>
      </c>
      <c r="AD2305">
        <v>1</v>
      </c>
      <c r="AE2305">
        <v>0</v>
      </c>
      <c r="AF2305">
        <v>0</v>
      </c>
      <c r="AG2305">
        <v>0</v>
      </c>
      <c r="AH2305" t="s">
        <v>128</v>
      </c>
      <c r="AI2305" s="1">
        <v>44218.716666666667</v>
      </c>
      <c r="AJ2305">
        <v>115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 t="s">
        <v>90</v>
      </c>
      <c r="AU2305" s="1">
        <v>44221.364293981482</v>
      </c>
      <c r="AV2305">
        <v>242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1</v>
      </c>
      <c r="BC2305">
        <v>0</v>
      </c>
      <c r="BD2305">
        <v>0</v>
      </c>
      <c r="BE2305">
        <v>0</v>
      </c>
    </row>
    <row r="2306" spans="1:57" x14ac:dyDescent="0.45">
      <c r="A2306" t="s">
        <v>5570</v>
      </c>
      <c r="B2306" t="s">
        <v>79</v>
      </c>
      <c r="C2306" t="s">
        <v>4724</v>
      </c>
      <c r="D2306" t="s">
        <v>81</v>
      </c>
      <c r="E2306" s="2" t="str">
        <f>HYPERLINK("capsilon://?command=openfolder&amp;siteaddress=FAM.docvelocity-na8.net&amp;folderid=FX52FF28B8-5094-7CDD-0A7D-C50C76A13C14","FX20123786")</f>
        <v>FX20123786</v>
      </c>
      <c r="F2306" t="s">
        <v>19</v>
      </c>
      <c r="G2306" t="s">
        <v>19</v>
      </c>
      <c r="H2306" t="s">
        <v>82</v>
      </c>
      <c r="I2306" t="s">
        <v>5571</v>
      </c>
      <c r="J2306">
        <v>63</v>
      </c>
      <c r="K2306" t="s">
        <v>84</v>
      </c>
      <c r="L2306" t="s">
        <v>85</v>
      </c>
      <c r="M2306" t="s">
        <v>86</v>
      </c>
      <c r="N2306">
        <v>3</v>
      </c>
      <c r="O2306" s="1">
        <v>44218.693032407406</v>
      </c>
      <c r="P2306" s="1">
        <v>44221.36446759259</v>
      </c>
      <c r="Q2306">
        <v>229718</v>
      </c>
      <c r="R2306">
        <v>1094</v>
      </c>
      <c r="S2306" t="b">
        <v>0</v>
      </c>
      <c r="T2306" t="s">
        <v>87</v>
      </c>
      <c r="U2306" t="b">
        <v>0</v>
      </c>
      <c r="V2306" t="s">
        <v>343</v>
      </c>
      <c r="W2306" s="1">
        <v>44218.709444444445</v>
      </c>
      <c r="X2306">
        <v>933</v>
      </c>
      <c r="Y2306">
        <v>56</v>
      </c>
      <c r="Z2306">
        <v>0</v>
      </c>
      <c r="AA2306">
        <v>56</v>
      </c>
      <c r="AB2306">
        <v>0</v>
      </c>
      <c r="AC2306">
        <v>29</v>
      </c>
      <c r="AD2306">
        <v>7</v>
      </c>
      <c r="AE2306">
        <v>0</v>
      </c>
      <c r="AF2306">
        <v>0</v>
      </c>
      <c r="AG2306">
        <v>0</v>
      </c>
      <c r="AH2306" t="s">
        <v>128</v>
      </c>
      <c r="AI2306" s="1">
        <v>44218.71837962963</v>
      </c>
      <c r="AJ2306">
        <v>147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7</v>
      </c>
      <c r="AQ2306">
        <v>0</v>
      </c>
      <c r="AR2306">
        <v>0</v>
      </c>
      <c r="AS2306">
        <v>0</v>
      </c>
      <c r="AT2306" t="s">
        <v>90</v>
      </c>
      <c r="AU2306" s="1">
        <v>44221.36446759259</v>
      </c>
      <c r="AV2306">
        <v>14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7</v>
      </c>
      <c r="BC2306">
        <v>0</v>
      </c>
      <c r="BD2306">
        <v>0</v>
      </c>
      <c r="BE2306">
        <v>0</v>
      </c>
    </row>
    <row r="2307" spans="1:57" x14ac:dyDescent="0.45">
      <c r="A2307" t="s">
        <v>5572</v>
      </c>
      <c r="B2307" t="s">
        <v>79</v>
      </c>
      <c r="C2307" t="s">
        <v>4724</v>
      </c>
      <c r="D2307" t="s">
        <v>81</v>
      </c>
      <c r="E2307" s="2" t="str">
        <f>HYPERLINK("capsilon://?command=openfolder&amp;siteaddress=FAM.docvelocity-na8.net&amp;folderid=FX52FF28B8-5094-7CDD-0A7D-C50C76A13C14","FX20123786")</f>
        <v>FX20123786</v>
      </c>
      <c r="F2307" t="s">
        <v>19</v>
      </c>
      <c r="G2307" t="s">
        <v>19</v>
      </c>
      <c r="H2307" t="s">
        <v>82</v>
      </c>
      <c r="I2307" t="s">
        <v>5573</v>
      </c>
      <c r="J2307">
        <v>48</v>
      </c>
      <c r="K2307" t="s">
        <v>84</v>
      </c>
      <c r="L2307" t="s">
        <v>85</v>
      </c>
      <c r="M2307" t="s">
        <v>86</v>
      </c>
      <c r="N2307">
        <v>3</v>
      </c>
      <c r="O2307" s="1">
        <v>44218.693645833337</v>
      </c>
      <c r="P2307" s="1">
        <v>44221.364525462966</v>
      </c>
      <c r="Q2307">
        <v>229707</v>
      </c>
      <c r="R2307">
        <v>1057</v>
      </c>
      <c r="S2307" t="b">
        <v>0</v>
      </c>
      <c r="T2307" t="s">
        <v>87</v>
      </c>
      <c r="U2307" t="b">
        <v>0</v>
      </c>
      <c r="V2307" t="s">
        <v>171</v>
      </c>
      <c r="W2307" s="1">
        <v>44218.710011574076</v>
      </c>
      <c r="X2307">
        <v>879</v>
      </c>
      <c r="Y2307">
        <v>41</v>
      </c>
      <c r="Z2307">
        <v>0</v>
      </c>
      <c r="AA2307">
        <v>41</v>
      </c>
      <c r="AB2307">
        <v>0</v>
      </c>
      <c r="AC2307">
        <v>29</v>
      </c>
      <c r="AD2307">
        <v>7</v>
      </c>
      <c r="AE2307">
        <v>0</v>
      </c>
      <c r="AF2307">
        <v>0</v>
      </c>
      <c r="AG2307">
        <v>0</v>
      </c>
      <c r="AH2307" t="s">
        <v>128</v>
      </c>
      <c r="AI2307" s="1">
        <v>44218.720405092594</v>
      </c>
      <c r="AJ2307">
        <v>174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7</v>
      </c>
      <c r="AQ2307">
        <v>0</v>
      </c>
      <c r="AR2307">
        <v>0</v>
      </c>
      <c r="AS2307">
        <v>0</v>
      </c>
      <c r="AT2307" t="s">
        <v>90</v>
      </c>
      <c r="AU2307" s="1">
        <v>44221.364525462966</v>
      </c>
      <c r="AV2307">
        <v>4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7</v>
      </c>
      <c r="BC2307">
        <v>0</v>
      </c>
      <c r="BD2307">
        <v>0</v>
      </c>
      <c r="BE2307">
        <v>0</v>
      </c>
    </row>
    <row r="2308" spans="1:57" x14ac:dyDescent="0.45">
      <c r="A2308" t="s">
        <v>5574</v>
      </c>
      <c r="B2308" t="s">
        <v>79</v>
      </c>
      <c r="C2308" t="s">
        <v>4724</v>
      </c>
      <c r="D2308" t="s">
        <v>81</v>
      </c>
      <c r="E2308" s="2" t="str">
        <f>HYPERLINK("capsilon://?command=openfolder&amp;siteaddress=FAM.docvelocity-na8.net&amp;folderid=FX52FF28B8-5094-7CDD-0A7D-C50C76A13C14","FX20123786")</f>
        <v>FX20123786</v>
      </c>
      <c r="F2308" t="s">
        <v>19</v>
      </c>
      <c r="G2308" t="s">
        <v>19</v>
      </c>
      <c r="H2308" t="s">
        <v>82</v>
      </c>
      <c r="I2308" t="s">
        <v>5575</v>
      </c>
      <c r="J2308">
        <v>31</v>
      </c>
      <c r="K2308" t="s">
        <v>84</v>
      </c>
      <c r="L2308" t="s">
        <v>85</v>
      </c>
      <c r="M2308" t="s">
        <v>86</v>
      </c>
      <c r="N2308">
        <v>3</v>
      </c>
      <c r="O2308" s="1">
        <v>44218.694502314815</v>
      </c>
      <c r="P2308" s="1">
        <v>44221.366759259261</v>
      </c>
      <c r="Q2308">
        <v>230163</v>
      </c>
      <c r="R2308">
        <v>720</v>
      </c>
      <c r="S2308" t="b">
        <v>0</v>
      </c>
      <c r="T2308" t="s">
        <v>87</v>
      </c>
      <c r="U2308" t="b">
        <v>0</v>
      </c>
      <c r="V2308" t="s">
        <v>255</v>
      </c>
      <c r="W2308" s="1">
        <v>44218.708553240744</v>
      </c>
      <c r="X2308">
        <v>435</v>
      </c>
      <c r="Y2308">
        <v>36</v>
      </c>
      <c r="Z2308">
        <v>0</v>
      </c>
      <c r="AA2308">
        <v>36</v>
      </c>
      <c r="AB2308">
        <v>0</v>
      </c>
      <c r="AC2308">
        <v>22</v>
      </c>
      <c r="AD2308">
        <v>-5</v>
      </c>
      <c r="AE2308">
        <v>0</v>
      </c>
      <c r="AF2308">
        <v>0</v>
      </c>
      <c r="AG2308">
        <v>0</v>
      </c>
      <c r="AH2308" t="s">
        <v>267</v>
      </c>
      <c r="AI2308" s="1">
        <v>44218.720636574071</v>
      </c>
      <c r="AJ2308">
        <v>93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-5</v>
      </c>
      <c r="AQ2308">
        <v>0</v>
      </c>
      <c r="AR2308">
        <v>0</v>
      </c>
      <c r="AS2308">
        <v>0</v>
      </c>
      <c r="AT2308" t="s">
        <v>90</v>
      </c>
      <c r="AU2308" s="1">
        <v>44221.366759259261</v>
      </c>
      <c r="AV2308">
        <v>192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-5</v>
      </c>
      <c r="BC2308">
        <v>0</v>
      </c>
      <c r="BD2308">
        <v>0</v>
      </c>
      <c r="BE2308">
        <v>0</v>
      </c>
    </row>
    <row r="2309" spans="1:57" x14ac:dyDescent="0.45">
      <c r="A2309" t="s">
        <v>5576</v>
      </c>
      <c r="B2309" t="s">
        <v>79</v>
      </c>
      <c r="C2309" t="s">
        <v>4724</v>
      </c>
      <c r="D2309" t="s">
        <v>81</v>
      </c>
      <c r="E2309" s="2" t="str">
        <f>HYPERLINK("capsilon://?command=openfolder&amp;siteaddress=FAM.docvelocity-na8.net&amp;folderid=FX52FF28B8-5094-7CDD-0A7D-C50C76A13C14","FX20123786")</f>
        <v>FX20123786</v>
      </c>
      <c r="F2309" t="s">
        <v>19</v>
      </c>
      <c r="G2309" t="s">
        <v>19</v>
      </c>
      <c r="H2309" t="s">
        <v>82</v>
      </c>
      <c r="I2309" t="s">
        <v>5577</v>
      </c>
      <c r="J2309">
        <v>40</v>
      </c>
      <c r="K2309" t="s">
        <v>84</v>
      </c>
      <c r="L2309" t="s">
        <v>85</v>
      </c>
      <c r="M2309" t="s">
        <v>86</v>
      </c>
      <c r="N2309">
        <v>3</v>
      </c>
      <c r="O2309" s="1">
        <v>44218.695127314815</v>
      </c>
      <c r="P2309" s="1">
        <v>44221.36681712963</v>
      </c>
      <c r="Q2309">
        <v>230424</v>
      </c>
      <c r="R2309">
        <v>410</v>
      </c>
      <c r="S2309" t="b">
        <v>0</v>
      </c>
      <c r="T2309" t="s">
        <v>87</v>
      </c>
      <c r="U2309" t="b">
        <v>0</v>
      </c>
      <c r="V2309" t="s">
        <v>242</v>
      </c>
      <c r="W2309" s="1">
        <v>44218.706863425927</v>
      </c>
      <c r="X2309">
        <v>286</v>
      </c>
      <c r="Y2309">
        <v>41</v>
      </c>
      <c r="Z2309">
        <v>0</v>
      </c>
      <c r="AA2309">
        <v>41</v>
      </c>
      <c r="AB2309">
        <v>0</v>
      </c>
      <c r="AC2309">
        <v>23</v>
      </c>
      <c r="AD2309">
        <v>-1</v>
      </c>
      <c r="AE2309">
        <v>0</v>
      </c>
      <c r="AF2309">
        <v>0</v>
      </c>
      <c r="AG2309">
        <v>0</v>
      </c>
      <c r="AH2309" t="s">
        <v>267</v>
      </c>
      <c r="AI2309" s="1">
        <v>44218.726863425924</v>
      </c>
      <c r="AJ2309">
        <v>89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-1</v>
      </c>
      <c r="AQ2309">
        <v>0</v>
      </c>
      <c r="AR2309">
        <v>0</v>
      </c>
      <c r="AS2309">
        <v>0</v>
      </c>
      <c r="AT2309" t="s">
        <v>90</v>
      </c>
      <c r="AU2309" s="1">
        <v>44221.36681712963</v>
      </c>
      <c r="AV2309">
        <v>4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-1</v>
      </c>
      <c r="BC2309">
        <v>0</v>
      </c>
      <c r="BD2309">
        <v>0</v>
      </c>
      <c r="BE2309">
        <v>0</v>
      </c>
    </row>
    <row r="2310" spans="1:57" x14ac:dyDescent="0.45">
      <c r="A2310" t="s">
        <v>5578</v>
      </c>
      <c r="B2310" t="s">
        <v>79</v>
      </c>
      <c r="C2310" t="s">
        <v>4724</v>
      </c>
      <c r="D2310" t="s">
        <v>81</v>
      </c>
      <c r="E2310" s="2" t="str">
        <f>HYPERLINK("capsilon://?command=openfolder&amp;siteaddress=FAM.docvelocity-na8.net&amp;folderid=FX52FF28B8-5094-7CDD-0A7D-C50C76A13C14","FX20123786")</f>
        <v>FX20123786</v>
      </c>
      <c r="F2310" t="s">
        <v>19</v>
      </c>
      <c r="G2310" t="s">
        <v>19</v>
      </c>
      <c r="H2310" t="s">
        <v>82</v>
      </c>
      <c r="I2310" t="s">
        <v>5579</v>
      </c>
      <c r="J2310">
        <v>31</v>
      </c>
      <c r="K2310" t="s">
        <v>84</v>
      </c>
      <c r="L2310" t="s">
        <v>85</v>
      </c>
      <c r="M2310" t="s">
        <v>86</v>
      </c>
      <c r="N2310">
        <v>3</v>
      </c>
      <c r="O2310" s="1">
        <v>44218.695729166669</v>
      </c>
      <c r="P2310" s="1">
        <v>44221.3669212963</v>
      </c>
      <c r="Q2310">
        <v>229304</v>
      </c>
      <c r="R2310">
        <v>1487</v>
      </c>
      <c r="S2310" t="b">
        <v>0</v>
      </c>
      <c r="T2310" t="s">
        <v>87</v>
      </c>
      <c r="U2310" t="b">
        <v>0</v>
      </c>
      <c r="V2310" t="s">
        <v>168</v>
      </c>
      <c r="W2310" s="1">
        <v>44218.719918981478</v>
      </c>
      <c r="X2310">
        <v>1281</v>
      </c>
      <c r="Y2310">
        <v>41</v>
      </c>
      <c r="Z2310">
        <v>0</v>
      </c>
      <c r="AA2310">
        <v>41</v>
      </c>
      <c r="AB2310">
        <v>0</v>
      </c>
      <c r="AC2310">
        <v>35</v>
      </c>
      <c r="AD2310">
        <v>-10</v>
      </c>
      <c r="AE2310">
        <v>0</v>
      </c>
      <c r="AF2310">
        <v>0</v>
      </c>
      <c r="AG2310">
        <v>0</v>
      </c>
      <c r="AH2310" t="s">
        <v>147</v>
      </c>
      <c r="AI2310" s="1">
        <v>44218.728425925925</v>
      </c>
      <c r="AJ2310">
        <v>198</v>
      </c>
      <c r="AK2310">
        <v>0</v>
      </c>
      <c r="AL2310">
        <v>0</v>
      </c>
      <c r="AM2310">
        <v>0</v>
      </c>
      <c r="AN2310">
        <v>0</v>
      </c>
      <c r="AO2310">
        <v>4</v>
      </c>
      <c r="AP2310">
        <v>-10</v>
      </c>
      <c r="AQ2310">
        <v>0</v>
      </c>
      <c r="AR2310">
        <v>0</v>
      </c>
      <c r="AS2310">
        <v>0</v>
      </c>
      <c r="AT2310" t="s">
        <v>90</v>
      </c>
      <c r="AU2310" s="1">
        <v>44221.3669212963</v>
      </c>
      <c r="AV2310">
        <v>8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-10</v>
      </c>
      <c r="BC2310">
        <v>0</v>
      </c>
      <c r="BD2310">
        <v>0</v>
      </c>
      <c r="BE2310">
        <v>0</v>
      </c>
    </row>
    <row r="2311" spans="1:57" x14ac:dyDescent="0.45">
      <c r="A2311" t="s">
        <v>5580</v>
      </c>
      <c r="B2311" t="s">
        <v>79</v>
      </c>
      <c r="C2311" t="s">
        <v>1226</v>
      </c>
      <c r="D2311" t="s">
        <v>81</v>
      </c>
      <c r="E2311" s="2" t="str">
        <f>HYPERLINK("capsilon://?command=openfolder&amp;siteaddress=FAM.docvelocity-na8.net&amp;folderid=FX20638E3F-DC65-E459-B4A6-8522D3961AA9","FX20126938")</f>
        <v>FX20126938</v>
      </c>
      <c r="F2311" t="s">
        <v>19</v>
      </c>
      <c r="G2311" t="s">
        <v>19</v>
      </c>
      <c r="H2311" t="s">
        <v>82</v>
      </c>
      <c r="I2311" t="s">
        <v>5581</v>
      </c>
      <c r="J2311">
        <v>38</v>
      </c>
      <c r="K2311" t="s">
        <v>84</v>
      </c>
      <c r="L2311" t="s">
        <v>85</v>
      </c>
      <c r="M2311" t="s">
        <v>86</v>
      </c>
      <c r="N2311">
        <v>3</v>
      </c>
      <c r="O2311" s="1">
        <v>44218.696030092593</v>
      </c>
      <c r="P2311" s="1">
        <v>44221.367013888892</v>
      </c>
      <c r="Q2311">
        <v>229946</v>
      </c>
      <c r="R2311">
        <v>827</v>
      </c>
      <c r="S2311" t="b">
        <v>0</v>
      </c>
      <c r="T2311" t="s">
        <v>87</v>
      </c>
      <c r="U2311" t="b">
        <v>0</v>
      </c>
      <c r="V2311" t="s">
        <v>179</v>
      </c>
      <c r="W2311" s="1">
        <v>44218.714548611111</v>
      </c>
      <c r="X2311">
        <v>758</v>
      </c>
      <c r="Y2311">
        <v>37</v>
      </c>
      <c r="Z2311">
        <v>0</v>
      </c>
      <c r="AA2311">
        <v>37</v>
      </c>
      <c r="AB2311">
        <v>0</v>
      </c>
      <c r="AC2311">
        <v>29</v>
      </c>
      <c r="AD2311">
        <v>1</v>
      </c>
      <c r="AE2311">
        <v>0</v>
      </c>
      <c r="AF2311">
        <v>0</v>
      </c>
      <c r="AG2311">
        <v>0</v>
      </c>
      <c r="AH2311" t="s">
        <v>267</v>
      </c>
      <c r="AI2311" s="1">
        <v>44218.727581018517</v>
      </c>
      <c r="AJ2311">
        <v>61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  <c r="AS2311">
        <v>0</v>
      </c>
      <c r="AT2311" t="s">
        <v>90</v>
      </c>
      <c r="AU2311" s="1">
        <v>44221.367013888892</v>
      </c>
      <c r="AV2311">
        <v>8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1</v>
      </c>
      <c r="BC2311">
        <v>0</v>
      </c>
      <c r="BD2311">
        <v>0</v>
      </c>
      <c r="BE2311">
        <v>0</v>
      </c>
    </row>
    <row r="2312" spans="1:57" x14ac:dyDescent="0.45">
      <c r="A2312" t="s">
        <v>5582</v>
      </c>
      <c r="B2312" t="s">
        <v>79</v>
      </c>
      <c r="C2312" t="s">
        <v>5559</v>
      </c>
      <c r="D2312" t="s">
        <v>81</v>
      </c>
      <c r="E2312" s="2" t="str">
        <f>HYPERLINK("capsilon://?command=openfolder&amp;siteaddress=FAM.docvelocity-na8.net&amp;folderid=FXCE4C02BF-94DE-F7C8-9F3F-649494B72680","FX210112404")</f>
        <v>FX210112404</v>
      </c>
      <c r="F2312" t="s">
        <v>19</v>
      </c>
      <c r="G2312" t="s">
        <v>19</v>
      </c>
      <c r="H2312" t="s">
        <v>82</v>
      </c>
      <c r="I2312" t="s">
        <v>5583</v>
      </c>
      <c r="J2312">
        <v>26</v>
      </c>
      <c r="K2312" t="s">
        <v>84</v>
      </c>
      <c r="L2312" t="s">
        <v>85</v>
      </c>
      <c r="M2312" t="s">
        <v>86</v>
      </c>
      <c r="N2312">
        <v>3</v>
      </c>
      <c r="O2312" s="1">
        <v>44218.696527777778</v>
      </c>
      <c r="P2312" s="1">
        <v>44221.367071759261</v>
      </c>
      <c r="Q2312">
        <v>230266</v>
      </c>
      <c r="R2312">
        <v>469</v>
      </c>
      <c r="S2312" t="b">
        <v>0</v>
      </c>
      <c r="T2312" t="s">
        <v>87</v>
      </c>
      <c r="U2312" t="b">
        <v>0</v>
      </c>
      <c r="V2312" t="s">
        <v>160</v>
      </c>
      <c r="W2312" s="1">
        <v>44218.711053240739</v>
      </c>
      <c r="X2312">
        <v>401</v>
      </c>
      <c r="Y2312">
        <v>21</v>
      </c>
      <c r="Z2312">
        <v>0</v>
      </c>
      <c r="AA2312">
        <v>21</v>
      </c>
      <c r="AB2312">
        <v>0</v>
      </c>
      <c r="AC2312">
        <v>20</v>
      </c>
      <c r="AD2312">
        <v>5</v>
      </c>
      <c r="AE2312">
        <v>0</v>
      </c>
      <c r="AF2312">
        <v>0</v>
      </c>
      <c r="AG2312">
        <v>0</v>
      </c>
      <c r="AH2312" t="s">
        <v>267</v>
      </c>
      <c r="AI2312" s="1">
        <v>44218.728321759256</v>
      </c>
      <c r="AJ2312">
        <v>63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5</v>
      </c>
      <c r="AQ2312">
        <v>0</v>
      </c>
      <c r="AR2312">
        <v>0</v>
      </c>
      <c r="AS2312">
        <v>0</v>
      </c>
      <c r="AT2312" t="s">
        <v>90</v>
      </c>
      <c r="AU2312" s="1">
        <v>44221.367071759261</v>
      </c>
      <c r="AV2312">
        <v>5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5</v>
      </c>
      <c r="BC2312">
        <v>0</v>
      </c>
      <c r="BD2312">
        <v>0</v>
      </c>
      <c r="BE2312">
        <v>0</v>
      </c>
    </row>
    <row r="2313" spans="1:57" x14ac:dyDescent="0.45">
      <c r="A2313" t="s">
        <v>5584</v>
      </c>
      <c r="B2313" t="s">
        <v>79</v>
      </c>
      <c r="C2313" t="s">
        <v>4724</v>
      </c>
      <c r="D2313" t="s">
        <v>81</v>
      </c>
      <c r="E2313" s="2" t="str">
        <f>HYPERLINK("capsilon://?command=openfolder&amp;siteaddress=FAM.docvelocity-na8.net&amp;folderid=FX52FF28B8-5094-7CDD-0A7D-C50C76A13C14","FX20123786")</f>
        <v>FX20123786</v>
      </c>
      <c r="F2313" t="s">
        <v>19</v>
      </c>
      <c r="G2313" t="s">
        <v>19</v>
      </c>
      <c r="H2313" t="s">
        <v>82</v>
      </c>
      <c r="I2313" t="s">
        <v>5585</v>
      </c>
      <c r="J2313">
        <v>31</v>
      </c>
      <c r="K2313" t="s">
        <v>84</v>
      </c>
      <c r="L2313" t="s">
        <v>85</v>
      </c>
      <c r="M2313" t="s">
        <v>86</v>
      </c>
      <c r="N2313">
        <v>3</v>
      </c>
      <c r="O2313" s="1">
        <v>44218.696736111109</v>
      </c>
      <c r="P2313" s="1">
        <v>44221.3671412037</v>
      </c>
      <c r="Q2313">
        <v>230330</v>
      </c>
      <c r="R2313">
        <v>393</v>
      </c>
      <c r="S2313" t="b">
        <v>0</v>
      </c>
      <c r="T2313" t="s">
        <v>87</v>
      </c>
      <c r="U2313" t="b">
        <v>0</v>
      </c>
      <c r="V2313" t="s">
        <v>242</v>
      </c>
      <c r="W2313" s="1">
        <v>44218.710277777776</v>
      </c>
      <c r="X2313">
        <v>294</v>
      </c>
      <c r="Y2313">
        <v>41</v>
      </c>
      <c r="Z2313">
        <v>0</v>
      </c>
      <c r="AA2313">
        <v>41</v>
      </c>
      <c r="AB2313">
        <v>0</v>
      </c>
      <c r="AC2313">
        <v>35</v>
      </c>
      <c r="AD2313">
        <v>-10</v>
      </c>
      <c r="AE2313">
        <v>0</v>
      </c>
      <c r="AF2313">
        <v>0</v>
      </c>
      <c r="AG2313">
        <v>0</v>
      </c>
      <c r="AH2313" t="s">
        <v>267</v>
      </c>
      <c r="AI2313" s="1">
        <v>44218.729421296295</v>
      </c>
      <c r="AJ2313">
        <v>94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-10</v>
      </c>
      <c r="AQ2313">
        <v>0</v>
      </c>
      <c r="AR2313">
        <v>0</v>
      </c>
      <c r="AS2313">
        <v>0</v>
      </c>
      <c r="AT2313" t="s">
        <v>90</v>
      </c>
      <c r="AU2313" s="1">
        <v>44221.3671412037</v>
      </c>
      <c r="AV2313">
        <v>5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-10</v>
      </c>
      <c r="BC2313">
        <v>0</v>
      </c>
      <c r="BD2313">
        <v>0</v>
      </c>
      <c r="BE2313">
        <v>0</v>
      </c>
    </row>
    <row r="2314" spans="1:57" hidden="1" x14ac:dyDescent="0.45">
      <c r="A2314" t="s">
        <v>5586</v>
      </c>
      <c r="B2314" t="s">
        <v>79</v>
      </c>
      <c r="C2314" t="s">
        <v>2089</v>
      </c>
      <c r="D2314" t="s">
        <v>81</v>
      </c>
      <c r="E2314" s="2" t="str">
        <f>HYPERLINK("capsilon://?command=openfolder&amp;siteaddress=FAM.docvelocity-na8.net&amp;folderid=FX76B3561E-9B67-9F1D-54DE-D55854B33678","FX20123251")</f>
        <v>FX20123251</v>
      </c>
      <c r="F2314" t="s">
        <v>19</v>
      </c>
      <c r="G2314" t="s">
        <v>19</v>
      </c>
      <c r="H2314" t="s">
        <v>82</v>
      </c>
      <c r="I2314" t="s">
        <v>5587</v>
      </c>
      <c r="J2314">
        <v>66</v>
      </c>
      <c r="K2314" t="s">
        <v>84</v>
      </c>
      <c r="L2314" t="s">
        <v>85</v>
      </c>
      <c r="M2314" t="s">
        <v>86</v>
      </c>
      <c r="N2314">
        <v>3</v>
      </c>
      <c r="O2314" s="1">
        <v>44218.697152777779</v>
      </c>
      <c r="P2314" s="1">
        <v>44221.367199074077</v>
      </c>
      <c r="Q2314">
        <v>229706</v>
      </c>
      <c r="R2314">
        <v>986</v>
      </c>
      <c r="S2314" t="b">
        <v>0</v>
      </c>
      <c r="T2314" t="s">
        <v>87</v>
      </c>
      <c r="U2314" t="b">
        <v>0</v>
      </c>
      <c r="V2314" t="s">
        <v>160</v>
      </c>
      <c r="W2314" s="1">
        <v>44218.721250000002</v>
      </c>
      <c r="X2314">
        <v>854</v>
      </c>
      <c r="Y2314">
        <v>0</v>
      </c>
      <c r="Z2314">
        <v>0</v>
      </c>
      <c r="AA2314">
        <v>0</v>
      </c>
      <c r="AB2314">
        <v>52</v>
      </c>
      <c r="AC2314">
        <v>0</v>
      </c>
      <c r="AD2314">
        <v>66</v>
      </c>
      <c r="AE2314">
        <v>0</v>
      </c>
      <c r="AF2314">
        <v>0</v>
      </c>
      <c r="AG2314">
        <v>0</v>
      </c>
      <c r="AH2314" t="s">
        <v>147</v>
      </c>
      <c r="AI2314" s="1">
        <v>44218.728877314818</v>
      </c>
      <c r="AJ2314">
        <v>38</v>
      </c>
      <c r="AK2314">
        <v>0</v>
      </c>
      <c r="AL2314">
        <v>0</v>
      </c>
      <c r="AM2314">
        <v>0</v>
      </c>
      <c r="AN2314">
        <v>52</v>
      </c>
      <c r="AO2314">
        <v>0</v>
      </c>
      <c r="AP2314">
        <v>66</v>
      </c>
      <c r="AQ2314">
        <v>0</v>
      </c>
      <c r="AR2314">
        <v>0</v>
      </c>
      <c r="AS2314">
        <v>0</v>
      </c>
      <c r="AT2314" t="s">
        <v>90</v>
      </c>
      <c r="AU2314" s="1">
        <v>44221.367199074077</v>
      </c>
      <c r="AV2314">
        <v>4</v>
      </c>
      <c r="AW2314">
        <v>0</v>
      </c>
      <c r="AX2314">
        <v>0</v>
      </c>
      <c r="AY2314">
        <v>0</v>
      </c>
      <c r="AZ2314">
        <v>52</v>
      </c>
      <c r="BA2314">
        <v>0</v>
      </c>
      <c r="BB2314">
        <v>66</v>
      </c>
      <c r="BC2314">
        <v>0</v>
      </c>
      <c r="BD2314">
        <v>0</v>
      </c>
      <c r="BE2314">
        <v>0</v>
      </c>
    </row>
    <row r="2315" spans="1:57" x14ac:dyDescent="0.45">
      <c r="A2315" t="s">
        <v>5588</v>
      </c>
      <c r="B2315" t="s">
        <v>79</v>
      </c>
      <c r="C2315" t="s">
        <v>5589</v>
      </c>
      <c r="D2315" t="s">
        <v>81</v>
      </c>
      <c r="E2315" s="2" t="str">
        <f>HYPERLINK("capsilon://?command=openfolder&amp;siteaddress=FAM.docvelocity-na8.net&amp;folderid=FX97D502DB-4CD0-A2D9-356E-A2E64F9C715E","FX201228797")</f>
        <v>FX201228797</v>
      </c>
      <c r="F2315" t="s">
        <v>19</v>
      </c>
      <c r="G2315" t="s">
        <v>19</v>
      </c>
      <c r="H2315" t="s">
        <v>82</v>
      </c>
      <c r="I2315" t="s">
        <v>5590</v>
      </c>
      <c r="J2315">
        <v>530</v>
      </c>
      <c r="K2315" t="s">
        <v>84</v>
      </c>
      <c r="L2315" t="s">
        <v>85</v>
      </c>
      <c r="M2315" t="s">
        <v>86</v>
      </c>
      <c r="N2315">
        <v>3</v>
      </c>
      <c r="O2315" s="1">
        <v>44201.541087962964</v>
      </c>
      <c r="P2315" s="1">
        <v>44201.60050925926</v>
      </c>
      <c r="Q2315">
        <v>1254</v>
      </c>
      <c r="R2315">
        <v>3880</v>
      </c>
      <c r="S2315" t="b">
        <v>0</v>
      </c>
      <c r="T2315" t="s">
        <v>87</v>
      </c>
      <c r="U2315" t="b">
        <v>0</v>
      </c>
      <c r="V2315" t="s">
        <v>179</v>
      </c>
      <c r="W2315" s="1">
        <v>44201.578634259262</v>
      </c>
      <c r="X2315">
        <v>3190</v>
      </c>
      <c r="Y2315">
        <v>514</v>
      </c>
      <c r="Z2315">
        <v>0</v>
      </c>
      <c r="AA2315">
        <v>514</v>
      </c>
      <c r="AB2315">
        <v>0</v>
      </c>
      <c r="AC2315">
        <v>259</v>
      </c>
      <c r="AD2315">
        <v>16</v>
      </c>
      <c r="AE2315">
        <v>0</v>
      </c>
      <c r="AF2315">
        <v>0</v>
      </c>
      <c r="AG2315">
        <v>0</v>
      </c>
      <c r="AH2315" t="s">
        <v>267</v>
      </c>
      <c r="AI2315" s="1">
        <v>44201.585960648146</v>
      </c>
      <c r="AJ2315">
        <v>608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16</v>
      </c>
      <c r="AQ2315">
        <v>0</v>
      </c>
      <c r="AR2315">
        <v>0</v>
      </c>
      <c r="AS2315">
        <v>0</v>
      </c>
      <c r="AT2315" t="s">
        <v>90</v>
      </c>
      <c r="AU2315" s="1">
        <v>44201.60050925926</v>
      </c>
      <c r="AV2315">
        <v>82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16</v>
      </c>
      <c r="BC2315">
        <v>0</v>
      </c>
      <c r="BD2315">
        <v>0</v>
      </c>
      <c r="BE2315">
        <v>0</v>
      </c>
    </row>
    <row r="2316" spans="1:57" x14ac:dyDescent="0.45">
      <c r="A2316" t="s">
        <v>5591</v>
      </c>
      <c r="B2316" t="s">
        <v>79</v>
      </c>
      <c r="C2316" t="s">
        <v>5484</v>
      </c>
      <c r="D2316" t="s">
        <v>81</v>
      </c>
      <c r="E2316" s="2" t="str">
        <f>HYPERLINK("capsilon://?command=openfolder&amp;siteaddress=FAM.docvelocity-na8.net&amp;folderid=FXA6730723-B2D5-3D0D-7E3E-84CCA7BD389B","FX210113907")</f>
        <v>FX210113907</v>
      </c>
      <c r="F2316" t="s">
        <v>19</v>
      </c>
      <c r="G2316" t="s">
        <v>19</v>
      </c>
      <c r="H2316" t="s">
        <v>82</v>
      </c>
      <c r="I2316" t="s">
        <v>5592</v>
      </c>
      <c r="J2316">
        <v>51</v>
      </c>
      <c r="K2316" t="s">
        <v>84</v>
      </c>
      <c r="L2316" t="s">
        <v>85</v>
      </c>
      <c r="M2316" t="s">
        <v>86</v>
      </c>
      <c r="N2316">
        <v>3</v>
      </c>
      <c r="O2316" s="1">
        <v>44218.702939814815</v>
      </c>
      <c r="P2316" s="1">
        <v>44221.367291666669</v>
      </c>
      <c r="Q2316">
        <v>229799</v>
      </c>
      <c r="R2316">
        <v>401</v>
      </c>
      <c r="S2316" t="b">
        <v>0</v>
      </c>
      <c r="T2316" t="s">
        <v>87</v>
      </c>
      <c r="U2316" t="b">
        <v>0</v>
      </c>
      <c r="V2316" t="s">
        <v>255</v>
      </c>
      <c r="W2316" s="1">
        <v>44218.712534722225</v>
      </c>
      <c r="X2316">
        <v>260</v>
      </c>
      <c r="Y2316">
        <v>50</v>
      </c>
      <c r="Z2316">
        <v>0</v>
      </c>
      <c r="AA2316">
        <v>50</v>
      </c>
      <c r="AB2316">
        <v>0</v>
      </c>
      <c r="AC2316">
        <v>33</v>
      </c>
      <c r="AD2316">
        <v>1</v>
      </c>
      <c r="AE2316">
        <v>0</v>
      </c>
      <c r="AF2316">
        <v>0</v>
      </c>
      <c r="AG2316">
        <v>0</v>
      </c>
      <c r="AH2316" t="s">
        <v>128</v>
      </c>
      <c r="AI2316" s="1">
        <v>44218.73</v>
      </c>
      <c r="AJ2316">
        <v>127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</v>
      </c>
      <c r="AQ2316">
        <v>0</v>
      </c>
      <c r="AR2316">
        <v>0</v>
      </c>
      <c r="AS2316">
        <v>0</v>
      </c>
      <c r="AT2316" t="s">
        <v>90</v>
      </c>
      <c r="AU2316" s="1">
        <v>44221.367291666669</v>
      </c>
      <c r="AV2316">
        <v>8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1</v>
      </c>
      <c r="BC2316">
        <v>0</v>
      </c>
      <c r="BD2316">
        <v>0</v>
      </c>
      <c r="BE2316">
        <v>0</v>
      </c>
    </row>
    <row r="2317" spans="1:57" x14ac:dyDescent="0.45">
      <c r="A2317" t="s">
        <v>5593</v>
      </c>
      <c r="B2317" t="s">
        <v>79</v>
      </c>
      <c r="C2317" t="s">
        <v>5484</v>
      </c>
      <c r="D2317" t="s">
        <v>81</v>
      </c>
      <c r="E2317" s="2" t="str">
        <f>HYPERLINK("capsilon://?command=openfolder&amp;siteaddress=FAM.docvelocity-na8.net&amp;folderid=FXA6730723-B2D5-3D0D-7E3E-84CCA7BD389B","FX210113907")</f>
        <v>FX210113907</v>
      </c>
      <c r="F2317" t="s">
        <v>19</v>
      </c>
      <c r="G2317" t="s">
        <v>19</v>
      </c>
      <c r="H2317" t="s">
        <v>82</v>
      </c>
      <c r="I2317" t="s">
        <v>5594</v>
      </c>
      <c r="J2317">
        <v>26</v>
      </c>
      <c r="K2317" t="s">
        <v>84</v>
      </c>
      <c r="L2317" t="s">
        <v>85</v>
      </c>
      <c r="M2317" t="s">
        <v>86</v>
      </c>
      <c r="N2317">
        <v>3</v>
      </c>
      <c r="O2317" s="1">
        <v>44218.710138888891</v>
      </c>
      <c r="P2317" s="1">
        <v>44221.367349537039</v>
      </c>
      <c r="Q2317">
        <v>229258</v>
      </c>
      <c r="R2317">
        <v>325</v>
      </c>
      <c r="S2317" t="b">
        <v>0</v>
      </c>
      <c r="T2317" t="s">
        <v>87</v>
      </c>
      <c r="U2317" t="b">
        <v>0</v>
      </c>
      <c r="V2317" t="s">
        <v>242</v>
      </c>
      <c r="W2317" s="1">
        <v>44218.711689814816</v>
      </c>
      <c r="X2317">
        <v>122</v>
      </c>
      <c r="Y2317">
        <v>21</v>
      </c>
      <c r="Z2317">
        <v>0</v>
      </c>
      <c r="AA2317">
        <v>21</v>
      </c>
      <c r="AB2317">
        <v>0</v>
      </c>
      <c r="AC2317">
        <v>9</v>
      </c>
      <c r="AD2317">
        <v>5</v>
      </c>
      <c r="AE2317">
        <v>0</v>
      </c>
      <c r="AF2317">
        <v>0</v>
      </c>
      <c r="AG2317">
        <v>0</v>
      </c>
      <c r="AH2317" t="s">
        <v>147</v>
      </c>
      <c r="AI2317" s="1">
        <v>44218.731099537035</v>
      </c>
      <c r="AJ2317">
        <v>192</v>
      </c>
      <c r="AK2317">
        <v>1</v>
      </c>
      <c r="AL2317">
        <v>0</v>
      </c>
      <c r="AM2317">
        <v>1</v>
      </c>
      <c r="AN2317">
        <v>0</v>
      </c>
      <c r="AO2317">
        <v>4</v>
      </c>
      <c r="AP2317">
        <v>4</v>
      </c>
      <c r="AQ2317">
        <v>0</v>
      </c>
      <c r="AR2317">
        <v>0</v>
      </c>
      <c r="AS2317">
        <v>0</v>
      </c>
      <c r="AT2317" t="s">
        <v>90</v>
      </c>
      <c r="AU2317" s="1">
        <v>44221.367349537039</v>
      </c>
      <c r="AV2317">
        <v>5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4</v>
      </c>
      <c r="BC2317">
        <v>0</v>
      </c>
      <c r="BD2317">
        <v>0</v>
      </c>
      <c r="BE2317">
        <v>0</v>
      </c>
    </row>
    <row r="2318" spans="1:57" hidden="1" x14ac:dyDescent="0.45">
      <c r="A2318" t="s">
        <v>5595</v>
      </c>
      <c r="B2318" t="s">
        <v>79</v>
      </c>
      <c r="C2318" t="s">
        <v>5596</v>
      </c>
      <c r="D2318" t="s">
        <v>81</v>
      </c>
      <c r="E2318" s="2" t="str">
        <f>HYPERLINK("capsilon://?command=openfolder&amp;siteaddress=FAM.docvelocity-na8.net&amp;folderid=FX5B9E152B-ED29-C988-2605-672B28FF90CD","FX201115842")</f>
        <v>FX201115842</v>
      </c>
      <c r="F2318" t="s">
        <v>19</v>
      </c>
      <c r="G2318" t="s">
        <v>19</v>
      </c>
      <c r="H2318" t="s">
        <v>82</v>
      </c>
      <c r="I2318" t="s">
        <v>5597</v>
      </c>
      <c r="J2318">
        <v>66</v>
      </c>
      <c r="K2318" t="s">
        <v>84</v>
      </c>
      <c r="L2318" t="s">
        <v>85</v>
      </c>
      <c r="M2318" t="s">
        <v>86</v>
      </c>
      <c r="N2318">
        <v>3</v>
      </c>
      <c r="O2318" s="1">
        <v>44201.542523148149</v>
      </c>
      <c r="P2318" s="1">
        <v>44201.600543981483</v>
      </c>
      <c r="Q2318">
        <v>4701</v>
      </c>
      <c r="R2318">
        <v>312</v>
      </c>
      <c r="S2318" t="b">
        <v>0</v>
      </c>
      <c r="T2318" t="s">
        <v>87</v>
      </c>
      <c r="U2318" t="b">
        <v>0</v>
      </c>
      <c r="V2318" t="s">
        <v>255</v>
      </c>
      <c r="W2318" s="1">
        <v>44201.54828703704</v>
      </c>
      <c r="X2318">
        <v>252</v>
      </c>
      <c r="Y2318">
        <v>0</v>
      </c>
      <c r="Z2318">
        <v>0</v>
      </c>
      <c r="AA2318">
        <v>0</v>
      </c>
      <c r="AB2318">
        <v>156</v>
      </c>
      <c r="AC2318">
        <v>0</v>
      </c>
      <c r="AD2318">
        <v>66</v>
      </c>
      <c r="AE2318">
        <v>0</v>
      </c>
      <c r="AF2318">
        <v>0</v>
      </c>
      <c r="AG2318">
        <v>0</v>
      </c>
      <c r="AH2318" t="s">
        <v>94</v>
      </c>
      <c r="AI2318" s="1">
        <v>44201.57953703704</v>
      </c>
      <c r="AJ2318">
        <v>42</v>
      </c>
      <c r="AK2318">
        <v>0</v>
      </c>
      <c r="AL2318">
        <v>0</v>
      </c>
      <c r="AM2318">
        <v>0</v>
      </c>
      <c r="AN2318">
        <v>52</v>
      </c>
      <c r="AO2318">
        <v>0</v>
      </c>
      <c r="AP2318">
        <v>66</v>
      </c>
      <c r="AQ2318">
        <v>0</v>
      </c>
      <c r="AR2318">
        <v>0</v>
      </c>
      <c r="AS2318">
        <v>0</v>
      </c>
      <c r="AT2318" t="s">
        <v>90</v>
      </c>
      <c r="AU2318" s="1">
        <v>44201.600543981483</v>
      </c>
      <c r="AV2318">
        <v>3</v>
      </c>
      <c r="AW2318">
        <v>0</v>
      </c>
      <c r="AX2318">
        <v>0</v>
      </c>
      <c r="AY2318">
        <v>0</v>
      </c>
      <c r="AZ2318">
        <v>52</v>
      </c>
      <c r="BA2318">
        <v>0</v>
      </c>
      <c r="BB2318">
        <v>66</v>
      </c>
      <c r="BC2318">
        <v>0</v>
      </c>
      <c r="BD2318">
        <v>0</v>
      </c>
      <c r="BE2318">
        <v>0</v>
      </c>
    </row>
    <row r="2319" spans="1:57" x14ac:dyDescent="0.45">
      <c r="A2319" t="s">
        <v>5598</v>
      </c>
      <c r="B2319" t="s">
        <v>79</v>
      </c>
      <c r="C2319" t="s">
        <v>5559</v>
      </c>
      <c r="D2319" t="s">
        <v>81</v>
      </c>
      <c r="E2319" s="2" t="str">
        <f>HYPERLINK("capsilon://?command=openfolder&amp;siteaddress=FAM.docvelocity-na8.net&amp;folderid=FXCE4C02BF-94DE-F7C8-9F3F-649494B72680","FX210112404")</f>
        <v>FX210112404</v>
      </c>
      <c r="F2319" t="s">
        <v>19</v>
      </c>
      <c r="G2319" t="s">
        <v>19</v>
      </c>
      <c r="H2319" t="s">
        <v>82</v>
      </c>
      <c r="I2319" t="s">
        <v>5599</v>
      </c>
      <c r="J2319">
        <v>50</v>
      </c>
      <c r="K2319" t="s">
        <v>84</v>
      </c>
      <c r="L2319" t="s">
        <v>85</v>
      </c>
      <c r="M2319" t="s">
        <v>86</v>
      </c>
      <c r="N2319">
        <v>3</v>
      </c>
      <c r="O2319" s="1">
        <v>44218.711574074077</v>
      </c>
      <c r="P2319" s="1">
        <v>44221.367974537039</v>
      </c>
      <c r="Q2319">
        <v>227779</v>
      </c>
      <c r="R2319">
        <v>1734</v>
      </c>
      <c r="S2319" t="b">
        <v>0</v>
      </c>
      <c r="T2319" t="s">
        <v>87</v>
      </c>
      <c r="U2319" t="b">
        <v>0</v>
      </c>
      <c r="V2319" t="s">
        <v>171</v>
      </c>
      <c r="W2319" s="1">
        <v>44218.730104166665</v>
      </c>
      <c r="X2319">
        <v>1595</v>
      </c>
      <c r="Y2319">
        <v>46</v>
      </c>
      <c r="Z2319">
        <v>0</v>
      </c>
      <c r="AA2319">
        <v>46</v>
      </c>
      <c r="AB2319">
        <v>0</v>
      </c>
      <c r="AC2319">
        <v>18</v>
      </c>
      <c r="AD2319">
        <v>4</v>
      </c>
      <c r="AE2319">
        <v>0</v>
      </c>
      <c r="AF2319">
        <v>0</v>
      </c>
      <c r="AG2319">
        <v>0</v>
      </c>
      <c r="AH2319" t="s">
        <v>267</v>
      </c>
      <c r="AI2319" s="1">
        <v>44218.731273148151</v>
      </c>
      <c r="AJ2319">
        <v>86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4</v>
      </c>
      <c r="AQ2319">
        <v>0</v>
      </c>
      <c r="AR2319">
        <v>0</v>
      </c>
      <c r="AS2319">
        <v>0</v>
      </c>
      <c r="AT2319" t="s">
        <v>90</v>
      </c>
      <c r="AU2319" s="1">
        <v>44221.367974537039</v>
      </c>
      <c r="AV2319">
        <v>53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4</v>
      </c>
      <c r="BC2319">
        <v>0</v>
      </c>
      <c r="BD2319">
        <v>0</v>
      </c>
      <c r="BE2319">
        <v>0</v>
      </c>
    </row>
    <row r="2320" spans="1:57" hidden="1" x14ac:dyDescent="0.45">
      <c r="A2320" t="s">
        <v>5600</v>
      </c>
      <c r="B2320" t="s">
        <v>79</v>
      </c>
      <c r="C2320" t="s">
        <v>5601</v>
      </c>
      <c r="D2320" t="s">
        <v>81</v>
      </c>
      <c r="E2320" s="2" t="str">
        <f>HYPERLINK("capsilon://?command=openfolder&amp;siteaddress=FAM.docvelocity-na8.net&amp;folderid=FXD678816D-441B-910E-064F-B5AF75D9EFB7","FX2012168")</f>
        <v>FX2012168</v>
      </c>
      <c r="F2320" t="s">
        <v>19</v>
      </c>
      <c r="G2320" t="s">
        <v>19</v>
      </c>
      <c r="H2320" t="s">
        <v>82</v>
      </c>
      <c r="I2320" t="s">
        <v>5602</v>
      </c>
      <c r="J2320">
        <v>66</v>
      </c>
      <c r="K2320" t="s">
        <v>84</v>
      </c>
      <c r="L2320" t="s">
        <v>85</v>
      </c>
      <c r="M2320" t="s">
        <v>86</v>
      </c>
      <c r="N2320">
        <v>3</v>
      </c>
      <c r="O2320" s="1">
        <v>44201.542557870373</v>
      </c>
      <c r="P2320" s="1">
        <v>44201.600590277776</v>
      </c>
      <c r="Q2320">
        <v>4727</v>
      </c>
      <c r="R2320">
        <v>287</v>
      </c>
      <c r="S2320" t="b">
        <v>0</v>
      </c>
      <c r="T2320" t="s">
        <v>87</v>
      </c>
      <c r="U2320" t="b">
        <v>0</v>
      </c>
      <c r="V2320" t="s">
        <v>255</v>
      </c>
      <c r="W2320" s="1">
        <v>44201.545995370368</v>
      </c>
      <c r="X2320">
        <v>204</v>
      </c>
      <c r="Y2320">
        <v>0</v>
      </c>
      <c r="Z2320">
        <v>0</v>
      </c>
      <c r="AA2320">
        <v>0</v>
      </c>
      <c r="AB2320">
        <v>52</v>
      </c>
      <c r="AC2320">
        <v>0</v>
      </c>
      <c r="AD2320">
        <v>66</v>
      </c>
      <c r="AE2320">
        <v>0</v>
      </c>
      <c r="AF2320">
        <v>0</v>
      </c>
      <c r="AG2320">
        <v>0</v>
      </c>
      <c r="AH2320" t="s">
        <v>94</v>
      </c>
      <c r="AI2320" s="1">
        <v>44201.580011574071</v>
      </c>
      <c r="AJ2320">
        <v>40</v>
      </c>
      <c r="AK2320">
        <v>0</v>
      </c>
      <c r="AL2320">
        <v>0</v>
      </c>
      <c r="AM2320">
        <v>0</v>
      </c>
      <c r="AN2320">
        <v>52</v>
      </c>
      <c r="AO2320">
        <v>0</v>
      </c>
      <c r="AP2320">
        <v>66</v>
      </c>
      <c r="AQ2320">
        <v>0</v>
      </c>
      <c r="AR2320">
        <v>0</v>
      </c>
      <c r="AS2320">
        <v>0</v>
      </c>
      <c r="AT2320" t="s">
        <v>90</v>
      </c>
      <c r="AU2320" s="1">
        <v>44201.600590277776</v>
      </c>
      <c r="AV2320">
        <v>3</v>
      </c>
      <c r="AW2320">
        <v>0</v>
      </c>
      <c r="AX2320">
        <v>0</v>
      </c>
      <c r="AY2320">
        <v>0</v>
      </c>
      <c r="AZ2320">
        <v>52</v>
      </c>
      <c r="BA2320">
        <v>0</v>
      </c>
      <c r="BB2320">
        <v>66</v>
      </c>
      <c r="BC2320">
        <v>0</v>
      </c>
      <c r="BD2320">
        <v>0</v>
      </c>
      <c r="BE2320">
        <v>0</v>
      </c>
    </row>
    <row r="2321" spans="1:57" hidden="1" x14ac:dyDescent="0.45">
      <c r="A2321" t="s">
        <v>5603</v>
      </c>
      <c r="B2321" t="s">
        <v>79</v>
      </c>
      <c r="C2321" t="s">
        <v>5559</v>
      </c>
      <c r="D2321" t="s">
        <v>81</v>
      </c>
      <c r="E2321" s="2" t="str">
        <f>HYPERLINK("capsilon://?command=openfolder&amp;siteaddress=FAM.docvelocity-na8.net&amp;folderid=FXCE4C02BF-94DE-F7C8-9F3F-649494B72680","FX210112404")</f>
        <v>FX210112404</v>
      </c>
      <c r="F2321" t="s">
        <v>19</v>
      </c>
      <c r="G2321" t="s">
        <v>19</v>
      </c>
      <c r="H2321" t="s">
        <v>82</v>
      </c>
      <c r="I2321" t="s">
        <v>5604</v>
      </c>
      <c r="J2321">
        <v>31</v>
      </c>
      <c r="K2321" t="s">
        <v>84</v>
      </c>
      <c r="L2321" t="s">
        <v>85</v>
      </c>
      <c r="M2321" t="s">
        <v>86</v>
      </c>
      <c r="N2321">
        <v>1</v>
      </c>
      <c r="O2321" s="1">
        <v>44218.716446759259</v>
      </c>
      <c r="P2321" s="1">
        <v>44218.717870370368</v>
      </c>
      <c r="Q2321">
        <v>70</v>
      </c>
      <c r="R2321">
        <v>53</v>
      </c>
      <c r="S2321" t="b">
        <v>0</v>
      </c>
      <c r="T2321" t="s">
        <v>87</v>
      </c>
      <c r="U2321" t="b">
        <v>0</v>
      </c>
      <c r="V2321" t="s">
        <v>179</v>
      </c>
      <c r="W2321" s="1">
        <v>44218.717870370368</v>
      </c>
      <c r="X2321">
        <v>20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31</v>
      </c>
      <c r="AE2321">
        <v>0</v>
      </c>
      <c r="AF2321">
        <v>0</v>
      </c>
      <c r="AG2321">
        <v>1</v>
      </c>
      <c r="AH2321" t="s">
        <v>87</v>
      </c>
      <c r="AI2321" t="s">
        <v>87</v>
      </c>
      <c r="AJ2321" t="s">
        <v>87</v>
      </c>
      <c r="AK2321" t="s">
        <v>87</v>
      </c>
      <c r="AL2321" t="s">
        <v>87</v>
      </c>
      <c r="AM2321" t="s">
        <v>87</v>
      </c>
      <c r="AN2321" t="s">
        <v>87</v>
      </c>
      <c r="AO2321" t="s">
        <v>87</v>
      </c>
      <c r="AP2321" t="s">
        <v>87</v>
      </c>
      <c r="AQ2321" t="s">
        <v>87</v>
      </c>
      <c r="AR2321" t="s">
        <v>87</v>
      </c>
      <c r="AS2321" t="s">
        <v>87</v>
      </c>
      <c r="AT2321" t="s">
        <v>87</v>
      </c>
      <c r="AU2321" t="s">
        <v>87</v>
      </c>
      <c r="AV2321" t="s">
        <v>87</v>
      </c>
      <c r="AW2321" t="s">
        <v>87</v>
      </c>
      <c r="AX2321" t="s">
        <v>87</v>
      </c>
      <c r="AY2321" t="s">
        <v>87</v>
      </c>
      <c r="AZ2321" t="s">
        <v>87</v>
      </c>
      <c r="BA2321" t="s">
        <v>87</v>
      </c>
      <c r="BB2321" t="s">
        <v>87</v>
      </c>
      <c r="BC2321" t="s">
        <v>87</v>
      </c>
      <c r="BD2321" t="s">
        <v>87</v>
      </c>
      <c r="BE2321" t="s">
        <v>87</v>
      </c>
    </row>
    <row r="2322" spans="1:57" x14ac:dyDescent="0.45">
      <c r="A2322" t="s">
        <v>5605</v>
      </c>
      <c r="B2322" t="s">
        <v>79</v>
      </c>
      <c r="C2322" t="s">
        <v>5484</v>
      </c>
      <c r="D2322" t="s">
        <v>81</v>
      </c>
      <c r="E2322" s="2" t="str">
        <f>HYPERLINK("capsilon://?command=openfolder&amp;siteaddress=FAM.docvelocity-na8.net&amp;folderid=FXA6730723-B2D5-3D0D-7E3E-84CCA7BD389B","FX210113907")</f>
        <v>FX210113907</v>
      </c>
      <c r="F2322" t="s">
        <v>19</v>
      </c>
      <c r="G2322" t="s">
        <v>19</v>
      </c>
      <c r="H2322" t="s">
        <v>82</v>
      </c>
      <c r="I2322" t="s">
        <v>5606</v>
      </c>
      <c r="J2322">
        <v>26</v>
      </c>
      <c r="K2322" t="s">
        <v>84</v>
      </c>
      <c r="L2322" t="s">
        <v>85</v>
      </c>
      <c r="M2322" t="s">
        <v>86</v>
      </c>
      <c r="N2322">
        <v>3</v>
      </c>
      <c r="O2322" s="1">
        <v>44218.717291666668</v>
      </c>
      <c r="P2322" s="1">
        <v>44221.368020833332</v>
      </c>
      <c r="Q2322">
        <v>228116</v>
      </c>
      <c r="R2322">
        <v>907</v>
      </c>
      <c r="S2322" t="b">
        <v>0</v>
      </c>
      <c r="T2322" t="s">
        <v>87</v>
      </c>
      <c r="U2322" t="b">
        <v>0</v>
      </c>
      <c r="V2322" t="s">
        <v>146</v>
      </c>
      <c r="W2322" s="1">
        <v>44218.727002314816</v>
      </c>
      <c r="X2322">
        <v>827</v>
      </c>
      <c r="Y2322">
        <v>21</v>
      </c>
      <c r="Z2322">
        <v>0</v>
      </c>
      <c r="AA2322">
        <v>21</v>
      </c>
      <c r="AB2322">
        <v>0</v>
      </c>
      <c r="AC2322">
        <v>21</v>
      </c>
      <c r="AD2322">
        <v>5</v>
      </c>
      <c r="AE2322">
        <v>0</v>
      </c>
      <c r="AF2322">
        <v>0</v>
      </c>
      <c r="AG2322">
        <v>0</v>
      </c>
      <c r="AH2322" t="s">
        <v>267</v>
      </c>
      <c r="AI2322" s="1">
        <v>44218.730266203704</v>
      </c>
      <c r="AJ2322">
        <v>72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5</v>
      </c>
      <c r="AQ2322">
        <v>0</v>
      </c>
      <c r="AR2322">
        <v>0</v>
      </c>
      <c r="AS2322">
        <v>0</v>
      </c>
      <c r="AT2322" t="s">
        <v>90</v>
      </c>
      <c r="AU2322" s="1">
        <v>44221.368020833332</v>
      </c>
      <c r="AV2322">
        <v>3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5</v>
      </c>
      <c r="BC2322">
        <v>0</v>
      </c>
      <c r="BD2322">
        <v>0</v>
      </c>
      <c r="BE2322">
        <v>0</v>
      </c>
    </row>
    <row r="2323" spans="1:57" x14ac:dyDescent="0.45">
      <c r="A2323" t="s">
        <v>5607</v>
      </c>
      <c r="B2323" t="s">
        <v>79</v>
      </c>
      <c r="C2323" t="s">
        <v>5564</v>
      </c>
      <c r="D2323" t="s">
        <v>81</v>
      </c>
      <c r="E2323" s="2" t="str">
        <f>HYPERLINK("capsilon://?command=openfolder&amp;siteaddress=FAM.docvelocity-na8.net&amp;folderid=FX31474491-6330-4F48-262E-9538E7341104","FX20125841")</f>
        <v>FX20125841</v>
      </c>
      <c r="F2323" t="s">
        <v>19</v>
      </c>
      <c r="G2323" t="s">
        <v>19</v>
      </c>
      <c r="H2323" t="s">
        <v>82</v>
      </c>
      <c r="I2323" t="s">
        <v>5565</v>
      </c>
      <c r="J2323">
        <v>155</v>
      </c>
      <c r="K2323" t="s">
        <v>84</v>
      </c>
      <c r="L2323" t="s">
        <v>85</v>
      </c>
      <c r="M2323" t="s">
        <v>86</v>
      </c>
      <c r="N2323">
        <v>3</v>
      </c>
      <c r="O2323" s="1">
        <v>44218.717673611114</v>
      </c>
      <c r="P2323" s="1">
        <v>44218.726111111115</v>
      </c>
      <c r="Q2323">
        <v>26</v>
      </c>
      <c r="R2323">
        <v>703</v>
      </c>
      <c r="S2323" t="b">
        <v>0</v>
      </c>
      <c r="T2323" t="s">
        <v>87</v>
      </c>
      <c r="U2323" t="b">
        <v>1</v>
      </c>
      <c r="V2323" t="s">
        <v>242</v>
      </c>
      <c r="W2323" s="1">
        <v>44218.723865740743</v>
      </c>
      <c r="X2323">
        <v>525</v>
      </c>
      <c r="Y2323">
        <v>108</v>
      </c>
      <c r="Z2323">
        <v>0</v>
      </c>
      <c r="AA2323">
        <v>108</v>
      </c>
      <c r="AB2323">
        <v>0</v>
      </c>
      <c r="AC2323">
        <v>48</v>
      </c>
      <c r="AD2323">
        <v>47</v>
      </c>
      <c r="AE2323">
        <v>0</v>
      </c>
      <c r="AF2323">
        <v>0</v>
      </c>
      <c r="AG2323">
        <v>0</v>
      </c>
      <c r="AH2323" t="s">
        <v>267</v>
      </c>
      <c r="AI2323" s="1">
        <v>44218.725821759261</v>
      </c>
      <c r="AJ2323">
        <v>158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47</v>
      </c>
      <c r="AQ2323">
        <v>0</v>
      </c>
      <c r="AR2323">
        <v>0</v>
      </c>
      <c r="AS2323">
        <v>0</v>
      </c>
      <c r="AT2323" t="s">
        <v>90</v>
      </c>
      <c r="AU2323" s="1">
        <v>44218.726111111115</v>
      </c>
      <c r="AV2323">
        <v>20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47</v>
      </c>
      <c r="BC2323">
        <v>0</v>
      </c>
      <c r="BD2323">
        <v>0</v>
      </c>
      <c r="BE2323">
        <v>0</v>
      </c>
    </row>
    <row r="2324" spans="1:57" x14ac:dyDescent="0.45">
      <c r="A2324" t="s">
        <v>5608</v>
      </c>
      <c r="B2324" t="s">
        <v>79</v>
      </c>
      <c r="C2324" t="s">
        <v>5559</v>
      </c>
      <c r="D2324" t="s">
        <v>81</v>
      </c>
      <c r="E2324" s="2" t="str">
        <f>HYPERLINK("capsilon://?command=openfolder&amp;siteaddress=FAM.docvelocity-na8.net&amp;folderid=FXCE4C02BF-94DE-F7C8-9F3F-649494B72680","FX210112404")</f>
        <v>FX210112404</v>
      </c>
      <c r="F2324" t="s">
        <v>19</v>
      </c>
      <c r="G2324" t="s">
        <v>19</v>
      </c>
      <c r="H2324" t="s">
        <v>82</v>
      </c>
      <c r="I2324" t="s">
        <v>5604</v>
      </c>
      <c r="J2324">
        <v>31</v>
      </c>
      <c r="K2324" t="s">
        <v>84</v>
      </c>
      <c r="L2324" t="s">
        <v>85</v>
      </c>
      <c r="M2324" t="s">
        <v>86</v>
      </c>
      <c r="N2324">
        <v>3</v>
      </c>
      <c r="O2324" s="1">
        <v>44218.719155092593</v>
      </c>
      <c r="P2324" s="1">
        <v>44221.343981481485</v>
      </c>
      <c r="Q2324">
        <v>225329</v>
      </c>
      <c r="R2324">
        <v>1456</v>
      </c>
      <c r="S2324" t="b">
        <v>0</v>
      </c>
      <c r="T2324" t="s">
        <v>87</v>
      </c>
      <c r="U2324" t="b">
        <v>1</v>
      </c>
      <c r="V2324" t="s">
        <v>179</v>
      </c>
      <c r="W2324" s="1">
        <v>44218.732083333336</v>
      </c>
      <c r="X2324">
        <v>1116</v>
      </c>
      <c r="Y2324">
        <v>44</v>
      </c>
      <c r="Z2324">
        <v>0</v>
      </c>
      <c r="AA2324">
        <v>44</v>
      </c>
      <c r="AB2324">
        <v>0</v>
      </c>
      <c r="AC2324">
        <v>39</v>
      </c>
      <c r="AD2324">
        <v>-13</v>
      </c>
      <c r="AE2324">
        <v>0</v>
      </c>
      <c r="AF2324">
        <v>0</v>
      </c>
      <c r="AG2324">
        <v>0</v>
      </c>
      <c r="AH2324" t="s">
        <v>128</v>
      </c>
      <c r="AI2324" s="1">
        <v>44218.735960648148</v>
      </c>
      <c r="AJ2324">
        <v>288</v>
      </c>
      <c r="AK2324">
        <v>10</v>
      </c>
      <c r="AL2324">
        <v>0</v>
      </c>
      <c r="AM2324">
        <v>10</v>
      </c>
      <c r="AN2324">
        <v>0</v>
      </c>
      <c r="AO2324">
        <v>10</v>
      </c>
      <c r="AP2324">
        <v>-23</v>
      </c>
      <c r="AQ2324">
        <v>0</v>
      </c>
      <c r="AR2324">
        <v>0</v>
      </c>
      <c r="AS2324">
        <v>0</v>
      </c>
      <c r="AT2324" t="s">
        <v>90</v>
      </c>
      <c r="AU2324" s="1">
        <v>44221.343981481485</v>
      </c>
      <c r="AV2324">
        <v>52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-23</v>
      </c>
      <c r="BC2324">
        <v>0</v>
      </c>
      <c r="BD2324">
        <v>0</v>
      </c>
      <c r="BE2324">
        <v>0</v>
      </c>
    </row>
    <row r="2325" spans="1:57" x14ac:dyDescent="0.45">
      <c r="A2325" t="s">
        <v>5609</v>
      </c>
      <c r="B2325" t="s">
        <v>79</v>
      </c>
      <c r="C2325" t="s">
        <v>5559</v>
      </c>
      <c r="D2325" t="s">
        <v>81</v>
      </c>
      <c r="E2325" s="2" t="str">
        <f>HYPERLINK("capsilon://?command=openfolder&amp;siteaddress=FAM.docvelocity-na8.net&amp;folderid=FXCE4C02BF-94DE-F7C8-9F3F-649494B72680","FX210112404")</f>
        <v>FX210112404</v>
      </c>
      <c r="F2325" t="s">
        <v>19</v>
      </c>
      <c r="G2325" t="s">
        <v>19</v>
      </c>
      <c r="H2325" t="s">
        <v>82</v>
      </c>
      <c r="I2325" t="s">
        <v>5610</v>
      </c>
      <c r="J2325">
        <v>31</v>
      </c>
      <c r="K2325" t="s">
        <v>84</v>
      </c>
      <c r="L2325" t="s">
        <v>85</v>
      </c>
      <c r="M2325" t="s">
        <v>86</v>
      </c>
      <c r="N2325">
        <v>3</v>
      </c>
      <c r="O2325" s="1">
        <v>44218.719884259262</v>
      </c>
      <c r="P2325" s="1">
        <v>44221.368298611109</v>
      </c>
      <c r="Q2325">
        <v>227860</v>
      </c>
      <c r="R2325">
        <v>963</v>
      </c>
      <c r="S2325" t="b">
        <v>0</v>
      </c>
      <c r="T2325" t="s">
        <v>87</v>
      </c>
      <c r="U2325" t="b">
        <v>0</v>
      </c>
      <c r="V2325" t="s">
        <v>168</v>
      </c>
      <c r="W2325" s="1">
        <v>44218.728206018517</v>
      </c>
      <c r="X2325">
        <v>715</v>
      </c>
      <c r="Y2325">
        <v>39</v>
      </c>
      <c r="Z2325">
        <v>0</v>
      </c>
      <c r="AA2325">
        <v>39</v>
      </c>
      <c r="AB2325">
        <v>0</v>
      </c>
      <c r="AC2325">
        <v>30</v>
      </c>
      <c r="AD2325">
        <v>-8</v>
      </c>
      <c r="AE2325">
        <v>0</v>
      </c>
      <c r="AF2325">
        <v>0</v>
      </c>
      <c r="AG2325">
        <v>0</v>
      </c>
      <c r="AH2325" t="s">
        <v>128</v>
      </c>
      <c r="AI2325" s="1">
        <v>44218.732615740744</v>
      </c>
      <c r="AJ2325">
        <v>225</v>
      </c>
      <c r="AK2325">
        <v>9</v>
      </c>
      <c r="AL2325">
        <v>0</v>
      </c>
      <c r="AM2325">
        <v>9</v>
      </c>
      <c r="AN2325">
        <v>0</v>
      </c>
      <c r="AO2325">
        <v>9</v>
      </c>
      <c r="AP2325">
        <v>-17</v>
      </c>
      <c r="AQ2325">
        <v>0</v>
      </c>
      <c r="AR2325">
        <v>0</v>
      </c>
      <c r="AS2325">
        <v>0</v>
      </c>
      <c r="AT2325" t="s">
        <v>90</v>
      </c>
      <c r="AU2325" s="1">
        <v>44221.368298611109</v>
      </c>
      <c r="AV2325">
        <v>23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-17</v>
      </c>
      <c r="BC2325">
        <v>0</v>
      </c>
      <c r="BD2325">
        <v>0</v>
      </c>
      <c r="BE2325">
        <v>0</v>
      </c>
    </row>
    <row r="2326" spans="1:57" x14ac:dyDescent="0.45">
      <c r="A2326" t="s">
        <v>5611</v>
      </c>
      <c r="B2326" t="s">
        <v>79</v>
      </c>
      <c r="C2326" t="s">
        <v>5559</v>
      </c>
      <c r="D2326" t="s">
        <v>81</v>
      </c>
      <c r="E2326" s="2" t="str">
        <f>HYPERLINK("capsilon://?command=openfolder&amp;siteaddress=FAM.docvelocity-na8.net&amp;folderid=FXCE4C02BF-94DE-F7C8-9F3F-649494B72680","FX210112404")</f>
        <v>FX210112404</v>
      </c>
      <c r="F2326" t="s">
        <v>19</v>
      </c>
      <c r="G2326" t="s">
        <v>19</v>
      </c>
      <c r="H2326" t="s">
        <v>82</v>
      </c>
      <c r="I2326" t="s">
        <v>5612</v>
      </c>
      <c r="J2326">
        <v>55</v>
      </c>
      <c r="K2326" t="s">
        <v>84</v>
      </c>
      <c r="L2326" t="s">
        <v>85</v>
      </c>
      <c r="M2326" t="s">
        <v>86</v>
      </c>
      <c r="N2326">
        <v>3</v>
      </c>
      <c r="O2326" s="1">
        <v>44218.72084490741</v>
      </c>
      <c r="P2326" s="1">
        <v>44221.368379629632</v>
      </c>
      <c r="Q2326">
        <v>227803</v>
      </c>
      <c r="R2326">
        <v>944</v>
      </c>
      <c r="S2326" t="b">
        <v>0</v>
      </c>
      <c r="T2326" t="s">
        <v>87</v>
      </c>
      <c r="U2326" t="b">
        <v>0</v>
      </c>
      <c r="V2326" t="s">
        <v>160</v>
      </c>
      <c r="W2326" s="1">
        <v>44218.729398148149</v>
      </c>
      <c r="X2326">
        <v>703</v>
      </c>
      <c r="Y2326">
        <v>51</v>
      </c>
      <c r="Z2326">
        <v>0</v>
      </c>
      <c r="AA2326">
        <v>51</v>
      </c>
      <c r="AB2326">
        <v>0</v>
      </c>
      <c r="AC2326">
        <v>31</v>
      </c>
      <c r="AD2326">
        <v>4</v>
      </c>
      <c r="AE2326">
        <v>0</v>
      </c>
      <c r="AF2326">
        <v>0</v>
      </c>
      <c r="AG2326">
        <v>0</v>
      </c>
      <c r="AH2326" t="s">
        <v>147</v>
      </c>
      <c r="AI2326" s="1">
        <v>44218.733819444446</v>
      </c>
      <c r="AJ2326">
        <v>234</v>
      </c>
      <c r="AK2326">
        <v>3</v>
      </c>
      <c r="AL2326">
        <v>0</v>
      </c>
      <c r="AM2326">
        <v>3</v>
      </c>
      <c r="AN2326">
        <v>0</v>
      </c>
      <c r="AO2326">
        <v>4</v>
      </c>
      <c r="AP2326">
        <v>1</v>
      </c>
      <c r="AQ2326">
        <v>0</v>
      </c>
      <c r="AR2326">
        <v>0</v>
      </c>
      <c r="AS2326">
        <v>0</v>
      </c>
      <c r="AT2326" t="s">
        <v>90</v>
      </c>
      <c r="AU2326" s="1">
        <v>44221.368379629632</v>
      </c>
      <c r="AV2326">
        <v>7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1</v>
      </c>
      <c r="BC2326">
        <v>0</v>
      </c>
      <c r="BD2326">
        <v>0</v>
      </c>
      <c r="BE2326">
        <v>0</v>
      </c>
    </row>
    <row r="2327" spans="1:57" x14ac:dyDescent="0.45">
      <c r="A2327" t="s">
        <v>5613</v>
      </c>
      <c r="B2327" t="s">
        <v>79</v>
      </c>
      <c r="C2327" t="s">
        <v>5559</v>
      </c>
      <c r="D2327" t="s">
        <v>81</v>
      </c>
      <c r="E2327" s="2" t="str">
        <f>HYPERLINK("capsilon://?command=openfolder&amp;siteaddress=FAM.docvelocity-na8.net&amp;folderid=FXCE4C02BF-94DE-F7C8-9F3F-649494B72680","FX210112404")</f>
        <v>FX210112404</v>
      </c>
      <c r="F2327" t="s">
        <v>19</v>
      </c>
      <c r="G2327" t="s">
        <v>19</v>
      </c>
      <c r="H2327" t="s">
        <v>82</v>
      </c>
      <c r="I2327" t="s">
        <v>5614</v>
      </c>
      <c r="J2327">
        <v>31</v>
      </c>
      <c r="K2327" t="s">
        <v>84</v>
      </c>
      <c r="L2327" t="s">
        <v>85</v>
      </c>
      <c r="M2327" t="s">
        <v>86</v>
      </c>
      <c r="N2327">
        <v>3</v>
      </c>
      <c r="O2327" s="1">
        <v>44218.727893518517</v>
      </c>
      <c r="P2327" s="1">
        <v>44221.368449074071</v>
      </c>
      <c r="Q2327">
        <v>226791</v>
      </c>
      <c r="R2327">
        <v>1353</v>
      </c>
      <c r="S2327" t="b">
        <v>0</v>
      </c>
      <c r="T2327" t="s">
        <v>87</v>
      </c>
      <c r="U2327" t="b">
        <v>0</v>
      </c>
      <c r="V2327" t="s">
        <v>146</v>
      </c>
      <c r="W2327" s="1">
        <v>44218.741168981483</v>
      </c>
      <c r="X2327">
        <v>1147</v>
      </c>
      <c r="Y2327">
        <v>39</v>
      </c>
      <c r="Z2327">
        <v>0</v>
      </c>
      <c r="AA2327">
        <v>39</v>
      </c>
      <c r="AB2327">
        <v>0</v>
      </c>
      <c r="AC2327">
        <v>30</v>
      </c>
      <c r="AD2327">
        <v>-8</v>
      </c>
      <c r="AE2327">
        <v>0</v>
      </c>
      <c r="AF2327">
        <v>0</v>
      </c>
      <c r="AG2327">
        <v>0</v>
      </c>
      <c r="AH2327" t="s">
        <v>147</v>
      </c>
      <c r="AI2327" s="1">
        <v>44218.744837962964</v>
      </c>
      <c r="AJ2327">
        <v>201</v>
      </c>
      <c r="AK2327">
        <v>0</v>
      </c>
      <c r="AL2327">
        <v>0</v>
      </c>
      <c r="AM2327">
        <v>0</v>
      </c>
      <c r="AN2327">
        <v>0</v>
      </c>
      <c r="AO2327">
        <v>2</v>
      </c>
      <c r="AP2327">
        <v>-8</v>
      </c>
      <c r="AQ2327">
        <v>0</v>
      </c>
      <c r="AR2327">
        <v>0</v>
      </c>
      <c r="AS2327">
        <v>0</v>
      </c>
      <c r="AT2327" t="s">
        <v>90</v>
      </c>
      <c r="AU2327" s="1">
        <v>44221.368449074071</v>
      </c>
      <c r="AV2327">
        <v>5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-8</v>
      </c>
      <c r="BC2327">
        <v>0</v>
      </c>
      <c r="BD2327">
        <v>0</v>
      </c>
      <c r="BE2327">
        <v>0</v>
      </c>
    </row>
    <row r="2328" spans="1:57" x14ac:dyDescent="0.45">
      <c r="A2328" t="s">
        <v>5615</v>
      </c>
      <c r="B2328" t="s">
        <v>79</v>
      </c>
      <c r="C2328" t="s">
        <v>5616</v>
      </c>
      <c r="D2328" t="s">
        <v>81</v>
      </c>
      <c r="E2328" s="2" t="str">
        <f>HYPERLINK("capsilon://?command=openfolder&amp;siteaddress=FAM.docvelocity-na8.net&amp;folderid=FXFBFD5800-AB22-E50F-241D-984396F39370","FX20126094")</f>
        <v>FX20126094</v>
      </c>
      <c r="F2328" t="s">
        <v>19</v>
      </c>
      <c r="G2328" t="s">
        <v>19</v>
      </c>
      <c r="H2328" t="s">
        <v>82</v>
      </c>
      <c r="I2328" t="s">
        <v>5617</v>
      </c>
      <c r="J2328">
        <v>57</v>
      </c>
      <c r="K2328" t="s">
        <v>84</v>
      </c>
      <c r="L2328" t="s">
        <v>85</v>
      </c>
      <c r="M2328" t="s">
        <v>86</v>
      </c>
      <c r="N2328">
        <v>3</v>
      </c>
      <c r="O2328" s="1">
        <v>44218.727916666663</v>
      </c>
      <c r="P2328" s="1">
        <v>44221.368796296294</v>
      </c>
      <c r="Q2328">
        <v>227319</v>
      </c>
      <c r="R2328">
        <v>853</v>
      </c>
      <c r="S2328" t="b">
        <v>0</v>
      </c>
      <c r="T2328" t="s">
        <v>87</v>
      </c>
      <c r="U2328" t="b">
        <v>0</v>
      </c>
      <c r="V2328" t="s">
        <v>168</v>
      </c>
      <c r="W2328" s="1">
        <v>44218.736076388886</v>
      </c>
      <c r="X2328">
        <v>679</v>
      </c>
      <c r="Y2328">
        <v>44</v>
      </c>
      <c r="Z2328">
        <v>0</v>
      </c>
      <c r="AA2328">
        <v>44</v>
      </c>
      <c r="AB2328">
        <v>0</v>
      </c>
      <c r="AC2328">
        <v>13</v>
      </c>
      <c r="AD2328">
        <v>13</v>
      </c>
      <c r="AE2328">
        <v>0</v>
      </c>
      <c r="AF2328">
        <v>0</v>
      </c>
      <c r="AG2328">
        <v>0</v>
      </c>
      <c r="AH2328" t="s">
        <v>128</v>
      </c>
      <c r="AI2328" s="1">
        <v>44218.738692129627</v>
      </c>
      <c r="AJ2328">
        <v>144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13</v>
      </c>
      <c r="AQ2328">
        <v>0</v>
      </c>
      <c r="AR2328">
        <v>0</v>
      </c>
      <c r="AS2328">
        <v>0</v>
      </c>
      <c r="AT2328" t="s">
        <v>90</v>
      </c>
      <c r="AU2328" s="1">
        <v>44221.368796296294</v>
      </c>
      <c r="AV2328">
        <v>30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13</v>
      </c>
      <c r="BC2328">
        <v>0</v>
      </c>
      <c r="BD2328">
        <v>0</v>
      </c>
      <c r="BE2328">
        <v>0</v>
      </c>
    </row>
    <row r="2329" spans="1:57" x14ac:dyDescent="0.45">
      <c r="A2329" t="s">
        <v>5618</v>
      </c>
      <c r="B2329" t="s">
        <v>79</v>
      </c>
      <c r="C2329" t="s">
        <v>5616</v>
      </c>
      <c r="D2329" t="s">
        <v>81</v>
      </c>
      <c r="E2329" s="2" t="str">
        <f>HYPERLINK("capsilon://?command=openfolder&amp;siteaddress=FAM.docvelocity-na8.net&amp;folderid=FXFBFD5800-AB22-E50F-241D-984396F39370","FX20126094")</f>
        <v>FX20126094</v>
      </c>
      <c r="F2329" t="s">
        <v>19</v>
      </c>
      <c r="G2329" t="s">
        <v>19</v>
      </c>
      <c r="H2329" t="s">
        <v>82</v>
      </c>
      <c r="I2329" t="s">
        <v>5619</v>
      </c>
      <c r="J2329">
        <v>72</v>
      </c>
      <c r="K2329" t="s">
        <v>84</v>
      </c>
      <c r="L2329" t="s">
        <v>85</v>
      </c>
      <c r="M2329" t="s">
        <v>86</v>
      </c>
      <c r="N2329">
        <v>3</v>
      </c>
      <c r="O2329" s="1">
        <v>44218.728993055556</v>
      </c>
      <c r="P2329" s="1">
        <v>44221.36923611111</v>
      </c>
      <c r="Q2329">
        <v>227206</v>
      </c>
      <c r="R2329">
        <v>911</v>
      </c>
      <c r="S2329" t="b">
        <v>0</v>
      </c>
      <c r="T2329" t="s">
        <v>87</v>
      </c>
      <c r="U2329" t="b">
        <v>0</v>
      </c>
      <c r="V2329" t="s">
        <v>160</v>
      </c>
      <c r="W2329" s="1">
        <v>44218.737326388888</v>
      </c>
      <c r="X2329">
        <v>684</v>
      </c>
      <c r="Y2329">
        <v>59</v>
      </c>
      <c r="Z2329">
        <v>0</v>
      </c>
      <c r="AA2329">
        <v>59</v>
      </c>
      <c r="AB2329">
        <v>0</v>
      </c>
      <c r="AC2329">
        <v>46</v>
      </c>
      <c r="AD2329">
        <v>13</v>
      </c>
      <c r="AE2329">
        <v>0</v>
      </c>
      <c r="AF2329">
        <v>0</v>
      </c>
      <c r="AG2329">
        <v>0</v>
      </c>
      <c r="AH2329" t="s">
        <v>147</v>
      </c>
      <c r="AI2329" s="1">
        <v>44218.739537037036</v>
      </c>
      <c r="AJ2329">
        <v>189</v>
      </c>
      <c r="AK2329">
        <v>1</v>
      </c>
      <c r="AL2329">
        <v>0</v>
      </c>
      <c r="AM2329">
        <v>1</v>
      </c>
      <c r="AN2329">
        <v>0</v>
      </c>
      <c r="AO2329">
        <v>6</v>
      </c>
      <c r="AP2329">
        <v>12</v>
      </c>
      <c r="AQ2329">
        <v>0</v>
      </c>
      <c r="AR2329">
        <v>0</v>
      </c>
      <c r="AS2329">
        <v>0</v>
      </c>
      <c r="AT2329" t="s">
        <v>90</v>
      </c>
      <c r="AU2329" s="1">
        <v>44221.36923611111</v>
      </c>
      <c r="AV2329">
        <v>38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12</v>
      </c>
      <c r="BC2329">
        <v>0</v>
      </c>
      <c r="BD2329">
        <v>0</v>
      </c>
      <c r="BE2329">
        <v>0</v>
      </c>
    </row>
    <row r="2330" spans="1:57" x14ac:dyDescent="0.45">
      <c r="A2330" t="s">
        <v>5620</v>
      </c>
      <c r="B2330" t="s">
        <v>79</v>
      </c>
      <c r="C2330" t="s">
        <v>5559</v>
      </c>
      <c r="D2330" t="s">
        <v>81</v>
      </c>
      <c r="E2330" s="2" t="str">
        <f>HYPERLINK("capsilon://?command=openfolder&amp;siteaddress=FAM.docvelocity-na8.net&amp;folderid=FXCE4C02BF-94DE-F7C8-9F3F-649494B72680","FX210112404")</f>
        <v>FX210112404</v>
      </c>
      <c r="F2330" t="s">
        <v>19</v>
      </c>
      <c r="G2330" t="s">
        <v>19</v>
      </c>
      <c r="H2330" t="s">
        <v>82</v>
      </c>
      <c r="I2330" t="s">
        <v>5621</v>
      </c>
      <c r="J2330">
        <v>55</v>
      </c>
      <c r="K2330" t="s">
        <v>84</v>
      </c>
      <c r="L2330" t="s">
        <v>85</v>
      </c>
      <c r="M2330" t="s">
        <v>86</v>
      </c>
      <c r="N2330">
        <v>3</v>
      </c>
      <c r="O2330" s="1">
        <v>44218.734560185185</v>
      </c>
      <c r="P2330" s="1">
        <v>44221.369328703702</v>
      </c>
      <c r="Q2330">
        <v>226498</v>
      </c>
      <c r="R2330">
        <v>1146</v>
      </c>
      <c r="S2330" t="b">
        <v>0</v>
      </c>
      <c r="T2330" t="s">
        <v>87</v>
      </c>
      <c r="U2330" t="b">
        <v>0</v>
      </c>
      <c r="V2330" t="s">
        <v>171</v>
      </c>
      <c r="W2330" s="1">
        <v>44218.742847222224</v>
      </c>
      <c r="X2330">
        <v>715</v>
      </c>
      <c r="Y2330">
        <v>51</v>
      </c>
      <c r="Z2330">
        <v>0</v>
      </c>
      <c r="AA2330">
        <v>51</v>
      </c>
      <c r="AB2330">
        <v>0</v>
      </c>
      <c r="AC2330">
        <v>19</v>
      </c>
      <c r="AD2330">
        <v>4</v>
      </c>
      <c r="AE2330">
        <v>0</v>
      </c>
      <c r="AF2330">
        <v>0</v>
      </c>
      <c r="AG2330">
        <v>0</v>
      </c>
      <c r="AH2330" t="s">
        <v>147</v>
      </c>
      <c r="AI2330" s="1">
        <v>44218.749745370369</v>
      </c>
      <c r="AJ2330">
        <v>424</v>
      </c>
      <c r="AK2330">
        <v>2</v>
      </c>
      <c r="AL2330">
        <v>0</v>
      </c>
      <c r="AM2330">
        <v>2</v>
      </c>
      <c r="AN2330">
        <v>0</v>
      </c>
      <c r="AO2330">
        <v>3</v>
      </c>
      <c r="AP2330">
        <v>2</v>
      </c>
      <c r="AQ2330">
        <v>0</v>
      </c>
      <c r="AR2330">
        <v>0</v>
      </c>
      <c r="AS2330">
        <v>0</v>
      </c>
      <c r="AT2330" t="s">
        <v>90</v>
      </c>
      <c r="AU2330" s="1">
        <v>44221.369328703702</v>
      </c>
      <c r="AV2330">
        <v>7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2</v>
      </c>
      <c r="BC2330">
        <v>0</v>
      </c>
      <c r="BD2330">
        <v>0</v>
      </c>
      <c r="BE2330">
        <v>0</v>
      </c>
    </row>
    <row r="2331" spans="1:57" x14ac:dyDescent="0.45">
      <c r="A2331" t="s">
        <v>5622</v>
      </c>
      <c r="B2331" t="s">
        <v>79</v>
      </c>
      <c r="C2331" t="s">
        <v>5559</v>
      </c>
      <c r="D2331" t="s">
        <v>81</v>
      </c>
      <c r="E2331" s="2" t="str">
        <f>HYPERLINK("capsilon://?command=openfolder&amp;siteaddress=FAM.docvelocity-na8.net&amp;folderid=FXCE4C02BF-94DE-F7C8-9F3F-649494B72680","FX210112404")</f>
        <v>FX210112404</v>
      </c>
      <c r="F2331" t="s">
        <v>19</v>
      </c>
      <c r="G2331" t="s">
        <v>19</v>
      </c>
      <c r="H2331" t="s">
        <v>82</v>
      </c>
      <c r="I2331" t="s">
        <v>5623</v>
      </c>
      <c r="J2331">
        <v>26</v>
      </c>
      <c r="K2331" t="s">
        <v>84</v>
      </c>
      <c r="L2331" t="s">
        <v>85</v>
      </c>
      <c r="M2331" t="s">
        <v>86</v>
      </c>
      <c r="N2331">
        <v>3</v>
      </c>
      <c r="O2331" s="1">
        <v>44218.740115740744</v>
      </c>
      <c r="P2331" s="1">
        <v>44221.369398148148</v>
      </c>
      <c r="Q2331">
        <v>226626</v>
      </c>
      <c r="R2331">
        <v>544</v>
      </c>
      <c r="S2331" t="b">
        <v>0</v>
      </c>
      <c r="T2331" t="s">
        <v>87</v>
      </c>
      <c r="U2331" t="b">
        <v>0</v>
      </c>
      <c r="V2331" t="s">
        <v>179</v>
      </c>
      <c r="W2331" s="1">
        <v>44218.744340277779</v>
      </c>
      <c r="X2331">
        <v>365</v>
      </c>
      <c r="Y2331">
        <v>21</v>
      </c>
      <c r="Z2331">
        <v>0</v>
      </c>
      <c r="AA2331">
        <v>21</v>
      </c>
      <c r="AB2331">
        <v>0</v>
      </c>
      <c r="AC2331">
        <v>15</v>
      </c>
      <c r="AD2331">
        <v>5</v>
      </c>
      <c r="AE2331">
        <v>0</v>
      </c>
      <c r="AF2331">
        <v>0</v>
      </c>
      <c r="AG2331">
        <v>0</v>
      </c>
      <c r="AH2331" t="s">
        <v>147</v>
      </c>
      <c r="AI2331" s="1">
        <v>44218.751770833333</v>
      </c>
      <c r="AJ2331">
        <v>174</v>
      </c>
      <c r="AK2331">
        <v>3</v>
      </c>
      <c r="AL2331">
        <v>0</v>
      </c>
      <c r="AM2331">
        <v>3</v>
      </c>
      <c r="AN2331">
        <v>0</v>
      </c>
      <c r="AO2331">
        <v>1</v>
      </c>
      <c r="AP2331">
        <v>2</v>
      </c>
      <c r="AQ2331">
        <v>0</v>
      </c>
      <c r="AR2331">
        <v>0</v>
      </c>
      <c r="AS2331">
        <v>0</v>
      </c>
      <c r="AT2331" t="s">
        <v>90</v>
      </c>
      <c r="AU2331" s="1">
        <v>44221.369398148148</v>
      </c>
      <c r="AV2331">
        <v>5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2</v>
      </c>
      <c r="BC2331">
        <v>0</v>
      </c>
      <c r="BD2331">
        <v>0</v>
      </c>
      <c r="BE2331">
        <v>0</v>
      </c>
    </row>
    <row r="2332" spans="1:57" hidden="1" x14ac:dyDescent="0.45">
      <c r="A2332" t="s">
        <v>5624</v>
      </c>
      <c r="B2332" t="s">
        <v>79</v>
      </c>
      <c r="C2332" t="s">
        <v>5559</v>
      </c>
      <c r="D2332" t="s">
        <v>81</v>
      </c>
      <c r="E2332" s="2" t="str">
        <f>HYPERLINK("capsilon://?command=openfolder&amp;siteaddress=FAM.docvelocity-na8.net&amp;folderid=FXCE4C02BF-94DE-F7C8-9F3F-649494B72680","FX210112404")</f>
        <v>FX210112404</v>
      </c>
      <c r="F2332" t="s">
        <v>19</v>
      </c>
      <c r="G2332" t="s">
        <v>19</v>
      </c>
      <c r="H2332" t="s">
        <v>82</v>
      </c>
      <c r="I2332" t="s">
        <v>5625</v>
      </c>
      <c r="J2332">
        <v>31</v>
      </c>
      <c r="K2332" t="s">
        <v>84</v>
      </c>
      <c r="L2332" t="s">
        <v>85</v>
      </c>
      <c r="M2332" t="s">
        <v>86</v>
      </c>
      <c r="N2332">
        <v>1</v>
      </c>
      <c r="O2332" s="1">
        <v>44218.744560185187</v>
      </c>
      <c r="P2332" s="1">
        <v>44218.746145833335</v>
      </c>
      <c r="Q2332">
        <v>47</v>
      </c>
      <c r="R2332">
        <v>90</v>
      </c>
      <c r="S2332" t="b">
        <v>0</v>
      </c>
      <c r="T2332" t="s">
        <v>87</v>
      </c>
      <c r="U2332" t="b">
        <v>0</v>
      </c>
      <c r="V2332" t="s">
        <v>171</v>
      </c>
      <c r="W2332" s="1">
        <v>44218.746145833335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31</v>
      </c>
      <c r="AE2332">
        <v>0</v>
      </c>
      <c r="AF2332">
        <v>0</v>
      </c>
      <c r="AG2332">
        <v>1</v>
      </c>
      <c r="AH2332" t="s">
        <v>87</v>
      </c>
      <c r="AI2332" t="s">
        <v>87</v>
      </c>
      <c r="AJ2332" t="s">
        <v>87</v>
      </c>
      <c r="AK2332" t="s">
        <v>87</v>
      </c>
      <c r="AL2332" t="s">
        <v>87</v>
      </c>
      <c r="AM2332" t="s">
        <v>87</v>
      </c>
      <c r="AN2332" t="s">
        <v>87</v>
      </c>
      <c r="AO2332" t="s">
        <v>87</v>
      </c>
      <c r="AP2332" t="s">
        <v>87</v>
      </c>
      <c r="AQ2332" t="s">
        <v>87</v>
      </c>
      <c r="AR2332" t="s">
        <v>87</v>
      </c>
      <c r="AS2332" t="s">
        <v>87</v>
      </c>
      <c r="AT2332" t="s">
        <v>87</v>
      </c>
      <c r="AU2332" t="s">
        <v>87</v>
      </c>
      <c r="AV2332" t="s">
        <v>87</v>
      </c>
      <c r="AW2332" t="s">
        <v>87</v>
      </c>
      <c r="AX2332" t="s">
        <v>87</v>
      </c>
      <c r="AY2332" t="s">
        <v>87</v>
      </c>
      <c r="AZ2332" t="s">
        <v>87</v>
      </c>
      <c r="BA2332" t="s">
        <v>87</v>
      </c>
      <c r="BB2332" t="s">
        <v>87</v>
      </c>
      <c r="BC2332" t="s">
        <v>87</v>
      </c>
      <c r="BD2332" t="s">
        <v>87</v>
      </c>
      <c r="BE2332" t="s">
        <v>87</v>
      </c>
    </row>
    <row r="2333" spans="1:57" x14ac:dyDescent="0.45">
      <c r="A2333" t="s">
        <v>5626</v>
      </c>
      <c r="B2333" t="s">
        <v>79</v>
      </c>
      <c r="C2333" t="s">
        <v>5627</v>
      </c>
      <c r="D2333" t="s">
        <v>81</v>
      </c>
      <c r="E2333" s="2" t="str">
        <f>HYPERLINK("capsilon://?command=openfolder&amp;siteaddress=FAM.docvelocity-na8.net&amp;folderid=FXB76D95DE-4EEC-C871-272D-902C1D765D8B","FX210114528")</f>
        <v>FX210114528</v>
      </c>
      <c r="F2333" t="s">
        <v>19</v>
      </c>
      <c r="G2333" t="s">
        <v>19</v>
      </c>
      <c r="H2333" t="s">
        <v>82</v>
      </c>
      <c r="I2333" t="s">
        <v>5628</v>
      </c>
      <c r="J2333">
        <v>342</v>
      </c>
      <c r="K2333" t="s">
        <v>84</v>
      </c>
      <c r="L2333" t="s">
        <v>85</v>
      </c>
      <c r="M2333" t="s">
        <v>86</v>
      </c>
      <c r="N2333">
        <v>3</v>
      </c>
      <c r="O2333" s="1">
        <v>44218.747407407405</v>
      </c>
      <c r="P2333" s="1">
        <v>44221.369791666664</v>
      </c>
      <c r="Q2333">
        <v>222089</v>
      </c>
      <c r="R2333">
        <v>4485</v>
      </c>
      <c r="S2333" t="b">
        <v>0</v>
      </c>
      <c r="T2333" t="s">
        <v>87</v>
      </c>
      <c r="U2333" t="b">
        <v>0</v>
      </c>
      <c r="V2333" t="s">
        <v>179</v>
      </c>
      <c r="W2333" s="1">
        <v>44218.78875</v>
      </c>
      <c r="X2333">
        <v>3571</v>
      </c>
      <c r="Y2333">
        <v>300</v>
      </c>
      <c r="Z2333">
        <v>0</v>
      </c>
      <c r="AA2333">
        <v>300</v>
      </c>
      <c r="AB2333">
        <v>0</v>
      </c>
      <c r="AC2333">
        <v>143</v>
      </c>
      <c r="AD2333">
        <v>42</v>
      </c>
      <c r="AE2333">
        <v>0</v>
      </c>
      <c r="AF2333">
        <v>0</v>
      </c>
      <c r="AG2333">
        <v>0</v>
      </c>
      <c r="AH2333" t="s">
        <v>128</v>
      </c>
      <c r="AI2333" s="1">
        <v>44218.801921296297</v>
      </c>
      <c r="AJ2333">
        <v>861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42</v>
      </c>
      <c r="AQ2333">
        <v>0</v>
      </c>
      <c r="AR2333">
        <v>0</v>
      </c>
      <c r="AS2333">
        <v>0</v>
      </c>
      <c r="AT2333" t="s">
        <v>90</v>
      </c>
      <c r="AU2333" s="1">
        <v>44221.369791666664</v>
      </c>
      <c r="AV2333">
        <v>34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42</v>
      </c>
      <c r="BC2333">
        <v>0</v>
      </c>
      <c r="BD2333">
        <v>0</v>
      </c>
      <c r="BE2333">
        <v>0</v>
      </c>
    </row>
    <row r="2334" spans="1:57" x14ac:dyDescent="0.45">
      <c r="A2334" t="s">
        <v>5629</v>
      </c>
      <c r="B2334" t="s">
        <v>79</v>
      </c>
      <c r="C2334" t="s">
        <v>5559</v>
      </c>
      <c r="D2334" t="s">
        <v>81</v>
      </c>
      <c r="E2334" s="2" t="str">
        <f>HYPERLINK("capsilon://?command=openfolder&amp;siteaddress=FAM.docvelocity-na8.net&amp;folderid=FXCE4C02BF-94DE-F7C8-9F3F-649494B72680","FX210112404")</f>
        <v>FX210112404</v>
      </c>
      <c r="F2334" t="s">
        <v>19</v>
      </c>
      <c r="G2334" t="s">
        <v>19</v>
      </c>
      <c r="H2334" t="s">
        <v>82</v>
      </c>
      <c r="I2334" t="s">
        <v>5625</v>
      </c>
      <c r="J2334">
        <v>31</v>
      </c>
      <c r="K2334" t="s">
        <v>84</v>
      </c>
      <c r="L2334" t="s">
        <v>85</v>
      </c>
      <c r="M2334" t="s">
        <v>86</v>
      </c>
      <c r="N2334">
        <v>3</v>
      </c>
      <c r="O2334" s="1">
        <v>44218.747534722221</v>
      </c>
      <c r="P2334" s="1">
        <v>44221.344085648147</v>
      </c>
      <c r="Q2334">
        <v>223141</v>
      </c>
      <c r="R2334">
        <v>1201</v>
      </c>
      <c r="S2334" t="b">
        <v>0</v>
      </c>
      <c r="T2334" t="s">
        <v>87</v>
      </c>
      <c r="U2334" t="b">
        <v>1</v>
      </c>
      <c r="V2334" t="s">
        <v>146</v>
      </c>
      <c r="W2334" s="1">
        <v>44218.759641203702</v>
      </c>
      <c r="X2334">
        <v>826</v>
      </c>
      <c r="Y2334">
        <v>44</v>
      </c>
      <c r="Z2334">
        <v>0</v>
      </c>
      <c r="AA2334">
        <v>44</v>
      </c>
      <c r="AB2334">
        <v>0</v>
      </c>
      <c r="AC2334">
        <v>41</v>
      </c>
      <c r="AD2334">
        <v>-13</v>
      </c>
      <c r="AE2334">
        <v>0</v>
      </c>
      <c r="AF2334">
        <v>0</v>
      </c>
      <c r="AG2334">
        <v>0</v>
      </c>
      <c r="AH2334" t="s">
        <v>147</v>
      </c>
      <c r="AI2334" s="1">
        <v>44218.763888888891</v>
      </c>
      <c r="AJ2334">
        <v>366</v>
      </c>
      <c r="AK2334">
        <v>8</v>
      </c>
      <c r="AL2334">
        <v>0</v>
      </c>
      <c r="AM2334">
        <v>8</v>
      </c>
      <c r="AN2334">
        <v>0</v>
      </c>
      <c r="AO2334">
        <v>10</v>
      </c>
      <c r="AP2334">
        <v>-21</v>
      </c>
      <c r="AQ2334">
        <v>0</v>
      </c>
      <c r="AR2334">
        <v>0</v>
      </c>
      <c r="AS2334">
        <v>0</v>
      </c>
      <c r="AT2334" t="s">
        <v>90</v>
      </c>
      <c r="AU2334" s="1">
        <v>44221.344085648147</v>
      </c>
      <c r="AV2334">
        <v>9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-21</v>
      </c>
      <c r="BC2334">
        <v>0</v>
      </c>
      <c r="BD2334">
        <v>0</v>
      </c>
      <c r="BE2334">
        <v>0</v>
      </c>
    </row>
    <row r="2335" spans="1:57" x14ac:dyDescent="0.45">
      <c r="A2335" t="s">
        <v>5630</v>
      </c>
      <c r="B2335" t="s">
        <v>79</v>
      </c>
      <c r="C2335" t="s">
        <v>5631</v>
      </c>
      <c r="D2335" t="s">
        <v>81</v>
      </c>
      <c r="E2335" s="2" t="str">
        <f>HYPERLINK("capsilon://?command=openfolder&amp;siteaddress=FAM.docvelocity-na8.net&amp;folderid=FX11E0FA66-32EE-1F5F-8650-AE2154888E18","FX201221953")</f>
        <v>FX201221953</v>
      </c>
      <c r="F2335" t="s">
        <v>19</v>
      </c>
      <c r="G2335" t="s">
        <v>19</v>
      </c>
      <c r="H2335" t="s">
        <v>82</v>
      </c>
      <c r="I2335" t="s">
        <v>5632</v>
      </c>
      <c r="J2335">
        <v>45</v>
      </c>
      <c r="K2335" t="s">
        <v>84</v>
      </c>
      <c r="L2335" t="s">
        <v>85</v>
      </c>
      <c r="M2335" t="s">
        <v>86</v>
      </c>
      <c r="N2335">
        <v>3</v>
      </c>
      <c r="O2335" s="1">
        <v>44218.749039351853</v>
      </c>
      <c r="P2335" s="1">
        <v>44221.369988425926</v>
      </c>
      <c r="Q2335">
        <v>225718</v>
      </c>
      <c r="R2335">
        <v>732</v>
      </c>
      <c r="S2335" t="b">
        <v>0</v>
      </c>
      <c r="T2335" t="s">
        <v>87</v>
      </c>
      <c r="U2335" t="b">
        <v>0</v>
      </c>
      <c r="V2335" t="s">
        <v>160</v>
      </c>
      <c r="W2335" s="1">
        <v>44218.762187499997</v>
      </c>
      <c r="X2335">
        <v>644</v>
      </c>
      <c r="Y2335">
        <v>36</v>
      </c>
      <c r="Z2335">
        <v>0</v>
      </c>
      <c r="AA2335">
        <v>36</v>
      </c>
      <c r="AB2335">
        <v>0</v>
      </c>
      <c r="AC2335">
        <v>29</v>
      </c>
      <c r="AD2335">
        <v>9</v>
      </c>
      <c r="AE2335">
        <v>0</v>
      </c>
      <c r="AF2335">
        <v>0</v>
      </c>
      <c r="AG2335">
        <v>0</v>
      </c>
      <c r="AH2335" t="s">
        <v>267</v>
      </c>
      <c r="AI2335" s="1">
        <v>44218.763506944444</v>
      </c>
      <c r="AJ2335">
        <v>71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9</v>
      </c>
      <c r="AQ2335">
        <v>0</v>
      </c>
      <c r="AR2335">
        <v>0</v>
      </c>
      <c r="AS2335">
        <v>0</v>
      </c>
      <c r="AT2335" t="s">
        <v>90</v>
      </c>
      <c r="AU2335" s="1">
        <v>44221.369988425926</v>
      </c>
      <c r="AV2335">
        <v>17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9</v>
      </c>
      <c r="BC2335">
        <v>0</v>
      </c>
      <c r="BD2335">
        <v>0</v>
      </c>
      <c r="BE2335">
        <v>0</v>
      </c>
    </row>
    <row r="2336" spans="1:57" x14ac:dyDescent="0.45">
      <c r="A2336" t="s">
        <v>5633</v>
      </c>
      <c r="B2336" t="s">
        <v>79</v>
      </c>
      <c r="C2336" t="s">
        <v>4985</v>
      </c>
      <c r="D2336" t="s">
        <v>81</v>
      </c>
      <c r="E2336" s="2" t="str">
        <f>HYPERLINK("capsilon://?command=openfolder&amp;siteaddress=FAM.docvelocity-na8.net&amp;folderid=FX2F4D58E0-DE6F-9498-1279-FCA7F8CAD254","FX210112440")</f>
        <v>FX210112440</v>
      </c>
      <c r="F2336" t="s">
        <v>19</v>
      </c>
      <c r="G2336" t="s">
        <v>19</v>
      </c>
      <c r="H2336" t="s">
        <v>82</v>
      </c>
      <c r="I2336" t="s">
        <v>5634</v>
      </c>
      <c r="J2336">
        <v>66</v>
      </c>
      <c r="K2336" t="s">
        <v>84</v>
      </c>
      <c r="L2336" t="s">
        <v>85</v>
      </c>
      <c r="M2336" t="s">
        <v>86</v>
      </c>
      <c r="N2336">
        <v>3</v>
      </c>
      <c r="O2336" s="1">
        <v>44218.757488425923</v>
      </c>
      <c r="P2336" s="1">
        <v>44221.37060185185</v>
      </c>
      <c r="Q2336">
        <v>224635</v>
      </c>
      <c r="R2336">
        <v>1138</v>
      </c>
      <c r="S2336" t="b">
        <v>0</v>
      </c>
      <c r="T2336" t="s">
        <v>87</v>
      </c>
      <c r="U2336" t="b">
        <v>0</v>
      </c>
      <c r="V2336" t="s">
        <v>171</v>
      </c>
      <c r="W2336" s="1">
        <v>44218.768495370372</v>
      </c>
      <c r="X2336">
        <v>863</v>
      </c>
      <c r="Y2336">
        <v>52</v>
      </c>
      <c r="Z2336">
        <v>0</v>
      </c>
      <c r="AA2336">
        <v>52</v>
      </c>
      <c r="AB2336">
        <v>0</v>
      </c>
      <c r="AC2336">
        <v>39</v>
      </c>
      <c r="AD2336">
        <v>14</v>
      </c>
      <c r="AE2336">
        <v>0</v>
      </c>
      <c r="AF2336">
        <v>0</v>
      </c>
      <c r="AG2336">
        <v>0</v>
      </c>
      <c r="AH2336" t="s">
        <v>147</v>
      </c>
      <c r="AI2336" s="1">
        <v>44218.771087962959</v>
      </c>
      <c r="AJ2336">
        <v>223</v>
      </c>
      <c r="AK2336">
        <v>1</v>
      </c>
      <c r="AL2336">
        <v>0</v>
      </c>
      <c r="AM2336">
        <v>1</v>
      </c>
      <c r="AN2336">
        <v>0</v>
      </c>
      <c r="AO2336">
        <v>0</v>
      </c>
      <c r="AP2336">
        <v>13</v>
      </c>
      <c r="AQ2336">
        <v>0</v>
      </c>
      <c r="AR2336">
        <v>0</v>
      </c>
      <c r="AS2336">
        <v>0</v>
      </c>
      <c r="AT2336" t="s">
        <v>90</v>
      </c>
      <c r="AU2336" s="1">
        <v>44221.37060185185</v>
      </c>
      <c r="AV2336">
        <v>52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13</v>
      </c>
      <c r="BC2336">
        <v>0</v>
      </c>
      <c r="BD2336">
        <v>0</v>
      </c>
      <c r="BE2336">
        <v>0</v>
      </c>
    </row>
    <row r="2337" spans="1:57" x14ac:dyDescent="0.45">
      <c r="A2337" t="s">
        <v>5635</v>
      </c>
      <c r="B2337" t="s">
        <v>79</v>
      </c>
      <c r="C2337" t="s">
        <v>5636</v>
      </c>
      <c r="D2337" t="s">
        <v>81</v>
      </c>
      <c r="E2337" s="2" t="str">
        <f>HYPERLINK("capsilon://?command=openfolder&amp;siteaddress=FAM.docvelocity-na8.net&amp;folderid=FX0602D358-5972-8DE6-5C2C-80830DE0F5D5","FX20123660")</f>
        <v>FX20123660</v>
      </c>
      <c r="F2337" t="s">
        <v>19</v>
      </c>
      <c r="G2337" t="s">
        <v>19</v>
      </c>
      <c r="H2337" t="s">
        <v>82</v>
      </c>
      <c r="I2337" t="s">
        <v>5637</v>
      </c>
      <c r="J2337">
        <v>165</v>
      </c>
      <c r="K2337" t="s">
        <v>84</v>
      </c>
      <c r="L2337" t="s">
        <v>85</v>
      </c>
      <c r="M2337" t="s">
        <v>86</v>
      </c>
      <c r="N2337">
        <v>3</v>
      </c>
      <c r="O2337" s="1">
        <v>44218.758958333332</v>
      </c>
      <c r="P2337" s="1">
        <v>44221.370810185188</v>
      </c>
      <c r="Q2337">
        <v>222123</v>
      </c>
      <c r="R2337">
        <v>3541</v>
      </c>
      <c r="S2337" t="b">
        <v>0</v>
      </c>
      <c r="T2337" t="s">
        <v>87</v>
      </c>
      <c r="U2337" t="b">
        <v>0</v>
      </c>
      <c r="V2337" t="s">
        <v>146</v>
      </c>
      <c r="W2337" s="1">
        <v>44218.790821759256</v>
      </c>
      <c r="X2337">
        <v>2693</v>
      </c>
      <c r="Y2337">
        <v>109</v>
      </c>
      <c r="Z2337">
        <v>0</v>
      </c>
      <c r="AA2337">
        <v>109</v>
      </c>
      <c r="AB2337">
        <v>0</v>
      </c>
      <c r="AC2337">
        <v>67</v>
      </c>
      <c r="AD2337">
        <v>56</v>
      </c>
      <c r="AE2337">
        <v>0</v>
      </c>
      <c r="AF2337">
        <v>0</v>
      </c>
      <c r="AG2337">
        <v>0</v>
      </c>
      <c r="AH2337" t="s">
        <v>147</v>
      </c>
      <c r="AI2337" s="1">
        <v>44218.800520833334</v>
      </c>
      <c r="AJ2337">
        <v>831</v>
      </c>
      <c r="AK2337">
        <v>6</v>
      </c>
      <c r="AL2337">
        <v>0</v>
      </c>
      <c r="AM2337">
        <v>6</v>
      </c>
      <c r="AN2337">
        <v>0</v>
      </c>
      <c r="AO2337">
        <v>10</v>
      </c>
      <c r="AP2337">
        <v>50</v>
      </c>
      <c r="AQ2337">
        <v>0</v>
      </c>
      <c r="AR2337">
        <v>0</v>
      </c>
      <c r="AS2337">
        <v>0</v>
      </c>
      <c r="AT2337" t="s">
        <v>90</v>
      </c>
      <c r="AU2337" s="1">
        <v>44221.370810185188</v>
      </c>
      <c r="AV2337">
        <v>17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50</v>
      </c>
      <c r="BC2337">
        <v>0</v>
      </c>
      <c r="BD2337">
        <v>0</v>
      </c>
      <c r="BE2337">
        <v>0</v>
      </c>
    </row>
    <row r="2338" spans="1:57" x14ac:dyDescent="0.45">
      <c r="A2338" t="s">
        <v>5638</v>
      </c>
      <c r="B2338" t="s">
        <v>79</v>
      </c>
      <c r="C2338" t="s">
        <v>5639</v>
      </c>
      <c r="D2338" t="s">
        <v>81</v>
      </c>
      <c r="E2338" s="2" t="str">
        <f>HYPERLINK("capsilon://?command=openfolder&amp;siteaddress=FAM.docvelocity-na8.net&amp;folderid=FX638B1AD9-3039-DC80-DE67-C782C8B77730","FX210111227")</f>
        <v>FX210111227</v>
      </c>
      <c r="F2338" t="s">
        <v>19</v>
      </c>
      <c r="G2338" t="s">
        <v>19</v>
      </c>
      <c r="H2338" t="s">
        <v>82</v>
      </c>
      <c r="I2338" t="s">
        <v>5640</v>
      </c>
      <c r="J2338">
        <v>66</v>
      </c>
      <c r="K2338" t="s">
        <v>84</v>
      </c>
      <c r="L2338" t="s">
        <v>85</v>
      </c>
      <c r="M2338" t="s">
        <v>86</v>
      </c>
      <c r="N2338">
        <v>3</v>
      </c>
      <c r="O2338" s="1">
        <v>44218.761064814818</v>
      </c>
      <c r="P2338" s="1">
        <v>44221.374212962961</v>
      </c>
      <c r="Q2338">
        <v>222693</v>
      </c>
      <c r="R2338">
        <v>3083</v>
      </c>
      <c r="S2338" t="b">
        <v>0</v>
      </c>
      <c r="T2338" t="s">
        <v>87</v>
      </c>
      <c r="U2338" t="b">
        <v>0</v>
      </c>
      <c r="V2338" t="s">
        <v>160</v>
      </c>
      <c r="W2338" s="1">
        <v>44218.782754629632</v>
      </c>
      <c r="X2338">
        <v>1776</v>
      </c>
      <c r="Y2338">
        <v>52</v>
      </c>
      <c r="Z2338">
        <v>0</v>
      </c>
      <c r="AA2338">
        <v>52</v>
      </c>
      <c r="AB2338">
        <v>0</v>
      </c>
      <c r="AC2338">
        <v>18</v>
      </c>
      <c r="AD2338">
        <v>14</v>
      </c>
      <c r="AE2338">
        <v>0</v>
      </c>
      <c r="AF2338">
        <v>0</v>
      </c>
      <c r="AG2338">
        <v>0</v>
      </c>
      <c r="AH2338" t="s">
        <v>128</v>
      </c>
      <c r="AI2338" s="1">
        <v>44218.81354166667</v>
      </c>
      <c r="AJ2338">
        <v>1003</v>
      </c>
      <c r="AK2338">
        <v>18</v>
      </c>
      <c r="AL2338">
        <v>0</v>
      </c>
      <c r="AM2338">
        <v>18</v>
      </c>
      <c r="AN2338">
        <v>0</v>
      </c>
      <c r="AO2338">
        <v>19</v>
      </c>
      <c r="AP2338">
        <v>-4</v>
      </c>
      <c r="AQ2338">
        <v>0</v>
      </c>
      <c r="AR2338">
        <v>0</v>
      </c>
      <c r="AS2338">
        <v>0</v>
      </c>
      <c r="AT2338" t="s">
        <v>90</v>
      </c>
      <c r="AU2338" s="1">
        <v>44221.374212962961</v>
      </c>
      <c r="AV2338">
        <v>293</v>
      </c>
      <c r="AW2338">
        <v>4</v>
      </c>
      <c r="AX2338">
        <v>0</v>
      </c>
      <c r="AY2338">
        <v>4</v>
      </c>
      <c r="AZ2338">
        <v>0</v>
      </c>
      <c r="BA2338">
        <v>4</v>
      </c>
      <c r="BB2338">
        <v>-8</v>
      </c>
      <c r="BC2338">
        <v>0</v>
      </c>
      <c r="BD2338">
        <v>0</v>
      </c>
      <c r="BE2338">
        <v>0</v>
      </c>
    </row>
    <row r="2339" spans="1:57" x14ac:dyDescent="0.45">
      <c r="A2339" t="s">
        <v>5641</v>
      </c>
      <c r="B2339" t="s">
        <v>79</v>
      </c>
      <c r="C2339" t="s">
        <v>5002</v>
      </c>
      <c r="D2339" t="s">
        <v>81</v>
      </c>
      <c r="E2339" s="2" t="str">
        <f>HYPERLINK("capsilon://?command=openfolder&amp;siteaddress=FAM.docvelocity-na8.net&amp;folderid=FXFB80D08B-D754-0EBC-CCE3-6A51E2BBAEC4","FX210110797")</f>
        <v>FX210110797</v>
      </c>
      <c r="F2339" t="s">
        <v>19</v>
      </c>
      <c r="G2339" t="s">
        <v>19</v>
      </c>
      <c r="H2339" t="s">
        <v>82</v>
      </c>
      <c r="I2339" t="s">
        <v>5642</v>
      </c>
      <c r="J2339">
        <v>66</v>
      </c>
      <c r="K2339" t="s">
        <v>84</v>
      </c>
      <c r="L2339" t="s">
        <v>85</v>
      </c>
      <c r="M2339" t="s">
        <v>86</v>
      </c>
      <c r="N2339">
        <v>3</v>
      </c>
      <c r="O2339" s="1">
        <v>44218.761921296296</v>
      </c>
      <c r="P2339" s="1">
        <v>44221.374814814815</v>
      </c>
      <c r="Q2339">
        <v>224979</v>
      </c>
      <c r="R2339">
        <v>775</v>
      </c>
      <c r="S2339" t="b">
        <v>0</v>
      </c>
      <c r="T2339" t="s">
        <v>87</v>
      </c>
      <c r="U2339" t="b">
        <v>0</v>
      </c>
      <c r="V2339" t="s">
        <v>262</v>
      </c>
      <c r="W2339" s="1">
        <v>44218.771921296298</v>
      </c>
      <c r="X2339">
        <v>505</v>
      </c>
      <c r="Y2339">
        <v>52</v>
      </c>
      <c r="Z2339">
        <v>0</v>
      </c>
      <c r="AA2339">
        <v>52</v>
      </c>
      <c r="AB2339">
        <v>0</v>
      </c>
      <c r="AC2339">
        <v>22</v>
      </c>
      <c r="AD2339">
        <v>14</v>
      </c>
      <c r="AE2339">
        <v>0</v>
      </c>
      <c r="AF2339">
        <v>0</v>
      </c>
      <c r="AG2339">
        <v>0</v>
      </c>
      <c r="AH2339" t="s">
        <v>147</v>
      </c>
      <c r="AI2339" s="1">
        <v>44218.78466435185</v>
      </c>
      <c r="AJ2339">
        <v>219</v>
      </c>
      <c r="AK2339">
        <v>2</v>
      </c>
      <c r="AL2339">
        <v>0</v>
      </c>
      <c r="AM2339">
        <v>2</v>
      </c>
      <c r="AN2339">
        <v>0</v>
      </c>
      <c r="AO2339">
        <v>2</v>
      </c>
      <c r="AP2339">
        <v>12</v>
      </c>
      <c r="AQ2339">
        <v>0</v>
      </c>
      <c r="AR2339">
        <v>0</v>
      </c>
      <c r="AS2339">
        <v>0</v>
      </c>
      <c r="AT2339" t="s">
        <v>90</v>
      </c>
      <c r="AU2339" s="1">
        <v>44221.374814814815</v>
      </c>
      <c r="AV2339">
        <v>51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12</v>
      </c>
      <c r="BC2339">
        <v>0</v>
      </c>
      <c r="BD2339">
        <v>0</v>
      </c>
      <c r="BE2339">
        <v>0</v>
      </c>
    </row>
    <row r="2340" spans="1:57" x14ac:dyDescent="0.45">
      <c r="A2340" t="s">
        <v>5643</v>
      </c>
      <c r="B2340" t="s">
        <v>79</v>
      </c>
      <c r="C2340" t="s">
        <v>1255</v>
      </c>
      <c r="D2340" t="s">
        <v>81</v>
      </c>
      <c r="E2340" s="2" t="str">
        <f>HYPERLINK("capsilon://?command=openfolder&amp;siteaddress=FAM.docvelocity-na8.net&amp;folderid=FX1AD5FBFA-CC8F-1585-A9A2-F7F6F0E108B6","FX21013185")</f>
        <v>FX21013185</v>
      </c>
      <c r="F2340" t="s">
        <v>19</v>
      </c>
      <c r="G2340" t="s">
        <v>19</v>
      </c>
      <c r="H2340" t="s">
        <v>82</v>
      </c>
      <c r="I2340" t="s">
        <v>5644</v>
      </c>
      <c r="J2340">
        <v>80</v>
      </c>
      <c r="K2340" t="s">
        <v>84</v>
      </c>
      <c r="L2340" t="s">
        <v>85</v>
      </c>
      <c r="M2340" t="s">
        <v>86</v>
      </c>
      <c r="N2340">
        <v>3</v>
      </c>
      <c r="O2340" s="1">
        <v>44218.769976851851</v>
      </c>
      <c r="P2340" s="1">
        <v>44221.375023148146</v>
      </c>
      <c r="Q2340">
        <v>223818</v>
      </c>
      <c r="R2340">
        <v>1258</v>
      </c>
      <c r="S2340" t="b">
        <v>0</v>
      </c>
      <c r="T2340" t="s">
        <v>87</v>
      </c>
      <c r="U2340" t="b">
        <v>0</v>
      </c>
      <c r="V2340" t="s">
        <v>171</v>
      </c>
      <c r="W2340" s="1">
        <v>44218.778680555559</v>
      </c>
      <c r="X2340">
        <v>751</v>
      </c>
      <c r="Y2340">
        <v>78</v>
      </c>
      <c r="Z2340">
        <v>0</v>
      </c>
      <c r="AA2340">
        <v>78</v>
      </c>
      <c r="AB2340">
        <v>0</v>
      </c>
      <c r="AC2340">
        <v>22</v>
      </c>
      <c r="AD2340">
        <v>2</v>
      </c>
      <c r="AE2340">
        <v>0</v>
      </c>
      <c r="AF2340">
        <v>0</v>
      </c>
      <c r="AG2340">
        <v>0</v>
      </c>
      <c r="AH2340" t="s">
        <v>147</v>
      </c>
      <c r="AI2340" s="1">
        <v>44218.790486111109</v>
      </c>
      <c r="AJ2340">
        <v>490</v>
      </c>
      <c r="AK2340">
        <v>2</v>
      </c>
      <c r="AL2340">
        <v>0</v>
      </c>
      <c r="AM2340">
        <v>2</v>
      </c>
      <c r="AN2340">
        <v>0</v>
      </c>
      <c r="AO2340">
        <v>3</v>
      </c>
      <c r="AP2340">
        <v>0</v>
      </c>
      <c r="AQ2340">
        <v>0</v>
      </c>
      <c r="AR2340">
        <v>0</v>
      </c>
      <c r="AS2340">
        <v>0</v>
      </c>
      <c r="AT2340" t="s">
        <v>90</v>
      </c>
      <c r="AU2340" s="1">
        <v>44221.375023148146</v>
      </c>
      <c r="AV2340">
        <v>17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</row>
    <row r="2341" spans="1:57" x14ac:dyDescent="0.45">
      <c r="A2341" t="s">
        <v>5645</v>
      </c>
      <c r="B2341" t="s">
        <v>79</v>
      </c>
      <c r="C2341" t="s">
        <v>346</v>
      </c>
      <c r="D2341" t="s">
        <v>81</v>
      </c>
      <c r="E2341" s="2" t="str">
        <f>HYPERLINK("capsilon://?command=openfolder&amp;siteaddress=FAM.docvelocity-na8.net&amp;folderid=FX463D5318-D956-0F6F-56FC-642CE044B762","FX20121355")</f>
        <v>FX20121355</v>
      </c>
      <c r="F2341" t="s">
        <v>19</v>
      </c>
      <c r="G2341" t="s">
        <v>19</v>
      </c>
      <c r="H2341" t="s">
        <v>82</v>
      </c>
      <c r="I2341" t="s">
        <v>5548</v>
      </c>
      <c r="J2341">
        <v>38</v>
      </c>
      <c r="K2341" t="s">
        <v>84</v>
      </c>
      <c r="L2341" t="s">
        <v>85</v>
      </c>
      <c r="M2341" t="s">
        <v>86</v>
      </c>
      <c r="N2341">
        <v>3</v>
      </c>
      <c r="O2341" s="1">
        <v>44201.547685185185</v>
      </c>
      <c r="P2341" s="1">
        <v>44201.569768518515</v>
      </c>
      <c r="Q2341">
        <v>481</v>
      </c>
      <c r="R2341">
        <v>1427</v>
      </c>
      <c r="S2341" t="b">
        <v>0</v>
      </c>
      <c r="T2341" t="s">
        <v>87</v>
      </c>
      <c r="U2341" t="b">
        <v>1</v>
      </c>
      <c r="V2341" t="s">
        <v>168</v>
      </c>
      <c r="W2341" s="1">
        <v>44201.562962962962</v>
      </c>
      <c r="X2341">
        <v>1319</v>
      </c>
      <c r="Y2341">
        <v>37</v>
      </c>
      <c r="Z2341">
        <v>0</v>
      </c>
      <c r="AA2341">
        <v>37</v>
      </c>
      <c r="AB2341">
        <v>0</v>
      </c>
      <c r="AC2341">
        <v>36</v>
      </c>
      <c r="AD2341">
        <v>1</v>
      </c>
      <c r="AE2341">
        <v>0</v>
      </c>
      <c r="AF2341">
        <v>0</v>
      </c>
      <c r="AG2341">
        <v>0</v>
      </c>
      <c r="AH2341" t="s">
        <v>267</v>
      </c>
      <c r="AI2341" s="1">
        <v>44201.565636574072</v>
      </c>
      <c r="AJ2341">
        <v>102</v>
      </c>
      <c r="AK2341">
        <v>3</v>
      </c>
      <c r="AL2341">
        <v>0</v>
      </c>
      <c r="AM2341">
        <v>3</v>
      </c>
      <c r="AN2341">
        <v>0</v>
      </c>
      <c r="AO2341">
        <v>2</v>
      </c>
      <c r="AP2341">
        <v>-2</v>
      </c>
      <c r="AQ2341">
        <v>0</v>
      </c>
      <c r="AR2341">
        <v>0</v>
      </c>
      <c r="AS2341">
        <v>0</v>
      </c>
      <c r="AT2341" t="s">
        <v>90</v>
      </c>
      <c r="AU2341" s="1">
        <v>44201.569768518515</v>
      </c>
      <c r="AV2341">
        <v>6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-2</v>
      </c>
      <c r="BC2341">
        <v>0</v>
      </c>
      <c r="BD2341">
        <v>0</v>
      </c>
      <c r="BE2341">
        <v>0</v>
      </c>
    </row>
    <row r="2342" spans="1:57" x14ac:dyDescent="0.45">
      <c r="A2342" t="s">
        <v>5646</v>
      </c>
      <c r="B2342" t="s">
        <v>79</v>
      </c>
      <c r="C2342" t="s">
        <v>5647</v>
      </c>
      <c r="D2342" t="s">
        <v>81</v>
      </c>
      <c r="E2342" s="2" t="str">
        <f>HYPERLINK("capsilon://?command=openfolder&amp;siteaddress=FAM.docvelocity-na8.net&amp;folderid=FX9B6BF64C-4572-9CE9-FC09-5715FD46E9DF","FX20119526")</f>
        <v>FX20119526</v>
      </c>
      <c r="F2342" t="s">
        <v>19</v>
      </c>
      <c r="G2342" t="s">
        <v>19</v>
      </c>
      <c r="H2342" t="s">
        <v>82</v>
      </c>
      <c r="I2342" t="s">
        <v>5648</v>
      </c>
      <c r="J2342">
        <v>51</v>
      </c>
      <c r="K2342" t="s">
        <v>84</v>
      </c>
      <c r="L2342" t="s">
        <v>85</v>
      </c>
      <c r="M2342" t="s">
        <v>86</v>
      </c>
      <c r="N2342">
        <v>3</v>
      </c>
      <c r="O2342" s="1">
        <v>44218.800671296296</v>
      </c>
      <c r="P2342" s="1">
        <v>44221.375462962962</v>
      </c>
      <c r="Q2342">
        <v>222111</v>
      </c>
      <c r="R2342">
        <v>351</v>
      </c>
      <c r="S2342" t="b">
        <v>0</v>
      </c>
      <c r="T2342" t="s">
        <v>87</v>
      </c>
      <c r="U2342" t="b">
        <v>0</v>
      </c>
      <c r="V2342" t="s">
        <v>255</v>
      </c>
      <c r="W2342" s="1">
        <v>44218.805532407408</v>
      </c>
      <c r="X2342">
        <v>239</v>
      </c>
      <c r="Y2342">
        <v>41</v>
      </c>
      <c r="Z2342">
        <v>0</v>
      </c>
      <c r="AA2342">
        <v>41</v>
      </c>
      <c r="AB2342">
        <v>0</v>
      </c>
      <c r="AC2342">
        <v>19</v>
      </c>
      <c r="AD2342">
        <v>10</v>
      </c>
      <c r="AE2342">
        <v>0</v>
      </c>
      <c r="AF2342">
        <v>0</v>
      </c>
      <c r="AG2342">
        <v>0</v>
      </c>
      <c r="AH2342" t="s">
        <v>267</v>
      </c>
      <c r="AI2342" s="1">
        <v>44218.807974537034</v>
      </c>
      <c r="AJ2342">
        <v>74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10</v>
      </c>
      <c r="AQ2342">
        <v>0</v>
      </c>
      <c r="AR2342">
        <v>0</v>
      </c>
      <c r="AS2342">
        <v>0</v>
      </c>
      <c r="AT2342" t="s">
        <v>90</v>
      </c>
      <c r="AU2342" s="1">
        <v>44221.375462962962</v>
      </c>
      <c r="AV2342">
        <v>38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10</v>
      </c>
      <c r="BC2342">
        <v>0</v>
      </c>
      <c r="BD2342">
        <v>0</v>
      </c>
      <c r="BE2342">
        <v>0</v>
      </c>
    </row>
    <row r="2343" spans="1:57" x14ac:dyDescent="0.45">
      <c r="A2343" t="s">
        <v>5649</v>
      </c>
      <c r="B2343" t="s">
        <v>79</v>
      </c>
      <c r="C2343" t="s">
        <v>5647</v>
      </c>
      <c r="D2343" t="s">
        <v>81</v>
      </c>
      <c r="E2343" s="2" t="str">
        <f>HYPERLINK("capsilon://?command=openfolder&amp;siteaddress=FAM.docvelocity-na8.net&amp;folderid=FX9B6BF64C-4572-9CE9-FC09-5715FD46E9DF","FX20119526")</f>
        <v>FX20119526</v>
      </c>
      <c r="F2343" t="s">
        <v>19</v>
      </c>
      <c r="G2343" t="s">
        <v>19</v>
      </c>
      <c r="H2343" t="s">
        <v>82</v>
      </c>
      <c r="I2343" t="s">
        <v>5650</v>
      </c>
      <c r="J2343">
        <v>39</v>
      </c>
      <c r="K2343" t="s">
        <v>84</v>
      </c>
      <c r="L2343" t="s">
        <v>85</v>
      </c>
      <c r="M2343" t="s">
        <v>86</v>
      </c>
      <c r="N2343">
        <v>3</v>
      </c>
      <c r="O2343" s="1">
        <v>44218.800763888888</v>
      </c>
      <c r="P2343" s="1">
        <v>44221.375613425924</v>
      </c>
      <c r="Q2343">
        <v>220975</v>
      </c>
      <c r="R2343">
        <v>1492</v>
      </c>
      <c r="S2343" t="b">
        <v>0</v>
      </c>
      <c r="T2343" t="s">
        <v>87</v>
      </c>
      <c r="U2343" t="b">
        <v>0</v>
      </c>
      <c r="V2343" t="s">
        <v>146</v>
      </c>
      <c r="W2343" s="1">
        <v>44218.818564814814</v>
      </c>
      <c r="X2343">
        <v>1135</v>
      </c>
      <c r="Y2343">
        <v>36</v>
      </c>
      <c r="Z2343">
        <v>0</v>
      </c>
      <c r="AA2343">
        <v>36</v>
      </c>
      <c r="AB2343">
        <v>0</v>
      </c>
      <c r="AC2343">
        <v>21</v>
      </c>
      <c r="AD2343">
        <v>3</v>
      </c>
      <c r="AE2343">
        <v>0</v>
      </c>
      <c r="AF2343">
        <v>0</v>
      </c>
      <c r="AG2343">
        <v>0</v>
      </c>
      <c r="AH2343" t="s">
        <v>267</v>
      </c>
      <c r="AI2343" s="1">
        <v>44218.825844907406</v>
      </c>
      <c r="AJ2343">
        <v>339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3</v>
      </c>
      <c r="AQ2343">
        <v>0</v>
      </c>
      <c r="AR2343">
        <v>0</v>
      </c>
      <c r="AS2343">
        <v>0</v>
      </c>
      <c r="AT2343" t="s">
        <v>90</v>
      </c>
      <c r="AU2343" s="1">
        <v>44221.375613425924</v>
      </c>
      <c r="AV2343">
        <v>12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3</v>
      </c>
      <c r="BC2343">
        <v>0</v>
      </c>
      <c r="BD2343">
        <v>0</v>
      </c>
      <c r="BE2343">
        <v>0</v>
      </c>
    </row>
    <row r="2344" spans="1:57" x14ac:dyDescent="0.45">
      <c r="A2344" t="s">
        <v>5651</v>
      </c>
      <c r="B2344" t="s">
        <v>79</v>
      </c>
      <c r="C2344" t="s">
        <v>672</v>
      </c>
      <c r="D2344" t="s">
        <v>81</v>
      </c>
      <c r="E2344" s="2" t="str">
        <f>HYPERLINK("capsilon://?command=openfolder&amp;siteaddress=FAM.docvelocity-na8.net&amp;folderid=FXA5BBB99B-9D51-26C6-9B26-24EFBDF6F7DA","FX201229156")</f>
        <v>FX201229156</v>
      </c>
      <c r="F2344" t="s">
        <v>19</v>
      </c>
      <c r="G2344" t="s">
        <v>19</v>
      </c>
      <c r="H2344" t="s">
        <v>82</v>
      </c>
      <c r="I2344" t="s">
        <v>5652</v>
      </c>
      <c r="J2344">
        <v>104</v>
      </c>
      <c r="K2344" t="s">
        <v>84</v>
      </c>
      <c r="L2344" t="s">
        <v>85</v>
      </c>
      <c r="M2344" t="s">
        <v>86</v>
      </c>
      <c r="N2344">
        <v>3</v>
      </c>
      <c r="O2344" s="1">
        <v>44218.802199074074</v>
      </c>
      <c r="P2344" s="1">
        <v>44221.375717592593</v>
      </c>
      <c r="Q2344">
        <v>221544</v>
      </c>
      <c r="R2344">
        <v>808</v>
      </c>
      <c r="S2344" t="b">
        <v>0</v>
      </c>
      <c r="T2344" t="s">
        <v>87</v>
      </c>
      <c r="U2344" t="b">
        <v>0</v>
      </c>
      <c r="V2344" t="s">
        <v>262</v>
      </c>
      <c r="W2344" s="1">
        <v>44218.812615740739</v>
      </c>
      <c r="X2344">
        <v>530</v>
      </c>
      <c r="Y2344">
        <v>37</v>
      </c>
      <c r="Z2344">
        <v>0</v>
      </c>
      <c r="AA2344">
        <v>37</v>
      </c>
      <c r="AB2344">
        <v>52</v>
      </c>
      <c r="AC2344">
        <v>17</v>
      </c>
      <c r="AD2344">
        <v>67</v>
      </c>
      <c r="AE2344">
        <v>0</v>
      </c>
      <c r="AF2344">
        <v>0</v>
      </c>
      <c r="AG2344">
        <v>0</v>
      </c>
      <c r="AH2344" t="s">
        <v>147</v>
      </c>
      <c r="AI2344" s="1">
        <v>44218.815706018519</v>
      </c>
      <c r="AJ2344">
        <v>235</v>
      </c>
      <c r="AK2344">
        <v>3</v>
      </c>
      <c r="AL2344">
        <v>0</v>
      </c>
      <c r="AM2344">
        <v>3</v>
      </c>
      <c r="AN2344">
        <v>52</v>
      </c>
      <c r="AO2344">
        <v>6</v>
      </c>
      <c r="AP2344">
        <v>64</v>
      </c>
      <c r="AQ2344">
        <v>0</v>
      </c>
      <c r="AR2344">
        <v>0</v>
      </c>
      <c r="AS2344">
        <v>0</v>
      </c>
      <c r="AT2344" t="s">
        <v>90</v>
      </c>
      <c r="AU2344" s="1">
        <v>44221.375717592593</v>
      </c>
      <c r="AV2344">
        <v>9</v>
      </c>
      <c r="AW2344">
        <v>0</v>
      </c>
      <c r="AX2344">
        <v>0</v>
      </c>
      <c r="AY2344">
        <v>0</v>
      </c>
      <c r="AZ2344">
        <v>52</v>
      </c>
      <c r="BA2344">
        <v>0</v>
      </c>
      <c r="BB2344">
        <v>64</v>
      </c>
      <c r="BC2344">
        <v>0</v>
      </c>
      <c r="BD2344">
        <v>0</v>
      </c>
      <c r="BE2344">
        <v>0</v>
      </c>
    </row>
    <row r="2345" spans="1:57" x14ac:dyDescent="0.45">
      <c r="A2345" t="s">
        <v>5653</v>
      </c>
      <c r="B2345" t="s">
        <v>79</v>
      </c>
      <c r="C2345" t="s">
        <v>672</v>
      </c>
      <c r="D2345" t="s">
        <v>81</v>
      </c>
      <c r="E2345" s="2" t="str">
        <f>HYPERLINK("capsilon://?command=openfolder&amp;siteaddress=FAM.docvelocity-na8.net&amp;folderid=FXA5BBB99B-9D51-26C6-9B26-24EFBDF6F7DA","FX201229156")</f>
        <v>FX201229156</v>
      </c>
      <c r="F2345" t="s">
        <v>19</v>
      </c>
      <c r="G2345" t="s">
        <v>19</v>
      </c>
      <c r="H2345" t="s">
        <v>82</v>
      </c>
      <c r="I2345" t="s">
        <v>5654</v>
      </c>
      <c r="J2345">
        <v>38</v>
      </c>
      <c r="K2345" t="s">
        <v>84</v>
      </c>
      <c r="L2345" t="s">
        <v>85</v>
      </c>
      <c r="M2345" t="s">
        <v>86</v>
      </c>
      <c r="N2345">
        <v>3</v>
      </c>
      <c r="O2345" s="1">
        <v>44218.802916666667</v>
      </c>
      <c r="P2345" s="1">
        <v>44221.376145833332</v>
      </c>
      <c r="Q2345">
        <v>221310</v>
      </c>
      <c r="R2345">
        <v>1017</v>
      </c>
      <c r="S2345" t="b">
        <v>0</v>
      </c>
      <c r="T2345" t="s">
        <v>87</v>
      </c>
      <c r="U2345" t="b">
        <v>0</v>
      </c>
      <c r="V2345" t="s">
        <v>168</v>
      </c>
      <c r="W2345" s="1">
        <v>44218.815787037034</v>
      </c>
      <c r="X2345">
        <v>651</v>
      </c>
      <c r="Y2345">
        <v>37</v>
      </c>
      <c r="Z2345">
        <v>0</v>
      </c>
      <c r="AA2345">
        <v>37</v>
      </c>
      <c r="AB2345">
        <v>0</v>
      </c>
      <c r="AC2345">
        <v>27</v>
      </c>
      <c r="AD2345">
        <v>1</v>
      </c>
      <c r="AE2345">
        <v>0</v>
      </c>
      <c r="AF2345">
        <v>0</v>
      </c>
      <c r="AG2345">
        <v>0</v>
      </c>
      <c r="AH2345" t="s">
        <v>147</v>
      </c>
      <c r="AI2345" s="1">
        <v>44218.819618055553</v>
      </c>
      <c r="AJ2345">
        <v>330</v>
      </c>
      <c r="AK2345">
        <v>1</v>
      </c>
      <c r="AL2345">
        <v>0</v>
      </c>
      <c r="AM2345">
        <v>1</v>
      </c>
      <c r="AN2345">
        <v>0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 t="s">
        <v>90</v>
      </c>
      <c r="AU2345" s="1">
        <v>44221.376145833332</v>
      </c>
      <c r="AV2345">
        <v>36</v>
      </c>
      <c r="AW2345">
        <v>0</v>
      </c>
      <c r="AX2345">
        <v>0</v>
      </c>
      <c r="AY2345">
        <v>0</v>
      </c>
      <c r="AZ2345">
        <v>37</v>
      </c>
      <c r="BA2345">
        <v>0</v>
      </c>
      <c r="BB2345">
        <v>0</v>
      </c>
      <c r="BC2345">
        <v>0</v>
      </c>
      <c r="BD2345">
        <v>0</v>
      </c>
      <c r="BE2345">
        <v>0</v>
      </c>
    </row>
    <row r="2346" spans="1:57" hidden="1" x14ac:dyDescent="0.45">
      <c r="A2346" t="s">
        <v>5655</v>
      </c>
      <c r="B2346" t="s">
        <v>79</v>
      </c>
      <c r="C2346" t="s">
        <v>5656</v>
      </c>
      <c r="D2346" t="s">
        <v>81</v>
      </c>
      <c r="E2346" s="2" t="str">
        <f>HYPERLINK("capsilon://?command=openfolder&amp;siteaddress=FAM.docvelocity-na8.net&amp;folderid=FX71FD1BEF-EB31-ED2A-BD25-80BE37D09489","FX201113580")</f>
        <v>FX201113580</v>
      </c>
      <c r="F2346" t="s">
        <v>19</v>
      </c>
      <c r="G2346" t="s">
        <v>19</v>
      </c>
      <c r="H2346" t="s">
        <v>82</v>
      </c>
      <c r="I2346" t="s">
        <v>5657</v>
      </c>
      <c r="J2346">
        <v>96</v>
      </c>
      <c r="K2346" t="s">
        <v>84</v>
      </c>
      <c r="L2346" t="s">
        <v>85</v>
      </c>
      <c r="M2346" t="s">
        <v>81</v>
      </c>
      <c r="N2346">
        <v>2</v>
      </c>
      <c r="O2346" s="1">
        <v>44201.552337962959</v>
      </c>
      <c r="P2346" s="1">
        <v>44201.571932870371</v>
      </c>
      <c r="Q2346">
        <v>1533</v>
      </c>
      <c r="R2346">
        <v>160</v>
      </c>
      <c r="S2346" t="b">
        <v>0</v>
      </c>
      <c r="T2346" t="s">
        <v>1797</v>
      </c>
      <c r="U2346" t="b">
        <v>0</v>
      </c>
      <c r="V2346" t="s">
        <v>160</v>
      </c>
      <c r="W2346" s="1">
        <v>44201.554178240738</v>
      </c>
      <c r="X2346">
        <v>156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96</v>
      </c>
      <c r="AE2346">
        <v>0</v>
      </c>
      <c r="AF2346">
        <v>0</v>
      </c>
      <c r="AG2346">
        <v>0</v>
      </c>
      <c r="AH2346" t="s">
        <v>1797</v>
      </c>
      <c r="AI2346" s="1">
        <v>44201.571932870371</v>
      </c>
      <c r="AJ2346">
        <v>4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96</v>
      </c>
      <c r="AQ2346">
        <v>0</v>
      </c>
      <c r="AR2346">
        <v>0</v>
      </c>
      <c r="AS2346">
        <v>0</v>
      </c>
      <c r="AT2346" t="s">
        <v>87</v>
      </c>
      <c r="AU2346" t="s">
        <v>87</v>
      </c>
      <c r="AV2346" t="s">
        <v>87</v>
      </c>
      <c r="AW2346" t="s">
        <v>87</v>
      </c>
      <c r="AX2346" t="s">
        <v>87</v>
      </c>
      <c r="AY2346" t="s">
        <v>87</v>
      </c>
      <c r="AZ2346" t="s">
        <v>87</v>
      </c>
      <c r="BA2346" t="s">
        <v>87</v>
      </c>
      <c r="BB2346" t="s">
        <v>87</v>
      </c>
      <c r="BC2346" t="s">
        <v>87</v>
      </c>
      <c r="BD2346" t="s">
        <v>87</v>
      </c>
      <c r="BE2346" t="s">
        <v>87</v>
      </c>
    </row>
    <row r="2347" spans="1:57" x14ac:dyDescent="0.45">
      <c r="A2347" t="s">
        <v>5658</v>
      </c>
      <c r="B2347" t="s">
        <v>79</v>
      </c>
      <c r="C2347" t="s">
        <v>2043</v>
      </c>
      <c r="D2347" t="s">
        <v>81</v>
      </c>
      <c r="E2347" s="2" t="str">
        <f>HYPERLINK("capsilon://?command=openfolder&amp;siteaddress=FAM.docvelocity-na8.net&amp;folderid=FXA17FD242-4B90-C1EC-D3D3-CB2B27A9ECBC","FX2012407")</f>
        <v>FX2012407</v>
      </c>
      <c r="F2347" t="s">
        <v>19</v>
      </c>
      <c r="G2347" t="s">
        <v>19</v>
      </c>
      <c r="H2347" t="s">
        <v>82</v>
      </c>
      <c r="I2347" t="s">
        <v>5659</v>
      </c>
      <c r="J2347">
        <v>40</v>
      </c>
      <c r="K2347" t="s">
        <v>84</v>
      </c>
      <c r="L2347" t="s">
        <v>85</v>
      </c>
      <c r="M2347" t="s">
        <v>86</v>
      </c>
      <c r="N2347">
        <v>3</v>
      </c>
      <c r="O2347" s="1">
        <v>44218.846377314818</v>
      </c>
      <c r="P2347" s="1">
        <v>44221.376342592594</v>
      </c>
      <c r="Q2347">
        <v>217929</v>
      </c>
      <c r="R2347">
        <v>660</v>
      </c>
      <c r="S2347" t="b">
        <v>0</v>
      </c>
      <c r="T2347" t="s">
        <v>87</v>
      </c>
      <c r="U2347" t="b">
        <v>0</v>
      </c>
      <c r="V2347" t="s">
        <v>88</v>
      </c>
      <c r="W2347" s="1">
        <v>44221.16574074074</v>
      </c>
      <c r="X2347">
        <v>418</v>
      </c>
      <c r="Y2347">
        <v>36</v>
      </c>
      <c r="Z2347">
        <v>0</v>
      </c>
      <c r="AA2347">
        <v>36</v>
      </c>
      <c r="AB2347">
        <v>0</v>
      </c>
      <c r="AC2347">
        <v>26</v>
      </c>
      <c r="AD2347">
        <v>4</v>
      </c>
      <c r="AE2347">
        <v>0</v>
      </c>
      <c r="AF2347">
        <v>0</v>
      </c>
      <c r="AG2347">
        <v>0</v>
      </c>
      <c r="AH2347" t="s">
        <v>94</v>
      </c>
      <c r="AI2347" s="1">
        <v>44221.176516203705</v>
      </c>
      <c r="AJ2347">
        <v>226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4</v>
      </c>
      <c r="AQ2347">
        <v>0</v>
      </c>
      <c r="AR2347">
        <v>0</v>
      </c>
      <c r="AS2347">
        <v>0</v>
      </c>
      <c r="AT2347" t="s">
        <v>90</v>
      </c>
      <c r="AU2347" s="1">
        <v>44221.376342592594</v>
      </c>
      <c r="AV2347">
        <v>16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4</v>
      </c>
      <c r="BC2347">
        <v>0</v>
      </c>
      <c r="BD2347">
        <v>0</v>
      </c>
      <c r="BE2347">
        <v>0</v>
      </c>
    </row>
    <row r="2348" spans="1:57" x14ac:dyDescent="0.45">
      <c r="A2348" t="s">
        <v>5660</v>
      </c>
      <c r="B2348" t="s">
        <v>79</v>
      </c>
      <c r="C2348" t="s">
        <v>2043</v>
      </c>
      <c r="D2348" t="s">
        <v>81</v>
      </c>
      <c r="E2348" s="2" t="str">
        <f>HYPERLINK("capsilon://?command=openfolder&amp;siteaddress=FAM.docvelocity-na8.net&amp;folderid=FXA17FD242-4B90-C1EC-D3D3-CB2B27A9ECBC","FX2012407")</f>
        <v>FX2012407</v>
      </c>
      <c r="F2348" t="s">
        <v>19</v>
      </c>
      <c r="G2348" t="s">
        <v>19</v>
      </c>
      <c r="H2348" t="s">
        <v>82</v>
      </c>
      <c r="I2348" t="s">
        <v>5661</v>
      </c>
      <c r="J2348">
        <v>51</v>
      </c>
      <c r="K2348" t="s">
        <v>84</v>
      </c>
      <c r="L2348" t="s">
        <v>85</v>
      </c>
      <c r="M2348" t="s">
        <v>86</v>
      </c>
      <c r="N2348">
        <v>3</v>
      </c>
      <c r="O2348" s="1">
        <v>44218.846585648149</v>
      </c>
      <c r="P2348" s="1">
        <v>44221.376388888886</v>
      </c>
      <c r="Q2348">
        <v>217351</v>
      </c>
      <c r="R2348">
        <v>1224</v>
      </c>
      <c r="S2348" t="b">
        <v>0</v>
      </c>
      <c r="T2348" t="s">
        <v>87</v>
      </c>
      <c r="U2348" t="b">
        <v>0</v>
      </c>
      <c r="V2348" t="s">
        <v>105</v>
      </c>
      <c r="W2348" s="1">
        <v>44221.176168981481</v>
      </c>
      <c r="X2348">
        <v>1039</v>
      </c>
      <c r="Y2348">
        <v>47</v>
      </c>
      <c r="Z2348">
        <v>0</v>
      </c>
      <c r="AA2348">
        <v>47</v>
      </c>
      <c r="AB2348">
        <v>0</v>
      </c>
      <c r="AC2348">
        <v>21</v>
      </c>
      <c r="AD2348">
        <v>4</v>
      </c>
      <c r="AE2348">
        <v>0</v>
      </c>
      <c r="AF2348">
        <v>0</v>
      </c>
      <c r="AG2348">
        <v>0</v>
      </c>
      <c r="AH2348" t="s">
        <v>94</v>
      </c>
      <c r="AI2348" s="1">
        <v>44221.17863425926</v>
      </c>
      <c r="AJ2348">
        <v>182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4</v>
      </c>
      <c r="AQ2348">
        <v>0</v>
      </c>
      <c r="AR2348">
        <v>0</v>
      </c>
      <c r="AS2348">
        <v>0</v>
      </c>
      <c r="AT2348" t="s">
        <v>90</v>
      </c>
      <c r="AU2348" s="1">
        <v>44221.376388888886</v>
      </c>
      <c r="AV2348">
        <v>3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4</v>
      </c>
      <c r="BC2348">
        <v>0</v>
      </c>
      <c r="BD2348">
        <v>0</v>
      </c>
      <c r="BE2348">
        <v>0</v>
      </c>
    </row>
    <row r="2349" spans="1:57" x14ac:dyDescent="0.45">
      <c r="A2349" t="s">
        <v>5662</v>
      </c>
      <c r="B2349" t="s">
        <v>79</v>
      </c>
      <c r="C2349" t="s">
        <v>2043</v>
      </c>
      <c r="D2349" t="s">
        <v>81</v>
      </c>
      <c r="E2349" s="2" t="str">
        <f>HYPERLINK("capsilon://?command=openfolder&amp;siteaddress=FAM.docvelocity-na8.net&amp;folderid=FXA17FD242-4B90-C1EC-D3D3-CB2B27A9ECBC","FX2012407")</f>
        <v>FX2012407</v>
      </c>
      <c r="F2349" t="s">
        <v>19</v>
      </c>
      <c r="G2349" t="s">
        <v>19</v>
      </c>
      <c r="H2349" t="s">
        <v>82</v>
      </c>
      <c r="I2349" t="s">
        <v>5663</v>
      </c>
      <c r="J2349">
        <v>51</v>
      </c>
      <c r="K2349" t="s">
        <v>84</v>
      </c>
      <c r="L2349" t="s">
        <v>85</v>
      </c>
      <c r="M2349" t="s">
        <v>86</v>
      </c>
      <c r="N2349">
        <v>3</v>
      </c>
      <c r="O2349" s="1">
        <v>44218.847557870373</v>
      </c>
      <c r="P2349" s="1">
        <v>44221.376469907409</v>
      </c>
      <c r="Q2349">
        <v>216887</v>
      </c>
      <c r="R2349">
        <v>1611</v>
      </c>
      <c r="S2349" t="b">
        <v>0</v>
      </c>
      <c r="T2349" t="s">
        <v>87</v>
      </c>
      <c r="U2349" t="b">
        <v>0</v>
      </c>
      <c r="V2349" t="s">
        <v>112</v>
      </c>
      <c r="W2349" s="1">
        <v>44221.17386574074</v>
      </c>
      <c r="X2349">
        <v>810</v>
      </c>
      <c r="Y2349">
        <v>47</v>
      </c>
      <c r="Z2349">
        <v>0</v>
      </c>
      <c r="AA2349">
        <v>47</v>
      </c>
      <c r="AB2349">
        <v>0</v>
      </c>
      <c r="AC2349">
        <v>10</v>
      </c>
      <c r="AD2349">
        <v>4</v>
      </c>
      <c r="AE2349">
        <v>0</v>
      </c>
      <c r="AF2349">
        <v>0</v>
      </c>
      <c r="AG2349">
        <v>0</v>
      </c>
      <c r="AH2349" t="s">
        <v>108</v>
      </c>
      <c r="AI2349" s="1">
        <v>44221.187256944446</v>
      </c>
      <c r="AJ2349">
        <v>795</v>
      </c>
      <c r="AK2349">
        <v>14</v>
      </c>
      <c r="AL2349">
        <v>0</v>
      </c>
      <c r="AM2349">
        <v>14</v>
      </c>
      <c r="AN2349">
        <v>0</v>
      </c>
      <c r="AO2349">
        <v>13</v>
      </c>
      <c r="AP2349">
        <v>-10</v>
      </c>
      <c r="AQ2349">
        <v>0</v>
      </c>
      <c r="AR2349">
        <v>0</v>
      </c>
      <c r="AS2349">
        <v>0</v>
      </c>
      <c r="AT2349" t="s">
        <v>90</v>
      </c>
      <c r="AU2349" s="1">
        <v>44221.376469907409</v>
      </c>
      <c r="AV2349">
        <v>6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-10</v>
      </c>
      <c r="BC2349">
        <v>0</v>
      </c>
      <c r="BD2349">
        <v>0</v>
      </c>
      <c r="BE2349">
        <v>0</v>
      </c>
    </row>
    <row r="2350" spans="1:57" x14ac:dyDescent="0.45">
      <c r="A2350" t="s">
        <v>5664</v>
      </c>
      <c r="B2350" t="s">
        <v>79</v>
      </c>
      <c r="C2350" t="s">
        <v>2043</v>
      </c>
      <c r="D2350" t="s">
        <v>81</v>
      </c>
      <c r="E2350" s="2" t="str">
        <f>HYPERLINK("capsilon://?command=openfolder&amp;siteaddress=FAM.docvelocity-na8.net&amp;folderid=FXA17FD242-4B90-C1EC-D3D3-CB2B27A9ECBC","FX2012407")</f>
        <v>FX2012407</v>
      </c>
      <c r="F2350" t="s">
        <v>19</v>
      </c>
      <c r="G2350" t="s">
        <v>19</v>
      </c>
      <c r="H2350" t="s">
        <v>82</v>
      </c>
      <c r="I2350" t="s">
        <v>5665</v>
      </c>
      <c r="J2350">
        <v>51</v>
      </c>
      <c r="K2350" t="s">
        <v>84</v>
      </c>
      <c r="L2350" t="s">
        <v>85</v>
      </c>
      <c r="M2350" t="s">
        <v>86</v>
      </c>
      <c r="N2350">
        <v>3</v>
      </c>
      <c r="O2350" s="1">
        <v>44218.847685185188</v>
      </c>
      <c r="P2350" s="1">
        <v>44221.376516203702</v>
      </c>
      <c r="Q2350">
        <v>216081</v>
      </c>
      <c r="R2350">
        <v>2410</v>
      </c>
      <c r="S2350" t="b">
        <v>0</v>
      </c>
      <c r="T2350" t="s">
        <v>87</v>
      </c>
      <c r="U2350" t="b">
        <v>0</v>
      </c>
      <c r="V2350" t="s">
        <v>98</v>
      </c>
      <c r="W2350" s="1">
        <v>44221.177222222221</v>
      </c>
      <c r="X2350">
        <v>992</v>
      </c>
      <c r="Y2350">
        <v>47</v>
      </c>
      <c r="Z2350">
        <v>0</v>
      </c>
      <c r="AA2350">
        <v>47</v>
      </c>
      <c r="AB2350">
        <v>0</v>
      </c>
      <c r="AC2350">
        <v>29</v>
      </c>
      <c r="AD2350">
        <v>4</v>
      </c>
      <c r="AE2350">
        <v>0</v>
      </c>
      <c r="AF2350">
        <v>0</v>
      </c>
      <c r="AG2350">
        <v>0</v>
      </c>
      <c r="AH2350" t="s">
        <v>89</v>
      </c>
      <c r="AI2350" s="1">
        <v>44221.199189814812</v>
      </c>
      <c r="AJ2350">
        <v>1364</v>
      </c>
      <c r="AK2350">
        <v>2</v>
      </c>
      <c r="AL2350">
        <v>0</v>
      </c>
      <c r="AM2350">
        <v>2</v>
      </c>
      <c r="AN2350">
        <v>0</v>
      </c>
      <c r="AO2350">
        <v>1</v>
      </c>
      <c r="AP2350">
        <v>2</v>
      </c>
      <c r="AQ2350">
        <v>0</v>
      </c>
      <c r="AR2350">
        <v>0</v>
      </c>
      <c r="AS2350">
        <v>0</v>
      </c>
      <c r="AT2350" t="s">
        <v>90</v>
      </c>
      <c r="AU2350" s="1">
        <v>44221.376516203702</v>
      </c>
      <c r="AV2350">
        <v>3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2</v>
      </c>
      <c r="BC2350">
        <v>0</v>
      </c>
      <c r="BD2350">
        <v>0</v>
      </c>
      <c r="BE2350">
        <v>0</v>
      </c>
    </row>
    <row r="2351" spans="1:57" x14ac:dyDescent="0.45">
      <c r="A2351" t="s">
        <v>5666</v>
      </c>
      <c r="B2351" t="s">
        <v>79</v>
      </c>
      <c r="C2351" t="s">
        <v>2816</v>
      </c>
      <c r="D2351" t="s">
        <v>81</v>
      </c>
      <c r="E2351" s="2" t="str">
        <f>HYPERLINK("capsilon://?command=openfolder&amp;siteaddress=FAM.docvelocity-na8.net&amp;folderid=FX672373A6-312E-34C7-66AE-B28921FFE6D9","FX20128557")</f>
        <v>FX20128557</v>
      </c>
      <c r="F2351" t="s">
        <v>19</v>
      </c>
      <c r="G2351" t="s">
        <v>19</v>
      </c>
      <c r="H2351" t="s">
        <v>82</v>
      </c>
      <c r="I2351" t="s">
        <v>5667</v>
      </c>
      <c r="J2351">
        <v>38</v>
      </c>
      <c r="K2351" t="s">
        <v>84</v>
      </c>
      <c r="L2351" t="s">
        <v>85</v>
      </c>
      <c r="M2351" t="s">
        <v>86</v>
      </c>
      <c r="N2351">
        <v>3</v>
      </c>
      <c r="O2351" s="1">
        <v>44218.848726851851</v>
      </c>
      <c r="P2351" s="1">
        <v>44221.376701388886</v>
      </c>
      <c r="Q2351">
        <v>217535</v>
      </c>
      <c r="R2351">
        <v>882</v>
      </c>
      <c r="S2351" t="b">
        <v>0</v>
      </c>
      <c r="T2351" t="s">
        <v>87</v>
      </c>
      <c r="U2351" t="b">
        <v>0</v>
      </c>
      <c r="V2351" t="s">
        <v>88</v>
      </c>
      <c r="W2351" s="1">
        <v>44221.172268518516</v>
      </c>
      <c r="X2351">
        <v>563</v>
      </c>
      <c r="Y2351">
        <v>37</v>
      </c>
      <c r="Z2351">
        <v>0</v>
      </c>
      <c r="AA2351">
        <v>37</v>
      </c>
      <c r="AB2351">
        <v>0</v>
      </c>
      <c r="AC2351">
        <v>16</v>
      </c>
      <c r="AD2351">
        <v>1</v>
      </c>
      <c r="AE2351">
        <v>0</v>
      </c>
      <c r="AF2351">
        <v>0</v>
      </c>
      <c r="AG2351">
        <v>0</v>
      </c>
      <c r="AH2351" t="s">
        <v>108</v>
      </c>
      <c r="AI2351" s="1">
        <v>44221.190625000003</v>
      </c>
      <c r="AJ2351">
        <v>291</v>
      </c>
      <c r="AK2351">
        <v>2</v>
      </c>
      <c r="AL2351">
        <v>0</v>
      </c>
      <c r="AM2351">
        <v>2</v>
      </c>
      <c r="AN2351">
        <v>0</v>
      </c>
      <c r="AO2351">
        <v>0</v>
      </c>
      <c r="AP2351">
        <v>-1</v>
      </c>
      <c r="AQ2351">
        <v>0</v>
      </c>
      <c r="AR2351">
        <v>0</v>
      </c>
      <c r="AS2351">
        <v>0</v>
      </c>
      <c r="AT2351" t="s">
        <v>90</v>
      </c>
      <c r="AU2351" s="1">
        <v>44221.376701388886</v>
      </c>
      <c r="AV2351">
        <v>16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-1</v>
      </c>
      <c r="BC2351">
        <v>0</v>
      </c>
      <c r="BD2351">
        <v>0</v>
      </c>
      <c r="BE2351">
        <v>0</v>
      </c>
    </row>
    <row r="2352" spans="1:57" x14ac:dyDescent="0.45">
      <c r="A2352" t="s">
        <v>5668</v>
      </c>
      <c r="B2352" t="s">
        <v>79</v>
      </c>
      <c r="C2352" t="s">
        <v>2816</v>
      </c>
      <c r="D2352" t="s">
        <v>81</v>
      </c>
      <c r="E2352" s="2" t="str">
        <f>HYPERLINK("capsilon://?command=openfolder&amp;siteaddress=FAM.docvelocity-na8.net&amp;folderid=FX672373A6-312E-34C7-66AE-B28921FFE6D9","FX20128557")</f>
        <v>FX20128557</v>
      </c>
      <c r="F2352" t="s">
        <v>19</v>
      </c>
      <c r="G2352" t="s">
        <v>19</v>
      </c>
      <c r="H2352" t="s">
        <v>82</v>
      </c>
      <c r="I2352" t="s">
        <v>5669</v>
      </c>
      <c r="J2352">
        <v>49</v>
      </c>
      <c r="K2352" t="s">
        <v>84</v>
      </c>
      <c r="L2352" t="s">
        <v>85</v>
      </c>
      <c r="M2352" t="s">
        <v>86</v>
      </c>
      <c r="N2352">
        <v>3</v>
      </c>
      <c r="O2352" s="1">
        <v>44218.848749999997</v>
      </c>
      <c r="P2352" s="1">
        <v>44221.376956018517</v>
      </c>
      <c r="Q2352">
        <v>216513</v>
      </c>
      <c r="R2352">
        <v>1924</v>
      </c>
      <c r="S2352" t="b">
        <v>0</v>
      </c>
      <c r="T2352" t="s">
        <v>87</v>
      </c>
      <c r="U2352" t="b">
        <v>0</v>
      </c>
      <c r="V2352" t="s">
        <v>88</v>
      </c>
      <c r="W2352" s="1">
        <v>44221.181712962964</v>
      </c>
      <c r="X2352">
        <v>815</v>
      </c>
      <c r="Y2352">
        <v>49</v>
      </c>
      <c r="Z2352">
        <v>0</v>
      </c>
      <c r="AA2352">
        <v>49</v>
      </c>
      <c r="AB2352">
        <v>0</v>
      </c>
      <c r="AC2352">
        <v>30</v>
      </c>
      <c r="AD2352">
        <v>0</v>
      </c>
      <c r="AE2352">
        <v>0</v>
      </c>
      <c r="AF2352">
        <v>0</v>
      </c>
      <c r="AG2352">
        <v>0</v>
      </c>
      <c r="AH2352" t="s">
        <v>89</v>
      </c>
      <c r="AI2352" s="1">
        <v>44221.210173611114</v>
      </c>
      <c r="AJ2352">
        <v>948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 t="s">
        <v>90</v>
      </c>
      <c r="AU2352" s="1">
        <v>44221.376956018517</v>
      </c>
      <c r="AV2352">
        <v>21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 hidden="1" x14ac:dyDescent="0.45">
      <c r="A2353" t="s">
        <v>5670</v>
      </c>
      <c r="B2353" t="s">
        <v>79</v>
      </c>
      <c r="C2353" t="s">
        <v>3444</v>
      </c>
      <c r="D2353" t="s">
        <v>81</v>
      </c>
      <c r="E2353" s="2" t="str">
        <f>HYPERLINK("capsilon://?command=openfolder&amp;siteaddress=FAM.docvelocity-na8.net&amp;folderid=FXAA0B6A5C-2FD0-FCFA-C012-47806C0DD42C","FX201222970")</f>
        <v>FX201222970</v>
      </c>
      <c r="F2353" t="s">
        <v>19</v>
      </c>
      <c r="G2353" t="s">
        <v>19</v>
      </c>
      <c r="H2353" t="s">
        <v>82</v>
      </c>
      <c r="I2353" t="s">
        <v>5671</v>
      </c>
      <c r="J2353">
        <v>66</v>
      </c>
      <c r="K2353" t="s">
        <v>84</v>
      </c>
      <c r="L2353" t="s">
        <v>85</v>
      </c>
      <c r="M2353" t="s">
        <v>86</v>
      </c>
      <c r="N2353">
        <v>1</v>
      </c>
      <c r="O2353" s="1">
        <v>44218.851365740738</v>
      </c>
      <c r="P2353" s="1">
        <v>44221.175069444442</v>
      </c>
      <c r="Q2353">
        <v>200665</v>
      </c>
      <c r="R2353">
        <v>103</v>
      </c>
      <c r="S2353" t="b">
        <v>0</v>
      </c>
      <c r="T2353" t="s">
        <v>87</v>
      </c>
      <c r="U2353" t="b">
        <v>0</v>
      </c>
      <c r="V2353" t="s">
        <v>112</v>
      </c>
      <c r="W2353" s="1">
        <v>44221.175069444442</v>
      </c>
      <c r="X2353">
        <v>103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66</v>
      </c>
      <c r="AE2353">
        <v>52</v>
      </c>
      <c r="AF2353">
        <v>0</v>
      </c>
      <c r="AG2353">
        <v>1</v>
      </c>
      <c r="AH2353" t="s">
        <v>87</v>
      </c>
      <c r="AI2353" t="s">
        <v>87</v>
      </c>
      <c r="AJ2353" t="s">
        <v>87</v>
      </c>
      <c r="AK2353" t="s">
        <v>87</v>
      </c>
      <c r="AL2353" t="s">
        <v>87</v>
      </c>
      <c r="AM2353" t="s">
        <v>87</v>
      </c>
      <c r="AN2353" t="s">
        <v>87</v>
      </c>
      <c r="AO2353" t="s">
        <v>87</v>
      </c>
      <c r="AP2353" t="s">
        <v>87</v>
      </c>
      <c r="AQ2353" t="s">
        <v>87</v>
      </c>
      <c r="AR2353" t="s">
        <v>87</v>
      </c>
      <c r="AS2353" t="s">
        <v>87</v>
      </c>
      <c r="AT2353" t="s">
        <v>87</v>
      </c>
      <c r="AU2353" t="s">
        <v>87</v>
      </c>
      <c r="AV2353" t="s">
        <v>87</v>
      </c>
      <c r="AW2353" t="s">
        <v>87</v>
      </c>
      <c r="AX2353" t="s">
        <v>87</v>
      </c>
      <c r="AY2353" t="s">
        <v>87</v>
      </c>
      <c r="AZ2353" t="s">
        <v>87</v>
      </c>
      <c r="BA2353" t="s">
        <v>87</v>
      </c>
      <c r="BB2353" t="s">
        <v>87</v>
      </c>
      <c r="BC2353" t="s">
        <v>87</v>
      </c>
      <c r="BD2353" t="s">
        <v>87</v>
      </c>
      <c r="BE2353" t="s">
        <v>87</v>
      </c>
    </row>
    <row r="2354" spans="1:57" x14ac:dyDescent="0.45">
      <c r="A2354" t="s">
        <v>5672</v>
      </c>
      <c r="B2354" t="s">
        <v>79</v>
      </c>
      <c r="C2354" t="s">
        <v>5673</v>
      </c>
      <c r="D2354" t="s">
        <v>81</v>
      </c>
      <c r="E2354" s="2" t="str">
        <f>HYPERLINK("capsilon://?command=openfolder&amp;siteaddress=FAM.docvelocity-na8.net&amp;folderid=FXEA271657-4728-8886-54D0-A3A52DC8B3E3","FX20127728")</f>
        <v>FX20127728</v>
      </c>
      <c r="F2354" t="s">
        <v>19</v>
      </c>
      <c r="G2354" t="s">
        <v>19</v>
      </c>
      <c r="H2354" t="s">
        <v>82</v>
      </c>
      <c r="I2354" t="s">
        <v>5674</v>
      </c>
      <c r="J2354">
        <v>26</v>
      </c>
      <c r="K2354" t="s">
        <v>84</v>
      </c>
      <c r="L2354" t="s">
        <v>85</v>
      </c>
      <c r="M2354" t="s">
        <v>86</v>
      </c>
      <c r="N2354">
        <v>3</v>
      </c>
      <c r="O2354" s="1">
        <v>44218.866932870369</v>
      </c>
      <c r="P2354" s="1">
        <v>44221.377013888887</v>
      </c>
      <c r="Q2354">
        <v>215924</v>
      </c>
      <c r="R2354">
        <v>947</v>
      </c>
      <c r="S2354" t="b">
        <v>0</v>
      </c>
      <c r="T2354" t="s">
        <v>87</v>
      </c>
      <c r="U2354" t="b">
        <v>0</v>
      </c>
      <c r="V2354" t="s">
        <v>112</v>
      </c>
      <c r="W2354" s="1">
        <v>44221.181030092594</v>
      </c>
      <c r="X2354">
        <v>514</v>
      </c>
      <c r="Y2354">
        <v>21</v>
      </c>
      <c r="Z2354">
        <v>0</v>
      </c>
      <c r="AA2354">
        <v>21</v>
      </c>
      <c r="AB2354">
        <v>0</v>
      </c>
      <c r="AC2354">
        <v>4</v>
      </c>
      <c r="AD2354">
        <v>5</v>
      </c>
      <c r="AE2354">
        <v>0</v>
      </c>
      <c r="AF2354">
        <v>0</v>
      </c>
      <c r="AG2354">
        <v>0</v>
      </c>
      <c r="AH2354" t="s">
        <v>108</v>
      </c>
      <c r="AI2354" s="1">
        <v>44221.205509259256</v>
      </c>
      <c r="AJ2354">
        <v>429</v>
      </c>
      <c r="AK2354">
        <v>1</v>
      </c>
      <c r="AL2354">
        <v>0</v>
      </c>
      <c r="AM2354">
        <v>1</v>
      </c>
      <c r="AN2354">
        <v>0</v>
      </c>
      <c r="AO2354">
        <v>0</v>
      </c>
      <c r="AP2354">
        <v>4</v>
      </c>
      <c r="AQ2354">
        <v>0</v>
      </c>
      <c r="AR2354">
        <v>0</v>
      </c>
      <c r="AS2354">
        <v>0</v>
      </c>
      <c r="AT2354" t="s">
        <v>90</v>
      </c>
      <c r="AU2354" s="1">
        <v>44221.377013888887</v>
      </c>
      <c r="AV2354">
        <v>4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4</v>
      </c>
      <c r="BC2354">
        <v>0</v>
      </c>
      <c r="BD2354">
        <v>0</v>
      </c>
      <c r="BE2354">
        <v>0</v>
      </c>
    </row>
    <row r="2355" spans="1:57" hidden="1" x14ac:dyDescent="0.45">
      <c r="A2355" t="s">
        <v>5675</v>
      </c>
      <c r="B2355" t="s">
        <v>79</v>
      </c>
      <c r="C2355" t="s">
        <v>2836</v>
      </c>
      <c r="D2355" t="s">
        <v>81</v>
      </c>
      <c r="E2355" s="2" t="str">
        <f>HYPERLINK("capsilon://?command=openfolder&amp;siteaddress=FAM.docvelocity-na8.net&amp;folderid=FXEE3BBCEF-9502-62F9-B98D-E024EF500043","FX201222239")</f>
        <v>FX201222239</v>
      </c>
      <c r="F2355" t="s">
        <v>19</v>
      </c>
      <c r="G2355" t="s">
        <v>19</v>
      </c>
      <c r="H2355" t="s">
        <v>82</v>
      </c>
      <c r="I2355" t="s">
        <v>5676</v>
      </c>
      <c r="J2355">
        <v>66</v>
      </c>
      <c r="K2355" t="s">
        <v>84</v>
      </c>
      <c r="L2355" t="s">
        <v>85</v>
      </c>
      <c r="M2355" t="s">
        <v>86</v>
      </c>
      <c r="N2355">
        <v>1</v>
      </c>
      <c r="O2355" s="1">
        <v>44218.894166666665</v>
      </c>
      <c r="P2355" s="1">
        <v>44221.179884259262</v>
      </c>
      <c r="Q2355">
        <v>197257</v>
      </c>
      <c r="R2355">
        <v>229</v>
      </c>
      <c r="S2355" t="b">
        <v>0</v>
      </c>
      <c r="T2355" t="s">
        <v>87</v>
      </c>
      <c r="U2355" t="b">
        <v>0</v>
      </c>
      <c r="V2355" t="s">
        <v>98</v>
      </c>
      <c r="W2355" s="1">
        <v>44221.179884259262</v>
      </c>
      <c r="X2355">
        <v>229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66</v>
      </c>
      <c r="AE2355">
        <v>52</v>
      </c>
      <c r="AF2355">
        <v>0</v>
      </c>
      <c r="AG2355">
        <v>1</v>
      </c>
      <c r="AH2355" t="s">
        <v>87</v>
      </c>
      <c r="AI2355" t="s">
        <v>87</v>
      </c>
      <c r="AJ2355" t="s">
        <v>87</v>
      </c>
      <c r="AK2355" t="s">
        <v>87</v>
      </c>
      <c r="AL2355" t="s">
        <v>87</v>
      </c>
      <c r="AM2355" t="s">
        <v>87</v>
      </c>
      <c r="AN2355" t="s">
        <v>87</v>
      </c>
      <c r="AO2355" t="s">
        <v>87</v>
      </c>
      <c r="AP2355" t="s">
        <v>87</v>
      </c>
      <c r="AQ2355" t="s">
        <v>87</v>
      </c>
      <c r="AR2355" t="s">
        <v>87</v>
      </c>
      <c r="AS2355" t="s">
        <v>87</v>
      </c>
      <c r="AT2355" t="s">
        <v>87</v>
      </c>
      <c r="AU2355" t="s">
        <v>87</v>
      </c>
      <c r="AV2355" t="s">
        <v>87</v>
      </c>
      <c r="AW2355" t="s">
        <v>87</v>
      </c>
      <c r="AX2355" t="s">
        <v>87</v>
      </c>
      <c r="AY2355" t="s">
        <v>87</v>
      </c>
      <c r="AZ2355" t="s">
        <v>87</v>
      </c>
      <c r="BA2355" t="s">
        <v>87</v>
      </c>
      <c r="BB2355" t="s">
        <v>87</v>
      </c>
      <c r="BC2355" t="s">
        <v>87</v>
      </c>
      <c r="BD2355" t="s">
        <v>87</v>
      </c>
      <c r="BE2355" t="s">
        <v>87</v>
      </c>
    </row>
    <row r="2356" spans="1:57" x14ac:dyDescent="0.45">
      <c r="A2356" t="s">
        <v>5677</v>
      </c>
      <c r="B2356" t="s">
        <v>79</v>
      </c>
      <c r="C2356" t="s">
        <v>5678</v>
      </c>
      <c r="D2356" t="s">
        <v>81</v>
      </c>
      <c r="E2356" s="2" t="str">
        <f>HYPERLINK("capsilon://?command=openfolder&amp;siteaddress=FAM.docvelocity-na8.net&amp;folderid=FX485CDF32-2564-587E-9351-08AD219EFFB0","FX201223988")</f>
        <v>FX201223988</v>
      </c>
      <c r="F2356" t="s">
        <v>19</v>
      </c>
      <c r="G2356" t="s">
        <v>19</v>
      </c>
      <c r="H2356" t="s">
        <v>82</v>
      </c>
      <c r="I2356" t="s">
        <v>5679</v>
      </c>
      <c r="J2356">
        <v>66</v>
      </c>
      <c r="K2356" t="s">
        <v>84</v>
      </c>
      <c r="L2356" t="s">
        <v>85</v>
      </c>
      <c r="M2356" t="s">
        <v>86</v>
      </c>
      <c r="N2356">
        <v>3</v>
      </c>
      <c r="O2356" s="1">
        <v>44219.425416666665</v>
      </c>
      <c r="P2356" s="1">
        <v>44221.377326388887</v>
      </c>
      <c r="Q2356">
        <v>165903</v>
      </c>
      <c r="R2356">
        <v>2742</v>
      </c>
      <c r="S2356" t="b">
        <v>0</v>
      </c>
      <c r="T2356" t="s">
        <v>87</v>
      </c>
      <c r="U2356" t="b">
        <v>0</v>
      </c>
      <c r="V2356" t="s">
        <v>98</v>
      </c>
      <c r="W2356" s="1">
        <v>44221.206377314818</v>
      </c>
      <c r="X2356">
        <v>2288</v>
      </c>
      <c r="Y2356">
        <v>52</v>
      </c>
      <c r="Z2356">
        <v>0</v>
      </c>
      <c r="AA2356">
        <v>52</v>
      </c>
      <c r="AB2356">
        <v>0</v>
      </c>
      <c r="AC2356">
        <v>31</v>
      </c>
      <c r="AD2356">
        <v>14</v>
      </c>
      <c r="AE2356">
        <v>0</v>
      </c>
      <c r="AF2356">
        <v>0</v>
      </c>
      <c r="AG2356">
        <v>0</v>
      </c>
      <c r="AH2356" t="s">
        <v>108</v>
      </c>
      <c r="AI2356" s="1">
        <v>44221.214953703704</v>
      </c>
      <c r="AJ2356">
        <v>427</v>
      </c>
      <c r="AK2356">
        <v>3</v>
      </c>
      <c r="AL2356">
        <v>0</v>
      </c>
      <c r="AM2356">
        <v>3</v>
      </c>
      <c r="AN2356">
        <v>0</v>
      </c>
      <c r="AO2356">
        <v>1</v>
      </c>
      <c r="AP2356">
        <v>11</v>
      </c>
      <c r="AQ2356">
        <v>0</v>
      </c>
      <c r="AR2356">
        <v>0</v>
      </c>
      <c r="AS2356">
        <v>0</v>
      </c>
      <c r="AT2356" t="s">
        <v>90</v>
      </c>
      <c r="AU2356" s="1">
        <v>44221.377326388887</v>
      </c>
      <c r="AV2356">
        <v>27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11</v>
      </c>
      <c r="BC2356">
        <v>0</v>
      </c>
      <c r="BD2356">
        <v>0</v>
      </c>
      <c r="BE2356">
        <v>0</v>
      </c>
    </row>
    <row r="2357" spans="1:57" x14ac:dyDescent="0.45">
      <c r="A2357" t="s">
        <v>5680</v>
      </c>
      <c r="B2357" t="s">
        <v>79</v>
      </c>
      <c r="C2357" t="s">
        <v>5228</v>
      </c>
      <c r="D2357" t="s">
        <v>81</v>
      </c>
      <c r="E2357" s="2" t="str">
        <f>HYPERLINK("capsilon://?command=openfolder&amp;siteaddress=FAM.docvelocity-na8.net&amp;folderid=FX3542CF65-B1F6-2271-A488-19F3A6706534","FX210112370")</f>
        <v>FX210112370</v>
      </c>
      <c r="F2357" t="s">
        <v>19</v>
      </c>
      <c r="G2357" t="s">
        <v>19</v>
      </c>
      <c r="H2357" t="s">
        <v>82</v>
      </c>
      <c r="I2357" t="s">
        <v>5681</v>
      </c>
      <c r="J2357">
        <v>26</v>
      </c>
      <c r="K2357" t="s">
        <v>84</v>
      </c>
      <c r="L2357" t="s">
        <v>85</v>
      </c>
      <c r="M2357" t="s">
        <v>86</v>
      </c>
      <c r="N2357">
        <v>3</v>
      </c>
      <c r="O2357" s="1">
        <v>44219.427754629629</v>
      </c>
      <c r="P2357" s="1">
        <v>44221.377372685187</v>
      </c>
      <c r="Q2357">
        <v>167325</v>
      </c>
      <c r="R2357">
        <v>1122</v>
      </c>
      <c r="S2357" t="b">
        <v>0</v>
      </c>
      <c r="T2357" t="s">
        <v>87</v>
      </c>
      <c r="U2357" t="b">
        <v>0</v>
      </c>
      <c r="V2357" t="s">
        <v>88</v>
      </c>
      <c r="W2357" s="1">
        <v>44221.189282407409</v>
      </c>
      <c r="X2357">
        <v>653</v>
      </c>
      <c r="Y2357">
        <v>21</v>
      </c>
      <c r="Z2357">
        <v>0</v>
      </c>
      <c r="AA2357">
        <v>21</v>
      </c>
      <c r="AB2357">
        <v>0</v>
      </c>
      <c r="AC2357">
        <v>19</v>
      </c>
      <c r="AD2357">
        <v>5</v>
      </c>
      <c r="AE2357">
        <v>0</v>
      </c>
      <c r="AF2357">
        <v>0</v>
      </c>
      <c r="AG2357">
        <v>0</v>
      </c>
      <c r="AH2357" t="s">
        <v>89</v>
      </c>
      <c r="AI2357" s="1">
        <v>44221.215555555558</v>
      </c>
      <c r="AJ2357">
        <v>465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5</v>
      </c>
      <c r="AQ2357">
        <v>0</v>
      </c>
      <c r="AR2357">
        <v>0</v>
      </c>
      <c r="AS2357">
        <v>0</v>
      </c>
      <c r="AT2357" t="s">
        <v>90</v>
      </c>
      <c r="AU2357" s="1">
        <v>44221.377372685187</v>
      </c>
      <c r="AV2357">
        <v>4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5</v>
      </c>
      <c r="BC2357">
        <v>0</v>
      </c>
      <c r="BD2357">
        <v>0</v>
      </c>
      <c r="BE2357">
        <v>0</v>
      </c>
    </row>
    <row r="2358" spans="1:57" x14ac:dyDescent="0.45">
      <c r="A2358" t="s">
        <v>5682</v>
      </c>
      <c r="B2358" t="s">
        <v>79</v>
      </c>
      <c r="C2358" t="s">
        <v>5242</v>
      </c>
      <c r="D2358" t="s">
        <v>81</v>
      </c>
      <c r="E2358" s="2" t="str">
        <f>HYPERLINK("capsilon://?command=openfolder&amp;siteaddress=FAM.docvelocity-na8.net&amp;folderid=FXC24AD4C4-73A6-D76A-833F-2CEEEDD5114F","FX210112477")</f>
        <v>FX210112477</v>
      </c>
      <c r="F2358" t="s">
        <v>19</v>
      </c>
      <c r="G2358" t="s">
        <v>19</v>
      </c>
      <c r="H2358" t="s">
        <v>82</v>
      </c>
      <c r="I2358" t="s">
        <v>5683</v>
      </c>
      <c r="J2358">
        <v>26</v>
      </c>
      <c r="K2358" t="s">
        <v>84</v>
      </c>
      <c r="L2358" t="s">
        <v>85</v>
      </c>
      <c r="M2358" t="s">
        <v>86</v>
      </c>
      <c r="N2358">
        <v>3</v>
      </c>
      <c r="O2358" s="1">
        <v>44219.431284722225</v>
      </c>
      <c r="P2358" s="1">
        <v>44221.377418981479</v>
      </c>
      <c r="Q2358">
        <v>166871</v>
      </c>
      <c r="R2358">
        <v>1275</v>
      </c>
      <c r="S2358" t="b">
        <v>0</v>
      </c>
      <c r="T2358" t="s">
        <v>87</v>
      </c>
      <c r="U2358" t="b">
        <v>0</v>
      </c>
      <c r="V2358" t="s">
        <v>88</v>
      </c>
      <c r="W2358" s="1">
        <v>44221.201539351852</v>
      </c>
      <c r="X2358">
        <v>1058</v>
      </c>
      <c r="Y2358">
        <v>21</v>
      </c>
      <c r="Z2358">
        <v>0</v>
      </c>
      <c r="AA2358">
        <v>21</v>
      </c>
      <c r="AB2358">
        <v>0</v>
      </c>
      <c r="AC2358">
        <v>21</v>
      </c>
      <c r="AD2358">
        <v>5</v>
      </c>
      <c r="AE2358">
        <v>0</v>
      </c>
      <c r="AF2358">
        <v>0</v>
      </c>
      <c r="AG2358">
        <v>0</v>
      </c>
      <c r="AH2358" t="s">
        <v>108</v>
      </c>
      <c r="AI2358" s="1">
        <v>44221.21671296296</v>
      </c>
      <c r="AJ2358">
        <v>151</v>
      </c>
      <c r="AK2358">
        <v>2</v>
      </c>
      <c r="AL2358">
        <v>0</v>
      </c>
      <c r="AM2358">
        <v>2</v>
      </c>
      <c r="AN2358">
        <v>0</v>
      </c>
      <c r="AO2358">
        <v>0</v>
      </c>
      <c r="AP2358">
        <v>3</v>
      </c>
      <c r="AQ2358">
        <v>0</v>
      </c>
      <c r="AR2358">
        <v>0</v>
      </c>
      <c r="AS2358">
        <v>0</v>
      </c>
      <c r="AT2358" t="s">
        <v>90</v>
      </c>
      <c r="AU2358" s="1">
        <v>44221.377418981479</v>
      </c>
      <c r="AV2358">
        <v>4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3</v>
      </c>
      <c r="BC2358">
        <v>0</v>
      </c>
      <c r="BD2358">
        <v>0</v>
      </c>
      <c r="BE2358">
        <v>0</v>
      </c>
    </row>
    <row r="2359" spans="1:57" hidden="1" x14ac:dyDescent="0.45">
      <c r="A2359" t="s">
        <v>5684</v>
      </c>
      <c r="B2359" t="s">
        <v>79</v>
      </c>
      <c r="C2359" t="s">
        <v>5685</v>
      </c>
      <c r="D2359" t="s">
        <v>81</v>
      </c>
      <c r="E2359" s="2" t="str">
        <f>HYPERLINK("capsilon://?command=openfolder&amp;siteaddress=FAM.docvelocity-na8.net&amp;folderid=FX4A7F3810-0E26-C2C1-9EFE-DC231C1D7B70","FX20121050")</f>
        <v>FX20121050</v>
      </c>
      <c r="F2359" t="s">
        <v>19</v>
      </c>
      <c r="G2359" t="s">
        <v>19</v>
      </c>
      <c r="H2359" t="s">
        <v>82</v>
      </c>
      <c r="I2359" t="s">
        <v>5686</v>
      </c>
      <c r="J2359">
        <v>80</v>
      </c>
      <c r="K2359" t="s">
        <v>84</v>
      </c>
      <c r="L2359" t="s">
        <v>85</v>
      </c>
      <c r="M2359" t="s">
        <v>86</v>
      </c>
      <c r="N2359">
        <v>1</v>
      </c>
      <c r="O2359" s="1">
        <v>44219.545891203707</v>
      </c>
      <c r="P2359" s="1">
        <v>44221.20821759259</v>
      </c>
      <c r="Q2359">
        <v>143002</v>
      </c>
      <c r="R2359">
        <v>623</v>
      </c>
      <c r="S2359" t="b">
        <v>0</v>
      </c>
      <c r="T2359" t="s">
        <v>87</v>
      </c>
      <c r="U2359" t="b">
        <v>0</v>
      </c>
      <c r="V2359" t="s">
        <v>88</v>
      </c>
      <c r="W2359" s="1">
        <v>44221.20821759259</v>
      </c>
      <c r="X2359">
        <v>576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80</v>
      </c>
      <c r="AE2359">
        <v>76</v>
      </c>
      <c r="AF2359">
        <v>0</v>
      </c>
      <c r="AG2359">
        <v>2</v>
      </c>
      <c r="AH2359" t="s">
        <v>87</v>
      </c>
      <c r="AI2359" t="s">
        <v>87</v>
      </c>
      <c r="AJ2359" t="s">
        <v>87</v>
      </c>
      <c r="AK2359" t="s">
        <v>87</v>
      </c>
      <c r="AL2359" t="s">
        <v>87</v>
      </c>
      <c r="AM2359" t="s">
        <v>87</v>
      </c>
      <c r="AN2359" t="s">
        <v>87</v>
      </c>
      <c r="AO2359" t="s">
        <v>87</v>
      </c>
      <c r="AP2359" t="s">
        <v>87</v>
      </c>
      <c r="AQ2359" t="s">
        <v>87</v>
      </c>
      <c r="AR2359" t="s">
        <v>87</v>
      </c>
      <c r="AS2359" t="s">
        <v>87</v>
      </c>
      <c r="AT2359" t="s">
        <v>87</v>
      </c>
      <c r="AU2359" t="s">
        <v>87</v>
      </c>
      <c r="AV2359" t="s">
        <v>87</v>
      </c>
      <c r="AW2359" t="s">
        <v>87</v>
      </c>
      <c r="AX2359" t="s">
        <v>87</v>
      </c>
      <c r="AY2359" t="s">
        <v>87</v>
      </c>
      <c r="AZ2359" t="s">
        <v>87</v>
      </c>
      <c r="BA2359" t="s">
        <v>87</v>
      </c>
      <c r="BB2359" t="s">
        <v>87</v>
      </c>
      <c r="BC2359" t="s">
        <v>87</v>
      </c>
      <c r="BD2359" t="s">
        <v>87</v>
      </c>
      <c r="BE2359" t="s">
        <v>87</v>
      </c>
    </row>
    <row r="2360" spans="1:57" x14ac:dyDescent="0.45">
      <c r="A2360" t="s">
        <v>5687</v>
      </c>
      <c r="B2360" t="s">
        <v>79</v>
      </c>
      <c r="C2360" t="s">
        <v>1810</v>
      </c>
      <c r="D2360" t="s">
        <v>81</v>
      </c>
      <c r="E2360" s="2" t="str">
        <f>HYPERLINK("capsilon://?command=openfolder&amp;siteaddress=FAM.docvelocity-na8.net&amp;folderid=FX71938DD3-F67D-011A-DBAD-4E2AFD32DA8B","FX21014640")</f>
        <v>FX21014640</v>
      </c>
      <c r="F2360" t="s">
        <v>19</v>
      </c>
      <c r="G2360" t="s">
        <v>19</v>
      </c>
      <c r="H2360" t="s">
        <v>82</v>
      </c>
      <c r="I2360" t="s">
        <v>5688</v>
      </c>
      <c r="J2360">
        <v>132</v>
      </c>
      <c r="K2360" t="s">
        <v>84</v>
      </c>
      <c r="L2360" t="s">
        <v>85</v>
      </c>
      <c r="M2360" t="s">
        <v>86</v>
      </c>
      <c r="N2360">
        <v>3</v>
      </c>
      <c r="O2360" s="1">
        <v>44219.568182870367</v>
      </c>
      <c r="P2360" s="1">
        <v>44221.423020833332</v>
      </c>
      <c r="Q2360">
        <v>151775</v>
      </c>
      <c r="R2360">
        <v>8483</v>
      </c>
      <c r="S2360" t="b">
        <v>0</v>
      </c>
      <c r="T2360" t="s">
        <v>87</v>
      </c>
      <c r="U2360" t="b">
        <v>0</v>
      </c>
      <c r="V2360" t="s">
        <v>98</v>
      </c>
      <c r="W2360" s="1">
        <v>44221.38181712963</v>
      </c>
      <c r="X2360">
        <v>6330</v>
      </c>
      <c r="Y2360">
        <v>106</v>
      </c>
      <c r="Z2360">
        <v>0</v>
      </c>
      <c r="AA2360">
        <v>106</v>
      </c>
      <c r="AB2360">
        <v>0</v>
      </c>
      <c r="AC2360">
        <v>71</v>
      </c>
      <c r="AD2360">
        <v>26</v>
      </c>
      <c r="AE2360">
        <v>0</v>
      </c>
      <c r="AF2360">
        <v>0</v>
      </c>
      <c r="AG2360">
        <v>0</v>
      </c>
      <c r="AH2360" t="s">
        <v>108</v>
      </c>
      <c r="AI2360" s="1">
        <v>44221.419004629628</v>
      </c>
      <c r="AJ2360">
        <v>477</v>
      </c>
      <c r="AK2360">
        <v>2</v>
      </c>
      <c r="AL2360">
        <v>0</v>
      </c>
      <c r="AM2360">
        <v>2</v>
      </c>
      <c r="AN2360">
        <v>0</v>
      </c>
      <c r="AO2360">
        <v>0</v>
      </c>
      <c r="AP2360">
        <v>24</v>
      </c>
      <c r="AQ2360">
        <v>0</v>
      </c>
      <c r="AR2360">
        <v>0</v>
      </c>
      <c r="AS2360">
        <v>0</v>
      </c>
      <c r="AT2360" t="s">
        <v>90</v>
      </c>
      <c r="AU2360" s="1">
        <v>44221.423020833332</v>
      </c>
      <c r="AV2360">
        <v>176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24</v>
      </c>
      <c r="BC2360">
        <v>0</v>
      </c>
      <c r="BD2360">
        <v>0</v>
      </c>
      <c r="BE2360">
        <v>0</v>
      </c>
    </row>
    <row r="2361" spans="1:57" x14ac:dyDescent="0.45">
      <c r="A2361" t="s">
        <v>5689</v>
      </c>
      <c r="B2361" t="s">
        <v>79</v>
      </c>
      <c r="C2361" t="s">
        <v>3837</v>
      </c>
      <c r="D2361" t="s">
        <v>81</v>
      </c>
      <c r="E2361" s="2" t="str">
        <f>HYPERLINK("capsilon://?command=openfolder&amp;siteaddress=FAM.docvelocity-na8.net&amp;folderid=FX2F51683B-18E4-30FE-5B0E-F06BF7C41775","FX201221869")</f>
        <v>FX201221869</v>
      </c>
      <c r="F2361" t="s">
        <v>19</v>
      </c>
      <c r="G2361" t="s">
        <v>19</v>
      </c>
      <c r="H2361" t="s">
        <v>82</v>
      </c>
      <c r="I2361" t="s">
        <v>5690</v>
      </c>
      <c r="J2361">
        <v>66</v>
      </c>
      <c r="K2361" t="s">
        <v>84</v>
      </c>
      <c r="L2361" t="s">
        <v>85</v>
      </c>
      <c r="M2361" t="s">
        <v>86</v>
      </c>
      <c r="N2361">
        <v>3</v>
      </c>
      <c r="O2361" s="1">
        <v>44219.568530092591</v>
      </c>
      <c r="P2361" s="1">
        <v>44221.377743055556</v>
      </c>
      <c r="Q2361">
        <v>155018</v>
      </c>
      <c r="R2361">
        <v>1298</v>
      </c>
      <c r="S2361" t="b">
        <v>0</v>
      </c>
      <c r="T2361" t="s">
        <v>87</v>
      </c>
      <c r="U2361" t="b">
        <v>0</v>
      </c>
      <c r="V2361" t="s">
        <v>88</v>
      </c>
      <c r="W2361" s="1">
        <v>44221.216574074075</v>
      </c>
      <c r="X2361">
        <v>721</v>
      </c>
      <c r="Y2361">
        <v>52</v>
      </c>
      <c r="Z2361">
        <v>0</v>
      </c>
      <c r="AA2361">
        <v>52</v>
      </c>
      <c r="AB2361">
        <v>0</v>
      </c>
      <c r="AC2361">
        <v>40</v>
      </c>
      <c r="AD2361">
        <v>14</v>
      </c>
      <c r="AE2361">
        <v>0</v>
      </c>
      <c r="AF2361">
        <v>0</v>
      </c>
      <c r="AG2361">
        <v>0</v>
      </c>
      <c r="AH2361" t="s">
        <v>108</v>
      </c>
      <c r="AI2361" s="1">
        <v>44221.223078703704</v>
      </c>
      <c r="AJ2361">
        <v>549</v>
      </c>
      <c r="AK2361">
        <v>1</v>
      </c>
      <c r="AL2361">
        <v>0</v>
      </c>
      <c r="AM2361">
        <v>1</v>
      </c>
      <c r="AN2361">
        <v>0</v>
      </c>
      <c r="AO2361">
        <v>0</v>
      </c>
      <c r="AP2361">
        <v>13</v>
      </c>
      <c r="AQ2361">
        <v>0</v>
      </c>
      <c r="AR2361">
        <v>0</v>
      </c>
      <c r="AS2361">
        <v>0</v>
      </c>
      <c r="AT2361" t="s">
        <v>90</v>
      </c>
      <c r="AU2361" s="1">
        <v>44221.377743055556</v>
      </c>
      <c r="AV2361">
        <v>28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13</v>
      </c>
      <c r="BC2361">
        <v>0</v>
      </c>
      <c r="BD2361">
        <v>0</v>
      </c>
      <c r="BE2361">
        <v>0</v>
      </c>
    </row>
    <row r="2362" spans="1:57" hidden="1" x14ac:dyDescent="0.45">
      <c r="A2362" t="s">
        <v>5691</v>
      </c>
      <c r="B2362" t="s">
        <v>79</v>
      </c>
      <c r="C2362" t="s">
        <v>5692</v>
      </c>
      <c r="D2362" t="s">
        <v>81</v>
      </c>
      <c r="E2362" s="2" t="str">
        <f>HYPERLINK("capsilon://?command=openfolder&amp;siteaddress=FAM.docvelocity-na8.net&amp;folderid=FX6C385149-E1D7-AF26-9C17-58DFDB9AEE72","FX201224182")</f>
        <v>FX201224182</v>
      </c>
      <c r="F2362" t="s">
        <v>19</v>
      </c>
      <c r="G2362" t="s">
        <v>19</v>
      </c>
      <c r="H2362" t="s">
        <v>82</v>
      </c>
      <c r="I2362" t="s">
        <v>5693</v>
      </c>
      <c r="J2362">
        <v>66</v>
      </c>
      <c r="K2362" t="s">
        <v>84</v>
      </c>
      <c r="L2362" t="s">
        <v>85</v>
      </c>
      <c r="M2362" t="s">
        <v>86</v>
      </c>
      <c r="N2362">
        <v>1</v>
      </c>
      <c r="O2362" s="1">
        <v>44220.447534722225</v>
      </c>
      <c r="P2362" s="1">
        <v>44221.219814814816</v>
      </c>
      <c r="Q2362">
        <v>66472</v>
      </c>
      <c r="R2362">
        <v>253</v>
      </c>
      <c r="S2362" t="b">
        <v>0</v>
      </c>
      <c r="T2362" t="s">
        <v>87</v>
      </c>
      <c r="U2362" t="b">
        <v>0</v>
      </c>
      <c r="V2362" t="s">
        <v>112</v>
      </c>
      <c r="W2362" s="1">
        <v>44221.219814814816</v>
      </c>
      <c r="X2362">
        <v>253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66</v>
      </c>
      <c r="AE2362">
        <v>52</v>
      </c>
      <c r="AF2362">
        <v>0</v>
      </c>
      <c r="AG2362">
        <v>1</v>
      </c>
      <c r="AH2362" t="s">
        <v>87</v>
      </c>
      <c r="AI2362" t="s">
        <v>87</v>
      </c>
      <c r="AJ2362" t="s">
        <v>87</v>
      </c>
      <c r="AK2362" t="s">
        <v>87</v>
      </c>
      <c r="AL2362" t="s">
        <v>87</v>
      </c>
      <c r="AM2362" t="s">
        <v>87</v>
      </c>
      <c r="AN2362" t="s">
        <v>87</v>
      </c>
      <c r="AO2362" t="s">
        <v>87</v>
      </c>
      <c r="AP2362" t="s">
        <v>87</v>
      </c>
      <c r="AQ2362" t="s">
        <v>87</v>
      </c>
      <c r="AR2362" t="s">
        <v>87</v>
      </c>
      <c r="AS2362" t="s">
        <v>87</v>
      </c>
      <c r="AT2362" t="s">
        <v>87</v>
      </c>
      <c r="AU2362" t="s">
        <v>87</v>
      </c>
      <c r="AV2362" t="s">
        <v>87</v>
      </c>
      <c r="AW2362" t="s">
        <v>87</v>
      </c>
      <c r="AX2362" t="s">
        <v>87</v>
      </c>
      <c r="AY2362" t="s">
        <v>87</v>
      </c>
      <c r="AZ2362" t="s">
        <v>87</v>
      </c>
      <c r="BA2362" t="s">
        <v>87</v>
      </c>
      <c r="BB2362" t="s">
        <v>87</v>
      </c>
      <c r="BC2362" t="s">
        <v>87</v>
      </c>
      <c r="BD2362" t="s">
        <v>87</v>
      </c>
      <c r="BE2362" t="s">
        <v>87</v>
      </c>
    </row>
    <row r="2363" spans="1:57" hidden="1" x14ac:dyDescent="0.45">
      <c r="A2363" t="s">
        <v>5694</v>
      </c>
      <c r="B2363" t="s">
        <v>79</v>
      </c>
      <c r="C2363" t="s">
        <v>2785</v>
      </c>
      <c r="D2363" t="s">
        <v>81</v>
      </c>
      <c r="E2363" s="2" t="str">
        <f>HYPERLINK("capsilon://?command=openfolder&amp;siteaddress=FAM.docvelocity-na8.net&amp;folderid=FXAE7146AF-551E-83CA-1C7F-1FD2FA28F132","FX21016501")</f>
        <v>FX21016501</v>
      </c>
      <c r="F2363" t="s">
        <v>19</v>
      </c>
      <c r="G2363" t="s">
        <v>19</v>
      </c>
      <c r="H2363" t="s">
        <v>82</v>
      </c>
      <c r="I2363" t="s">
        <v>5695</v>
      </c>
      <c r="J2363">
        <v>38</v>
      </c>
      <c r="K2363" t="s">
        <v>84</v>
      </c>
      <c r="L2363" t="s">
        <v>85</v>
      </c>
      <c r="M2363" t="s">
        <v>86</v>
      </c>
      <c r="N2363">
        <v>3</v>
      </c>
      <c r="O2363" s="1">
        <v>44220.475127314814</v>
      </c>
      <c r="P2363" s="1">
        <v>44221.377789351849</v>
      </c>
      <c r="Q2363">
        <v>77293</v>
      </c>
      <c r="R2363">
        <v>697</v>
      </c>
      <c r="S2363" t="b">
        <v>0</v>
      </c>
      <c r="T2363" t="s">
        <v>87</v>
      </c>
      <c r="U2363" t="b">
        <v>0</v>
      </c>
      <c r="V2363" t="s">
        <v>112</v>
      </c>
      <c r="W2363" s="1">
        <v>44221.225462962961</v>
      </c>
      <c r="X2363">
        <v>487</v>
      </c>
      <c r="Y2363">
        <v>0</v>
      </c>
      <c r="Z2363">
        <v>0</v>
      </c>
      <c r="AA2363">
        <v>0</v>
      </c>
      <c r="AB2363">
        <v>37</v>
      </c>
      <c r="AC2363">
        <v>0</v>
      </c>
      <c r="AD2363">
        <v>38</v>
      </c>
      <c r="AE2363">
        <v>0</v>
      </c>
      <c r="AF2363">
        <v>0</v>
      </c>
      <c r="AG2363">
        <v>0</v>
      </c>
      <c r="AH2363" t="s">
        <v>108</v>
      </c>
      <c r="AI2363" s="1">
        <v>44221.249849537038</v>
      </c>
      <c r="AJ2363">
        <v>187</v>
      </c>
      <c r="AK2363">
        <v>0</v>
      </c>
      <c r="AL2363">
        <v>0</v>
      </c>
      <c r="AM2363">
        <v>0</v>
      </c>
      <c r="AN2363">
        <v>37</v>
      </c>
      <c r="AO2363">
        <v>0</v>
      </c>
      <c r="AP2363">
        <v>38</v>
      </c>
      <c r="AQ2363">
        <v>0</v>
      </c>
      <c r="AR2363">
        <v>0</v>
      </c>
      <c r="AS2363">
        <v>0</v>
      </c>
      <c r="AT2363" t="s">
        <v>90</v>
      </c>
      <c r="AU2363" s="1">
        <v>44221.377789351849</v>
      </c>
      <c r="AV2363">
        <v>3</v>
      </c>
      <c r="AW2363">
        <v>0</v>
      </c>
      <c r="AX2363">
        <v>0</v>
      </c>
      <c r="AY2363">
        <v>0</v>
      </c>
      <c r="AZ2363">
        <v>37</v>
      </c>
      <c r="BA2363">
        <v>0</v>
      </c>
      <c r="BB2363">
        <v>38</v>
      </c>
      <c r="BC2363">
        <v>0</v>
      </c>
      <c r="BD2363">
        <v>0</v>
      </c>
      <c r="BE2363">
        <v>0</v>
      </c>
    </row>
    <row r="2364" spans="1:57" x14ac:dyDescent="0.45">
      <c r="A2364" t="s">
        <v>5696</v>
      </c>
      <c r="B2364" t="s">
        <v>79</v>
      </c>
      <c r="C2364" t="s">
        <v>3444</v>
      </c>
      <c r="D2364" t="s">
        <v>81</v>
      </c>
      <c r="E2364" s="2" t="str">
        <f>HYPERLINK("capsilon://?command=openfolder&amp;siteaddress=FAM.docvelocity-na8.net&amp;folderid=FXAA0B6A5C-2FD0-FCFA-C012-47806C0DD42C","FX201222970")</f>
        <v>FX201222970</v>
      </c>
      <c r="F2364" t="s">
        <v>19</v>
      </c>
      <c r="G2364" t="s">
        <v>19</v>
      </c>
      <c r="H2364" t="s">
        <v>82</v>
      </c>
      <c r="I2364" t="s">
        <v>5671</v>
      </c>
      <c r="J2364">
        <v>38</v>
      </c>
      <c r="K2364" t="s">
        <v>84</v>
      </c>
      <c r="L2364" t="s">
        <v>85</v>
      </c>
      <c r="M2364" t="s">
        <v>86</v>
      </c>
      <c r="N2364">
        <v>3</v>
      </c>
      <c r="O2364" s="1">
        <v>44221.175393518519</v>
      </c>
      <c r="P2364" s="1">
        <v>44221.344178240739</v>
      </c>
      <c r="Q2364">
        <v>12494</v>
      </c>
      <c r="R2364">
        <v>2089</v>
      </c>
      <c r="S2364" t="b">
        <v>0</v>
      </c>
      <c r="T2364" t="s">
        <v>87</v>
      </c>
      <c r="U2364" t="b">
        <v>1</v>
      </c>
      <c r="V2364" t="s">
        <v>105</v>
      </c>
      <c r="W2364" s="1">
        <v>44221.190381944441</v>
      </c>
      <c r="X2364">
        <v>1227</v>
      </c>
      <c r="Y2364">
        <v>37</v>
      </c>
      <c r="Z2364">
        <v>0</v>
      </c>
      <c r="AA2364">
        <v>37</v>
      </c>
      <c r="AB2364">
        <v>0</v>
      </c>
      <c r="AC2364">
        <v>34</v>
      </c>
      <c r="AD2364">
        <v>1</v>
      </c>
      <c r="AE2364">
        <v>0</v>
      </c>
      <c r="AF2364">
        <v>0</v>
      </c>
      <c r="AG2364">
        <v>0</v>
      </c>
      <c r="AH2364" t="s">
        <v>108</v>
      </c>
      <c r="AI2364" s="1">
        <v>44221.200532407405</v>
      </c>
      <c r="AJ2364">
        <v>855</v>
      </c>
      <c r="AK2364">
        <v>7</v>
      </c>
      <c r="AL2364">
        <v>0</v>
      </c>
      <c r="AM2364">
        <v>7</v>
      </c>
      <c r="AN2364">
        <v>0</v>
      </c>
      <c r="AO2364">
        <v>5</v>
      </c>
      <c r="AP2364">
        <v>-6</v>
      </c>
      <c r="AQ2364">
        <v>0</v>
      </c>
      <c r="AR2364">
        <v>0</v>
      </c>
      <c r="AS2364">
        <v>0</v>
      </c>
      <c r="AT2364" t="s">
        <v>90</v>
      </c>
      <c r="AU2364" s="1">
        <v>44221.344178240739</v>
      </c>
      <c r="AV2364">
        <v>7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-6</v>
      </c>
      <c r="BC2364">
        <v>0</v>
      </c>
      <c r="BD2364">
        <v>0</v>
      </c>
      <c r="BE2364">
        <v>0</v>
      </c>
    </row>
    <row r="2365" spans="1:57" x14ac:dyDescent="0.45">
      <c r="A2365" t="s">
        <v>5697</v>
      </c>
      <c r="B2365" t="s">
        <v>79</v>
      </c>
      <c r="C2365" t="s">
        <v>2836</v>
      </c>
      <c r="D2365" t="s">
        <v>81</v>
      </c>
      <c r="E2365" s="2" t="str">
        <f>HYPERLINK("capsilon://?command=openfolder&amp;siteaddress=FAM.docvelocity-na8.net&amp;folderid=FXEE3BBCEF-9502-62F9-B98D-E024EF500043","FX201222239")</f>
        <v>FX201222239</v>
      </c>
      <c r="F2365" t="s">
        <v>19</v>
      </c>
      <c r="G2365" t="s">
        <v>19</v>
      </c>
      <c r="H2365" t="s">
        <v>82</v>
      </c>
      <c r="I2365" t="s">
        <v>5676</v>
      </c>
      <c r="J2365">
        <v>38</v>
      </c>
      <c r="K2365" t="s">
        <v>84</v>
      </c>
      <c r="L2365" t="s">
        <v>85</v>
      </c>
      <c r="M2365" t="s">
        <v>86</v>
      </c>
      <c r="N2365">
        <v>3</v>
      </c>
      <c r="O2365" s="1">
        <v>44221.180208333331</v>
      </c>
      <c r="P2365" s="1">
        <v>44221.344259259262</v>
      </c>
      <c r="Q2365">
        <v>12079</v>
      </c>
      <c r="R2365">
        <v>2095</v>
      </c>
      <c r="S2365" t="b">
        <v>0</v>
      </c>
      <c r="T2365" t="s">
        <v>87</v>
      </c>
      <c r="U2365" t="b">
        <v>1</v>
      </c>
      <c r="V2365" t="s">
        <v>112</v>
      </c>
      <c r="W2365" s="1">
        <v>44221.200740740744</v>
      </c>
      <c r="X2365">
        <v>1702</v>
      </c>
      <c r="Y2365">
        <v>37</v>
      </c>
      <c r="Z2365">
        <v>0</v>
      </c>
      <c r="AA2365">
        <v>37</v>
      </c>
      <c r="AB2365">
        <v>0</v>
      </c>
      <c r="AC2365">
        <v>33</v>
      </c>
      <c r="AD2365">
        <v>1</v>
      </c>
      <c r="AE2365">
        <v>0</v>
      </c>
      <c r="AF2365">
        <v>0</v>
      </c>
      <c r="AG2365">
        <v>0</v>
      </c>
      <c r="AH2365" t="s">
        <v>108</v>
      </c>
      <c r="AI2365" s="1">
        <v>44221.21</v>
      </c>
      <c r="AJ2365">
        <v>387</v>
      </c>
      <c r="AK2365">
        <v>3</v>
      </c>
      <c r="AL2365">
        <v>0</v>
      </c>
      <c r="AM2365">
        <v>3</v>
      </c>
      <c r="AN2365">
        <v>0</v>
      </c>
      <c r="AO2365">
        <v>2</v>
      </c>
      <c r="AP2365">
        <v>-2</v>
      </c>
      <c r="AQ2365">
        <v>0</v>
      </c>
      <c r="AR2365">
        <v>0</v>
      </c>
      <c r="AS2365">
        <v>0</v>
      </c>
      <c r="AT2365" t="s">
        <v>90</v>
      </c>
      <c r="AU2365" s="1">
        <v>44221.344259259262</v>
      </c>
      <c r="AV2365">
        <v>6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-2</v>
      </c>
      <c r="BC2365">
        <v>0</v>
      </c>
      <c r="BD2365">
        <v>0</v>
      </c>
      <c r="BE2365">
        <v>0</v>
      </c>
    </row>
    <row r="2366" spans="1:57" x14ac:dyDescent="0.45">
      <c r="A2366" t="s">
        <v>5698</v>
      </c>
      <c r="B2366" t="s">
        <v>79</v>
      </c>
      <c r="C2366" t="s">
        <v>5685</v>
      </c>
      <c r="D2366" t="s">
        <v>81</v>
      </c>
      <c r="E2366" s="2" t="str">
        <f>HYPERLINK("capsilon://?command=openfolder&amp;siteaddress=FAM.docvelocity-na8.net&amp;folderid=FX4A7F3810-0E26-C2C1-9EFE-DC231C1D7B70","FX20121050")</f>
        <v>FX20121050</v>
      </c>
      <c r="F2366" t="s">
        <v>19</v>
      </c>
      <c r="G2366" t="s">
        <v>19</v>
      </c>
      <c r="H2366" t="s">
        <v>82</v>
      </c>
      <c r="I2366" t="s">
        <v>5686</v>
      </c>
      <c r="J2366">
        <v>132</v>
      </c>
      <c r="K2366" t="s">
        <v>84</v>
      </c>
      <c r="L2366" t="s">
        <v>85</v>
      </c>
      <c r="M2366" t="s">
        <v>86</v>
      </c>
      <c r="N2366">
        <v>3</v>
      </c>
      <c r="O2366" s="1">
        <v>44221.21056712963</v>
      </c>
      <c r="P2366" s="1">
        <v>44221.345821759256</v>
      </c>
      <c r="Q2366">
        <v>4255</v>
      </c>
      <c r="R2366">
        <v>7431</v>
      </c>
      <c r="S2366" t="b">
        <v>0</v>
      </c>
      <c r="T2366" t="s">
        <v>87</v>
      </c>
      <c r="U2366" t="b">
        <v>1</v>
      </c>
      <c r="V2366" t="s">
        <v>88</v>
      </c>
      <c r="W2366" s="1">
        <v>44221.262916666667</v>
      </c>
      <c r="X2366">
        <v>4503</v>
      </c>
      <c r="Y2366">
        <v>357</v>
      </c>
      <c r="Z2366">
        <v>0</v>
      </c>
      <c r="AA2366">
        <v>357</v>
      </c>
      <c r="AB2366">
        <v>0</v>
      </c>
      <c r="AC2366">
        <v>314</v>
      </c>
      <c r="AD2366">
        <v>-225</v>
      </c>
      <c r="AE2366">
        <v>0</v>
      </c>
      <c r="AF2366">
        <v>0</v>
      </c>
      <c r="AG2366">
        <v>0</v>
      </c>
      <c r="AH2366" t="s">
        <v>89</v>
      </c>
      <c r="AI2366" s="1">
        <v>44221.297824074078</v>
      </c>
      <c r="AJ2366">
        <v>2793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-225</v>
      </c>
      <c r="AQ2366">
        <v>0</v>
      </c>
      <c r="AR2366">
        <v>0</v>
      </c>
      <c r="AS2366">
        <v>0</v>
      </c>
      <c r="AT2366" t="s">
        <v>90</v>
      </c>
      <c r="AU2366" s="1">
        <v>44221.345821759256</v>
      </c>
      <c r="AV2366">
        <v>135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-225</v>
      </c>
      <c r="BC2366">
        <v>0</v>
      </c>
      <c r="BD2366">
        <v>0</v>
      </c>
      <c r="BE2366">
        <v>0</v>
      </c>
    </row>
    <row r="2367" spans="1:57" x14ac:dyDescent="0.45">
      <c r="A2367" t="s">
        <v>5699</v>
      </c>
      <c r="B2367" t="s">
        <v>79</v>
      </c>
      <c r="C2367" t="s">
        <v>5692</v>
      </c>
      <c r="D2367" t="s">
        <v>81</v>
      </c>
      <c r="E2367" s="2" t="str">
        <f>HYPERLINK("capsilon://?command=openfolder&amp;siteaddress=FAM.docvelocity-na8.net&amp;folderid=FX6C385149-E1D7-AF26-9C17-58DFDB9AEE72","FX201224182")</f>
        <v>FX201224182</v>
      </c>
      <c r="F2367" t="s">
        <v>19</v>
      </c>
      <c r="G2367" t="s">
        <v>19</v>
      </c>
      <c r="H2367" t="s">
        <v>82</v>
      </c>
      <c r="I2367" t="s">
        <v>5693</v>
      </c>
      <c r="J2367">
        <v>38</v>
      </c>
      <c r="K2367" t="s">
        <v>84</v>
      </c>
      <c r="L2367" t="s">
        <v>85</v>
      </c>
      <c r="M2367" t="s">
        <v>86</v>
      </c>
      <c r="N2367">
        <v>3</v>
      </c>
      <c r="O2367" s="1">
        <v>44221.220150462963</v>
      </c>
      <c r="P2367" s="1">
        <v>44221.345925925925</v>
      </c>
      <c r="Q2367">
        <v>9103</v>
      </c>
      <c r="R2367">
        <v>1764</v>
      </c>
      <c r="S2367" t="b">
        <v>0</v>
      </c>
      <c r="T2367" t="s">
        <v>87</v>
      </c>
      <c r="U2367" t="b">
        <v>1</v>
      </c>
      <c r="V2367" t="s">
        <v>105</v>
      </c>
      <c r="W2367" s="1">
        <v>44221.236226851855</v>
      </c>
      <c r="X2367">
        <v>1079</v>
      </c>
      <c r="Y2367">
        <v>37</v>
      </c>
      <c r="Z2367">
        <v>0</v>
      </c>
      <c r="AA2367">
        <v>37</v>
      </c>
      <c r="AB2367">
        <v>0</v>
      </c>
      <c r="AC2367">
        <v>25</v>
      </c>
      <c r="AD2367">
        <v>1</v>
      </c>
      <c r="AE2367">
        <v>0</v>
      </c>
      <c r="AF2367">
        <v>0</v>
      </c>
      <c r="AG2367">
        <v>0</v>
      </c>
      <c r="AH2367" t="s">
        <v>89</v>
      </c>
      <c r="AI2367" s="1">
        <v>44221.253101851849</v>
      </c>
      <c r="AJ2367">
        <v>677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0</v>
      </c>
      <c r="AS2367">
        <v>0</v>
      </c>
      <c r="AT2367" t="s">
        <v>90</v>
      </c>
      <c r="AU2367" s="1">
        <v>44221.345925925925</v>
      </c>
      <c r="AV2367">
        <v>8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1</v>
      </c>
      <c r="BC2367">
        <v>0</v>
      </c>
      <c r="BD2367">
        <v>0</v>
      </c>
      <c r="BE2367">
        <v>0</v>
      </c>
    </row>
    <row r="2368" spans="1:57" hidden="1" x14ac:dyDescent="0.45">
      <c r="A2368" t="s">
        <v>5700</v>
      </c>
      <c r="B2368" t="s">
        <v>79</v>
      </c>
      <c r="C2368" t="s">
        <v>2984</v>
      </c>
      <c r="D2368" t="s">
        <v>81</v>
      </c>
      <c r="E2368" s="2" t="str">
        <f>HYPERLINK("capsilon://?command=openfolder&amp;siteaddress=FAM.docvelocity-na8.net&amp;folderid=FX8663CB77-EA9D-13EC-0902-BACA042A4A10","FX201222653")</f>
        <v>FX201222653</v>
      </c>
      <c r="F2368" t="s">
        <v>19</v>
      </c>
      <c r="G2368" t="s">
        <v>19</v>
      </c>
      <c r="H2368" t="s">
        <v>82</v>
      </c>
      <c r="I2368" t="s">
        <v>5701</v>
      </c>
      <c r="J2368">
        <v>66</v>
      </c>
      <c r="K2368" t="s">
        <v>84</v>
      </c>
      <c r="L2368" t="s">
        <v>85</v>
      </c>
      <c r="M2368" t="s">
        <v>86</v>
      </c>
      <c r="N2368">
        <v>3</v>
      </c>
      <c r="O2368" s="1">
        <v>44221.323472222219</v>
      </c>
      <c r="P2368" s="1">
        <v>44221.377835648149</v>
      </c>
      <c r="Q2368">
        <v>4404</v>
      </c>
      <c r="R2368">
        <v>293</v>
      </c>
      <c r="S2368" t="b">
        <v>0</v>
      </c>
      <c r="T2368" t="s">
        <v>87</v>
      </c>
      <c r="U2368" t="b">
        <v>0</v>
      </c>
      <c r="V2368" t="s">
        <v>88</v>
      </c>
      <c r="W2368" s="1">
        <v>44221.326064814813</v>
      </c>
      <c r="X2368">
        <v>191</v>
      </c>
      <c r="Y2368">
        <v>0</v>
      </c>
      <c r="Z2368">
        <v>0</v>
      </c>
      <c r="AA2368">
        <v>0</v>
      </c>
      <c r="AB2368">
        <v>52</v>
      </c>
      <c r="AC2368">
        <v>0</v>
      </c>
      <c r="AD2368">
        <v>66</v>
      </c>
      <c r="AE2368">
        <v>0</v>
      </c>
      <c r="AF2368">
        <v>0</v>
      </c>
      <c r="AG2368">
        <v>0</v>
      </c>
      <c r="AH2368" t="s">
        <v>108</v>
      </c>
      <c r="AI2368" s="1">
        <v>44221.330335648148</v>
      </c>
      <c r="AJ2368">
        <v>99</v>
      </c>
      <c r="AK2368">
        <v>0</v>
      </c>
      <c r="AL2368">
        <v>0</v>
      </c>
      <c r="AM2368">
        <v>0</v>
      </c>
      <c r="AN2368">
        <v>52</v>
      </c>
      <c r="AO2368">
        <v>0</v>
      </c>
      <c r="AP2368">
        <v>66</v>
      </c>
      <c r="AQ2368">
        <v>0</v>
      </c>
      <c r="AR2368">
        <v>0</v>
      </c>
      <c r="AS2368">
        <v>0</v>
      </c>
      <c r="AT2368" t="s">
        <v>90</v>
      </c>
      <c r="AU2368" s="1">
        <v>44221.377835648149</v>
      </c>
      <c r="AV2368">
        <v>3</v>
      </c>
      <c r="AW2368">
        <v>0</v>
      </c>
      <c r="AX2368">
        <v>0</v>
      </c>
      <c r="AY2368">
        <v>0</v>
      </c>
      <c r="AZ2368">
        <v>52</v>
      </c>
      <c r="BA2368">
        <v>0</v>
      </c>
      <c r="BB2368">
        <v>66</v>
      </c>
      <c r="BC2368">
        <v>0</v>
      </c>
      <c r="BD2368">
        <v>0</v>
      </c>
      <c r="BE2368">
        <v>0</v>
      </c>
    </row>
    <row r="2369" spans="1:57" hidden="1" x14ac:dyDescent="0.45">
      <c r="A2369" t="s">
        <v>5702</v>
      </c>
      <c r="B2369" t="s">
        <v>79</v>
      </c>
      <c r="C2369" t="s">
        <v>2318</v>
      </c>
      <c r="D2369" t="s">
        <v>81</v>
      </c>
      <c r="E2369" s="2" t="str">
        <f>HYPERLINK("capsilon://?command=openfolder&amp;siteaddress=FAM.docvelocity-na8.net&amp;folderid=FXE8CA8B0E-4B3F-3181-549F-CCE596A86228","FX201222551")</f>
        <v>FX201222551</v>
      </c>
      <c r="F2369" t="s">
        <v>19</v>
      </c>
      <c r="G2369" t="s">
        <v>19</v>
      </c>
      <c r="H2369" t="s">
        <v>82</v>
      </c>
      <c r="I2369" t="s">
        <v>5703</v>
      </c>
      <c r="J2369">
        <v>66</v>
      </c>
      <c r="K2369" t="s">
        <v>84</v>
      </c>
      <c r="L2369" t="s">
        <v>85</v>
      </c>
      <c r="M2369" t="s">
        <v>86</v>
      </c>
      <c r="N2369">
        <v>3</v>
      </c>
      <c r="O2369" s="1">
        <v>44221.326701388891</v>
      </c>
      <c r="P2369" s="1">
        <v>44221.377881944441</v>
      </c>
      <c r="Q2369">
        <v>4227</v>
      </c>
      <c r="R2369">
        <v>195</v>
      </c>
      <c r="S2369" t="b">
        <v>0</v>
      </c>
      <c r="T2369" t="s">
        <v>87</v>
      </c>
      <c r="U2369" t="b">
        <v>0</v>
      </c>
      <c r="V2369" t="s">
        <v>88</v>
      </c>
      <c r="W2369" s="1">
        <v>44221.331412037034</v>
      </c>
      <c r="X2369">
        <v>142</v>
      </c>
      <c r="Y2369">
        <v>0</v>
      </c>
      <c r="Z2369">
        <v>0</v>
      </c>
      <c r="AA2369">
        <v>0</v>
      </c>
      <c r="AB2369">
        <v>52</v>
      </c>
      <c r="AC2369">
        <v>0</v>
      </c>
      <c r="AD2369">
        <v>66</v>
      </c>
      <c r="AE2369">
        <v>0</v>
      </c>
      <c r="AF2369">
        <v>0</v>
      </c>
      <c r="AG2369">
        <v>0</v>
      </c>
      <c r="AH2369" t="s">
        <v>108</v>
      </c>
      <c r="AI2369" s="1">
        <v>44221.337858796294</v>
      </c>
      <c r="AJ2369">
        <v>49</v>
      </c>
      <c r="AK2369">
        <v>0</v>
      </c>
      <c r="AL2369">
        <v>0</v>
      </c>
      <c r="AM2369">
        <v>0</v>
      </c>
      <c r="AN2369">
        <v>52</v>
      </c>
      <c r="AO2369">
        <v>0</v>
      </c>
      <c r="AP2369">
        <v>66</v>
      </c>
      <c r="AQ2369">
        <v>0</v>
      </c>
      <c r="AR2369">
        <v>0</v>
      </c>
      <c r="AS2369">
        <v>0</v>
      </c>
      <c r="AT2369" t="s">
        <v>90</v>
      </c>
      <c r="AU2369" s="1">
        <v>44221.377881944441</v>
      </c>
      <c r="AV2369">
        <v>4</v>
      </c>
      <c r="AW2369">
        <v>0</v>
      </c>
      <c r="AX2369">
        <v>0</v>
      </c>
      <c r="AY2369">
        <v>0</v>
      </c>
      <c r="AZ2369">
        <v>52</v>
      </c>
      <c r="BA2369">
        <v>0</v>
      </c>
      <c r="BB2369">
        <v>66</v>
      </c>
      <c r="BC2369">
        <v>0</v>
      </c>
      <c r="BD2369">
        <v>0</v>
      </c>
      <c r="BE2369">
        <v>0</v>
      </c>
    </row>
    <row r="2370" spans="1:57" x14ac:dyDescent="0.45">
      <c r="A2370" t="s">
        <v>5704</v>
      </c>
      <c r="B2370" t="s">
        <v>79</v>
      </c>
      <c r="C2370" t="s">
        <v>5705</v>
      </c>
      <c r="D2370" t="s">
        <v>81</v>
      </c>
      <c r="E2370" s="2" t="str">
        <f>HYPERLINK("capsilon://?command=openfolder&amp;siteaddress=FAM.docvelocity-na8.net&amp;folderid=FX07B1E123-F3E4-4C84-2048-12CC1CFF1D47","FX21019149")</f>
        <v>FX21019149</v>
      </c>
      <c r="F2370" t="s">
        <v>19</v>
      </c>
      <c r="G2370" t="s">
        <v>19</v>
      </c>
      <c r="H2370" t="s">
        <v>82</v>
      </c>
      <c r="I2370" t="s">
        <v>5706</v>
      </c>
      <c r="J2370">
        <v>421</v>
      </c>
      <c r="K2370" t="s">
        <v>84</v>
      </c>
      <c r="L2370" t="s">
        <v>85</v>
      </c>
      <c r="M2370" t="s">
        <v>86</v>
      </c>
      <c r="N2370">
        <v>3</v>
      </c>
      <c r="O2370" s="1">
        <v>44221.333831018521</v>
      </c>
      <c r="P2370" s="1">
        <v>44221.423495370371</v>
      </c>
      <c r="Q2370">
        <v>972</v>
      </c>
      <c r="R2370">
        <v>6775</v>
      </c>
      <c r="S2370" t="b">
        <v>0</v>
      </c>
      <c r="T2370" t="s">
        <v>87</v>
      </c>
      <c r="U2370" t="b">
        <v>0</v>
      </c>
      <c r="V2370" t="s">
        <v>919</v>
      </c>
      <c r="W2370" s="1">
        <v>44221.374039351853</v>
      </c>
      <c r="X2370">
        <v>3389</v>
      </c>
      <c r="Y2370">
        <v>254</v>
      </c>
      <c r="Z2370">
        <v>0</v>
      </c>
      <c r="AA2370">
        <v>254</v>
      </c>
      <c r="AB2370">
        <v>0</v>
      </c>
      <c r="AC2370">
        <v>87</v>
      </c>
      <c r="AD2370">
        <v>167</v>
      </c>
      <c r="AE2370">
        <v>0</v>
      </c>
      <c r="AF2370">
        <v>0</v>
      </c>
      <c r="AG2370">
        <v>0</v>
      </c>
      <c r="AH2370" t="s">
        <v>89</v>
      </c>
      <c r="AI2370" s="1">
        <v>44221.414930555555</v>
      </c>
      <c r="AJ2370">
        <v>3329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167</v>
      </c>
      <c r="AQ2370">
        <v>0</v>
      </c>
      <c r="AR2370">
        <v>0</v>
      </c>
      <c r="AS2370">
        <v>0</v>
      </c>
      <c r="AT2370" t="s">
        <v>90</v>
      </c>
      <c r="AU2370" s="1">
        <v>44221.423495370371</v>
      </c>
      <c r="AV2370">
        <v>40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167</v>
      </c>
      <c r="BC2370">
        <v>0</v>
      </c>
      <c r="BD2370">
        <v>0</v>
      </c>
      <c r="BE2370">
        <v>0</v>
      </c>
    </row>
    <row r="2371" spans="1:57" x14ac:dyDescent="0.45">
      <c r="A2371" t="s">
        <v>5707</v>
      </c>
      <c r="B2371" t="s">
        <v>79</v>
      </c>
      <c r="C2371" t="s">
        <v>5708</v>
      </c>
      <c r="D2371" t="s">
        <v>81</v>
      </c>
      <c r="E2371" s="2" t="str">
        <f>HYPERLINK("capsilon://?command=openfolder&amp;siteaddress=FAM.docvelocity-na8.net&amp;folderid=FX78A38483-E971-A824-5A49-387AD2BE9026","FX210115154")</f>
        <v>FX210115154</v>
      </c>
      <c r="F2371" t="s">
        <v>19</v>
      </c>
      <c r="G2371" t="s">
        <v>19</v>
      </c>
      <c r="H2371" t="s">
        <v>82</v>
      </c>
      <c r="I2371" t="s">
        <v>5709</v>
      </c>
      <c r="J2371">
        <v>218</v>
      </c>
      <c r="K2371" t="s">
        <v>84</v>
      </c>
      <c r="L2371" t="s">
        <v>85</v>
      </c>
      <c r="M2371" t="s">
        <v>86</v>
      </c>
      <c r="N2371">
        <v>3</v>
      </c>
      <c r="O2371" s="1">
        <v>44221.336342592593</v>
      </c>
      <c r="P2371" s="1">
        <v>44221.412476851852</v>
      </c>
      <c r="Q2371">
        <v>1975</v>
      </c>
      <c r="R2371">
        <v>4603</v>
      </c>
      <c r="S2371" t="b">
        <v>0</v>
      </c>
      <c r="T2371" t="s">
        <v>87</v>
      </c>
      <c r="U2371" t="b">
        <v>0</v>
      </c>
      <c r="V2371" t="s">
        <v>88</v>
      </c>
      <c r="W2371" s="1">
        <v>44221.369467592594</v>
      </c>
      <c r="X2371">
        <v>2674</v>
      </c>
      <c r="Y2371">
        <v>137</v>
      </c>
      <c r="Z2371">
        <v>0</v>
      </c>
      <c r="AA2371">
        <v>137</v>
      </c>
      <c r="AB2371">
        <v>52</v>
      </c>
      <c r="AC2371">
        <v>101</v>
      </c>
      <c r="AD2371">
        <v>81</v>
      </c>
      <c r="AE2371">
        <v>0</v>
      </c>
      <c r="AF2371">
        <v>0</v>
      </c>
      <c r="AG2371">
        <v>0</v>
      </c>
      <c r="AH2371" t="s">
        <v>108</v>
      </c>
      <c r="AI2371" s="1">
        <v>44221.397372685184</v>
      </c>
      <c r="AJ2371">
        <v>1657</v>
      </c>
      <c r="AK2371">
        <v>3</v>
      </c>
      <c r="AL2371">
        <v>0</v>
      </c>
      <c r="AM2371">
        <v>3</v>
      </c>
      <c r="AN2371">
        <v>52</v>
      </c>
      <c r="AO2371">
        <v>0</v>
      </c>
      <c r="AP2371">
        <v>78</v>
      </c>
      <c r="AQ2371">
        <v>0</v>
      </c>
      <c r="AR2371">
        <v>0</v>
      </c>
      <c r="AS2371">
        <v>0</v>
      </c>
      <c r="AT2371" t="s">
        <v>90</v>
      </c>
      <c r="AU2371" s="1">
        <v>44221.412476851852</v>
      </c>
      <c r="AV2371">
        <v>272</v>
      </c>
      <c r="AW2371">
        <v>0</v>
      </c>
      <c r="AX2371">
        <v>0</v>
      </c>
      <c r="AY2371">
        <v>0</v>
      </c>
      <c r="AZ2371">
        <v>52</v>
      </c>
      <c r="BA2371">
        <v>0</v>
      </c>
      <c r="BB2371">
        <v>78</v>
      </c>
      <c r="BC2371">
        <v>0</v>
      </c>
      <c r="BD2371">
        <v>0</v>
      </c>
      <c r="BE2371">
        <v>0</v>
      </c>
    </row>
    <row r="2372" spans="1:57" hidden="1" x14ac:dyDescent="0.45">
      <c r="A2372" t="s">
        <v>5710</v>
      </c>
      <c r="B2372" t="s">
        <v>79</v>
      </c>
      <c r="C2372" t="s">
        <v>1220</v>
      </c>
      <c r="D2372" t="s">
        <v>81</v>
      </c>
      <c r="E2372" s="2" t="str">
        <f>HYPERLINK("capsilon://?command=openfolder&amp;siteaddress=FAM.docvelocity-na8.net&amp;folderid=FX68476497-1A07-2542-3773-3C7E47CB44FA","FX201111788")</f>
        <v>FX201111788</v>
      </c>
      <c r="F2372" t="s">
        <v>19</v>
      </c>
      <c r="G2372" t="s">
        <v>19</v>
      </c>
      <c r="H2372" t="s">
        <v>82</v>
      </c>
      <c r="I2372" t="s">
        <v>5711</v>
      </c>
      <c r="J2372">
        <v>66</v>
      </c>
      <c r="K2372" t="s">
        <v>84</v>
      </c>
      <c r="L2372" t="s">
        <v>85</v>
      </c>
      <c r="M2372" t="s">
        <v>86</v>
      </c>
      <c r="N2372">
        <v>3</v>
      </c>
      <c r="O2372" s="1">
        <v>44221.345937500002</v>
      </c>
      <c r="P2372" s="1">
        <v>44221.377928240741</v>
      </c>
      <c r="Q2372">
        <v>2567</v>
      </c>
      <c r="R2372">
        <v>197</v>
      </c>
      <c r="S2372" t="b">
        <v>0</v>
      </c>
      <c r="T2372" t="s">
        <v>87</v>
      </c>
      <c r="U2372" t="b">
        <v>0</v>
      </c>
      <c r="V2372" t="s">
        <v>112</v>
      </c>
      <c r="W2372" s="1">
        <v>44221.348275462966</v>
      </c>
      <c r="X2372">
        <v>125</v>
      </c>
      <c r="Y2372">
        <v>0</v>
      </c>
      <c r="Z2372">
        <v>0</v>
      </c>
      <c r="AA2372">
        <v>0</v>
      </c>
      <c r="AB2372">
        <v>52</v>
      </c>
      <c r="AC2372">
        <v>0</v>
      </c>
      <c r="AD2372">
        <v>66</v>
      </c>
      <c r="AE2372">
        <v>0</v>
      </c>
      <c r="AF2372">
        <v>0</v>
      </c>
      <c r="AG2372">
        <v>0</v>
      </c>
      <c r="AH2372" t="s">
        <v>89</v>
      </c>
      <c r="AI2372" s="1">
        <v>44221.350856481484</v>
      </c>
      <c r="AJ2372">
        <v>69</v>
      </c>
      <c r="AK2372">
        <v>0</v>
      </c>
      <c r="AL2372">
        <v>0</v>
      </c>
      <c r="AM2372">
        <v>0</v>
      </c>
      <c r="AN2372">
        <v>52</v>
      </c>
      <c r="AO2372">
        <v>0</v>
      </c>
      <c r="AP2372">
        <v>66</v>
      </c>
      <c r="AQ2372">
        <v>0</v>
      </c>
      <c r="AR2372">
        <v>0</v>
      </c>
      <c r="AS2372">
        <v>0</v>
      </c>
      <c r="AT2372" t="s">
        <v>90</v>
      </c>
      <c r="AU2372" s="1">
        <v>44221.377928240741</v>
      </c>
      <c r="AV2372">
        <v>3</v>
      </c>
      <c r="AW2372">
        <v>0</v>
      </c>
      <c r="AX2372">
        <v>0</v>
      </c>
      <c r="AY2372">
        <v>0</v>
      </c>
      <c r="AZ2372">
        <v>52</v>
      </c>
      <c r="BA2372">
        <v>0</v>
      </c>
      <c r="BB2372">
        <v>66</v>
      </c>
      <c r="BC2372">
        <v>0</v>
      </c>
      <c r="BD2372">
        <v>0</v>
      </c>
      <c r="BE2372">
        <v>0</v>
      </c>
    </row>
    <row r="2373" spans="1:57" x14ac:dyDescent="0.45">
      <c r="A2373" t="s">
        <v>5712</v>
      </c>
      <c r="B2373" t="s">
        <v>79</v>
      </c>
      <c r="C2373" t="s">
        <v>5713</v>
      </c>
      <c r="D2373" t="s">
        <v>81</v>
      </c>
      <c r="E2373" s="2" t="str">
        <f>HYPERLINK("capsilon://?command=openfolder&amp;siteaddress=FAM.docvelocity-na8.net&amp;folderid=FX9C8BE66C-8B10-82C9-4D99-831F391F9EEE","FX210112680")</f>
        <v>FX210112680</v>
      </c>
      <c r="F2373" t="s">
        <v>19</v>
      </c>
      <c r="G2373" t="s">
        <v>19</v>
      </c>
      <c r="H2373" t="s">
        <v>82</v>
      </c>
      <c r="I2373" t="s">
        <v>5714</v>
      </c>
      <c r="J2373">
        <v>38</v>
      </c>
      <c r="K2373" t="s">
        <v>84</v>
      </c>
      <c r="L2373" t="s">
        <v>85</v>
      </c>
      <c r="M2373" t="s">
        <v>86</v>
      </c>
      <c r="N2373">
        <v>3</v>
      </c>
      <c r="O2373" s="1">
        <v>44221.355474537035</v>
      </c>
      <c r="P2373" s="1">
        <v>44221.378009259257</v>
      </c>
      <c r="Q2373">
        <v>1228</v>
      </c>
      <c r="R2373">
        <v>719</v>
      </c>
      <c r="S2373" t="b">
        <v>0</v>
      </c>
      <c r="T2373" t="s">
        <v>87</v>
      </c>
      <c r="U2373" t="b">
        <v>0</v>
      </c>
      <c r="V2373" t="s">
        <v>112</v>
      </c>
      <c r="W2373" s="1">
        <v>44221.362025462964</v>
      </c>
      <c r="X2373">
        <v>371</v>
      </c>
      <c r="Y2373">
        <v>37</v>
      </c>
      <c r="Z2373">
        <v>0</v>
      </c>
      <c r="AA2373">
        <v>37</v>
      </c>
      <c r="AB2373">
        <v>0</v>
      </c>
      <c r="AC2373">
        <v>7</v>
      </c>
      <c r="AD2373">
        <v>1</v>
      </c>
      <c r="AE2373">
        <v>0</v>
      </c>
      <c r="AF2373">
        <v>0</v>
      </c>
      <c r="AG2373">
        <v>0</v>
      </c>
      <c r="AH2373" t="s">
        <v>94</v>
      </c>
      <c r="AI2373" s="1">
        <v>44221.3671875</v>
      </c>
      <c r="AJ2373">
        <v>341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0</v>
      </c>
      <c r="AR2373">
        <v>0</v>
      </c>
      <c r="AS2373">
        <v>0</v>
      </c>
      <c r="AT2373" t="s">
        <v>90</v>
      </c>
      <c r="AU2373" s="1">
        <v>44221.378009259257</v>
      </c>
      <c r="AV2373">
        <v>7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0</v>
      </c>
      <c r="BE2373">
        <v>0</v>
      </c>
    </row>
    <row r="2374" spans="1:57" x14ac:dyDescent="0.45">
      <c r="A2374" t="s">
        <v>5715</v>
      </c>
      <c r="B2374" t="s">
        <v>79</v>
      </c>
      <c r="C2374" t="s">
        <v>5716</v>
      </c>
      <c r="D2374" t="s">
        <v>81</v>
      </c>
      <c r="E2374" s="2" t="str">
        <f>HYPERLINK("capsilon://?command=openfolder&amp;siteaddress=FAM.docvelocity-na8.net&amp;folderid=FX28ED0EA8-EA5B-4C36-8490-4FA2843601FE","FX201228125")</f>
        <v>FX201228125</v>
      </c>
      <c r="F2374" t="s">
        <v>19</v>
      </c>
      <c r="G2374" t="s">
        <v>19</v>
      </c>
      <c r="H2374" t="s">
        <v>82</v>
      </c>
      <c r="I2374" t="s">
        <v>5717</v>
      </c>
      <c r="J2374">
        <v>145</v>
      </c>
      <c r="K2374" t="s">
        <v>84</v>
      </c>
      <c r="L2374" t="s">
        <v>85</v>
      </c>
      <c r="M2374" t="s">
        <v>86</v>
      </c>
      <c r="N2374">
        <v>3</v>
      </c>
      <c r="O2374" s="1">
        <v>44221.370682870373</v>
      </c>
      <c r="P2374" s="1">
        <v>44221.446666666663</v>
      </c>
      <c r="Q2374">
        <v>3416</v>
      </c>
      <c r="R2374">
        <v>3149</v>
      </c>
      <c r="S2374" t="b">
        <v>0</v>
      </c>
      <c r="T2374" t="s">
        <v>87</v>
      </c>
      <c r="U2374" t="b">
        <v>0</v>
      </c>
      <c r="V2374" t="s">
        <v>112</v>
      </c>
      <c r="W2374" s="1">
        <v>44221.392465277779</v>
      </c>
      <c r="X2374">
        <v>1812</v>
      </c>
      <c r="Y2374">
        <v>134</v>
      </c>
      <c r="Z2374">
        <v>0</v>
      </c>
      <c r="AA2374">
        <v>134</v>
      </c>
      <c r="AB2374">
        <v>0</v>
      </c>
      <c r="AC2374">
        <v>58</v>
      </c>
      <c r="AD2374">
        <v>11</v>
      </c>
      <c r="AE2374">
        <v>0</v>
      </c>
      <c r="AF2374">
        <v>0</v>
      </c>
      <c r="AG2374">
        <v>0</v>
      </c>
      <c r="AH2374" t="s">
        <v>89</v>
      </c>
      <c r="AI2374" s="1">
        <v>44221.43005787037</v>
      </c>
      <c r="AJ2374">
        <v>1306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11</v>
      </c>
      <c r="AQ2374">
        <v>0</v>
      </c>
      <c r="AR2374">
        <v>0</v>
      </c>
      <c r="AS2374">
        <v>0</v>
      </c>
      <c r="AT2374" t="s">
        <v>90</v>
      </c>
      <c r="AU2374" s="1">
        <v>44221.446666666663</v>
      </c>
      <c r="AV2374">
        <v>31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11</v>
      </c>
      <c r="BC2374">
        <v>0</v>
      </c>
      <c r="BD2374">
        <v>0</v>
      </c>
      <c r="BE2374">
        <v>0</v>
      </c>
    </row>
    <row r="2375" spans="1:57" hidden="1" x14ac:dyDescent="0.45">
      <c r="A2375" t="s">
        <v>5718</v>
      </c>
      <c r="B2375" t="s">
        <v>79</v>
      </c>
      <c r="C2375" t="s">
        <v>892</v>
      </c>
      <c r="D2375" t="s">
        <v>81</v>
      </c>
      <c r="E2375" s="2" t="str">
        <f>HYPERLINK("capsilon://?command=openfolder&amp;siteaddress=FAM.docvelocity-na8.net&amp;folderid=FX5000F857-D4B2-CF8A-39ED-6FD38EDDA096","FX20127683")</f>
        <v>FX20127683</v>
      </c>
      <c r="F2375" t="s">
        <v>19</v>
      </c>
      <c r="G2375" t="s">
        <v>19</v>
      </c>
      <c r="H2375" t="s">
        <v>82</v>
      </c>
      <c r="I2375" t="s">
        <v>5719</v>
      </c>
      <c r="J2375">
        <v>132</v>
      </c>
      <c r="K2375" t="s">
        <v>84</v>
      </c>
      <c r="L2375" t="s">
        <v>85</v>
      </c>
      <c r="M2375" t="s">
        <v>86</v>
      </c>
      <c r="N2375">
        <v>3</v>
      </c>
      <c r="O2375" s="1">
        <v>44221.37091435185</v>
      </c>
      <c r="P2375" s="1">
        <v>44221.424074074072</v>
      </c>
      <c r="Q2375">
        <v>4131</v>
      </c>
      <c r="R2375">
        <v>462</v>
      </c>
      <c r="S2375" t="b">
        <v>0</v>
      </c>
      <c r="T2375" t="s">
        <v>87</v>
      </c>
      <c r="U2375" t="b">
        <v>0</v>
      </c>
      <c r="V2375" t="s">
        <v>88</v>
      </c>
      <c r="W2375" s="1">
        <v>44221.3753125</v>
      </c>
      <c r="X2375">
        <v>249</v>
      </c>
      <c r="Y2375">
        <v>0</v>
      </c>
      <c r="Z2375">
        <v>0</v>
      </c>
      <c r="AA2375">
        <v>0</v>
      </c>
      <c r="AB2375">
        <v>104</v>
      </c>
      <c r="AC2375">
        <v>0</v>
      </c>
      <c r="AD2375">
        <v>132</v>
      </c>
      <c r="AE2375">
        <v>0</v>
      </c>
      <c r="AF2375">
        <v>0</v>
      </c>
      <c r="AG2375">
        <v>0</v>
      </c>
      <c r="AH2375" t="s">
        <v>108</v>
      </c>
      <c r="AI2375" s="1">
        <v>44221.420902777776</v>
      </c>
      <c r="AJ2375">
        <v>163</v>
      </c>
      <c r="AK2375">
        <v>0</v>
      </c>
      <c r="AL2375">
        <v>0</v>
      </c>
      <c r="AM2375">
        <v>0</v>
      </c>
      <c r="AN2375">
        <v>104</v>
      </c>
      <c r="AO2375">
        <v>0</v>
      </c>
      <c r="AP2375">
        <v>132</v>
      </c>
      <c r="AQ2375">
        <v>0</v>
      </c>
      <c r="AR2375">
        <v>0</v>
      </c>
      <c r="AS2375">
        <v>0</v>
      </c>
      <c r="AT2375" t="s">
        <v>90</v>
      </c>
      <c r="AU2375" s="1">
        <v>44221.424074074072</v>
      </c>
      <c r="AV2375">
        <v>50</v>
      </c>
      <c r="AW2375">
        <v>0</v>
      </c>
      <c r="AX2375">
        <v>0</v>
      </c>
      <c r="AY2375">
        <v>0</v>
      </c>
      <c r="AZ2375">
        <v>104</v>
      </c>
      <c r="BA2375">
        <v>0</v>
      </c>
      <c r="BB2375">
        <v>132</v>
      </c>
      <c r="BC2375">
        <v>0</v>
      </c>
      <c r="BD2375">
        <v>0</v>
      </c>
      <c r="BE2375">
        <v>0</v>
      </c>
    </row>
    <row r="2376" spans="1:57" x14ac:dyDescent="0.45">
      <c r="A2376" t="s">
        <v>5720</v>
      </c>
      <c r="B2376" t="s">
        <v>79</v>
      </c>
      <c r="C2376" t="s">
        <v>5721</v>
      </c>
      <c r="D2376" t="s">
        <v>81</v>
      </c>
      <c r="E2376" s="2" t="str">
        <f>HYPERLINK("capsilon://?command=openfolder&amp;siteaddress=FAM.docvelocity-na8.net&amp;folderid=FX1A4678A2-48C1-4BAE-E929-89FB78073C55","FX210111720")</f>
        <v>FX210111720</v>
      </c>
      <c r="F2376" t="s">
        <v>19</v>
      </c>
      <c r="G2376" t="s">
        <v>19</v>
      </c>
      <c r="H2376" t="s">
        <v>82</v>
      </c>
      <c r="I2376" t="s">
        <v>5722</v>
      </c>
      <c r="J2376">
        <v>390</v>
      </c>
      <c r="K2376" t="s">
        <v>84</v>
      </c>
      <c r="L2376" t="s">
        <v>85</v>
      </c>
      <c r="M2376" t="s">
        <v>86</v>
      </c>
      <c r="N2376">
        <v>3</v>
      </c>
      <c r="O2376" s="1">
        <v>44221.371932870374</v>
      </c>
      <c r="P2376" s="1">
        <v>44221.488969907405</v>
      </c>
      <c r="Q2376">
        <v>1380</v>
      </c>
      <c r="R2376">
        <v>8732</v>
      </c>
      <c r="S2376" t="b">
        <v>0</v>
      </c>
      <c r="T2376" t="s">
        <v>87</v>
      </c>
      <c r="U2376" t="b">
        <v>0</v>
      </c>
      <c r="V2376" t="s">
        <v>105</v>
      </c>
      <c r="W2376" s="1">
        <v>44221.442303240743</v>
      </c>
      <c r="X2376">
        <v>6033</v>
      </c>
      <c r="Y2376">
        <v>321</v>
      </c>
      <c r="Z2376">
        <v>0</v>
      </c>
      <c r="AA2376">
        <v>321</v>
      </c>
      <c r="AB2376">
        <v>0</v>
      </c>
      <c r="AC2376">
        <v>236</v>
      </c>
      <c r="AD2376">
        <v>69</v>
      </c>
      <c r="AE2376">
        <v>0</v>
      </c>
      <c r="AF2376">
        <v>0</v>
      </c>
      <c r="AG2376">
        <v>0</v>
      </c>
      <c r="AH2376" t="s">
        <v>89</v>
      </c>
      <c r="AI2376" s="1">
        <v>44221.475949074076</v>
      </c>
      <c r="AJ2376">
        <v>2497</v>
      </c>
      <c r="AK2376">
        <v>2</v>
      </c>
      <c r="AL2376">
        <v>0</v>
      </c>
      <c r="AM2376">
        <v>2</v>
      </c>
      <c r="AN2376">
        <v>0</v>
      </c>
      <c r="AO2376">
        <v>1</v>
      </c>
      <c r="AP2376">
        <v>67</v>
      </c>
      <c r="AQ2376">
        <v>0</v>
      </c>
      <c r="AR2376">
        <v>0</v>
      </c>
      <c r="AS2376">
        <v>0</v>
      </c>
      <c r="AT2376" t="s">
        <v>90</v>
      </c>
      <c r="AU2376" s="1">
        <v>44221.488969907405</v>
      </c>
      <c r="AV2376">
        <v>149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67</v>
      </c>
      <c r="BC2376">
        <v>0</v>
      </c>
      <c r="BD2376">
        <v>0</v>
      </c>
      <c r="BE2376">
        <v>0</v>
      </c>
    </row>
    <row r="2377" spans="1:57" hidden="1" x14ac:dyDescent="0.45">
      <c r="A2377" t="s">
        <v>5723</v>
      </c>
      <c r="B2377" t="s">
        <v>79</v>
      </c>
      <c r="C2377" t="s">
        <v>697</v>
      </c>
      <c r="D2377" t="s">
        <v>81</v>
      </c>
      <c r="E2377" s="2" t="str">
        <f>HYPERLINK("capsilon://?command=openfolder&amp;siteaddress=FAM.docvelocity-na8.net&amp;folderid=FXF93B3EBC-A865-19C6-1675-08432132100C","FX201220654")</f>
        <v>FX201220654</v>
      </c>
      <c r="F2377" t="s">
        <v>19</v>
      </c>
      <c r="G2377" t="s">
        <v>19</v>
      </c>
      <c r="H2377" t="s">
        <v>82</v>
      </c>
      <c r="I2377" t="s">
        <v>5724</v>
      </c>
      <c r="J2377">
        <v>66</v>
      </c>
      <c r="K2377" t="s">
        <v>84</v>
      </c>
      <c r="L2377" t="s">
        <v>85</v>
      </c>
      <c r="M2377" t="s">
        <v>86</v>
      </c>
      <c r="N2377">
        <v>3</v>
      </c>
      <c r="O2377" s="1">
        <v>44221.382037037038</v>
      </c>
      <c r="P2377" s="1">
        <v>44221.42460648148</v>
      </c>
      <c r="Q2377">
        <v>3460</v>
      </c>
      <c r="R2377">
        <v>218</v>
      </c>
      <c r="S2377" t="b">
        <v>0</v>
      </c>
      <c r="T2377" t="s">
        <v>87</v>
      </c>
      <c r="U2377" t="b">
        <v>0</v>
      </c>
      <c r="V2377" t="s">
        <v>98</v>
      </c>
      <c r="W2377" s="1">
        <v>44221.383784722224</v>
      </c>
      <c r="X2377">
        <v>126</v>
      </c>
      <c r="Y2377">
        <v>0</v>
      </c>
      <c r="Z2377">
        <v>0</v>
      </c>
      <c r="AA2377">
        <v>0</v>
      </c>
      <c r="AB2377">
        <v>52</v>
      </c>
      <c r="AC2377">
        <v>0</v>
      </c>
      <c r="AD2377">
        <v>66</v>
      </c>
      <c r="AE2377">
        <v>0</v>
      </c>
      <c r="AF2377">
        <v>0</v>
      </c>
      <c r="AG2377">
        <v>0</v>
      </c>
      <c r="AH2377" t="s">
        <v>108</v>
      </c>
      <c r="AI2377" s="1">
        <v>44221.421446759261</v>
      </c>
      <c r="AJ2377">
        <v>46</v>
      </c>
      <c r="AK2377">
        <v>0</v>
      </c>
      <c r="AL2377">
        <v>0</v>
      </c>
      <c r="AM2377">
        <v>0</v>
      </c>
      <c r="AN2377">
        <v>52</v>
      </c>
      <c r="AO2377">
        <v>0</v>
      </c>
      <c r="AP2377">
        <v>66</v>
      </c>
      <c r="AQ2377">
        <v>0</v>
      </c>
      <c r="AR2377">
        <v>0</v>
      </c>
      <c r="AS2377">
        <v>0</v>
      </c>
      <c r="AT2377" t="s">
        <v>90</v>
      </c>
      <c r="AU2377" s="1">
        <v>44221.42460648148</v>
      </c>
      <c r="AV2377">
        <v>46</v>
      </c>
      <c r="AW2377">
        <v>0</v>
      </c>
      <c r="AX2377">
        <v>0</v>
      </c>
      <c r="AY2377">
        <v>0</v>
      </c>
      <c r="AZ2377">
        <v>52</v>
      </c>
      <c r="BA2377">
        <v>0</v>
      </c>
      <c r="BB2377">
        <v>66</v>
      </c>
      <c r="BC2377">
        <v>0</v>
      </c>
      <c r="BD2377">
        <v>0</v>
      </c>
      <c r="BE2377">
        <v>0</v>
      </c>
    </row>
    <row r="2378" spans="1:57" x14ac:dyDescent="0.45">
      <c r="A2378" t="s">
        <v>5725</v>
      </c>
      <c r="B2378" t="s">
        <v>79</v>
      </c>
      <c r="C2378" t="s">
        <v>5726</v>
      </c>
      <c r="D2378" t="s">
        <v>81</v>
      </c>
      <c r="E2378" s="2" t="str">
        <f>HYPERLINK("capsilon://?command=openfolder&amp;siteaddress=FAM.docvelocity-na8.net&amp;folderid=FXE1F17E2D-BACB-9B03-0CC5-C22BF85EB66A","FX20121002")</f>
        <v>FX20121002</v>
      </c>
      <c r="F2378" t="s">
        <v>19</v>
      </c>
      <c r="G2378" t="s">
        <v>19</v>
      </c>
      <c r="H2378" t="s">
        <v>82</v>
      </c>
      <c r="I2378" t="s">
        <v>5727</v>
      </c>
      <c r="J2378">
        <v>66</v>
      </c>
      <c r="K2378" t="s">
        <v>84</v>
      </c>
      <c r="L2378" t="s">
        <v>85</v>
      </c>
      <c r="M2378" t="s">
        <v>86</v>
      </c>
      <c r="N2378">
        <v>3</v>
      </c>
      <c r="O2378" s="1">
        <v>44221.384375000001</v>
      </c>
      <c r="P2378" s="1">
        <v>44221.429259259261</v>
      </c>
      <c r="Q2378">
        <v>2634</v>
      </c>
      <c r="R2378">
        <v>1244</v>
      </c>
      <c r="S2378" t="b">
        <v>0</v>
      </c>
      <c r="T2378" t="s">
        <v>87</v>
      </c>
      <c r="U2378" t="b">
        <v>0</v>
      </c>
      <c r="V2378" t="s">
        <v>98</v>
      </c>
      <c r="W2378" s="1">
        <v>44221.39267361111</v>
      </c>
      <c r="X2378">
        <v>717</v>
      </c>
      <c r="Y2378">
        <v>52</v>
      </c>
      <c r="Z2378">
        <v>0</v>
      </c>
      <c r="AA2378">
        <v>52</v>
      </c>
      <c r="AB2378">
        <v>0</v>
      </c>
      <c r="AC2378">
        <v>34</v>
      </c>
      <c r="AD2378">
        <v>14</v>
      </c>
      <c r="AE2378">
        <v>0</v>
      </c>
      <c r="AF2378">
        <v>0</v>
      </c>
      <c r="AG2378">
        <v>0</v>
      </c>
      <c r="AH2378" t="s">
        <v>108</v>
      </c>
      <c r="AI2378" s="1">
        <v>44221.427245370367</v>
      </c>
      <c r="AJ2378">
        <v>500</v>
      </c>
      <c r="AK2378">
        <v>2</v>
      </c>
      <c r="AL2378">
        <v>0</v>
      </c>
      <c r="AM2378">
        <v>2</v>
      </c>
      <c r="AN2378">
        <v>0</v>
      </c>
      <c r="AO2378">
        <v>1</v>
      </c>
      <c r="AP2378">
        <v>12</v>
      </c>
      <c r="AQ2378">
        <v>0</v>
      </c>
      <c r="AR2378">
        <v>0</v>
      </c>
      <c r="AS2378">
        <v>0</v>
      </c>
      <c r="AT2378" t="s">
        <v>90</v>
      </c>
      <c r="AU2378" s="1">
        <v>44221.429259259261</v>
      </c>
      <c r="AV2378">
        <v>27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12</v>
      </c>
      <c r="BC2378">
        <v>0</v>
      </c>
      <c r="BD2378">
        <v>0</v>
      </c>
      <c r="BE2378">
        <v>0</v>
      </c>
    </row>
    <row r="2379" spans="1:57" hidden="1" x14ac:dyDescent="0.45">
      <c r="A2379" t="s">
        <v>5728</v>
      </c>
      <c r="B2379" t="s">
        <v>79</v>
      </c>
      <c r="C2379" t="s">
        <v>4241</v>
      </c>
      <c r="D2379" t="s">
        <v>81</v>
      </c>
      <c r="E2379" s="2" t="str">
        <f>HYPERLINK("capsilon://?command=openfolder&amp;siteaddress=FAM.docvelocity-na8.net&amp;folderid=FX1BE9118F-F6B1-78E2-E242-D9EE3BD13FD9","FX20118696")</f>
        <v>FX20118696</v>
      </c>
      <c r="F2379" t="s">
        <v>19</v>
      </c>
      <c r="G2379" t="s">
        <v>19</v>
      </c>
      <c r="H2379" t="s">
        <v>82</v>
      </c>
      <c r="I2379" t="s">
        <v>5729</v>
      </c>
      <c r="J2379">
        <v>38</v>
      </c>
      <c r="K2379" t="s">
        <v>84</v>
      </c>
      <c r="L2379" t="s">
        <v>85</v>
      </c>
      <c r="M2379" t="s">
        <v>86</v>
      </c>
      <c r="N2379">
        <v>3</v>
      </c>
      <c r="O2379" s="1">
        <v>44221.393252314818</v>
      </c>
      <c r="P2379" s="1">
        <v>44221.429571759261</v>
      </c>
      <c r="Q2379">
        <v>2870</v>
      </c>
      <c r="R2379">
        <v>268</v>
      </c>
      <c r="S2379" t="b">
        <v>0</v>
      </c>
      <c r="T2379" t="s">
        <v>87</v>
      </c>
      <c r="U2379" t="b">
        <v>0</v>
      </c>
      <c r="V2379" t="s">
        <v>919</v>
      </c>
      <c r="W2379" s="1">
        <v>44221.394907407404</v>
      </c>
      <c r="X2379">
        <v>142</v>
      </c>
      <c r="Y2379">
        <v>0</v>
      </c>
      <c r="Z2379">
        <v>0</v>
      </c>
      <c r="AA2379">
        <v>0</v>
      </c>
      <c r="AB2379">
        <v>37</v>
      </c>
      <c r="AC2379">
        <v>0</v>
      </c>
      <c r="AD2379">
        <v>38</v>
      </c>
      <c r="AE2379">
        <v>0</v>
      </c>
      <c r="AF2379">
        <v>0</v>
      </c>
      <c r="AG2379">
        <v>0</v>
      </c>
      <c r="AH2379" t="s">
        <v>108</v>
      </c>
      <c r="AI2379" s="1">
        <v>44221.428402777776</v>
      </c>
      <c r="AJ2379">
        <v>99</v>
      </c>
      <c r="AK2379">
        <v>0</v>
      </c>
      <c r="AL2379">
        <v>0</v>
      </c>
      <c r="AM2379">
        <v>0</v>
      </c>
      <c r="AN2379">
        <v>37</v>
      </c>
      <c r="AO2379">
        <v>0</v>
      </c>
      <c r="AP2379">
        <v>38</v>
      </c>
      <c r="AQ2379">
        <v>0</v>
      </c>
      <c r="AR2379">
        <v>0</v>
      </c>
      <c r="AS2379">
        <v>0</v>
      </c>
      <c r="AT2379" t="s">
        <v>90</v>
      </c>
      <c r="AU2379" s="1">
        <v>44221.429571759261</v>
      </c>
      <c r="AV2379">
        <v>27</v>
      </c>
      <c r="AW2379">
        <v>0</v>
      </c>
      <c r="AX2379">
        <v>0</v>
      </c>
      <c r="AY2379">
        <v>0</v>
      </c>
      <c r="AZ2379">
        <v>37</v>
      </c>
      <c r="BA2379">
        <v>0</v>
      </c>
      <c r="BB2379">
        <v>38</v>
      </c>
      <c r="BC2379">
        <v>0</v>
      </c>
      <c r="BD2379">
        <v>0</v>
      </c>
      <c r="BE2379">
        <v>0</v>
      </c>
    </row>
    <row r="2380" spans="1:57" hidden="1" x14ac:dyDescent="0.45">
      <c r="A2380" t="s">
        <v>5730</v>
      </c>
      <c r="B2380" t="s">
        <v>79</v>
      </c>
      <c r="C2380" t="s">
        <v>5731</v>
      </c>
      <c r="D2380" t="s">
        <v>81</v>
      </c>
      <c r="E2380" s="2" t="str">
        <f>HYPERLINK("capsilon://?command=openfolder&amp;siteaddress=FAM.docvelocity-na8.net&amp;folderid=FXABD58D21-F271-9C0D-DCCB-BB9219330C46","FX201220932")</f>
        <v>FX201220932</v>
      </c>
      <c r="F2380" t="s">
        <v>19</v>
      </c>
      <c r="G2380" t="s">
        <v>19</v>
      </c>
      <c r="H2380" t="s">
        <v>82</v>
      </c>
      <c r="I2380" t="s">
        <v>5732</v>
      </c>
      <c r="J2380">
        <v>66</v>
      </c>
      <c r="K2380" t="s">
        <v>84</v>
      </c>
      <c r="L2380" t="s">
        <v>85</v>
      </c>
      <c r="M2380" t="s">
        <v>86</v>
      </c>
      <c r="N2380">
        <v>1</v>
      </c>
      <c r="O2380" s="1">
        <v>44221.397557870368</v>
      </c>
      <c r="P2380" s="1">
        <v>44221.401053240741</v>
      </c>
      <c r="Q2380">
        <v>1</v>
      </c>
      <c r="R2380">
        <v>301</v>
      </c>
      <c r="S2380" t="b">
        <v>0</v>
      </c>
      <c r="T2380" t="s">
        <v>87</v>
      </c>
      <c r="U2380" t="b">
        <v>0</v>
      </c>
      <c r="V2380" t="s">
        <v>919</v>
      </c>
      <c r="W2380" s="1">
        <v>44221.401053240741</v>
      </c>
      <c r="X2380">
        <v>301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66</v>
      </c>
      <c r="AE2380">
        <v>52</v>
      </c>
      <c r="AF2380">
        <v>0</v>
      </c>
      <c r="AG2380">
        <v>1</v>
      </c>
      <c r="AH2380" t="s">
        <v>87</v>
      </c>
      <c r="AI2380" t="s">
        <v>87</v>
      </c>
      <c r="AJ2380" t="s">
        <v>87</v>
      </c>
      <c r="AK2380" t="s">
        <v>87</v>
      </c>
      <c r="AL2380" t="s">
        <v>87</v>
      </c>
      <c r="AM2380" t="s">
        <v>87</v>
      </c>
      <c r="AN2380" t="s">
        <v>87</v>
      </c>
      <c r="AO2380" t="s">
        <v>87</v>
      </c>
      <c r="AP2380" t="s">
        <v>87</v>
      </c>
      <c r="AQ2380" t="s">
        <v>87</v>
      </c>
      <c r="AR2380" t="s">
        <v>87</v>
      </c>
      <c r="AS2380" t="s">
        <v>87</v>
      </c>
      <c r="AT2380" t="s">
        <v>87</v>
      </c>
      <c r="AU2380" t="s">
        <v>87</v>
      </c>
      <c r="AV2380" t="s">
        <v>87</v>
      </c>
      <c r="AW2380" t="s">
        <v>87</v>
      </c>
      <c r="AX2380" t="s">
        <v>87</v>
      </c>
      <c r="AY2380" t="s">
        <v>87</v>
      </c>
      <c r="AZ2380" t="s">
        <v>87</v>
      </c>
      <c r="BA2380" t="s">
        <v>87</v>
      </c>
      <c r="BB2380" t="s">
        <v>87</v>
      </c>
      <c r="BC2380" t="s">
        <v>87</v>
      </c>
      <c r="BD2380" t="s">
        <v>87</v>
      </c>
      <c r="BE2380" t="s">
        <v>87</v>
      </c>
    </row>
    <row r="2381" spans="1:57" hidden="1" x14ac:dyDescent="0.45">
      <c r="A2381" t="s">
        <v>5733</v>
      </c>
      <c r="B2381" t="s">
        <v>79</v>
      </c>
      <c r="C2381" t="s">
        <v>5731</v>
      </c>
      <c r="D2381" t="s">
        <v>81</v>
      </c>
      <c r="E2381" s="2" t="str">
        <f>HYPERLINK("capsilon://?command=openfolder&amp;siteaddress=FAM.docvelocity-na8.net&amp;folderid=FXABD58D21-F271-9C0D-DCCB-BB9219330C46","FX201220932")</f>
        <v>FX201220932</v>
      </c>
      <c r="F2381" t="s">
        <v>19</v>
      </c>
      <c r="G2381" t="s">
        <v>19</v>
      </c>
      <c r="H2381" t="s">
        <v>82</v>
      </c>
      <c r="I2381" t="s">
        <v>5734</v>
      </c>
      <c r="J2381">
        <v>66</v>
      </c>
      <c r="K2381" t="s">
        <v>84</v>
      </c>
      <c r="L2381" t="s">
        <v>85</v>
      </c>
      <c r="M2381" t="s">
        <v>86</v>
      </c>
      <c r="N2381">
        <v>1</v>
      </c>
      <c r="O2381" s="1">
        <v>44221.398252314815</v>
      </c>
      <c r="P2381" s="1">
        <v>44221.401053240741</v>
      </c>
      <c r="Q2381">
        <v>9</v>
      </c>
      <c r="R2381">
        <v>233</v>
      </c>
      <c r="S2381" t="b">
        <v>0</v>
      </c>
      <c r="T2381" t="s">
        <v>87</v>
      </c>
      <c r="U2381" t="b">
        <v>0</v>
      </c>
      <c r="V2381" t="s">
        <v>98</v>
      </c>
      <c r="W2381" s="1">
        <v>44221.401053240741</v>
      </c>
      <c r="X2381">
        <v>233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66</v>
      </c>
      <c r="AE2381">
        <v>52</v>
      </c>
      <c r="AF2381">
        <v>0</v>
      </c>
      <c r="AG2381">
        <v>1</v>
      </c>
      <c r="AH2381" t="s">
        <v>87</v>
      </c>
      <c r="AI2381" t="s">
        <v>87</v>
      </c>
      <c r="AJ2381" t="s">
        <v>87</v>
      </c>
      <c r="AK2381" t="s">
        <v>87</v>
      </c>
      <c r="AL2381" t="s">
        <v>87</v>
      </c>
      <c r="AM2381" t="s">
        <v>87</v>
      </c>
      <c r="AN2381" t="s">
        <v>87</v>
      </c>
      <c r="AO2381" t="s">
        <v>87</v>
      </c>
      <c r="AP2381" t="s">
        <v>87</v>
      </c>
      <c r="AQ2381" t="s">
        <v>87</v>
      </c>
      <c r="AR2381" t="s">
        <v>87</v>
      </c>
      <c r="AS2381" t="s">
        <v>87</v>
      </c>
      <c r="AT2381" t="s">
        <v>87</v>
      </c>
      <c r="AU2381" t="s">
        <v>87</v>
      </c>
      <c r="AV2381" t="s">
        <v>87</v>
      </c>
      <c r="AW2381" t="s">
        <v>87</v>
      </c>
      <c r="AX2381" t="s">
        <v>87</v>
      </c>
      <c r="AY2381" t="s">
        <v>87</v>
      </c>
      <c r="AZ2381" t="s">
        <v>87</v>
      </c>
      <c r="BA2381" t="s">
        <v>87</v>
      </c>
      <c r="BB2381" t="s">
        <v>87</v>
      </c>
      <c r="BC2381" t="s">
        <v>87</v>
      </c>
      <c r="BD2381" t="s">
        <v>87</v>
      </c>
      <c r="BE2381" t="s">
        <v>87</v>
      </c>
    </row>
    <row r="2382" spans="1:57" x14ac:dyDescent="0.45">
      <c r="A2382" t="s">
        <v>5735</v>
      </c>
      <c r="B2382" t="s">
        <v>79</v>
      </c>
      <c r="C2382" t="s">
        <v>5731</v>
      </c>
      <c r="D2382" t="s">
        <v>81</v>
      </c>
      <c r="E2382" s="2" t="str">
        <f>HYPERLINK("capsilon://?command=openfolder&amp;siteaddress=FAM.docvelocity-na8.net&amp;folderid=FXABD58D21-F271-9C0D-DCCB-BB9219330C46","FX201220932")</f>
        <v>FX201220932</v>
      </c>
      <c r="F2382" t="s">
        <v>19</v>
      </c>
      <c r="G2382" t="s">
        <v>19</v>
      </c>
      <c r="H2382" t="s">
        <v>82</v>
      </c>
      <c r="I2382" t="s">
        <v>5734</v>
      </c>
      <c r="J2382">
        <v>38</v>
      </c>
      <c r="K2382" t="s">
        <v>84</v>
      </c>
      <c r="L2382" t="s">
        <v>85</v>
      </c>
      <c r="M2382" t="s">
        <v>86</v>
      </c>
      <c r="N2382">
        <v>3</v>
      </c>
      <c r="O2382" s="1">
        <v>44221.401273148149</v>
      </c>
      <c r="P2382" s="1">
        <v>44221.412673611114</v>
      </c>
      <c r="Q2382">
        <v>119</v>
      </c>
      <c r="R2382">
        <v>866</v>
      </c>
      <c r="S2382" t="b">
        <v>0</v>
      </c>
      <c r="T2382" t="s">
        <v>87</v>
      </c>
      <c r="U2382" t="b">
        <v>1</v>
      </c>
      <c r="V2382" t="s">
        <v>98</v>
      </c>
      <c r="W2382" s="1">
        <v>44221.407673611109</v>
      </c>
      <c r="X2382">
        <v>552</v>
      </c>
      <c r="Y2382">
        <v>37</v>
      </c>
      <c r="Z2382">
        <v>0</v>
      </c>
      <c r="AA2382">
        <v>37</v>
      </c>
      <c r="AB2382">
        <v>0</v>
      </c>
      <c r="AC2382">
        <v>26</v>
      </c>
      <c r="AD2382">
        <v>1</v>
      </c>
      <c r="AE2382">
        <v>0</v>
      </c>
      <c r="AF2382">
        <v>0</v>
      </c>
      <c r="AG2382">
        <v>0</v>
      </c>
      <c r="AH2382" t="s">
        <v>94</v>
      </c>
      <c r="AI2382" s="1">
        <v>44221.412210648145</v>
      </c>
      <c r="AJ2382">
        <v>298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  <c r="AS2382">
        <v>0</v>
      </c>
      <c r="AT2382" t="s">
        <v>90</v>
      </c>
      <c r="AU2382" s="1">
        <v>44221.412673611114</v>
      </c>
      <c r="AV2382">
        <v>16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1</v>
      </c>
      <c r="BC2382">
        <v>0</v>
      </c>
      <c r="BD2382">
        <v>0</v>
      </c>
      <c r="BE2382">
        <v>0</v>
      </c>
    </row>
    <row r="2383" spans="1:57" x14ac:dyDescent="0.45">
      <c r="A2383" t="s">
        <v>5736</v>
      </c>
      <c r="B2383" t="s">
        <v>79</v>
      </c>
      <c r="C2383" t="s">
        <v>5731</v>
      </c>
      <c r="D2383" t="s">
        <v>81</v>
      </c>
      <c r="E2383" s="2" t="str">
        <f>HYPERLINK("capsilon://?command=openfolder&amp;siteaddress=FAM.docvelocity-na8.net&amp;folderid=FXABD58D21-F271-9C0D-DCCB-BB9219330C46","FX201220932")</f>
        <v>FX201220932</v>
      </c>
      <c r="F2383" t="s">
        <v>19</v>
      </c>
      <c r="G2383" t="s">
        <v>19</v>
      </c>
      <c r="H2383" t="s">
        <v>82</v>
      </c>
      <c r="I2383" t="s">
        <v>5732</v>
      </c>
      <c r="J2383">
        <v>38</v>
      </c>
      <c r="K2383" t="s">
        <v>84</v>
      </c>
      <c r="L2383" t="s">
        <v>85</v>
      </c>
      <c r="M2383" t="s">
        <v>86</v>
      </c>
      <c r="N2383">
        <v>3</v>
      </c>
      <c r="O2383" s="1">
        <v>44221.401412037034</v>
      </c>
      <c r="P2383" s="1">
        <v>44221.420972222222</v>
      </c>
      <c r="Q2383">
        <v>676</v>
      </c>
      <c r="R2383">
        <v>1014</v>
      </c>
      <c r="S2383" t="b">
        <v>0</v>
      </c>
      <c r="T2383" t="s">
        <v>87</v>
      </c>
      <c r="U2383" t="b">
        <v>1</v>
      </c>
      <c r="V2383" t="s">
        <v>919</v>
      </c>
      <c r="W2383" s="1">
        <v>44221.409629629627</v>
      </c>
      <c r="X2383">
        <v>700</v>
      </c>
      <c r="Y2383">
        <v>37</v>
      </c>
      <c r="Z2383">
        <v>0</v>
      </c>
      <c r="AA2383">
        <v>37</v>
      </c>
      <c r="AB2383">
        <v>0</v>
      </c>
      <c r="AC2383">
        <v>28</v>
      </c>
      <c r="AD2383">
        <v>1</v>
      </c>
      <c r="AE2383">
        <v>0</v>
      </c>
      <c r="AF2383">
        <v>0</v>
      </c>
      <c r="AG2383">
        <v>0</v>
      </c>
      <c r="AH2383" t="s">
        <v>108</v>
      </c>
      <c r="AI2383" s="1">
        <v>44221.413472222222</v>
      </c>
      <c r="AJ2383">
        <v>288</v>
      </c>
      <c r="AK2383">
        <v>2</v>
      </c>
      <c r="AL2383">
        <v>0</v>
      </c>
      <c r="AM2383">
        <v>2</v>
      </c>
      <c r="AN2383">
        <v>0</v>
      </c>
      <c r="AO2383">
        <v>0</v>
      </c>
      <c r="AP2383">
        <v>-1</v>
      </c>
      <c r="AQ2383">
        <v>0</v>
      </c>
      <c r="AR2383">
        <v>0</v>
      </c>
      <c r="AS2383">
        <v>0</v>
      </c>
      <c r="AT2383" t="s">
        <v>90</v>
      </c>
      <c r="AU2383" s="1">
        <v>44221.420972222222</v>
      </c>
      <c r="AV2383">
        <v>26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-1</v>
      </c>
      <c r="BC2383">
        <v>0</v>
      </c>
      <c r="BD2383">
        <v>0</v>
      </c>
      <c r="BE2383">
        <v>0</v>
      </c>
    </row>
    <row r="2384" spans="1:57" hidden="1" x14ac:dyDescent="0.45">
      <c r="A2384" t="s">
        <v>5737</v>
      </c>
      <c r="B2384" t="s">
        <v>79</v>
      </c>
      <c r="C2384" t="s">
        <v>1722</v>
      </c>
      <c r="D2384" t="s">
        <v>81</v>
      </c>
      <c r="E2384" s="2" t="str">
        <f>HYPERLINK("capsilon://?command=openfolder&amp;siteaddress=FAM.docvelocity-na8.net&amp;folderid=FXB743C46B-EB3C-E965-1F38-9AE1DABA004D","FX201223491")</f>
        <v>FX201223491</v>
      </c>
      <c r="F2384" t="s">
        <v>19</v>
      </c>
      <c r="G2384" t="s">
        <v>19</v>
      </c>
      <c r="H2384" t="s">
        <v>82</v>
      </c>
      <c r="I2384" t="s">
        <v>5738</v>
      </c>
      <c r="J2384">
        <v>38</v>
      </c>
      <c r="K2384" t="s">
        <v>84</v>
      </c>
      <c r="L2384" t="s">
        <v>85</v>
      </c>
      <c r="M2384" t="s">
        <v>86</v>
      </c>
      <c r="N2384">
        <v>3</v>
      </c>
      <c r="O2384" s="1">
        <v>44221.405543981484</v>
      </c>
      <c r="P2384" s="1">
        <v>44221.446736111109</v>
      </c>
      <c r="Q2384">
        <v>3220</v>
      </c>
      <c r="R2384">
        <v>339</v>
      </c>
      <c r="S2384" t="b">
        <v>0</v>
      </c>
      <c r="T2384" t="s">
        <v>87</v>
      </c>
      <c r="U2384" t="b">
        <v>0</v>
      </c>
      <c r="V2384" t="s">
        <v>98</v>
      </c>
      <c r="W2384" s="1">
        <v>44221.410277777781</v>
      </c>
      <c r="X2384">
        <v>224</v>
      </c>
      <c r="Y2384">
        <v>0</v>
      </c>
      <c r="Z2384">
        <v>0</v>
      </c>
      <c r="AA2384">
        <v>0</v>
      </c>
      <c r="AB2384">
        <v>37</v>
      </c>
      <c r="AC2384">
        <v>0</v>
      </c>
      <c r="AD2384">
        <v>38</v>
      </c>
      <c r="AE2384">
        <v>0</v>
      </c>
      <c r="AF2384">
        <v>0</v>
      </c>
      <c r="AG2384">
        <v>0</v>
      </c>
      <c r="AH2384" t="s">
        <v>108</v>
      </c>
      <c r="AI2384" s="1">
        <v>44221.429675925923</v>
      </c>
      <c r="AJ2384">
        <v>109</v>
      </c>
      <c r="AK2384">
        <v>0</v>
      </c>
      <c r="AL2384">
        <v>0</v>
      </c>
      <c r="AM2384">
        <v>0</v>
      </c>
      <c r="AN2384">
        <v>37</v>
      </c>
      <c r="AO2384">
        <v>0</v>
      </c>
      <c r="AP2384">
        <v>38</v>
      </c>
      <c r="AQ2384">
        <v>0</v>
      </c>
      <c r="AR2384">
        <v>0</v>
      </c>
      <c r="AS2384">
        <v>0</v>
      </c>
      <c r="AT2384" t="s">
        <v>90</v>
      </c>
      <c r="AU2384" s="1">
        <v>44221.446736111109</v>
      </c>
      <c r="AV2384">
        <v>6</v>
      </c>
      <c r="AW2384">
        <v>0</v>
      </c>
      <c r="AX2384">
        <v>0</v>
      </c>
      <c r="AY2384">
        <v>0</v>
      </c>
      <c r="AZ2384">
        <v>37</v>
      </c>
      <c r="BA2384">
        <v>0</v>
      </c>
      <c r="BB2384">
        <v>38</v>
      </c>
      <c r="BC2384">
        <v>0</v>
      </c>
      <c r="BD2384">
        <v>0</v>
      </c>
      <c r="BE2384">
        <v>0</v>
      </c>
    </row>
    <row r="2385" spans="1:57" hidden="1" x14ac:dyDescent="0.45">
      <c r="A2385" t="s">
        <v>5739</v>
      </c>
      <c r="B2385" t="s">
        <v>79</v>
      </c>
      <c r="C2385" t="s">
        <v>5740</v>
      </c>
      <c r="D2385" t="s">
        <v>81</v>
      </c>
      <c r="E2385" s="2" t="str">
        <f>HYPERLINK("capsilon://?command=openfolder&amp;siteaddress=FAM.docvelocity-na8.net&amp;folderid=FX44924EAF-73D3-770D-4C33-F9EC6C4869EE","FX20126911")</f>
        <v>FX20126911</v>
      </c>
      <c r="F2385" t="s">
        <v>19</v>
      </c>
      <c r="G2385" t="s">
        <v>19</v>
      </c>
      <c r="H2385" t="s">
        <v>82</v>
      </c>
      <c r="I2385" t="s">
        <v>5741</v>
      </c>
      <c r="J2385">
        <v>62</v>
      </c>
      <c r="K2385" t="s">
        <v>84</v>
      </c>
      <c r="L2385" t="s">
        <v>85</v>
      </c>
      <c r="M2385" t="s">
        <v>86</v>
      </c>
      <c r="N2385">
        <v>1</v>
      </c>
      <c r="O2385" s="1">
        <v>44221.41265046296</v>
      </c>
      <c r="P2385" s="1">
        <v>44221.420335648145</v>
      </c>
      <c r="Q2385">
        <v>0</v>
      </c>
      <c r="R2385">
        <v>664</v>
      </c>
      <c r="S2385" t="b">
        <v>0</v>
      </c>
      <c r="T2385" t="s">
        <v>87</v>
      </c>
      <c r="U2385" t="b">
        <v>0</v>
      </c>
      <c r="V2385" t="s">
        <v>98</v>
      </c>
      <c r="W2385" s="1">
        <v>44221.420335648145</v>
      </c>
      <c r="X2385">
        <v>664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62</v>
      </c>
      <c r="AE2385">
        <v>58</v>
      </c>
      <c r="AF2385">
        <v>0</v>
      </c>
      <c r="AG2385">
        <v>4</v>
      </c>
      <c r="AH2385" t="s">
        <v>87</v>
      </c>
      <c r="AI2385" t="s">
        <v>87</v>
      </c>
      <c r="AJ2385" t="s">
        <v>87</v>
      </c>
      <c r="AK2385" t="s">
        <v>87</v>
      </c>
      <c r="AL2385" t="s">
        <v>87</v>
      </c>
      <c r="AM2385" t="s">
        <v>87</v>
      </c>
      <c r="AN2385" t="s">
        <v>87</v>
      </c>
      <c r="AO2385" t="s">
        <v>87</v>
      </c>
      <c r="AP2385" t="s">
        <v>87</v>
      </c>
      <c r="AQ2385" t="s">
        <v>87</v>
      </c>
      <c r="AR2385" t="s">
        <v>87</v>
      </c>
      <c r="AS2385" t="s">
        <v>87</v>
      </c>
      <c r="AT2385" t="s">
        <v>87</v>
      </c>
      <c r="AU2385" t="s">
        <v>87</v>
      </c>
      <c r="AV2385" t="s">
        <v>87</v>
      </c>
      <c r="AW2385" t="s">
        <v>87</v>
      </c>
      <c r="AX2385" t="s">
        <v>87</v>
      </c>
      <c r="AY2385" t="s">
        <v>87</v>
      </c>
      <c r="AZ2385" t="s">
        <v>87</v>
      </c>
      <c r="BA2385" t="s">
        <v>87</v>
      </c>
      <c r="BB2385" t="s">
        <v>87</v>
      </c>
      <c r="BC2385" t="s">
        <v>87</v>
      </c>
      <c r="BD2385" t="s">
        <v>87</v>
      </c>
      <c r="BE2385" t="s">
        <v>87</v>
      </c>
    </row>
    <row r="2386" spans="1:57" hidden="1" x14ac:dyDescent="0.45">
      <c r="A2386" t="s">
        <v>5742</v>
      </c>
      <c r="B2386" t="s">
        <v>79</v>
      </c>
      <c r="C2386" t="s">
        <v>5743</v>
      </c>
      <c r="D2386" t="s">
        <v>81</v>
      </c>
      <c r="E2386" s="2" t="str">
        <f>HYPERLINK("capsilon://?command=openfolder&amp;siteaddress=FAM.docvelocity-na8.net&amp;folderid=FXBB573ED1-2160-B845-C102-A0605217AC13","FX20123436")</f>
        <v>FX20123436</v>
      </c>
      <c r="F2386" t="s">
        <v>19</v>
      </c>
      <c r="G2386" t="s">
        <v>19</v>
      </c>
      <c r="H2386" t="s">
        <v>82</v>
      </c>
      <c r="I2386" t="s">
        <v>5744</v>
      </c>
      <c r="J2386">
        <v>66</v>
      </c>
      <c r="K2386" t="s">
        <v>84</v>
      </c>
      <c r="L2386" t="s">
        <v>85</v>
      </c>
      <c r="M2386" t="s">
        <v>86</v>
      </c>
      <c r="N2386">
        <v>3</v>
      </c>
      <c r="O2386" s="1">
        <v>44221.414733796293</v>
      </c>
      <c r="P2386" s="1">
        <v>44221.446805555555</v>
      </c>
      <c r="Q2386">
        <v>2624</v>
      </c>
      <c r="R2386">
        <v>147</v>
      </c>
      <c r="S2386" t="b">
        <v>0</v>
      </c>
      <c r="T2386" t="s">
        <v>87</v>
      </c>
      <c r="U2386" t="b">
        <v>0</v>
      </c>
      <c r="V2386" t="s">
        <v>112</v>
      </c>
      <c r="W2386" s="1">
        <v>44221.415960648148</v>
      </c>
      <c r="X2386">
        <v>101</v>
      </c>
      <c r="Y2386">
        <v>0</v>
      </c>
      <c r="Z2386">
        <v>0</v>
      </c>
      <c r="AA2386">
        <v>0</v>
      </c>
      <c r="AB2386">
        <v>52</v>
      </c>
      <c r="AC2386">
        <v>0</v>
      </c>
      <c r="AD2386">
        <v>66</v>
      </c>
      <c r="AE2386">
        <v>0</v>
      </c>
      <c r="AF2386">
        <v>0</v>
      </c>
      <c r="AG2386">
        <v>0</v>
      </c>
      <c r="AH2386" t="s">
        <v>108</v>
      </c>
      <c r="AI2386" s="1">
        <v>44221.430150462962</v>
      </c>
      <c r="AJ2386">
        <v>40</v>
      </c>
      <c r="AK2386">
        <v>0</v>
      </c>
      <c r="AL2386">
        <v>0</v>
      </c>
      <c r="AM2386">
        <v>0</v>
      </c>
      <c r="AN2386">
        <v>52</v>
      </c>
      <c r="AO2386">
        <v>0</v>
      </c>
      <c r="AP2386">
        <v>66</v>
      </c>
      <c r="AQ2386">
        <v>0</v>
      </c>
      <c r="AR2386">
        <v>0</v>
      </c>
      <c r="AS2386">
        <v>0</v>
      </c>
      <c r="AT2386" t="s">
        <v>90</v>
      </c>
      <c r="AU2386" s="1">
        <v>44221.446805555555</v>
      </c>
      <c r="AV2386">
        <v>6</v>
      </c>
      <c r="AW2386">
        <v>0</v>
      </c>
      <c r="AX2386">
        <v>0</v>
      </c>
      <c r="AY2386">
        <v>0</v>
      </c>
      <c r="AZ2386">
        <v>52</v>
      </c>
      <c r="BA2386">
        <v>0</v>
      </c>
      <c r="BB2386">
        <v>66</v>
      </c>
      <c r="BC2386">
        <v>0</v>
      </c>
      <c r="BD2386">
        <v>0</v>
      </c>
      <c r="BE2386">
        <v>0</v>
      </c>
    </row>
    <row r="2387" spans="1:57" x14ac:dyDescent="0.45">
      <c r="A2387" t="s">
        <v>5745</v>
      </c>
      <c r="B2387" t="s">
        <v>79</v>
      </c>
      <c r="C2387" t="s">
        <v>5746</v>
      </c>
      <c r="D2387" t="s">
        <v>81</v>
      </c>
      <c r="E2387" s="2" t="str">
        <f>HYPERLINK("capsilon://?command=openfolder&amp;siteaddress=FAM.docvelocity-na8.net&amp;folderid=FXA0CC59CA-18D7-7BA2-12A0-E60C716A31E1","FX210114526")</f>
        <v>FX210114526</v>
      </c>
      <c r="F2387" t="s">
        <v>19</v>
      </c>
      <c r="G2387" t="s">
        <v>19</v>
      </c>
      <c r="H2387" t="s">
        <v>82</v>
      </c>
      <c r="I2387" t="s">
        <v>5747</v>
      </c>
      <c r="J2387">
        <v>38</v>
      </c>
      <c r="K2387" t="s">
        <v>84</v>
      </c>
      <c r="L2387" t="s">
        <v>85</v>
      </c>
      <c r="M2387" t="s">
        <v>86</v>
      </c>
      <c r="N2387">
        <v>3</v>
      </c>
      <c r="O2387" s="1">
        <v>44221.420092592591</v>
      </c>
      <c r="P2387" s="1">
        <v>44221.489050925928</v>
      </c>
      <c r="Q2387">
        <v>3988</v>
      </c>
      <c r="R2387">
        <v>1970</v>
      </c>
      <c r="S2387" t="b">
        <v>0</v>
      </c>
      <c r="T2387" t="s">
        <v>87</v>
      </c>
      <c r="U2387" t="b">
        <v>0</v>
      </c>
      <c r="V2387" t="s">
        <v>98</v>
      </c>
      <c r="W2387" s="1">
        <v>44221.434074074074</v>
      </c>
      <c r="X2387">
        <v>1186</v>
      </c>
      <c r="Y2387">
        <v>37</v>
      </c>
      <c r="Z2387">
        <v>0</v>
      </c>
      <c r="AA2387">
        <v>37</v>
      </c>
      <c r="AB2387">
        <v>0</v>
      </c>
      <c r="AC2387">
        <v>21</v>
      </c>
      <c r="AD2387">
        <v>1</v>
      </c>
      <c r="AE2387">
        <v>0</v>
      </c>
      <c r="AF2387">
        <v>0</v>
      </c>
      <c r="AG2387">
        <v>0</v>
      </c>
      <c r="AH2387" t="s">
        <v>108</v>
      </c>
      <c r="AI2387" s="1">
        <v>44221.460868055554</v>
      </c>
      <c r="AJ2387">
        <v>778</v>
      </c>
      <c r="AK2387">
        <v>2</v>
      </c>
      <c r="AL2387">
        <v>0</v>
      </c>
      <c r="AM2387">
        <v>2</v>
      </c>
      <c r="AN2387">
        <v>0</v>
      </c>
      <c r="AO2387">
        <v>1</v>
      </c>
      <c r="AP2387">
        <v>-1</v>
      </c>
      <c r="AQ2387">
        <v>0</v>
      </c>
      <c r="AR2387">
        <v>0</v>
      </c>
      <c r="AS2387">
        <v>0</v>
      </c>
      <c r="AT2387" t="s">
        <v>90</v>
      </c>
      <c r="AU2387" s="1">
        <v>44221.489050925928</v>
      </c>
      <c r="AV2387">
        <v>6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-1</v>
      </c>
      <c r="BC2387">
        <v>0</v>
      </c>
      <c r="BD2387">
        <v>0</v>
      </c>
      <c r="BE2387">
        <v>0</v>
      </c>
    </row>
    <row r="2388" spans="1:57" x14ac:dyDescent="0.45">
      <c r="A2388" t="s">
        <v>5748</v>
      </c>
      <c r="B2388" t="s">
        <v>79</v>
      </c>
      <c r="C2388" t="s">
        <v>5749</v>
      </c>
      <c r="D2388" t="s">
        <v>81</v>
      </c>
      <c r="E2388" s="2" t="str">
        <f>HYPERLINK("capsilon://?command=openfolder&amp;siteaddress=FAM.docvelocity-na8.net&amp;folderid=FXABA8C3E1-0765-6CE7-D49C-20ACBEF928BF","FX210111212")</f>
        <v>FX210111212</v>
      </c>
      <c r="F2388" t="s">
        <v>19</v>
      </c>
      <c r="G2388" t="s">
        <v>19</v>
      </c>
      <c r="H2388" t="s">
        <v>82</v>
      </c>
      <c r="I2388" t="s">
        <v>5750</v>
      </c>
      <c r="J2388">
        <v>226</v>
      </c>
      <c r="K2388" t="s">
        <v>84</v>
      </c>
      <c r="L2388" t="s">
        <v>85</v>
      </c>
      <c r="M2388" t="s">
        <v>86</v>
      </c>
      <c r="N2388">
        <v>3</v>
      </c>
      <c r="O2388" s="1">
        <v>44221.421041666668</v>
      </c>
      <c r="P2388" s="1">
        <v>44221.490555555552</v>
      </c>
      <c r="Q2388">
        <v>3278</v>
      </c>
      <c r="R2388">
        <v>2728</v>
      </c>
      <c r="S2388" t="b">
        <v>0</v>
      </c>
      <c r="T2388" t="s">
        <v>87</v>
      </c>
      <c r="U2388" t="b">
        <v>0</v>
      </c>
      <c r="V2388" t="s">
        <v>88</v>
      </c>
      <c r="W2388" s="1">
        <v>44221.445405092592</v>
      </c>
      <c r="X2388">
        <v>2072</v>
      </c>
      <c r="Y2388">
        <v>177</v>
      </c>
      <c r="Z2388">
        <v>0</v>
      </c>
      <c r="AA2388">
        <v>177</v>
      </c>
      <c r="AB2388">
        <v>0</v>
      </c>
      <c r="AC2388">
        <v>84</v>
      </c>
      <c r="AD2388">
        <v>49</v>
      </c>
      <c r="AE2388">
        <v>0</v>
      </c>
      <c r="AF2388">
        <v>0</v>
      </c>
      <c r="AG2388">
        <v>0</v>
      </c>
      <c r="AH2388" t="s">
        <v>132</v>
      </c>
      <c r="AI2388" s="1">
        <v>44221.470567129632</v>
      </c>
      <c r="AJ2388">
        <v>505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49</v>
      </c>
      <c r="AQ2388">
        <v>0</v>
      </c>
      <c r="AR2388">
        <v>0</v>
      </c>
      <c r="AS2388">
        <v>0</v>
      </c>
      <c r="AT2388" t="s">
        <v>90</v>
      </c>
      <c r="AU2388" s="1">
        <v>44221.490555555552</v>
      </c>
      <c r="AV2388">
        <v>129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49</v>
      </c>
      <c r="BC2388">
        <v>0</v>
      </c>
      <c r="BD2388">
        <v>0</v>
      </c>
      <c r="BE2388">
        <v>0</v>
      </c>
    </row>
    <row r="2389" spans="1:57" x14ac:dyDescent="0.45">
      <c r="A2389" t="s">
        <v>5751</v>
      </c>
      <c r="B2389" t="s">
        <v>79</v>
      </c>
      <c r="C2389" t="s">
        <v>5740</v>
      </c>
      <c r="D2389" t="s">
        <v>81</v>
      </c>
      <c r="E2389" s="2" t="str">
        <f>HYPERLINK("capsilon://?command=openfolder&amp;siteaddress=FAM.docvelocity-na8.net&amp;folderid=FX44924EAF-73D3-770D-4C33-F9EC6C4869EE","FX20126911")</f>
        <v>FX20126911</v>
      </c>
      <c r="F2389" t="s">
        <v>19</v>
      </c>
      <c r="G2389" t="s">
        <v>19</v>
      </c>
      <c r="H2389" t="s">
        <v>82</v>
      </c>
      <c r="I2389" t="s">
        <v>5741</v>
      </c>
      <c r="J2389">
        <v>198</v>
      </c>
      <c r="K2389" t="s">
        <v>84</v>
      </c>
      <c r="L2389" t="s">
        <v>85</v>
      </c>
      <c r="M2389" t="s">
        <v>86</v>
      </c>
      <c r="N2389">
        <v>3</v>
      </c>
      <c r="O2389" s="1">
        <v>44221.421863425923</v>
      </c>
      <c r="P2389" s="1">
        <v>44221.486493055556</v>
      </c>
      <c r="Q2389">
        <v>1424</v>
      </c>
      <c r="R2389">
        <v>4160</v>
      </c>
      <c r="S2389" t="b">
        <v>0</v>
      </c>
      <c r="T2389" t="s">
        <v>87</v>
      </c>
      <c r="U2389" t="b">
        <v>1</v>
      </c>
      <c r="V2389" t="s">
        <v>919</v>
      </c>
      <c r="W2389" s="1">
        <v>44221.452430555553</v>
      </c>
      <c r="X2389">
        <v>2640</v>
      </c>
      <c r="Y2389">
        <v>194</v>
      </c>
      <c r="Z2389">
        <v>0</v>
      </c>
      <c r="AA2389">
        <v>194</v>
      </c>
      <c r="AB2389">
        <v>0</v>
      </c>
      <c r="AC2389">
        <v>84</v>
      </c>
      <c r="AD2389">
        <v>4</v>
      </c>
      <c r="AE2389">
        <v>0</v>
      </c>
      <c r="AF2389">
        <v>0</v>
      </c>
      <c r="AG2389">
        <v>0</v>
      </c>
      <c r="AH2389" t="s">
        <v>108</v>
      </c>
      <c r="AI2389" s="1">
        <v>44221.475104166668</v>
      </c>
      <c r="AJ2389">
        <v>1229</v>
      </c>
      <c r="AK2389">
        <v>1</v>
      </c>
      <c r="AL2389">
        <v>0</v>
      </c>
      <c r="AM2389">
        <v>1</v>
      </c>
      <c r="AN2389">
        <v>0</v>
      </c>
      <c r="AO2389">
        <v>0</v>
      </c>
      <c r="AP2389">
        <v>3</v>
      </c>
      <c r="AQ2389">
        <v>0</v>
      </c>
      <c r="AR2389">
        <v>0</v>
      </c>
      <c r="AS2389">
        <v>0</v>
      </c>
      <c r="AT2389" t="s">
        <v>90</v>
      </c>
      <c r="AU2389" s="1">
        <v>44221.486493055556</v>
      </c>
      <c r="AV2389">
        <v>33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3</v>
      </c>
      <c r="BC2389">
        <v>0</v>
      </c>
      <c r="BD2389">
        <v>0</v>
      </c>
      <c r="BE2389">
        <v>0</v>
      </c>
    </row>
    <row r="2390" spans="1:57" hidden="1" x14ac:dyDescent="0.45">
      <c r="A2390" t="s">
        <v>5752</v>
      </c>
      <c r="B2390" t="s">
        <v>79</v>
      </c>
      <c r="C2390" t="s">
        <v>1210</v>
      </c>
      <c r="D2390" t="s">
        <v>81</v>
      </c>
      <c r="E2390" s="2" t="str">
        <f>HYPERLINK("capsilon://?command=openfolder&amp;siteaddress=FAM.docvelocity-na8.net&amp;folderid=FX80A22950-1FE3-53DE-64A1-5C9CB772F41F","FX20125562")</f>
        <v>FX20125562</v>
      </c>
      <c r="F2390" t="s">
        <v>19</v>
      </c>
      <c r="G2390" t="s">
        <v>19</v>
      </c>
      <c r="H2390" t="s">
        <v>82</v>
      </c>
      <c r="I2390" t="s">
        <v>5753</v>
      </c>
      <c r="J2390">
        <v>132</v>
      </c>
      <c r="K2390" t="s">
        <v>84</v>
      </c>
      <c r="L2390" t="s">
        <v>85</v>
      </c>
      <c r="M2390" t="s">
        <v>86</v>
      </c>
      <c r="N2390">
        <v>3</v>
      </c>
      <c r="O2390" s="1">
        <v>44221.426319444443</v>
      </c>
      <c r="P2390" s="1">
        <v>44221.446851851855</v>
      </c>
      <c r="Q2390">
        <v>1496</v>
      </c>
      <c r="R2390">
        <v>278</v>
      </c>
      <c r="S2390" t="b">
        <v>0</v>
      </c>
      <c r="T2390" t="s">
        <v>87</v>
      </c>
      <c r="U2390" t="b">
        <v>0</v>
      </c>
      <c r="V2390" t="s">
        <v>112</v>
      </c>
      <c r="W2390" s="1">
        <v>44221.429108796299</v>
      </c>
      <c r="X2390">
        <v>216</v>
      </c>
      <c r="Y2390">
        <v>0</v>
      </c>
      <c r="Z2390">
        <v>0</v>
      </c>
      <c r="AA2390">
        <v>0</v>
      </c>
      <c r="AB2390">
        <v>104</v>
      </c>
      <c r="AC2390">
        <v>0</v>
      </c>
      <c r="AD2390">
        <v>132</v>
      </c>
      <c r="AE2390">
        <v>0</v>
      </c>
      <c r="AF2390">
        <v>0</v>
      </c>
      <c r="AG2390">
        <v>0</v>
      </c>
      <c r="AH2390" t="s">
        <v>89</v>
      </c>
      <c r="AI2390" s="1">
        <v>44221.43074074074</v>
      </c>
      <c r="AJ2390">
        <v>58</v>
      </c>
      <c r="AK2390">
        <v>0</v>
      </c>
      <c r="AL2390">
        <v>0</v>
      </c>
      <c r="AM2390">
        <v>0</v>
      </c>
      <c r="AN2390">
        <v>104</v>
      </c>
      <c r="AO2390">
        <v>0</v>
      </c>
      <c r="AP2390">
        <v>132</v>
      </c>
      <c r="AQ2390">
        <v>0</v>
      </c>
      <c r="AR2390">
        <v>0</v>
      </c>
      <c r="AS2390">
        <v>0</v>
      </c>
      <c r="AT2390" t="s">
        <v>90</v>
      </c>
      <c r="AU2390" s="1">
        <v>44221.446851851855</v>
      </c>
      <c r="AV2390">
        <v>4</v>
      </c>
      <c r="AW2390">
        <v>0</v>
      </c>
      <c r="AX2390">
        <v>0</v>
      </c>
      <c r="AY2390">
        <v>0</v>
      </c>
      <c r="AZ2390">
        <v>104</v>
      </c>
      <c r="BA2390">
        <v>0</v>
      </c>
      <c r="BB2390">
        <v>132</v>
      </c>
      <c r="BC2390">
        <v>0</v>
      </c>
      <c r="BD2390">
        <v>0</v>
      </c>
      <c r="BE2390">
        <v>0</v>
      </c>
    </row>
    <row r="2391" spans="1:57" x14ac:dyDescent="0.45">
      <c r="A2391" t="s">
        <v>5754</v>
      </c>
      <c r="B2391" t="s">
        <v>79</v>
      </c>
      <c r="C2391" t="s">
        <v>5755</v>
      </c>
      <c r="D2391" t="s">
        <v>81</v>
      </c>
      <c r="E2391" s="2" t="str">
        <f>HYPERLINK("capsilon://?command=openfolder&amp;siteaddress=FAM.docvelocity-na8.net&amp;folderid=FX4338E181-E338-ED47-B242-284C40085938","FX210113037")</f>
        <v>FX210113037</v>
      </c>
      <c r="F2391" t="s">
        <v>19</v>
      </c>
      <c r="G2391" t="s">
        <v>19</v>
      </c>
      <c r="H2391" t="s">
        <v>82</v>
      </c>
      <c r="I2391" t="s">
        <v>5756</v>
      </c>
      <c r="J2391">
        <v>38</v>
      </c>
      <c r="K2391" t="s">
        <v>84</v>
      </c>
      <c r="L2391" t="s">
        <v>85</v>
      </c>
      <c r="M2391" t="s">
        <v>86</v>
      </c>
      <c r="N2391">
        <v>3</v>
      </c>
      <c r="O2391" s="1">
        <v>44221.427685185183</v>
      </c>
      <c r="P2391" s="1">
        <v>44221.490636574075</v>
      </c>
      <c r="Q2391">
        <v>4857</v>
      </c>
      <c r="R2391">
        <v>582</v>
      </c>
      <c r="S2391" t="b">
        <v>0</v>
      </c>
      <c r="T2391" t="s">
        <v>87</v>
      </c>
      <c r="U2391" t="b">
        <v>0</v>
      </c>
      <c r="V2391" t="s">
        <v>112</v>
      </c>
      <c r="W2391" s="1">
        <v>44221.434837962966</v>
      </c>
      <c r="X2391">
        <v>494</v>
      </c>
      <c r="Y2391">
        <v>37</v>
      </c>
      <c r="Z2391">
        <v>0</v>
      </c>
      <c r="AA2391">
        <v>37</v>
      </c>
      <c r="AB2391">
        <v>0</v>
      </c>
      <c r="AC2391">
        <v>14</v>
      </c>
      <c r="AD2391">
        <v>1</v>
      </c>
      <c r="AE2391">
        <v>0</v>
      </c>
      <c r="AF2391">
        <v>0</v>
      </c>
      <c r="AG2391">
        <v>0</v>
      </c>
      <c r="AH2391" t="s">
        <v>132</v>
      </c>
      <c r="AI2391" s="1">
        <v>44221.471516203703</v>
      </c>
      <c r="AJ2391">
        <v>81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 t="s">
        <v>90</v>
      </c>
      <c r="AU2391" s="1">
        <v>44221.490636574075</v>
      </c>
      <c r="AV2391">
        <v>7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0</v>
      </c>
    </row>
    <row r="2392" spans="1:57" x14ac:dyDescent="0.45">
      <c r="A2392" t="s">
        <v>5757</v>
      </c>
      <c r="B2392" t="s">
        <v>79</v>
      </c>
      <c r="C2392" t="s">
        <v>5758</v>
      </c>
      <c r="D2392" t="s">
        <v>81</v>
      </c>
      <c r="E2392" s="2" t="str">
        <f>HYPERLINK("capsilon://?command=openfolder&amp;siteaddress=FAM.docvelocity-na8.net&amp;folderid=FXA44F3299-30F4-AE8F-ADDF-39D7C85E5E93","FX210115375")</f>
        <v>FX210115375</v>
      </c>
      <c r="F2392" t="s">
        <v>19</v>
      </c>
      <c r="G2392" t="s">
        <v>19</v>
      </c>
      <c r="H2392" t="s">
        <v>82</v>
      </c>
      <c r="I2392" t="s">
        <v>5759</v>
      </c>
      <c r="J2392">
        <v>156</v>
      </c>
      <c r="K2392" t="s">
        <v>84</v>
      </c>
      <c r="L2392" t="s">
        <v>85</v>
      </c>
      <c r="M2392" t="s">
        <v>86</v>
      </c>
      <c r="N2392">
        <v>3</v>
      </c>
      <c r="O2392" s="1">
        <v>44221.429375</v>
      </c>
      <c r="P2392" s="1">
        <v>44221.491736111115</v>
      </c>
      <c r="Q2392">
        <v>1066</v>
      </c>
      <c r="R2392">
        <v>4322</v>
      </c>
      <c r="S2392" t="b">
        <v>0</v>
      </c>
      <c r="T2392" t="s">
        <v>87</v>
      </c>
      <c r="U2392" t="b">
        <v>0</v>
      </c>
      <c r="V2392" t="s">
        <v>98</v>
      </c>
      <c r="W2392" s="1">
        <v>44221.475937499999</v>
      </c>
      <c r="X2392">
        <v>3616</v>
      </c>
      <c r="Y2392">
        <v>172</v>
      </c>
      <c r="Z2392">
        <v>0</v>
      </c>
      <c r="AA2392">
        <v>172</v>
      </c>
      <c r="AB2392">
        <v>0</v>
      </c>
      <c r="AC2392">
        <v>133</v>
      </c>
      <c r="AD2392">
        <v>-16</v>
      </c>
      <c r="AE2392">
        <v>0</v>
      </c>
      <c r="AF2392">
        <v>0</v>
      </c>
      <c r="AG2392">
        <v>0</v>
      </c>
      <c r="AH2392" t="s">
        <v>132</v>
      </c>
      <c r="AI2392" s="1">
        <v>44221.484178240738</v>
      </c>
      <c r="AJ2392">
        <v>598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-16</v>
      </c>
      <c r="AQ2392">
        <v>0</v>
      </c>
      <c r="AR2392">
        <v>0</v>
      </c>
      <c r="AS2392">
        <v>0</v>
      </c>
      <c r="AT2392" t="s">
        <v>90</v>
      </c>
      <c r="AU2392" s="1">
        <v>44221.491736111115</v>
      </c>
      <c r="AV2392">
        <v>95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-16</v>
      </c>
      <c r="BC2392">
        <v>0</v>
      </c>
      <c r="BD2392">
        <v>0</v>
      </c>
      <c r="BE2392">
        <v>0</v>
      </c>
    </row>
    <row r="2393" spans="1:57" hidden="1" x14ac:dyDescent="0.45">
      <c r="A2393" t="s">
        <v>5760</v>
      </c>
      <c r="B2393" t="s">
        <v>79</v>
      </c>
      <c r="C2393" t="s">
        <v>878</v>
      </c>
      <c r="D2393" t="s">
        <v>81</v>
      </c>
      <c r="E2393" s="2" t="str">
        <f>HYPERLINK("capsilon://?command=openfolder&amp;siteaddress=FAM.docvelocity-na8.net&amp;folderid=FX91476ABE-C54D-33AD-D79A-1F1EC699B11D","FX201111350")</f>
        <v>FX201111350</v>
      </c>
      <c r="F2393" t="s">
        <v>19</v>
      </c>
      <c r="G2393" t="s">
        <v>19</v>
      </c>
      <c r="H2393" t="s">
        <v>82</v>
      </c>
      <c r="I2393" t="s">
        <v>5761</v>
      </c>
      <c r="J2393">
        <v>51</v>
      </c>
      <c r="K2393" t="s">
        <v>84</v>
      </c>
      <c r="L2393" t="s">
        <v>85</v>
      </c>
      <c r="M2393" t="s">
        <v>86</v>
      </c>
      <c r="N2393">
        <v>1</v>
      </c>
      <c r="O2393" s="1">
        <v>44221.430798611109</v>
      </c>
      <c r="P2393" s="1">
        <v>44221.440520833334</v>
      </c>
      <c r="Q2393">
        <v>350</v>
      </c>
      <c r="R2393">
        <v>490</v>
      </c>
      <c r="S2393" t="b">
        <v>0</v>
      </c>
      <c r="T2393" t="s">
        <v>87</v>
      </c>
      <c r="U2393" t="b">
        <v>0</v>
      </c>
      <c r="V2393" t="s">
        <v>112</v>
      </c>
      <c r="W2393" s="1">
        <v>44221.440520833334</v>
      </c>
      <c r="X2393">
        <v>490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51</v>
      </c>
      <c r="AE2393">
        <v>47</v>
      </c>
      <c r="AF2393">
        <v>0</v>
      </c>
      <c r="AG2393">
        <v>2</v>
      </c>
      <c r="AH2393" t="s">
        <v>87</v>
      </c>
      <c r="AI2393" t="s">
        <v>87</v>
      </c>
      <c r="AJ2393" t="s">
        <v>87</v>
      </c>
      <c r="AK2393" t="s">
        <v>87</v>
      </c>
      <c r="AL2393" t="s">
        <v>87</v>
      </c>
      <c r="AM2393" t="s">
        <v>87</v>
      </c>
      <c r="AN2393" t="s">
        <v>87</v>
      </c>
      <c r="AO2393" t="s">
        <v>87</v>
      </c>
      <c r="AP2393" t="s">
        <v>87</v>
      </c>
      <c r="AQ2393" t="s">
        <v>87</v>
      </c>
      <c r="AR2393" t="s">
        <v>87</v>
      </c>
      <c r="AS2393" t="s">
        <v>87</v>
      </c>
      <c r="AT2393" t="s">
        <v>87</v>
      </c>
      <c r="AU2393" t="s">
        <v>87</v>
      </c>
      <c r="AV2393" t="s">
        <v>87</v>
      </c>
      <c r="AW2393" t="s">
        <v>87</v>
      </c>
      <c r="AX2393" t="s">
        <v>87</v>
      </c>
      <c r="AY2393" t="s">
        <v>87</v>
      </c>
      <c r="AZ2393" t="s">
        <v>87</v>
      </c>
      <c r="BA2393" t="s">
        <v>87</v>
      </c>
      <c r="BB2393" t="s">
        <v>87</v>
      </c>
      <c r="BC2393" t="s">
        <v>87</v>
      </c>
      <c r="BD2393" t="s">
        <v>87</v>
      </c>
      <c r="BE2393" t="s">
        <v>87</v>
      </c>
    </row>
    <row r="2394" spans="1:57" x14ac:dyDescent="0.45">
      <c r="A2394" t="s">
        <v>5762</v>
      </c>
      <c r="B2394" t="s">
        <v>79</v>
      </c>
      <c r="C2394" t="s">
        <v>5763</v>
      </c>
      <c r="D2394" t="s">
        <v>81</v>
      </c>
      <c r="E2394" s="2" t="str">
        <f>HYPERLINK("capsilon://?command=openfolder&amp;siteaddress=FAM.docvelocity-na8.net&amp;folderid=FXE4B65668-18B7-17D1-08AE-9059069D18A7","FX210110425")</f>
        <v>FX210110425</v>
      </c>
      <c r="F2394" t="s">
        <v>19</v>
      </c>
      <c r="G2394" t="s">
        <v>19</v>
      </c>
      <c r="H2394" t="s">
        <v>82</v>
      </c>
      <c r="I2394" t="s">
        <v>5764</v>
      </c>
      <c r="J2394">
        <v>250</v>
      </c>
      <c r="K2394" t="s">
        <v>84</v>
      </c>
      <c r="L2394" t="s">
        <v>85</v>
      </c>
      <c r="M2394" t="s">
        <v>86</v>
      </c>
      <c r="N2394">
        <v>3</v>
      </c>
      <c r="O2394" s="1">
        <v>44221.432685185187</v>
      </c>
      <c r="P2394" s="1">
        <v>44221.513935185183</v>
      </c>
      <c r="Q2394">
        <v>1234</v>
      </c>
      <c r="R2394">
        <v>5786</v>
      </c>
      <c r="S2394" t="b">
        <v>0</v>
      </c>
      <c r="T2394" t="s">
        <v>87</v>
      </c>
      <c r="U2394" t="b">
        <v>0</v>
      </c>
      <c r="V2394" t="s">
        <v>112</v>
      </c>
      <c r="W2394" s="1">
        <v>44221.476122685184</v>
      </c>
      <c r="X2394">
        <v>3075</v>
      </c>
      <c r="Y2394">
        <v>213</v>
      </c>
      <c r="Z2394">
        <v>0</v>
      </c>
      <c r="AA2394">
        <v>213</v>
      </c>
      <c r="AB2394">
        <v>21</v>
      </c>
      <c r="AC2394">
        <v>68</v>
      </c>
      <c r="AD2394">
        <v>37</v>
      </c>
      <c r="AE2394">
        <v>0</v>
      </c>
      <c r="AF2394">
        <v>0</v>
      </c>
      <c r="AG2394">
        <v>0</v>
      </c>
      <c r="AH2394" t="s">
        <v>89</v>
      </c>
      <c r="AI2394" s="1">
        <v>44221.51116898148</v>
      </c>
      <c r="AJ2394">
        <v>2589</v>
      </c>
      <c r="AK2394">
        <v>0</v>
      </c>
      <c r="AL2394">
        <v>0</v>
      </c>
      <c r="AM2394">
        <v>0</v>
      </c>
      <c r="AN2394">
        <v>21</v>
      </c>
      <c r="AO2394">
        <v>0</v>
      </c>
      <c r="AP2394">
        <v>37</v>
      </c>
      <c r="AQ2394">
        <v>0</v>
      </c>
      <c r="AR2394">
        <v>0</v>
      </c>
      <c r="AS2394">
        <v>0</v>
      </c>
      <c r="AT2394" t="s">
        <v>90</v>
      </c>
      <c r="AU2394" s="1">
        <v>44221.513935185183</v>
      </c>
      <c r="AV2394">
        <v>100</v>
      </c>
      <c r="AW2394">
        <v>2</v>
      </c>
      <c r="AX2394">
        <v>0</v>
      </c>
      <c r="AY2394">
        <v>2</v>
      </c>
      <c r="AZ2394">
        <v>21</v>
      </c>
      <c r="BA2394">
        <v>2</v>
      </c>
      <c r="BB2394">
        <v>35</v>
      </c>
      <c r="BC2394">
        <v>0</v>
      </c>
      <c r="BD2394">
        <v>0</v>
      </c>
      <c r="BE2394">
        <v>0</v>
      </c>
    </row>
    <row r="2395" spans="1:57" hidden="1" x14ac:dyDescent="0.45">
      <c r="A2395" t="s">
        <v>5765</v>
      </c>
      <c r="B2395" t="s">
        <v>79</v>
      </c>
      <c r="C2395" t="s">
        <v>5766</v>
      </c>
      <c r="D2395" t="s">
        <v>81</v>
      </c>
      <c r="E2395" s="2" t="str">
        <f>HYPERLINK("capsilon://?command=openfolder&amp;siteaddress=FAM.docvelocity-na8.net&amp;folderid=FX9B299C91-CA19-D74F-0A21-7A4D5AD3DDB7","FX201221185")</f>
        <v>FX201221185</v>
      </c>
      <c r="F2395" t="s">
        <v>19</v>
      </c>
      <c r="G2395" t="s">
        <v>19</v>
      </c>
      <c r="H2395" t="s">
        <v>82</v>
      </c>
      <c r="I2395" t="s">
        <v>5767</v>
      </c>
      <c r="J2395">
        <v>80</v>
      </c>
      <c r="K2395" t="s">
        <v>84</v>
      </c>
      <c r="L2395" t="s">
        <v>85</v>
      </c>
      <c r="M2395" t="s">
        <v>86</v>
      </c>
      <c r="N2395">
        <v>1</v>
      </c>
      <c r="O2395" s="1">
        <v>44201.565347222226</v>
      </c>
      <c r="P2395" s="1">
        <v>44201.576932870368</v>
      </c>
      <c r="Q2395">
        <v>269</v>
      </c>
      <c r="R2395">
        <v>732</v>
      </c>
      <c r="S2395" t="b">
        <v>0</v>
      </c>
      <c r="T2395" t="s">
        <v>87</v>
      </c>
      <c r="U2395" t="b">
        <v>0</v>
      </c>
      <c r="V2395" t="s">
        <v>343</v>
      </c>
      <c r="W2395" s="1">
        <v>44201.576932870368</v>
      </c>
      <c r="X2395">
        <v>732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80</v>
      </c>
      <c r="AE2395">
        <v>76</v>
      </c>
      <c r="AF2395">
        <v>0</v>
      </c>
      <c r="AG2395">
        <v>5</v>
      </c>
      <c r="AH2395" t="s">
        <v>87</v>
      </c>
      <c r="AI2395" t="s">
        <v>87</v>
      </c>
      <c r="AJ2395" t="s">
        <v>87</v>
      </c>
      <c r="AK2395" t="s">
        <v>87</v>
      </c>
      <c r="AL2395" t="s">
        <v>87</v>
      </c>
      <c r="AM2395" t="s">
        <v>87</v>
      </c>
      <c r="AN2395" t="s">
        <v>87</v>
      </c>
      <c r="AO2395" t="s">
        <v>87</v>
      </c>
      <c r="AP2395" t="s">
        <v>87</v>
      </c>
      <c r="AQ2395" t="s">
        <v>87</v>
      </c>
      <c r="AR2395" t="s">
        <v>87</v>
      </c>
      <c r="AS2395" t="s">
        <v>87</v>
      </c>
      <c r="AT2395" t="s">
        <v>87</v>
      </c>
      <c r="AU2395" t="s">
        <v>87</v>
      </c>
      <c r="AV2395" t="s">
        <v>87</v>
      </c>
      <c r="AW2395" t="s">
        <v>87</v>
      </c>
      <c r="AX2395" t="s">
        <v>87</v>
      </c>
      <c r="AY2395" t="s">
        <v>87</v>
      </c>
      <c r="AZ2395" t="s">
        <v>87</v>
      </c>
      <c r="BA2395" t="s">
        <v>87</v>
      </c>
      <c r="BB2395" t="s">
        <v>87</v>
      </c>
      <c r="BC2395" t="s">
        <v>87</v>
      </c>
      <c r="BD2395" t="s">
        <v>87</v>
      </c>
      <c r="BE2395" t="s">
        <v>87</v>
      </c>
    </row>
    <row r="2396" spans="1:57" x14ac:dyDescent="0.45">
      <c r="A2396" t="s">
        <v>5768</v>
      </c>
      <c r="B2396" t="s">
        <v>79</v>
      </c>
      <c r="C2396" t="s">
        <v>5559</v>
      </c>
      <c r="D2396" t="s">
        <v>81</v>
      </c>
      <c r="E2396" s="2" t="str">
        <f>HYPERLINK("capsilon://?command=openfolder&amp;siteaddress=FAM.docvelocity-na8.net&amp;folderid=FXCE4C02BF-94DE-F7C8-9F3F-649494B72680","FX210112404")</f>
        <v>FX210112404</v>
      </c>
      <c r="F2396" t="s">
        <v>19</v>
      </c>
      <c r="G2396" t="s">
        <v>19</v>
      </c>
      <c r="H2396" t="s">
        <v>82</v>
      </c>
      <c r="I2396" t="s">
        <v>5769</v>
      </c>
      <c r="J2396">
        <v>26</v>
      </c>
      <c r="K2396" t="s">
        <v>84</v>
      </c>
      <c r="L2396" t="s">
        <v>85</v>
      </c>
      <c r="M2396" t="s">
        <v>86</v>
      </c>
      <c r="N2396">
        <v>3</v>
      </c>
      <c r="O2396" s="1">
        <v>44221.434317129628</v>
      </c>
      <c r="P2396" s="1">
        <v>44221.491793981484</v>
      </c>
      <c r="Q2396">
        <v>4009</v>
      </c>
      <c r="R2396">
        <v>957</v>
      </c>
      <c r="S2396" t="b">
        <v>0</v>
      </c>
      <c r="T2396" t="s">
        <v>87</v>
      </c>
      <c r="U2396" t="b">
        <v>0</v>
      </c>
      <c r="V2396" t="s">
        <v>105</v>
      </c>
      <c r="W2396" s="1">
        <v>44221.450428240743</v>
      </c>
      <c r="X2396">
        <v>701</v>
      </c>
      <c r="Y2396">
        <v>21</v>
      </c>
      <c r="Z2396">
        <v>0</v>
      </c>
      <c r="AA2396">
        <v>21</v>
      </c>
      <c r="AB2396">
        <v>0</v>
      </c>
      <c r="AC2396">
        <v>18</v>
      </c>
      <c r="AD2396">
        <v>5</v>
      </c>
      <c r="AE2396">
        <v>0</v>
      </c>
      <c r="AF2396">
        <v>0</v>
      </c>
      <c r="AG2396">
        <v>0</v>
      </c>
      <c r="AH2396" t="s">
        <v>132</v>
      </c>
      <c r="AI2396" s="1">
        <v>44221.474432870367</v>
      </c>
      <c r="AJ2396">
        <v>251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5</v>
      </c>
      <c r="AQ2396">
        <v>0</v>
      </c>
      <c r="AR2396">
        <v>0</v>
      </c>
      <c r="AS2396">
        <v>0</v>
      </c>
      <c r="AT2396" t="s">
        <v>90</v>
      </c>
      <c r="AU2396" s="1">
        <v>44221.491793981484</v>
      </c>
      <c r="AV2396">
        <v>5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5</v>
      </c>
      <c r="BC2396">
        <v>0</v>
      </c>
      <c r="BD2396">
        <v>0</v>
      </c>
      <c r="BE2396">
        <v>0</v>
      </c>
    </row>
    <row r="2397" spans="1:57" x14ac:dyDescent="0.45">
      <c r="A2397" t="s">
        <v>5770</v>
      </c>
      <c r="B2397" t="s">
        <v>79</v>
      </c>
      <c r="C2397" t="s">
        <v>5771</v>
      </c>
      <c r="D2397" t="s">
        <v>81</v>
      </c>
      <c r="E2397" s="2" t="str">
        <f>HYPERLINK("capsilon://?command=openfolder&amp;siteaddress=FAM.docvelocity-na8.net&amp;folderid=FX1FC4A212-9515-689C-E7E0-86BE59DAE8A9","FX210115597")</f>
        <v>FX210115597</v>
      </c>
      <c r="F2397" t="s">
        <v>19</v>
      </c>
      <c r="G2397" t="s">
        <v>19</v>
      </c>
      <c r="H2397" t="s">
        <v>82</v>
      </c>
      <c r="I2397" t="s">
        <v>5772</v>
      </c>
      <c r="J2397">
        <v>228</v>
      </c>
      <c r="K2397" t="s">
        <v>84</v>
      </c>
      <c r="L2397" t="s">
        <v>85</v>
      </c>
      <c r="M2397" t="s">
        <v>86</v>
      </c>
      <c r="N2397">
        <v>3</v>
      </c>
      <c r="O2397" s="1">
        <v>44221.436469907407</v>
      </c>
      <c r="P2397" s="1">
        <v>44221.540231481478</v>
      </c>
      <c r="Q2397">
        <v>1920</v>
      </c>
      <c r="R2397">
        <v>7045</v>
      </c>
      <c r="S2397" t="b">
        <v>0</v>
      </c>
      <c r="T2397" t="s">
        <v>87</v>
      </c>
      <c r="U2397" t="b">
        <v>0</v>
      </c>
      <c r="V2397" t="s">
        <v>919</v>
      </c>
      <c r="W2397" s="1">
        <v>44221.511481481481</v>
      </c>
      <c r="X2397">
        <v>5672</v>
      </c>
      <c r="Y2397">
        <v>358</v>
      </c>
      <c r="Z2397">
        <v>0</v>
      </c>
      <c r="AA2397">
        <v>358</v>
      </c>
      <c r="AB2397">
        <v>0</v>
      </c>
      <c r="AC2397">
        <v>252</v>
      </c>
      <c r="AD2397">
        <v>-130</v>
      </c>
      <c r="AE2397">
        <v>0</v>
      </c>
      <c r="AF2397">
        <v>0</v>
      </c>
      <c r="AG2397">
        <v>0</v>
      </c>
      <c r="AH2397" t="s">
        <v>132</v>
      </c>
      <c r="AI2397" s="1">
        <v>44221.536215277774</v>
      </c>
      <c r="AJ2397">
        <v>1249</v>
      </c>
      <c r="AK2397">
        <v>2</v>
      </c>
      <c r="AL2397">
        <v>0</v>
      </c>
      <c r="AM2397">
        <v>2</v>
      </c>
      <c r="AN2397">
        <v>0</v>
      </c>
      <c r="AO2397">
        <v>1</v>
      </c>
      <c r="AP2397">
        <v>-132</v>
      </c>
      <c r="AQ2397">
        <v>0</v>
      </c>
      <c r="AR2397">
        <v>0</v>
      </c>
      <c r="AS2397">
        <v>0</v>
      </c>
      <c r="AT2397" t="s">
        <v>90</v>
      </c>
      <c r="AU2397" s="1">
        <v>44221.540231481478</v>
      </c>
      <c r="AV2397">
        <v>53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-132</v>
      </c>
      <c r="BC2397">
        <v>0</v>
      </c>
      <c r="BD2397">
        <v>0</v>
      </c>
      <c r="BE2397">
        <v>0</v>
      </c>
    </row>
    <row r="2398" spans="1:57" hidden="1" x14ac:dyDescent="0.45">
      <c r="A2398" t="s">
        <v>5773</v>
      </c>
      <c r="B2398" t="s">
        <v>79</v>
      </c>
      <c r="C2398" t="s">
        <v>640</v>
      </c>
      <c r="D2398" t="s">
        <v>81</v>
      </c>
      <c r="E2398" s="2" t="str">
        <f>HYPERLINK("capsilon://?command=openfolder&amp;siteaddress=FAM.docvelocity-na8.net&amp;folderid=FX62295A95-55C4-5C1B-5039-98A3B81505DD","FX201115306")</f>
        <v>FX201115306</v>
      </c>
      <c r="F2398" t="s">
        <v>19</v>
      </c>
      <c r="G2398" t="s">
        <v>19</v>
      </c>
      <c r="H2398" t="s">
        <v>82</v>
      </c>
      <c r="I2398" t="s">
        <v>5774</v>
      </c>
      <c r="J2398">
        <v>66</v>
      </c>
      <c r="K2398" t="s">
        <v>84</v>
      </c>
      <c r="L2398" t="s">
        <v>85</v>
      </c>
      <c r="M2398" t="s">
        <v>86</v>
      </c>
      <c r="N2398">
        <v>3</v>
      </c>
      <c r="O2398" s="1">
        <v>44221.4374537037</v>
      </c>
      <c r="P2398" s="1">
        <v>44221.491851851853</v>
      </c>
      <c r="Q2398">
        <v>4549</v>
      </c>
      <c r="R2398">
        <v>151</v>
      </c>
      <c r="S2398" t="b">
        <v>0</v>
      </c>
      <c r="T2398" t="s">
        <v>87</v>
      </c>
      <c r="U2398" t="b">
        <v>0</v>
      </c>
      <c r="V2398" t="s">
        <v>168</v>
      </c>
      <c r="W2398" s="1">
        <v>44221.44703703704</v>
      </c>
      <c r="X2398">
        <v>100</v>
      </c>
      <c r="Y2398">
        <v>0</v>
      </c>
      <c r="Z2398">
        <v>0</v>
      </c>
      <c r="AA2398">
        <v>0</v>
      </c>
      <c r="AB2398">
        <v>52</v>
      </c>
      <c r="AC2398">
        <v>0</v>
      </c>
      <c r="AD2398">
        <v>66</v>
      </c>
      <c r="AE2398">
        <v>0</v>
      </c>
      <c r="AF2398">
        <v>0</v>
      </c>
      <c r="AG2398">
        <v>0</v>
      </c>
      <c r="AH2398" t="s">
        <v>132</v>
      </c>
      <c r="AI2398" s="1">
        <v>44221.474988425929</v>
      </c>
      <c r="AJ2398">
        <v>47</v>
      </c>
      <c r="AK2398">
        <v>0</v>
      </c>
      <c r="AL2398">
        <v>0</v>
      </c>
      <c r="AM2398">
        <v>0</v>
      </c>
      <c r="AN2398">
        <v>52</v>
      </c>
      <c r="AO2398">
        <v>0</v>
      </c>
      <c r="AP2398">
        <v>66</v>
      </c>
      <c r="AQ2398">
        <v>0</v>
      </c>
      <c r="AR2398">
        <v>0</v>
      </c>
      <c r="AS2398">
        <v>0</v>
      </c>
      <c r="AT2398" t="s">
        <v>90</v>
      </c>
      <c r="AU2398" s="1">
        <v>44221.491851851853</v>
      </c>
      <c r="AV2398">
        <v>4</v>
      </c>
      <c r="AW2398">
        <v>0</v>
      </c>
      <c r="AX2398">
        <v>0</v>
      </c>
      <c r="AY2398">
        <v>0</v>
      </c>
      <c r="AZ2398">
        <v>52</v>
      </c>
      <c r="BA2398">
        <v>0</v>
      </c>
      <c r="BB2398">
        <v>66</v>
      </c>
      <c r="BC2398">
        <v>0</v>
      </c>
      <c r="BD2398">
        <v>0</v>
      </c>
      <c r="BE2398">
        <v>0</v>
      </c>
    </row>
    <row r="2399" spans="1:57" hidden="1" x14ac:dyDescent="0.45">
      <c r="A2399" t="s">
        <v>5775</v>
      </c>
      <c r="B2399" t="s">
        <v>79</v>
      </c>
      <c r="C2399" t="s">
        <v>640</v>
      </c>
      <c r="D2399" t="s">
        <v>81</v>
      </c>
      <c r="E2399" s="2" t="str">
        <f>HYPERLINK("capsilon://?command=openfolder&amp;siteaddress=FAM.docvelocity-na8.net&amp;folderid=FX62295A95-55C4-5C1B-5039-98A3B81505DD","FX201115306")</f>
        <v>FX201115306</v>
      </c>
      <c r="F2399" t="s">
        <v>19</v>
      </c>
      <c r="G2399" t="s">
        <v>19</v>
      </c>
      <c r="H2399" t="s">
        <v>82</v>
      </c>
      <c r="I2399" t="s">
        <v>5776</v>
      </c>
      <c r="J2399">
        <v>66</v>
      </c>
      <c r="K2399" t="s">
        <v>84</v>
      </c>
      <c r="L2399" t="s">
        <v>85</v>
      </c>
      <c r="M2399" t="s">
        <v>86</v>
      </c>
      <c r="N2399">
        <v>3</v>
      </c>
      <c r="O2399" s="1">
        <v>44221.438854166663</v>
      </c>
      <c r="P2399" s="1">
        <v>44221.492476851854</v>
      </c>
      <c r="Q2399">
        <v>4430</v>
      </c>
      <c r="R2399">
        <v>203</v>
      </c>
      <c r="S2399" t="b">
        <v>0</v>
      </c>
      <c r="T2399" t="s">
        <v>87</v>
      </c>
      <c r="U2399" t="b">
        <v>0</v>
      </c>
      <c r="V2399" t="s">
        <v>171</v>
      </c>
      <c r="W2399" s="1">
        <v>44221.44804398148</v>
      </c>
      <c r="X2399">
        <v>108</v>
      </c>
      <c r="Y2399">
        <v>0</v>
      </c>
      <c r="Z2399">
        <v>0</v>
      </c>
      <c r="AA2399">
        <v>0</v>
      </c>
      <c r="AB2399">
        <v>52</v>
      </c>
      <c r="AC2399">
        <v>0</v>
      </c>
      <c r="AD2399">
        <v>66</v>
      </c>
      <c r="AE2399">
        <v>0</v>
      </c>
      <c r="AF2399">
        <v>0</v>
      </c>
      <c r="AG2399">
        <v>0</v>
      </c>
      <c r="AH2399" t="s">
        <v>132</v>
      </c>
      <c r="AI2399" s="1">
        <v>44221.475486111114</v>
      </c>
      <c r="AJ2399">
        <v>42</v>
      </c>
      <c r="AK2399">
        <v>0</v>
      </c>
      <c r="AL2399">
        <v>0</v>
      </c>
      <c r="AM2399">
        <v>0</v>
      </c>
      <c r="AN2399">
        <v>52</v>
      </c>
      <c r="AO2399">
        <v>0</v>
      </c>
      <c r="AP2399">
        <v>66</v>
      </c>
      <c r="AQ2399">
        <v>0</v>
      </c>
      <c r="AR2399">
        <v>0</v>
      </c>
      <c r="AS2399">
        <v>0</v>
      </c>
      <c r="AT2399" t="s">
        <v>90</v>
      </c>
      <c r="AU2399" s="1">
        <v>44221.492476851854</v>
      </c>
      <c r="AV2399">
        <v>53</v>
      </c>
      <c r="AW2399">
        <v>0</v>
      </c>
      <c r="AX2399">
        <v>0</v>
      </c>
      <c r="AY2399">
        <v>0</v>
      </c>
      <c r="AZ2399">
        <v>52</v>
      </c>
      <c r="BA2399">
        <v>0</v>
      </c>
      <c r="BB2399">
        <v>66</v>
      </c>
      <c r="BC2399">
        <v>0</v>
      </c>
      <c r="BD2399">
        <v>0</v>
      </c>
      <c r="BE2399">
        <v>0</v>
      </c>
    </row>
    <row r="2400" spans="1:57" x14ac:dyDescent="0.45">
      <c r="A2400" t="s">
        <v>5777</v>
      </c>
      <c r="B2400" t="s">
        <v>79</v>
      </c>
      <c r="C2400" t="s">
        <v>5778</v>
      </c>
      <c r="D2400" t="s">
        <v>81</v>
      </c>
      <c r="E2400" s="2" t="str">
        <f>HYPERLINK("capsilon://?command=openfolder&amp;siteaddress=FAM.docvelocity-na8.net&amp;folderid=FX159185AC-7EA6-A82A-EFCB-BEB179DD38C8","FX210114555")</f>
        <v>FX210114555</v>
      </c>
      <c r="F2400" t="s">
        <v>19</v>
      </c>
      <c r="G2400" t="s">
        <v>19</v>
      </c>
      <c r="H2400" t="s">
        <v>82</v>
      </c>
      <c r="I2400" t="s">
        <v>5779</v>
      </c>
      <c r="J2400">
        <v>459</v>
      </c>
      <c r="K2400" t="s">
        <v>84</v>
      </c>
      <c r="L2400" t="s">
        <v>85</v>
      </c>
      <c r="M2400" t="s">
        <v>86</v>
      </c>
      <c r="N2400">
        <v>3</v>
      </c>
      <c r="O2400" s="1">
        <v>44221.440879629627</v>
      </c>
      <c r="P2400" s="1">
        <v>44221.571898148148</v>
      </c>
      <c r="Q2400">
        <v>984</v>
      </c>
      <c r="R2400">
        <v>10336</v>
      </c>
      <c r="S2400" t="b">
        <v>0</v>
      </c>
      <c r="T2400" t="s">
        <v>87</v>
      </c>
      <c r="U2400" t="b">
        <v>0</v>
      </c>
      <c r="V2400" t="s">
        <v>142</v>
      </c>
      <c r="W2400" s="1">
        <v>44221.537442129629</v>
      </c>
      <c r="X2400">
        <v>7810</v>
      </c>
      <c r="Y2400">
        <v>403</v>
      </c>
      <c r="Z2400">
        <v>0</v>
      </c>
      <c r="AA2400">
        <v>403</v>
      </c>
      <c r="AB2400">
        <v>148</v>
      </c>
      <c r="AC2400">
        <v>362</v>
      </c>
      <c r="AD2400">
        <v>56</v>
      </c>
      <c r="AE2400">
        <v>0</v>
      </c>
      <c r="AF2400">
        <v>0</v>
      </c>
      <c r="AG2400">
        <v>0</v>
      </c>
      <c r="AH2400" t="s">
        <v>128</v>
      </c>
      <c r="AI2400" s="1">
        <v>44221.565706018519</v>
      </c>
      <c r="AJ2400">
        <v>2111</v>
      </c>
      <c r="AK2400">
        <v>1</v>
      </c>
      <c r="AL2400">
        <v>0</v>
      </c>
      <c r="AM2400">
        <v>1</v>
      </c>
      <c r="AN2400">
        <v>148</v>
      </c>
      <c r="AO2400">
        <v>1</v>
      </c>
      <c r="AP2400">
        <v>55</v>
      </c>
      <c r="AQ2400">
        <v>0</v>
      </c>
      <c r="AR2400">
        <v>0</v>
      </c>
      <c r="AS2400">
        <v>0</v>
      </c>
      <c r="AT2400" t="s">
        <v>90</v>
      </c>
      <c r="AU2400" s="1">
        <v>44221.571898148148</v>
      </c>
      <c r="AV2400">
        <v>287</v>
      </c>
      <c r="AW2400">
        <v>8</v>
      </c>
      <c r="AX2400">
        <v>0</v>
      </c>
      <c r="AY2400">
        <v>8</v>
      </c>
      <c r="AZ2400">
        <v>148</v>
      </c>
      <c r="BA2400">
        <v>8</v>
      </c>
      <c r="BB2400">
        <v>47</v>
      </c>
      <c r="BC2400">
        <v>0</v>
      </c>
      <c r="BD2400">
        <v>0</v>
      </c>
      <c r="BE2400">
        <v>0</v>
      </c>
    </row>
    <row r="2401" spans="1:57" hidden="1" x14ac:dyDescent="0.45">
      <c r="A2401" t="s">
        <v>5780</v>
      </c>
      <c r="B2401" t="s">
        <v>79</v>
      </c>
      <c r="C2401" t="s">
        <v>4034</v>
      </c>
      <c r="D2401" t="s">
        <v>81</v>
      </c>
      <c r="E2401" s="2" t="str">
        <f>HYPERLINK("capsilon://?command=openfolder&amp;siteaddress=FAM.docvelocity-na8.net&amp;folderid=FX72A7234C-C8E5-F4CF-AA9E-459F72AFE545","FX201224544")</f>
        <v>FX201224544</v>
      </c>
      <c r="F2401" t="s">
        <v>19</v>
      </c>
      <c r="G2401" t="s">
        <v>19</v>
      </c>
      <c r="H2401" t="s">
        <v>82</v>
      </c>
      <c r="I2401" t="s">
        <v>5781</v>
      </c>
      <c r="J2401">
        <v>66</v>
      </c>
      <c r="K2401" t="s">
        <v>84</v>
      </c>
      <c r="L2401" t="s">
        <v>85</v>
      </c>
      <c r="M2401" t="s">
        <v>86</v>
      </c>
      <c r="N2401">
        <v>3</v>
      </c>
      <c r="O2401" s="1">
        <v>44221.442349537036</v>
      </c>
      <c r="P2401" s="1">
        <v>44221.492511574077</v>
      </c>
      <c r="Q2401">
        <v>4163</v>
      </c>
      <c r="R2401">
        <v>171</v>
      </c>
      <c r="S2401" t="b">
        <v>0</v>
      </c>
      <c r="T2401" t="s">
        <v>87</v>
      </c>
      <c r="U2401" t="b">
        <v>0</v>
      </c>
      <c r="V2401" t="s">
        <v>168</v>
      </c>
      <c r="W2401" s="1">
        <v>44221.448437500003</v>
      </c>
      <c r="X2401">
        <v>120</v>
      </c>
      <c r="Y2401">
        <v>0</v>
      </c>
      <c r="Z2401">
        <v>0</v>
      </c>
      <c r="AA2401">
        <v>0</v>
      </c>
      <c r="AB2401">
        <v>52</v>
      </c>
      <c r="AC2401">
        <v>0</v>
      </c>
      <c r="AD2401">
        <v>66</v>
      </c>
      <c r="AE2401">
        <v>0</v>
      </c>
      <c r="AF2401">
        <v>0</v>
      </c>
      <c r="AG2401">
        <v>0</v>
      </c>
      <c r="AH2401" t="s">
        <v>132</v>
      </c>
      <c r="AI2401" s="1">
        <v>44221.475925925923</v>
      </c>
      <c r="AJ2401">
        <v>37</v>
      </c>
      <c r="AK2401">
        <v>0</v>
      </c>
      <c r="AL2401">
        <v>0</v>
      </c>
      <c r="AM2401">
        <v>0</v>
      </c>
      <c r="AN2401">
        <v>52</v>
      </c>
      <c r="AO2401">
        <v>0</v>
      </c>
      <c r="AP2401">
        <v>66</v>
      </c>
      <c r="AQ2401">
        <v>0</v>
      </c>
      <c r="AR2401">
        <v>0</v>
      </c>
      <c r="AS2401">
        <v>0</v>
      </c>
      <c r="AT2401" t="s">
        <v>90</v>
      </c>
      <c r="AU2401" s="1">
        <v>44221.492511574077</v>
      </c>
      <c r="AV2401">
        <v>3</v>
      </c>
      <c r="AW2401">
        <v>0</v>
      </c>
      <c r="AX2401">
        <v>0</v>
      </c>
      <c r="AY2401">
        <v>0</v>
      </c>
      <c r="AZ2401">
        <v>52</v>
      </c>
      <c r="BA2401">
        <v>0</v>
      </c>
      <c r="BB2401">
        <v>66</v>
      </c>
      <c r="BC2401">
        <v>0</v>
      </c>
      <c r="BD2401">
        <v>0</v>
      </c>
      <c r="BE2401">
        <v>0</v>
      </c>
    </row>
    <row r="2402" spans="1:57" x14ac:dyDescent="0.45">
      <c r="A2402" t="s">
        <v>5782</v>
      </c>
      <c r="B2402" t="s">
        <v>79</v>
      </c>
      <c r="C2402" t="s">
        <v>878</v>
      </c>
      <c r="D2402" t="s">
        <v>81</v>
      </c>
      <c r="E2402" s="2" t="str">
        <f>HYPERLINK("capsilon://?command=openfolder&amp;siteaddress=FAM.docvelocity-na8.net&amp;folderid=FX91476ABE-C54D-33AD-D79A-1F1EC699B11D","FX201111350")</f>
        <v>FX201111350</v>
      </c>
      <c r="F2402" t="s">
        <v>19</v>
      </c>
      <c r="G2402" t="s">
        <v>19</v>
      </c>
      <c r="H2402" t="s">
        <v>82</v>
      </c>
      <c r="I2402" t="s">
        <v>5761</v>
      </c>
      <c r="J2402">
        <v>102</v>
      </c>
      <c r="K2402" t="s">
        <v>84</v>
      </c>
      <c r="L2402" t="s">
        <v>85</v>
      </c>
      <c r="M2402" t="s">
        <v>86</v>
      </c>
      <c r="N2402">
        <v>3</v>
      </c>
      <c r="O2402" s="1">
        <v>44221.442708333336</v>
      </c>
      <c r="P2402" s="1">
        <v>44221.497523148151</v>
      </c>
      <c r="Q2402">
        <v>329</v>
      </c>
      <c r="R2402">
        <v>4407</v>
      </c>
      <c r="S2402" t="b">
        <v>0</v>
      </c>
      <c r="T2402" t="s">
        <v>87</v>
      </c>
      <c r="U2402" t="b">
        <v>1</v>
      </c>
      <c r="V2402" t="s">
        <v>88</v>
      </c>
      <c r="W2402" s="1">
        <v>44221.488969907405</v>
      </c>
      <c r="X2402">
        <v>3763</v>
      </c>
      <c r="Y2402">
        <v>198</v>
      </c>
      <c r="Z2402">
        <v>0</v>
      </c>
      <c r="AA2402">
        <v>198</v>
      </c>
      <c r="AB2402">
        <v>0</v>
      </c>
      <c r="AC2402">
        <v>154</v>
      </c>
      <c r="AD2402">
        <v>-96</v>
      </c>
      <c r="AE2402">
        <v>0</v>
      </c>
      <c r="AF2402">
        <v>0</v>
      </c>
      <c r="AG2402">
        <v>0</v>
      </c>
      <c r="AH2402" t="s">
        <v>132</v>
      </c>
      <c r="AI2402" s="1">
        <v>44221.495868055557</v>
      </c>
      <c r="AJ2402">
        <v>541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-96</v>
      </c>
      <c r="AQ2402">
        <v>0</v>
      </c>
      <c r="AR2402">
        <v>0</v>
      </c>
      <c r="AS2402">
        <v>0</v>
      </c>
      <c r="AT2402" t="s">
        <v>90</v>
      </c>
      <c r="AU2402" s="1">
        <v>44221.497523148151</v>
      </c>
      <c r="AV2402">
        <v>73</v>
      </c>
      <c r="AW2402">
        <v>2</v>
      </c>
      <c r="AX2402">
        <v>0</v>
      </c>
      <c r="AY2402">
        <v>2</v>
      </c>
      <c r="AZ2402">
        <v>0</v>
      </c>
      <c r="BA2402">
        <v>2</v>
      </c>
      <c r="BB2402">
        <v>-98</v>
      </c>
      <c r="BC2402">
        <v>0</v>
      </c>
      <c r="BD2402">
        <v>0</v>
      </c>
      <c r="BE2402">
        <v>0</v>
      </c>
    </row>
    <row r="2403" spans="1:57" x14ac:dyDescent="0.45">
      <c r="A2403" t="s">
        <v>5783</v>
      </c>
      <c r="B2403" t="s">
        <v>79</v>
      </c>
      <c r="C2403" t="s">
        <v>4696</v>
      </c>
      <c r="D2403" t="s">
        <v>81</v>
      </c>
      <c r="E2403" s="2" t="str">
        <f>HYPERLINK("capsilon://?command=openfolder&amp;siteaddress=FAM.docvelocity-na8.net&amp;folderid=FX89FCB9C7-D39D-E98D-3150-D01EA869AE57","FX201223412")</f>
        <v>FX201223412</v>
      </c>
      <c r="F2403" t="s">
        <v>19</v>
      </c>
      <c r="G2403" t="s">
        <v>19</v>
      </c>
      <c r="H2403" t="s">
        <v>82</v>
      </c>
      <c r="I2403" t="s">
        <v>5784</v>
      </c>
      <c r="J2403">
        <v>66</v>
      </c>
      <c r="K2403" t="s">
        <v>84</v>
      </c>
      <c r="L2403" t="s">
        <v>85</v>
      </c>
      <c r="M2403" t="s">
        <v>86</v>
      </c>
      <c r="N2403">
        <v>3</v>
      </c>
      <c r="O2403" s="1">
        <v>44221.444374999999</v>
      </c>
      <c r="P2403" s="1">
        <v>44221.492731481485</v>
      </c>
      <c r="Q2403">
        <v>3449</v>
      </c>
      <c r="R2403">
        <v>729</v>
      </c>
      <c r="S2403" t="b">
        <v>0</v>
      </c>
      <c r="T2403" t="s">
        <v>87</v>
      </c>
      <c r="U2403" t="b">
        <v>0</v>
      </c>
      <c r="V2403" t="s">
        <v>171</v>
      </c>
      <c r="W2403" s="1">
        <v>44221.454976851855</v>
      </c>
      <c r="X2403">
        <v>598</v>
      </c>
      <c r="Y2403">
        <v>44</v>
      </c>
      <c r="Z2403">
        <v>0</v>
      </c>
      <c r="AA2403">
        <v>44</v>
      </c>
      <c r="AB2403">
        <v>0</v>
      </c>
      <c r="AC2403">
        <v>5</v>
      </c>
      <c r="AD2403">
        <v>22</v>
      </c>
      <c r="AE2403">
        <v>0</v>
      </c>
      <c r="AF2403">
        <v>0</v>
      </c>
      <c r="AG2403">
        <v>0</v>
      </c>
      <c r="AH2403" t="s">
        <v>132</v>
      </c>
      <c r="AI2403" s="1">
        <v>44221.47724537037</v>
      </c>
      <c r="AJ2403">
        <v>113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22</v>
      </c>
      <c r="AQ2403">
        <v>0</v>
      </c>
      <c r="AR2403">
        <v>0</v>
      </c>
      <c r="AS2403">
        <v>0</v>
      </c>
      <c r="AT2403" t="s">
        <v>90</v>
      </c>
      <c r="AU2403" s="1">
        <v>44221.492731481485</v>
      </c>
      <c r="AV2403">
        <v>18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22</v>
      </c>
      <c r="BC2403">
        <v>0</v>
      </c>
      <c r="BD2403">
        <v>0</v>
      </c>
      <c r="BE2403">
        <v>0</v>
      </c>
    </row>
    <row r="2404" spans="1:57" x14ac:dyDescent="0.45">
      <c r="A2404" t="s">
        <v>5785</v>
      </c>
      <c r="B2404" t="s">
        <v>79</v>
      </c>
      <c r="C2404" t="s">
        <v>4696</v>
      </c>
      <c r="D2404" t="s">
        <v>81</v>
      </c>
      <c r="E2404" s="2" t="str">
        <f>HYPERLINK("capsilon://?command=openfolder&amp;siteaddress=FAM.docvelocity-na8.net&amp;folderid=FX89FCB9C7-D39D-E98D-3150-D01EA869AE57","FX201223412")</f>
        <v>FX201223412</v>
      </c>
      <c r="F2404" t="s">
        <v>19</v>
      </c>
      <c r="G2404" t="s">
        <v>19</v>
      </c>
      <c r="H2404" t="s">
        <v>82</v>
      </c>
      <c r="I2404" t="s">
        <v>5786</v>
      </c>
      <c r="J2404">
        <v>66</v>
      </c>
      <c r="K2404" t="s">
        <v>84</v>
      </c>
      <c r="L2404" t="s">
        <v>85</v>
      </c>
      <c r="M2404" t="s">
        <v>86</v>
      </c>
      <c r="N2404">
        <v>3</v>
      </c>
      <c r="O2404" s="1">
        <v>44221.444490740738</v>
      </c>
      <c r="P2404" s="1">
        <v>44221.492800925924</v>
      </c>
      <c r="Q2404">
        <v>3188</v>
      </c>
      <c r="R2404">
        <v>986</v>
      </c>
      <c r="S2404" t="b">
        <v>0</v>
      </c>
      <c r="T2404" t="s">
        <v>87</v>
      </c>
      <c r="U2404" t="b">
        <v>0</v>
      </c>
      <c r="V2404" t="s">
        <v>168</v>
      </c>
      <c r="W2404" s="1">
        <v>44221.456388888888</v>
      </c>
      <c r="X2404">
        <v>686</v>
      </c>
      <c r="Y2404">
        <v>44</v>
      </c>
      <c r="Z2404">
        <v>0</v>
      </c>
      <c r="AA2404">
        <v>44</v>
      </c>
      <c r="AB2404">
        <v>0</v>
      </c>
      <c r="AC2404">
        <v>5</v>
      </c>
      <c r="AD2404">
        <v>22</v>
      </c>
      <c r="AE2404">
        <v>0</v>
      </c>
      <c r="AF2404">
        <v>0</v>
      </c>
      <c r="AG2404">
        <v>0</v>
      </c>
      <c r="AH2404" t="s">
        <v>94</v>
      </c>
      <c r="AI2404" s="1">
        <v>44221.489340277774</v>
      </c>
      <c r="AJ2404">
        <v>295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22</v>
      </c>
      <c r="AQ2404">
        <v>0</v>
      </c>
      <c r="AR2404">
        <v>0</v>
      </c>
      <c r="AS2404">
        <v>0</v>
      </c>
      <c r="AT2404" t="s">
        <v>90</v>
      </c>
      <c r="AU2404" s="1">
        <v>44221.492800925924</v>
      </c>
      <c r="AV2404">
        <v>5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22</v>
      </c>
      <c r="BC2404">
        <v>0</v>
      </c>
      <c r="BD2404">
        <v>0</v>
      </c>
      <c r="BE2404">
        <v>0</v>
      </c>
    </row>
    <row r="2405" spans="1:57" x14ac:dyDescent="0.45">
      <c r="A2405" t="s">
        <v>5787</v>
      </c>
      <c r="B2405" t="s">
        <v>79</v>
      </c>
      <c r="C2405" t="s">
        <v>5788</v>
      </c>
      <c r="D2405" t="s">
        <v>81</v>
      </c>
      <c r="E2405" s="2" t="str">
        <f>HYPERLINK("capsilon://?command=openfolder&amp;siteaddress=FAM.docvelocity-na8.net&amp;folderid=FX7E54E630-BA45-D89E-A2FE-00A10E24E789","FX20123531")</f>
        <v>FX20123531</v>
      </c>
      <c r="F2405" t="s">
        <v>19</v>
      </c>
      <c r="G2405" t="s">
        <v>19</v>
      </c>
      <c r="H2405" t="s">
        <v>82</v>
      </c>
      <c r="I2405" t="s">
        <v>5789</v>
      </c>
      <c r="J2405">
        <v>319</v>
      </c>
      <c r="K2405" t="s">
        <v>84</v>
      </c>
      <c r="L2405" t="s">
        <v>85</v>
      </c>
      <c r="M2405" t="s">
        <v>86</v>
      </c>
      <c r="N2405">
        <v>3</v>
      </c>
      <c r="O2405" s="1">
        <v>44221.445833333331</v>
      </c>
      <c r="P2405" s="1">
        <v>44221.542708333334</v>
      </c>
      <c r="Q2405">
        <v>1634</v>
      </c>
      <c r="R2405">
        <v>6736</v>
      </c>
      <c r="S2405" t="b">
        <v>0</v>
      </c>
      <c r="T2405" t="s">
        <v>87</v>
      </c>
      <c r="U2405" t="b">
        <v>0</v>
      </c>
      <c r="V2405" t="s">
        <v>105</v>
      </c>
      <c r="W2405" s="1">
        <v>44221.514027777775</v>
      </c>
      <c r="X2405">
        <v>5494</v>
      </c>
      <c r="Y2405">
        <v>303</v>
      </c>
      <c r="Z2405">
        <v>0</v>
      </c>
      <c r="AA2405">
        <v>303</v>
      </c>
      <c r="AB2405">
        <v>0</v>
      </c>
      <c r="AC2405">
        <v>180</v>
      </c>
      <c r="AD2405">
        <v>16</v>
      </c>
      <c r="AE2405">
        <v>0</v>
      </c>
      <c r="AF2405">
        <v>0</v>
      </c>
      <c r="AG2405">
        <v>0</v>
      </c>
      <c r="AH2405" t="s">
        <v>128</v>
      </c>
      <c r="AI2405" s="1">
        <v>44221.536296296297</v>
      </c>
      <c r="AJ2405">
        <v>1029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16</v>
      </c>
      <c r="AQ2405">
        <v>0</v>
      </c>
      <c r="AR2405">
        <v>0</v>
      </c>
      <c r="AS2405">
        <v>0</v>
      </c>
      <c r="AT2405" t="s">
        <v>90</v>
      </c>
      <c r="AU2405" s="1">
        <v>44221.542708333334</v>
      </c>
      <c r="AV2405">
        <v>213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16</v>
      </c>
      <c r="BC2405">
        <v>0</v>
      </c>
      <c r="BD2405">
        <v>0</v>
      </c>
      <c r="BE2405">
        <v>0</v>
      </c>
    </row>
    <row r="2406" spans="1:57" x14ac:dyDescent="0.45">
      <c r="A2406" t="s">
        <v>5790</v>
      </c>
      <c r="B2406" t="s">
        <v>79</v>
      </c>
      <c r="C2406" t="s">
        <v>5791</v>
      </c>
      <c r="D2406" t="s">
        <v>81</v>
      </c>
      <c r="E2406" s="2" t="str">
        <f>HYPERLINK("capsilon://?command=openfolder&amp;siteaddress=FAM.docvelocity-na8.net&amp;folderid=FX4185AD5D-3A40-BC9E-3786-2B54F49D4C0C","FX210115440")</f>
        <v>FX210115440</v>
      </c>
      <c r="F2406" t="s">
        <v>19</v>
      </c>
      <c r="G2406" t="s">
        <v>19</v>
      </c>
      <c r="H2406" t="s">
        <v>82</v>
      </c>
      <c r="I2406" t="s">
        <v>5792</v>
      </c>
      <c r="J2406">
        <v>204</v>
      </c>
      <c r="K2406" t="s">
        <v>84</v>
      </c>
      <c r="L2406" t="s">
        <v>85</v>
      </c>
      <c r="M2406" t="s">
        <v>86</v>
      </c>
      <c r="N2406">
        <v>3</v>
      </c>
      <c r="O2406" s="1">
        <v>44221.446261574078</v>
      </c>
      <c r="P2406" s="1">
        <v>44221.514849537038</v>
      </c>
      <c r="Q2406">
        <v>2473</v>
      </c>
      <c r="R2406">
        <v>3453</v>
      </c>
      <c r="S2406" t="b">
        <v>0</v>
      </c>
      <c r="T2406" t="s">
        <v>87</v>
      </c>
      <c r="U2406" t="b">
        <v>0</v>
      </c>
      <c r="V2406" t="s">
        <v>146</v>
      </c>
      <c r="W2406" s="1">
        <v>44221.489270833335</v>
      </c>
      <c r="X2406">
        <v>2166</v>
      </c>
      <c r="Y2406">
        <v>168</v>
      </c>
      <c r="Z2406">
        <v>0</v>
      </c>
      <c r="AA2406">
        <v>168</v>
      </c>
      <c r="AB2406">
        <v>0</v>
      </c>
      <c r="AC2406">
        <v>104</v>
      </c>
      <c r="AD2406">
        <v>36</v>
      </c>
      <c r="AE2406">
        <v>0</v>
      </c>
      <c r="AF2406">
        <v>0</v>
      </c>
      <c r="AG2406">
        <v>0</v>
      </c>
      <c r="AH2406" t="s">
        <v>147</v>
      </c>
      <c r="AI2406" s="1">
        <v>44221.501805555556</v>
      </c>
      <c r="AJ2406">
        <v>1072</v>
      </c>
      <c r="AK2406">
        <v>0</v>
      </c>
      <c r="AL2406">
        <v>0</v>
      </c>
      <c r="AM2406">
        <v>0</v>
      </c>
      <c r="AN2406">
        <v>0</v>
      </c>
      <c r="AO2406">
        <v>2</v>
      </c>
      <c r="AP2406">
        <v>36</v>
      </c>
      <c r="AQ2406">
        <v>0</v>
      </c>
      <c r="AR2406">
        <v>0</v>
      </c>
      <c r="AS2406">
        <v>0</v>
      </c>
      <c r="AT2406" t="s">
        <v>90</v>
      </c>
      <c r="AU2406" s="1">
        <v>44221.514849537038</v>
      </c>
      <c r="AV2406">
        <v>78</v>
      </c>
      <c r="AW2406">
        <v>2</v>
      </c>
      <c r="AX2406">
        <v>0</v>
      </c>
      <c r="AY2406">
        <v>2</v>
      </c>
      <c r="AZ2406">
        <v>0</v>
      </c>
      <c r="BA2406">
        <v>2</v>
      </c>
      <c r="BB2406">
        <v>34</v>
      </c>
      <c r="BC2406">
        <v>0</v>
      </c>
      <c r="BD2406">
        <v>0</v>
      </c>
      <c r="BE2406">
        <v>0</v>
      </c>
    </row>
    <row r="2407" spans="1:57" x14ac:dyDescent="0.45">
      <c r="A2407" t="s">
        <v>5793</v>
      </c>
      <c r="B2407" t="s">
        <v>79</v>
      </c>
      <c r="C2407" t="s">
        <v>5794</v>
      </c>
      <c r="D2407" t="s">
        <v>81</v>
      </c>
      <c r="E2407" s="2" t="str">
        <f>HYPERLINK("capsilon://?command=openfolder&amp;siteaddress=FAM.docvelocity-na8.net&amp;folderid=FXFC4CBE6C-3498-281F-CAC6-9F1A418274EF","FX210110433")</f>
        <v>FX210110433</v>
      </c>
      <c r="F2407" t="s">
        <v>19</v>
      </c>
      <c r="G2407" t="s">
        <v>19</v>
      </c>
      <c r="H2407" t="s">
        <v>82</v>
      </c>
      <c r="I2407" t="s">
        <v>5795</v>
      </c>
      <c r="J2407">
        <v>338</v>
      </c>
      <c r="K2407" t="s">
        <v>84</v>
      </c>
      <c r="L2407" t="s">
        <v>85</v>
      </c>
      <c r="M2407" t="s">
        <v>86</v>
      </c>
      <c r="N2407">
        <v>3</v>
      </c>
      <c r="O2407" s="1">
        <v>44221.447638888887</v>
      </c>
      <c r="P2407" s="1">
        <v>44221.547743055555</v>
      </c>
      <c r="Q2407">
        <v>2709</v>
      </c>
      <c r="R2407">
        <v>5940</v>
      </c>
      <c r="S2407" t="b">
        <v>0</v>
      </c>
      <c r="T2407" t="s">
        <v>87</v>
      </c>
      <c r="U2407" t="b">
        <v>0</v>
      </c>
      <c r="V2407" t="s">
        <v>160</v>
      </c>
      <c r="W2407" s="1">
        <v>44221.526400462964</v>
      </c>
      <c r="X2407">
        <v>5364</v>
      </c>
      <c r="Y2407">
        <v>333</v>
      </c>
      <c r="Z2407">
        <v>0</v>
      </c>
      <c r="AA2407">
        <v>333</v>
      </c>
      <c r="AB2407">
        <v>0</v>
      </c>
      <c r="AC2407">
        <v>290</v>
      </c>
      <c r="AD2407">
        <v>5</v>
      </c>
      <c r="AE2407">
        <v>0</v>
      </c>
      <c r="AF2407">
        <v>0</v>
      </c>
      <c r="AG2407">
        <v>0</v>
      </c>
      <c r="AH2407" t="s">
        <v>132</v>
      </c>
      <c r="AI2407" s="1">
        <v>44221.545405092591</v>
      </c>
      <c r="AJ2407">
        <v>551</v>
      </c>
      <c r="AK2407">
        <v>4</v>
      </c>
      <c r="AL2407">
        <v>0</v>
      </c>
      <c r="AM2407">
        <v>4</v>
      </c>
      <c r="AN2407">
        <v>0</v>
      </c>
      <c r="AO2407">
        <v>3</v>
      </c>
      <c r="AP2407">
        <v>1</v>
      </c>
      <c r="AQ2407">
        <v>0</v>
      </c>
      <c r="AR2407">
        <v>0</v>
      </c>
      <c r="AS2407">
        <v>0</v>
      </c>
      <c r="AT2407" t="s">
        <v>90</v>
      </c>
      <c r="AU2407" s="1">
        <v>44221.547743055555</v>
      </c>
      <c r="AV2407">
        <v>13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1</v>
      </c>
      <c r="BC2407">
        <v>0</v>
      </c>
      <c r="BD2407">
        <v>0</v>
      </c>
      <c r="BE2407">
        <v>0</v>
      </c>
    </row>
    <row r="2408" spans="1:57" hidden="1" x14ac:dyDescent="0.45">
      <c r="A2408" t="s">
        <v>5796</v>
      </c>
      <c r="B2408" t="s">
        <v>79</v>
      </c>
      <c r="C2408" t="s">
        <v>5797</v>
      </c>
      <c r="D2408" t="s">
        <v>81</v>
      </c>
      <c r="E2408" s="2" t="str">
        <f>HYPERLINK("capsilon://?command=openfolder&amp;siteaddress=FAM.docvelocity-na8.net&amp;folderid=FX5FCCF07E-3BA3-CC37-8052-E07F5CEC8E63","FX20128216")</f>
        <v>FX20128216</v>
      </c>
      <c r="F2408" t="s">
        <v>19</v>
      </c>
      <c r="G2408" t="s">
        <v>19</v>
      </c>
      <c r="H2408" t="s">
        <v>82</v>
      </c>
      <c r="I2408" t="s">
        <v>5798</v>
      </c>
      <c r="J2408">
        <v>66</v>
      </c>
      <c r="K2408" t="s">
        <v>84</v>
      </c>
      <c r="L2408" t="s">
        <v>85</v>
      </c>
      <c r="M2408" t="s">
        <v>86</v>
      </c>
      <c r="N2408">
        <v>1</v>
      </c>
      <c r="O2408" s="1">
        <v>44221.449155092596</v>
      </c>
      <c r="P2408" s="1">
        <v>44221.467002314814</v>
      </c>
      <c r="Q2408">
        <v>1314</v>
      </c>
      <c r="R2408">
        <v>228</v>
      </c>
      <c r="S2408" t="b">
        <v>0</v>
      </c>
      <c r="T2408" t="s">
        <v>87</v>
      </c>
      <c r="U2408" t="b">
        <v>0</v>
      </c>
      <c r="V2408" t="s">
        <v>171</v>
      </c>
      <c r="W2408" s="1">
        <v>44221.467002314814</v>
      </c>
      <c r="X2408">
        <v>228</v>
      </c>
      <c r="Y2408">
        <v>1</v>
      </c>
      <c r="Z2408">
        <v>0</v>
      </c>
      <c r="AA2408">
        <v>1</v>
      </c>
      <c r="AB2408">
        <v>0</v>
      </c>
      <c r="AC2408">
        <v>5</v>
      </c>
      <c r="AD2408">
        <v>65</v>
      </c>
      <c r="AE2408">
        <v>52</v>
      </c>
      <c r="AF2408">
        <v>0</v>
      </c>
      <c r="AG2408">
        <v>1</v>
      </c>
      <c r="AH2408" t="s">
        <v>87</v>
      </c>
      <c r="AI2408" t="s">
        <v>87</v>
      </c>
      <c r="AJ2408" t="s">
        <v>87</v>
      </c>
      <c r="AK2408" t="s">
        <v>87</v>
      </c>
      <c r="AL2408" t="s">
        <v>87</v>
      </c>
      <c r="AM2408" t="s">
        <v>87</v>
      </c>
      <c r="AN2408" t="s">
        <v>87</v>
      </c>
      <c r="AO2408" t="s">
        <v>87</v>
      </c>
      <c r="AP2408" t="s">
        <v>87</v>
      </c>
      <c r="AQ2408" t="s">
        <v>87</v>
      </c>
      <c r="AR2408" t="s">
        <v>87</v>
      </c>
      <c r="AS2408" t="s">
        <v>87</v>
      </c>
      <c r="AT2408" t="s">
        <v>87</v>
      </c>
      <c r="AU2408" t="s">
        <v>87</v>
      </c>
      <c r="AV2408" t="s">
        <v>87</v>
      </c>
      <c r="AW2408" t="s">
        <v>87</v>
      </c>
      <c r="AX2408" t="s">
        <v>87</v>
      </c>
      <c r="AY2408" t="s">
        <v>87</v>
      </c>
      <c r="AZ2408" t="s">
        <v>87</v>
      </c>
      <c r="BA2408" t="s">
        <v>87</v>
      </c>
      <c r="BB2408" t="s">
        <v>87</v>
      </c>
      <c r="BC2408" t="s">
        <v>87</v>
      </c>
      <c r="BD2408" t="s">
        <v>87</v>
      </c>
      <c r="BE2408" t="s">
        <v>87</v>
      </c>
    </row>
    <row r="2409" spans="1:57" x14ac:dyDescent="0.45">
      <c r="A2409" t="s">
        <v>5799</v>
      </c>
      <c r="B2409" t="s">
        <v>79</v>
      </c>
      <c r="C2409" t="s">
        <v>5800</v>
      </c>
      <c r="D2409" t="s">
        <v>81</v>
      </c>
      <c r="E2409" s="2" t="str">
        <f>HYPERLINK("capsilon://?command=openfolder&amp;siteaddress=FAM.docvelocity-na8.net&amp;folderid=FXF0E274F1-A210-3540-8988-F93F1DBB3C9E","FX210114292")</f>
        <v>FX210114292</v>
      </c>
      <c r="F2409" t="s">
        <v>19</v>
      </c>
      <c r="G2409" t="s">
        <v>19</v>
      </c>
      <c r="H2409" t="s">
        <v>82</v>
      </c>
      <c r="I2409" t="s">
        <v>5801</v>
      </c>
      <c r="J2409">
        <v>474</v>
      </c>
      <c r="K2409" t="s">
        <v>84</v>
      </c>
      <c r="L2409" t="s">
        <v>85</v>
      </c>
      <c r="M2409" t="s">
        <v>86</v>
      </c>
      <c r="N2409">
        <v>3</v>
      </c>
      <c r="O2409" s="1">
        <v>44221.452199074076</v>
      </c>
      <c r="P2409" s="1">
        <v>44221.52542824074</v>
      </c>
      <c r="Q2409">
        <v>1475</v>
      </c>
      <c r="R2409">
        <v>4852</v>
      </c>
      <c r="S2409" t="b">
        <v>0</v>
      </c>
      <c r="T2409" t="s">
        <v>87</v>
      </c>
      <c r="U2409" t="b">
        <v>0</v>
      </c>
      <c r="V2409" t="s">
        <v>259</v>
      </c>
      <c r="W2409" s="1">
        <v>44221.506122685183</v>
      </c>
      <c r="X2409">
        <v>3478</v>
      </c>
      <c r="Y2409">
        <v>432</v>
      </c>
      <c r="Z2409">
        <v>0</v>
      </c>
      <c r="AA2409">
        <v>432</v>
      </c>
      <c r="AB2409">
        <v>0</v>
      </c>
      <c r="AC2409">
        <v>178</v>
      </c>
      <c r="AD2409">
        <v>42</v>
      </c>
      <c r="AE2409">
        <v>0</v>
      </c>
      <c r="AF2409">
        <v>0</v>
      </c>
      <c r="AG2409">
        <v>0</v>
      </c>
      <c r="AH2409" t="s">
        <v>132</v>
      </c>
      <c r="AI2409" s="1">
        <v>44221.521747685183</v>
      </c>
      <c r="AJ2409">
        <v>1331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42</v>
      </c>
      <c r="AQ2409">
        <v>0</v>
      </c>
      <c r="AR2409">
        <v>0</v>
      </c>
      <c r="AS2409">
        <v>0</v>
      </c>
      <c r="AT2409" t="s">
        <v>90</v>
      </c>
      <c r="AU2409" s="1">
        <v>44221.52542824074</v>
      </c>
      <c r="AV2409">
        <v>43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42</v>
      </c>
      <c r="BC2409">
        <v>0</v>
      </c>
      <c r="BD2409">
        <v>0</v>
      </c>
      <c r="BE2409">
        <v>0</v>
      </c>
    </row>
    <row r="2410" spans="1:57" x14ac:dyDescent="0.45">
      <c r="A2410" t="s">
        <v>5802</v>
      </c>
      <c r="B2410" t="s">
        <v>79</v>
      </c>
      <c r="C2410" t="s">
        <v>5803</v>
      </c>
      <c r="D2410" t="s">
        <v>81</v>
      </c>
      <c r="E2410" s="2" t="str">
        <f>HYPERLINK("capsilon://?command=openfolder&amp;siteaddress=FAM.docvelocity-na8.net&amp;folderid=FXE5D0E3AB-C133-30AF-0ADD-A2396DFD4E97","FX210115307")</f>
        <v>FX210115307</v>
      </c>
      <c r="F2410" t="s">
        <v>19</v>
      </c>
      <c r="G2410" t="s">
        <v>19</v>
      </c>
      <c r="H2410" t="s">
        <v>82</v>
      </c>
      <c r="I2410" t="s">
        <v>5804</v>
      </c>
      <c r="J2410">
        <v>183</v>
      </c>
      <c r="K2410" t="s">
        <v>84</v>
      </c>
      <c r="L2410" t="s">
        <v>85</v>
      </c>
      <c r="M2410" t="s">
        <v>86</v>
      </c>
      <c r="N2410">
        <v>3</v>
      </c>
      <c r="O2410" s="1">
        <v>44221.453831018516</v>
      </c>
      <c r="P2410" s="1">
        <v>44221.543761574074</v>
      </c>
      <c r="Q2410">
        <v>1167</v>
      </c>
      <c r="R2410">
        <v>6603</v>
      </c>
      <c r="S2410" t="b">
        <v>0</v>
      </c>
      <c r="T2410" t="s">
        <v>87</v>
      </c>
      <c r="U2410" t="b">
        <v>0</v>
      </c>
      <c r="V2410" t="s">
        <v>168</v>
      </c>
      <c r="W2410" s="1">
        <v>44221.510636574072</v>
      </c>
      <c r="X2410">
        <v>3804</v>
      </c>
      <c r="Y2410">
        <v>208</v>
      </c>
      <c r="Z2410">
        <v>0</v>
      </c>
      <c r="AA2410">
        <v>208</v>
      </c>
      <c r="AB2410">
        <v>0</v>
      </c>
      <c r="AC2410">
        <v>121</v>
      </c>
      <c r="AD2410">
        <v>-25</v>
      </c>
      <c r="AE2410">
        <v>0</v>
      </c>
      <c r="AF2410">
        <v>0</v>
      </c>
      <c r="AG2410">
        <v>0</v>
      </c>
      <c r="AH2410" t="s">
        <v>89</v>
      </c>
      <c r="AI2410" s="1">
        <v>44221.542534722219</v>
      </c>
      <c r="AJ2410">
        <v>2709</v>
      </c>
      <c r="AK2410">
        <v>3</v>
      </c>
      <c r="AL2410">
        <v>0</v>
      </c>
      <c r="AM2410">
        <v>3</v>
      </c>
      <c r="AN2410">
        <v>0</v>
      </c>
      <c r="AO2410">
        <v>3</v>
      </c>
      <c r="AP2410">
        <v>-28</v>
      </c>
      <c r="AQ2410">
        <v>0</v>
      </c>
      <c r="AR2410">
        <v>0</v>
      </c>
      <c r="AS2410">
        <v>0</v>
      </c>
      <c r="AT2410" t="s">
        <v>90</v>
      </c>
      <c r="AU2410" s="1">
        <v>44221.543761574074</v>
      </c>
      <c r="AV2410">
        <v>90</v>
      </c>
      <c r="AW2410">
        <v>3</v>
      </c>
      <c r="AX2410">
        <v>0</v>
      </c>
      <c r="AY2410">
        <v>3</v>
      </c>
      <c r="AZ2410">
        <v>0</v>
      </c>
      <c r="BA2410">
        <v>3</v>
      </c>
      <c r="BB2410">
        <v>-31</v>
      </c>
      <c r="BC2410">
        <v>0</v>
      </c>
      <c r="BD2410">
        <v>0</v>
      </c>
      <c r="BE2410">
        <v>0</v>
      </c>
    </row>
    <row r="2411" spans="1:57" hidden="1" x14ac:dyDescent="0.45">
      <c r="A2411" t="s">
        <v>5805</v>
      </c>
      <c r="B2411" t="s">
        <v>79</v>
      </c>
      <c r="C2411" t="s">
        <v>1357</v>
      </c>
      <c r="D2411" t="s">
        <v>81</v>
      </c>
      <c r="E2411" s="2" t="str">
        <f>HYPERLINK("capsilon://?command=openfolder&amp;siteaddress=FAM.docvelocity-na8.net&amp;folderid=FX90858789-497E-44E5-72F9-4156405E14CC","FX20127914")</f>
        <v>FX20127914</v>
      </c>
      <c r="F2411" t="s">
        <v>19</v>
      </c>
      <c r="G2411" t="s">
        <v>19</v>
      </c>
      <c r="H2411" t="s">
        <v>82</v>
      </c>
      <c r="I2411" t="s">
        <v>5806</v>
      </c>
      <c r="J2411">
        <v>66</v>
      </c>
      <c r="K2411" t="s">
        <v>84</v>
      </c>
      <c r="L2411" t="s">
        <v>85</v>
      </c>
      <c r="M2411" t="s">
        <v>86</v>
      </c>
      <c r="N2411">
        <v>1</v>
      </c>
      <c r="O2411" s="1">
        <v>44221.454039351855</v>
      </c>
      <c r="P2411" s="1">
        <v>44221.467916666668</v>
      </c>
      <c r="Q2411">
        <v>1125</v>
      </c>
      <c r="R2411">
        <v>74</v>
      </c>
      <c r="S2411" t="b">
        <v>0</v>
      </c>
      <c r="T2411" t="s">
        <v>87</v>
      </c>
      <c r="U2411" t="b">
        <v>0</v>
      </c>
      <c r="V2411" t="s">
        <v>171</v>
      </c>
      <c r="W2411" s="1">
        <v>44221.467916666668</v>
      </c>
      <c r="X2411">
        <v>63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66</v>
      </c>
      <c r="AE2411">
        <v>52</v>
      </c>
      <c r="AF2411">
        <v>0</v>
      </c>
      <c r="AG2411">
        <v>1</v>
      </c>
      <c r="AH2411" t="s">
        <v>87</v>
      </c>
      <c r="AI2411" t="s">
        <v>87</v>
      </c>
      <c r="AJ2411" t="s">
        <v>87</v>
      </c>
      <c r="AK2411" t="s">
        <v>87</v>
      </c>
      <c r="AL2411" t="s">
        <v>87</v>
      </c>
      <c r="AM2411" t="s">
        <v>87</v>
      </c>
      <c r="AN2411" t="s">
        <v>87</v>
      </c>
      <c r="AO2411" t="s">
        <v>87</v>
      </c>
      <c r="AP2411" t="s">
        <v>87</v>
      </c>
      <c r="AQ2411" t="s">
        <v>87</v>
      </c>
      <c r="AR2411" t="s">
        <v>87</v>
      </c>
      <c r="AS2411" t="s">
        <v>87</v>
      </c>
      <c r="AT2411" t="s">
        <v>87</v>
      </c>
      <c r="AU2411" t="s">
        <v>87</v>
      </c>
      <c r="AV2411" t="s">
        <v>87</v>
      </c>
      <c r="AW2411" t="s">
        <v>87</v>
      </c>
      <c r="AX2411" t="s">
        <v>87</v>
      </c>
      <c r="AY2411" t="s">
        <v>87</v>
      </c>
      <c r="AZ2411" t="s">
        <v>87</v>
      </c>
      <c r="BA2411" t="s">
        <v>87</v>
      </c>
      <c r="BB2411" t="s">
        <v>87</v>
      </c>
      <c r="BC2411" t="s">
        <v>87</v>
      </c>
      <c r="BD2411" t="s">
        <v>87</v>
      </c>
      <c r="BE2411" t="s">
        <v>87</v>
      </c>
    </row>
    <row r="2412" spans="1:57" x14ac:dyDescent="0.45">
      <c r="A2412" t="s">
        <v>5807</v>
      </c>
      <c r="B2412" t="s">
        <v>79</v>
      </c>
      <c r="C2412" t="s">
        <v>5808</v>
      </c>
      <c r="D2412" t="s">
        <v>81</v>
      </c>
      <c r="E2412" s="2" t="str">
        <f>HYPERLINK("capsilon://?command=openfolder&amp;siteaddress=FAM.docvelocity-na8.net&amp;folderid=FXE20148A4-DEAE-49A1-4372-E8DC66DD81BF","FX21018742")</f>
        <v>FX21018742</v>
      </c>
      <c r="F2412" t="s">
        <v>19</v>
      </c>
      <c r="G2412" t="s">
        <v>19</v>
      </c>
      <c r="H2412" t="s">
        <v>82</v>
      </c>
      <c r="I2412" t="s">
        <v>5809</v>
      </c>
      <c r="J2412">
        <v>198</v>
      </c>
      <c r="K2412" t="s">
        <v>84</v>
      </c>
      <c r="L2412" t="s">
        <v>85</v>
      </c>
      <c r="M2412" t="s">
        <v>86</v>
      </c>
      <c r="N2412">
        <v>3</v>
      </c>
      <c r="O2412" s="1">
        <v>44221.454328703701</v>
      </c>
      <c r="P2412" s="1">
        <v>44221.602789351855</v>
      </c>
      <c r="Q2412">
        <v>4276</v>
      </c>
      <c r="R2412">
        <v>8551</v>
      </c>
      <c r="S2412" t="b">
        <v>0</v>
      </c>
      <c r="T2412" t="s">
        <v>87</v>
      </c>
      <c r="U2412" t="b">
        <v>0</v>
      </c>
      <c r="V2412" t="s">
        <v>255</v>
      </c>
      <c r="W2412" s="1">
        <v>44221.568055555559</v>
      </c>
      <c r="X2412">
        <v>8124</v>
      </c>
      <c r="Y2412">
        <v>284</v>
      </c>
      <c r="Z2412">
        <v>0</v>
      </c>
      <c r="AA2412">
        <v>284</v>
      </c>
      <c r="AB2412">
        <v>268</v>
      </c>
      <c r="AC2412">
        <v>272</v>
      </c>
      <c r="AD2412">
        <v>-86</v>
      </c>
      <c r="AE2412">
        <v>0</v>
      </c>
      <c r="AF2412">
        <v>0</v>
      </c>
      <c r="AG2412">
        <v>0</v>
      </c>
      <c r="AH2412" t="s">
        <v>132</v>
      </c>
      <c r="AI2412" s="1">
        <v>44221.577280092592</v>
      </c>
      <c r="AJ2412">
        <v>375</v>
      </c>
      <c r="AK2412">
        <v>0</v>
      </c>
      <c r="AL2412">
        <v>0</v>
      </c>
      <c r="AM2412">
        <v>0</v>
      </c>
      <c r="AN2412">
        <v>134</v>
      </c>
      <c r="AO2412">
        <v>0</v>
      </c>
      <c r="AP2412">
        <v>-86</v>
      </c>
      <c r="AQ2412">
        <v>0</v>
      </c>
      <c r="AR2412">
        <v>0</v>
      </c>
      <c r="AS2412">
        <v>0</v>
      </c>
      <c r="AT2412" t="s">
        <v>90</v>
      </c>
      <c r="AU2412" s="1">
        <v>44221.602789351855</v>
      </c>
      <c r="AV2412">
        <v>52</v>
      </c>
      <c r="AW2412">
        <v>0</v>
      </c>
      <c r="AX2412">
        <v>0</v>
      </c>
      <c r="AY2412">
        <v>0</v>
      </c>
      <c r="AZ2412">
        <v>134</v>
      </c>
      <c r="BA2412">
        <v>0</v>
      </c>
      <c r="BB2412">
        <v>-86</v>
      </c>
      <c r="BC2412">
        <v>0</v>
      </c>
      <c r="BD2412">
        <v>0</v>
      </c>
      <c r="BE2412">
        <v>0</v>
      </c>
    </row>
    <row r="2413" spans="1:57" x14ac:dyDescent="0.45">
      <c r="A2413" t="s">
        <v>5810</v>
      </c>
      <c r="B2413" t="s">
        <v>79</v>
      </c>
      <c r="C2413" t="s">
        <v>5811</v>
      </c>
      <c r="D2413" t="s">
        <v>81</v>
      </c>
      <c r="E2413" s="2" t="str">
        <f>HYPERLINK("capsilon://?command=openfolder&amp;siteaddress=FAM.docvelocity-na8.net&amp;folderid=FX26CAF97F-DD9E-1C32-5C7F-8DEEF852508D","FX210113279")</f>
        <v>FX210113279</v>
      </c>
      <c r="F2413" t="s">
        <v>19</v>
      </c>
      <c r="G2413" t="s">
        <v>19</v>
      </c>
      <c r="H2413" t="s">
        <v>82</v>
      </c>
      <c r="I2413" t="s">
        <v>5812</v>
      </c>
      <c r="J2413">
        <v>375</v>
      </c>
      <c r="K2413" t="s">
        <v>84</v>
      </c>
      <c r="L2413" t="s">
        <v>85</v>
      </c>
      <c r="M2413" t="s">
        <v>86</v>
      </c>
      <c r="N2413">
        <v>3</v>
      </c>
      <c r="O2413" s="1">
        <v>44221.464502314811</v>
      </c>
      <c r="P2413" s="1">
        <v>44221.603333333333</v>
      </c>
      <c r="Q2413">
        <v>2077</v>
      </c>
      <c r="R2413">
        <v>9918</v>
      </c>
      <c r="S2413" t="b">
        <v>0</v>
      </c>
      <c r="T2413" t="s">
        <v>87</v>
      </c>
      <c r="U2413" t="b">
        <v>0</v>
      </c>
      <c r="V2413" t="s">
        <v>171</v>
      </c>
      <c r="W2413" s="1">
        <v>44221.580659722225</v>
      </c>
      <c r="X2413">
        <v>8692</v>
      </c>
      <c r="Y2413">
        <v>355</v>
      </c>
      <c r="Z2413">
        <v>0</v>
      </c>
      <c r="AA2413">
        <v>355</v>
      </c>
      <c r="AB2413">
        <v>0</v>
      </c>
      <c r="AC2413">
        <v>274</v>
      </c>
      <c r="AD2413">
        <v>20</v>
      </c>
      <c r="AE2413">
        <v>0</v>
      </c>
      <c r="AF2413">
        <v>0</v>
      </c>
      <c r="AG2413">
        <v>0</v>
      </c>
      <c r="AH2413" t="s">
        <v>128</v>
      </c>
      <c r="AI2413" s="1">
        <v>44221.595243055555</v>
      </c>
      <c r="AJ2413">
        <v>1083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20</v>
      </c>
      <c r="AQ2413">
        <v>0</v>
      </c>
      <c r="AR2413">
        <v>0</v>
      </c>
      <c r="AS2413">
        <v>0</v>
      </c>
      <c r="AT2413" t="s">
        <v>90</v>
      </c>
      <c r="AU2413" s="1">
        <v>44221.603333333333</v>
      </c>
      <c r="AV2413">
        <v>46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20</v>
      </c>
      <c r="BC2413">
        <v>0</v>
      </c>
      <c r="BD2413">
        <v>0</v>
      </c>
      <c r="BE2413">
        <v>0</v>
      </c>
    </row>
    <row r="2414" spans="1:57" x14ac:dyDescent="0.45">
      <c r="A2414" t="s">
        <v>5813</v>
      </c>
      <c r="B2414" t="s">
        <v>79</v>
      </c>
      <c r="C2414" t="s">
        <v>5797</v>
      </c>
      <c r="D2414" t="s">
        <v>81</v>
      </c>
      <c r="E2414" s="2" t="str">
        <f>HYPERLINK("capsilon://?command=openfolder&amp;siteaddress=FAM.docvelocity-na8.net&amp;folderid=FX5FCCF07E-3BA3-CC37-8052-E07F5CEC8E63","FX20128216")</f>
        <v>FX20128216</v>
      </c>
      <c r="F2414" t="s">
        <v>19</v>
      </c>
      <c r="G2414" t="s">
        <v>19</v>
      </c>
      <c r="H2414" t="s">
        <v>82</v>
      </c>
      <c r="I2414" t="s">
        <v>5798</v>
      </c>
      <c r="J2414">
        <v>38</v>
      </c>
      <c r="K2414" t="s">
        <v>84</v>
      </c>
      <c r="L2414" t="s">
        <v>85</v>
      </c>
      <c r="M2414" t="s">
        <v>86</v>
      </c>
      <c r="N2414">
        <v>3</v>
      </c>
      <c r="O2414" s="1">
        <v>44221.467326388891</v>
      </c>
      <c r="P2414" s="1">
        <v>44221.48673611111</v>
      </c>
      <c r="Q2414">
        <v>552</v>
      </c>
      <c r="R2414">
        <v>1125</v>
      </c>
      <c r="S2414" t="b">
        <v>0</v>
      </c>
      <c r="T2414" t="s">
        <v>87</v>
      </c>
      <c r="U2414" t="b">
        <v>1</v>
      </c>
      <c r="V2414" t="s">
        <v>171</v>
      </c>
      <c r="W2414" s="1">
        <v>44221.47865740741</v>
      </c>
      <c r="X2414">
        <v>927</v>
      </c>
      <c r="Y2414">
        <v>37</v>
      </c>
      <c r="Z2414">
        <v>0</v>
      </c>
      <c r="AA2414">
        <v>37</v>
      </c>
      <c r="AB2414">
        <v>0</v>
      </c>
      <c r="AC2414">
        <v>34</v>
      </c>
      <c r="AD2414">
        <v>1</v>
      </c>
      <c r="AE2414">
        <v>0</v>
      </c>
      <c r="AF2414">
        <v>0</v>
      </c>
      <c r="AG2414">
        <v>0</v>
      </c>
      <c r="AH2414" t="s">
        <v>147</v>
      </c>
      <c r="AI2414" s="1">
        <v>44221.480729166666</v>
      </c>
      <c r="AJ2414">
        <v>177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0</v>
      </c>
      <c r="AT2414" t="s">
        <v>90</v>
      </c>
      <c r="AU2414" s="1">
        <v>44221.48673611111</v>
      </c>
      <c r="AV2414">
        <v>21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1</v>
      </c>
      <c r="BC2414">
        <v>0</v>
      </c>
      <c r="BD2414">
        <v>0</v>
      </c>
      <c r="BE2414">
        <v>0</v>
      </c>
    </row>
    <row r="2415" spans="1:57" hidden="1" x14ac:dyDescent="0.45">
      <c r="A2415" t="s">
        <v>5814</v>
      </c>
      <c r="B2415" t="s">
        <v>79</v>
      </c>
      <c r="C2415" t="s">
        <v>1357</v>
      </c>
      <c r="D2415" t="s">
        <v>81</v>
      </c>
      <c r="E2415" s="2" t="str">
        <f>HYPERLINK("capsilon://?command=openfolder&amp;siteaddress=FAM.docvelocity-na8.net&amp;folderid=FX90858789-497E-44E5-72F9-4156405E14CC","FX20127914")</f>
        <v>FX20127914</v>
      </c>
      <c r="F2415" t="s">
        <v>19</v>
      </c>
      <c r="G2415" t="s">
        <v>19</v>
      </c>
      <c r="H2415" t="s">
        <v>82</v>
      </c>
      <c r="I2415" t="s">
        <v>5806</v>
      </c>
      <c r="J2415">
        <v>38</v>
      </c>
      <c r="K2415" t="s">
        <v>84</v>
      </c>
      <c r="L2415" t="s">
        <v>85</v>
      </c>
      <c r="M2415" t="s">
        <v>86</v>
      </c>
      <c r="N2415">
        <v>3</v>
      </c>
      <c r="O2415" s="1">
        <v>44221.468252314815</v>
      </c>
      <c r="P2415" s="1">
        <v>44221.487233796295</v>
      </c>
      <c r="Q2415">
        <v>857</v>
      </c>
      <c r="R2415">
        <v>783</v>
      </c>
      <c r="S2415" t="b">
        <v>0</v>
      </c>
      <c r="T2415" t="s">
        <v>87</v>
      </c>
      <c r="U2415" t="b">
        <v>1</v>
      </c>
      <c r="V2415" t="s">
        <v>98</v>
      </c>
      <c r="W2415" s="1">
        <v>44221.482731481483</v>
      </c>
      <c r="X2415">
        <v>586</v>
      </c>
      <c r="Y2415">
        <v>0</v>
      </c>
      <c r="Z2415">
        <v>0</v>
      </c>
      <c r="AA2415">
        <v>0</v>
      </c>
      <c r="AB2415">
        <v>37</v>
      </c>
      <c r="AC2415">
        <v>0</v>
      </c>
      <c r="AD2415">
        <v>38</v>
      </c>
      <c r="AE2415">
        <v>0</v>
      </c>
      <c r="AF2415">
        <v>0</v>
      </c>
      <c r="AG2415">
        <v>0</v>
      </c>
      <c r="AH2415" t="s">
        <v>132</v>
      </c>
      <c r="AI2415" s="1">
        <v>44221.485972222225</v>
      </c>
      <c r="AJ2415">
        <v>155</v>
      </c>
      <c r="AK2415">
        <v>0</v>
      </c>
      <c r="AL2415">
        <v>0</v>
      </c>
      <c r="AM2415">
        <v>0</v>
      </c>
      <c r="AN2415">
        <v>37</v>
      </c>
      <c r="AO2415">
        <v>0</v>
      </c>
      <c r="AP2415">
        <v>38</v>
      </c>
      <c r="AQ2415">
        <v>0</v>
      </c>
      <c r="AR2415">
        <v>0</v>
      </c>
      <c r="AS2415">
        <v>0</v>
      </c>
      <c r="AT2415" t="s">
        <v>90</v>
      </c>
      <c r="AU2415" s="1">
        <v>44221.487233796295</v>
      </c>
      <c r="AV2415">
        <v>42</v>
      </c>
      <c r="AW2415">
        <v>0</v>
      </c>
      <c r="AX2415">
        <v>0</v>
      </c>
      <c r="AY2415">
        <v>0</v>
      </c>
      <c r="AZ2415">
        <v>37</v>
      </c>
      <c r="BA2415">
        <v>0</v>
      </c>
      <c r="BB2415">
        <v>38</v>
      </c>
      <c r="BC2415">
        <v>0</v>
      </c>
      <c r="BD2415">
        <v>0</v>
      </c>
      <c r="BE2415">
        <v>0</v>
      </c>
    </row>
    <row r="2416" spans="1:57" x14ac:dyDescent="0.45">
      <c r="A2416" t="s">
        <v>5815</v>
      </c>
      <c r="B2416" t="s">
        <v>79</v>
      </c>
      <c r="C2416" t="s">
        <v>5816</v>
      </c>
      <c r="D2416" t="s">
        <v>81</v>
      </c>
      <c r="E2416" s="2" t="str">
        <f>HYPERLINK("capsilon://?command=openfolder&amp;siteaddress=FAM.docvelocity-na8.net&amp;folderid=FX4ACBCA27-189D-7985-0E3B-1E0AE5D27C73","FX210114537")</f>
        <v>FX210114537</v>
      </c>
      <c r="F2416" t="s">
        <v>19</v>
      </c>
      <c r="G2416" t="s">
        <v>19</v>
      </c>
      <c r="H2416" t="s">
        <v>82</v>
      </c>
      <c r="I2416" t="s">
        <v>5817</v>
      </c>
      <c r="J2416">
        <v>176</v>
      </c>
      <c r="K2416" t="s">
        <v>84</v>
      </c>
      <c r="L2416" t="s">
        <v>85</v>
      </c>
      <c r="M2416" t="s">
        <v>86</v>
      </c>
      <c r="N2416">
        <v>3</v>
      </c>
      <c r="O2416" s="1">
        <v>44221.4684837963</v>
      </c>
      <c r="P2416" s="1">
        <v>44221.557118055556</v>
      </c>
      <c r="Q2416">
        <v>5057</v>
      </c>
      <c r="R2416">
        <v>2601</v>
      </c>
      <c r="S2416" t="b">
        <v>0</v>
      </c>
      <c r="T2416" t="s">
        <v>87</v>
      </c>
      <c r="U2416" t="b">
        <v>0</v>
      </c>
      <c r="V2416" t="s">
        <v>343</v>
      </c>
      <c r="W2416" s="1">
        <v>44221.505740740744</v>
      </c>
      <c r="X2416">
        <v>2310</v>
      </c>
      <c r="Y2416">
        <v>133</v>
      </c>
      <c r="Z2416">
        <v>0</v>
      </c>
      <c r="AA2416">
        <v>133</v>
      </c>
      <c r="AB2416">
        <v>0</v>
      </c>
      <c r="AC2416">
        <v>91</v>
      </c>
      <c r="AD2416">
        <v>43</v>
      </c>
      <c r="AE2416">
        <v>0</v>
      </c>
      <c r="AF2416">
        <v>0</v>
      </c>
      <c r="AG2416">
        <v>0</v>
      </c>
      <c r="AH2416" t="s">
        <v>132</v>
      </c>
      <c r="AI2416" s="1">
        <v>44221.549537037034</v>
      </c>
      <c r="AJ2416">
        <v>220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43</v>
      </c>
      <c r="AQ2416">
        <v>0</v>
      </c>
      <c r="AR2416">
        <v>0</v>
      </c>
      <c r="AS2416">
        <v>0</v>
      </c>
      <c r="AT2416" t="s">
        <v>90</v>
      </c>
      <c r="AU2416" s="1">
        <v>44221.557118055556</v>
      </c>
      <c r="AV2416">
        <v>28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43</v>
      </c>
      <c r="BC2416">
        <v>0</v>
      </c>
      <c r="BD2416">
        <v>0</v>
      </c>
      <c r="BE2416">
        <v>0</v>
      </c>
    </row>
    <row r="2417" spans="1:57" x14ac:dyDescent="0.45">
      <c r="A2417" t="s">
        <v>5818</v>
      </c>
      <c r="B2417" t="s">
        <v>79</v>
      </c>
      <c r="C2417" t="s">
        <v>4900</v>
      </c>
      <c r="D2417" t="s">
        <v>81</v>
      </c>
      <c r="E2417" s="2" t="str">
        <f>HYPERLINK("capsilon://?command=openfolder&amp;siteaddress=FAM.docvelocity-na8.net&amp;folderid=FXF154EFCD-3A22-703D-B04B-AA91CE5F9A8F","FX21011134")</f>
        <v>FX21011134</v>
      </c>
      <c r="F2417" t="s">
        <v>19</v>
      </c>
      <c r="G2417" t="s">
        <v>19</v>
      </c>
      <c r="H2417" t="s">
        <v>82</v>
      </c>
      <c r="I2417" t="s">
        <v>5819</v>
      </c>
      <c r="J2417">
        <v>26</v>
      </c>
      <c r="K2417" t="s">
        <v>84</v>
      </c>
      <c r="L2417" t="s">
        <v>85</v>
      </c>
      <c r="M2417" t="s">
        <v>86</v>
      </c>
      <c r="N2417">
        <v>3</v>
      </c>
      <c r="O2417" s="1">
        <v>44201.568136574075</v>
      </c>
      <c r="P2417" s="1">
        <v>44201.600636574076</v>
      </c>
      <c r="Q2417">
        <v>1747</v>
      </c>
      <c r="R2417">
        <v>1061</v>
      </c>
      <c r="S2417" t="b">
        <v>0</v>
      </c>
      <c r="T2417" t="s">
        <v>87</v>
      </c>
      <c r="U2417" t="b">
        <v>0</v>
      </c>
      <c r="V2417" t="s">
        <v>160</v>
      </c>
      <c r="W2417" s="1">
        <v>44201.578622685185</v>
      </c>
      <c r="X2417">
        <v>898</v>
      </c>
      <c r="Y2417">
        <v>21</v>
      </c>
      <c r="Z2417">
        <v>0</v>
      </c>
      <c r="AA2417">
        <v>21</v>
      </c>
      <c r="AB2417">
        <v>0</v>
      </c>
      <c r="AC2417">
        <v>4</v>
      </c>
      <c r="AD2417">
        <v>5</v>
      </c>
      <c r="AE2417">
        <v>0</v>
      </c>
      <c r="AF2417">
        <v>0</v>
      </c>
      <c r="AG2417">
        <v>0</v>
      </c>
      <c r="AH2417" t="s">
        <v>94</v>
      </c>
      <c r="AI2417" s="1">
        <v>44201.581863425927</v>
      </c>
      <c r="AJ2417">
        <v>159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5</v>
      </c>
      <c r="AQ2417">
        <v>0</v>
      </c>
      <c r="AR2417">
        <v>0</v>
      </c>
      <c r="AS2417">
        <v>0</v>
      </c>
      <c r="AT2417" t="s">
        <v>90</v>
      </c>
      <c r="AU2417" s="1">
        <v>44201.600636574076</v>
      </c>
      <c r="AV2417">
        <v>4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5</v>
      </c>
      <c r="BC2417">
        <v>0</v>
      </c>
      <c r="BD2417">
        <v>0</v>
      </c>
      <c r="BE2417">
        <v>0</v>
      </c>
    </row>
    <row r="2418" spans="1:57" x14ac:dyDescent="0.45">
      <c r="A2418" t="s">
        <v>5820</v>
      </c>
      <c r="B2418" t="s">
        <v>79</v>
      </c>
      <c r="C2418" t="s">
        <v>4900</v>
      </c>
      <c r="D2418" t="s">
        <v>81</v>
      </c>
      <c r="E2418" s="2" t="str">
        <f>HYPERLINK("capsilon://?command=openfolder&amp;siteaddress=FAM.docvelocity-na8.net&amp;folderid=FXF154EFCD-3A22-703D-B04B-AA91CE5F9A8F","FX21011134")</f>
        <v>FX21011134</v>
      </c>
      <c r="F2418" t="s">
        <v>19</v>
      </c>
      <c r="G2418" t="s">
        <v>19</v>
      </c>
      <c r="H2418" t="s">
        <v>82</v>
      </c>
      <c r="I2418" t="s">
        <v>5821</v>
      </c>
      <c r="J2418">
        <v>26</v>
      </c>
      <c r="K2418" t="s">
        <v>84</v>
      </c>
      <c r="L2418" t="s">
        <v>85</v>
      </c>
      <c r="M2418" t="s">
        <v>86</v>
      </c>
      <c r="N2418">
        <v>3</v>
      </c>
      <c r="O2418" s="1">
        <v>44201.568541666667</v>
      </c>
      <c r="P2418" s="1">
        <v>44201.600682870368</v>
      </c>
      <c r="Q2418">
        <v>2181</v>
      </c>
      <c r="R2418">
        <v>596</v>
      </c>
      <c r="S2418" t="b">
        <v>0</v>
      </c>
      <c r="T2418" t="s">
        <v>87</v>
      </c>
      <c r="U2418" t="b">
        <v>0</v>
      </c>
      <c r="V2418" t="s">
        <v>168</v>
      </c>
      <c r="W2418" s="1">
        <v>44201.574247685188</v>
      </c>
      <c r="X2418">
        <v>488</v>
      </c>
      <c r="Y2418">
        <v>21</v>
      </c>
      <c r="Z2418">
        <v>0</v>
      </c>
      <c r="AA2418">
        <v>21</v>
      </c>
      <c r="AB2418">
        <v>0</v>
      </c>
      <c r="AC2418">
        <v>6</v>
      </c>
      <c r="AD2418">
        <v>5</v>
      </c>
      <c r="AE2418">
        <v>0</v>
      </c>
      <c r="AF2418">
        <v>0</v>
      </c>
      <c r="AG2418">
        <v>0</v>
      </c>
      <c r="AH2418" t="s">
        <v>94</v>
      </c>
      <c r="AI2418" s="1">
        <v>44201.583090277774</v>
      </c>
      <c r="AJ2418">
        <v>105</v>
      </c>
      <c r="AK2418">
        <v>2</v>
      </c>
      <c r="AL2418">
        <v>0</v>
      </c>
      <c r="AM2418">
        <v>2</v>
      </c>
      <c r="AN2418">
        <v>0</v>
      </c>
      <c r="AO2418">
        <v>1</v>
      </c>
      <c r="AP2418">
        <v>3</v>
      </c>
      <c r="AQ2418">
        <v>0</v>
      </c>
      <c r="AR2418">
        <v>0</v>
      </c>
      <c r="AS2418">
        <v>0</v>
      </c>
      <c r="AT2418" t="s">
        <v>90</v>
      </c>
      <c r="AU2418" s="1">
        <v>44201.600682870368</v>
      </c>
      <c r="AV2418">
        <v>3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3</v>
      </c>
      <c r="BC2418">
        <v>0</v>
      </c>
      <c r="BD2418">
        <v>0</v>
      </c>
      <c r="BE2418">
        <v>0</v>
      </c>
    </row>
    <row r="2419" spans="1:57" x14ac:dyDescent="0.45">
      <c r="A2419" t="s">
        <v>5822</v>
      </c>
      <c r="B2419" t="s">
        <v>79</v>
      </c>
      <c r="C2419" t="s">
        <v>2565</v>
      </c>
      <c r="D2419" t="s">
        <v>81</v>
      </c>
      <c r="E2419" s="2" t="str">
        <f>HYPERLINK("capsilon://?command=openfolder&amp;siteaddress=FAM.docvelocity-na8.net&amp;folderid=FXE6E62341-8147-A6F1-C55C-62EDD41F75D3","FX20115359")</f>
        <v>FX20115359</v>
      </c>
      <c r="F2419" t="s">
        <v>19</v>
      </c>
      <c r="G2419" t="s">
        <v>19</v>
      </c>
      <c r="H2419" t="s">
        <v>82</v>
      </c>
      <c r="I2419" t="s">
        <v>5823</v>
      </c>
      <c r="J2419">
        <v>66</v>
      </c>
      <c r="K2419" t="s">
        <v>84</v>
      </c>
      <c r="L2419" t="s">
        <v>85</v>
      </c>
      <c r="M2419" t="s">
        <v>86</v>
      </c>
      <c r="N2419">
        <v>3</v>
      </c>
      <c r="O2419" s="1">
        <v>44201.568807870368</v>
      </c>
      <c r="P2419" s="1">
        <v>44201.601319444446</v>
      </c>
      <c r="Q2419">
        <v>598</v>
      </c>
      <c r="R2419">
        <v>2211</v>
      </c>
      <c r="S2419" t="b">
        <v>0</v>
      </c>
      <c r="T2419" t="s">
        <v>87</v>
      </c>
      <c r="U2419" t="b">
        <v>0</v>
      </c>
      <c r="V2419" t="s">
        <v>171</v>
      </c>
      <c r="W2419" s="1">
        <v>44201.591400462959</v>
      </c>
      <c r="X2419">
        <v>1946</v>
      </c>
      <c r="Y2419">
        <v>68</v>
      </c>
      <c r="Z2419">
        <v>0</v>
      </c>
      <c r="AA2419">
        <v>68</v>
      </c>
      <c r="AB2419">
        <v>0</v>
      </c>
      <c r="AC2419">
        <v>39</v>
      </c>
      <c r="AD2419">
        <v>-2</v>
      </c>
      <c r="AE2419">
        <v>0</v>
      </c>
      <c r="AF2419">
        <v>0</v>
      </c>
      <c r="AG2419">
        <v>0</v>
      </c>
      <c r="AH2419" t="s">
        <v>267</v>
      </c>
      <c r="AI2419" s="1">
        <v>44201.596215277779</v>
      </c>
      <c r="AJ2419">
        <v>211</v>
      </c>
      <c r="AK2419">
        <v>3</v>
      </c>
      <c r="AL2419">
        <v>0</v>
      </c>
      <c r="AM2419">
        <v>3</v>
      </c>
      <c r="AN2419">
        <v>0</v>
      </c>
      <c r="AO2419">
        <v>1</v>
      </c>
      <c r="AP2419">
        <v>-5</v>
      </c>
      <c r="AQ2419">
        <v>0</v>
      </c>
      <c r="AR2419">
        <v>0</v>
      </c>
      <c r="AS2419">
        <v>0</v>
      </c>
      <c r="AT2419" t="s">
        <v>90</v>
      </c>
      <c r="AU2419" s="1">
        <v>44201.601319444446</v>
      </c>
      <c r="AV2419">
        <v>54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-5</v>
      </c>
      <c r="BC2419">
        <v>0</v>
      </c>
      <c r="BD2419">
        <v>0</v>
      </c>
      <c r="BE2419">
        <v>0</v>
      </c>
    </row>
    <row r="2420" spans="1:57" hidden="1" x14ac:dyDescent="0.45">
      <c r="A2420" t="s">
        <v>5824</v>
      </c>
      <c r="B2420" t="s">
        <v>79</v>
      </c>
      <c r="C2420" t="s">
        <v>1995</v>
      </c>
      <c r="D2420" t="s">
        <v>81</v>
      </c>
      <c r="E2420" s="2" t="str">
        <f>HYPERLINK("capsilon://?command=openfolder&amp;siteaddress=FAM.docvelocity-na8.net&amp;folderid=FX68BFF421-0534-3C65-E596-2E2BD1ABB6D9","FX20119880")</f>
        <v>FX20119880</v>
      </c>
      <c r="F2420" t="s">
        <v>19</v>
      </c>
      <c r="G2420" t="s">
        <v>19</v>
      </c>
      <c r="H2420" t="s">
        <v>82</v>
      </c>
      <c r="I2420" t="s">
        <v>5825</v>
      </c>
      <c r="J2420">
        <v>66</v>
      </c>
      <c r="K2420" t="s">
        <v>84</v>
      </c>
      <c r="L2420" t="s">
        <v>85</v>
      </c>
      <c r="M2420" t="s">
        <v>86</v>
      </c>
      <c r="N2420">
        <v>3</v>
      </c>
      <c r="O2420" s="1">
        <v>44221.47855324074</v>
      </c>
      <c r="P2420" s="1">
        <v>44221.492847222224</v>
      </c>
      <c r="Q2420">
        <v>1029</v>
      </c>
      <c r="R2420">
        <v>206</v>
      </c>
      <c r="S2420" t="b">
        <v>0</v>
      </c>
      <c r="T2420" t="s">
        <v>87</v>
      </c>
      <c r="U2420" t="b">
        <v>0</v>
      </c>
      <c r="V2420" t="s">
        <v>98</v>
      </c>
      <c r="W2420" s="1">
        <v>44221.483622685184</v>
      </c>
      <c r="X2420">
        <v>76</v>
      </c>
      <c r="Y2420">
        <v>0</v>
      </c>
      <c r="Z2420">
        <v>0</v>
      </c>
      <c r="AA2420">
        <v>0</v>
      </c>
      <c r="AB2420">
        <v>52</v>
      </c>
      <c r="AC2420">
        <v>0</v>
      </c>
      <c r="AD2420">
        <v>66</v>
      </c>
      <c r="AE2420">
        <v>0</v>
      </c>
      <c r="AF2420">
        <v>0</v>
      </c>
      <c r="AG2420">
        <v>0</v>
      </c>
      <c r="AH2420" t="s">
        <v>132</v>
      </c>
      <c r="AI2420" s="1">
        <v>44221.486863425926</v>
      </c>
      <c r="AJ2420">
        <v>76</v>
      </c>
      <c r="AK2420">
        <v>0</v>
      </c>
      <c r="AL2420">
        <v>0</v>
      </c>
      <c r="AM2420">
        <v>0</v>
      </c>
      <c r="AN2420">
        <v>52</v>
      </c>
      <c r="AO2420">
        <v>0</v>
      </c>
      <c r="AP2420">
        <v>66</v>
      </c>
      <c r="AQ2420">
        <v>0</v>
      </c>
      <c r="AR2420">
        <v>0</v>
      </c>
      <c r="AS2420">
        <v>0</v>
      </c>
      <c r="AT2420" t="s">
        <v>90</v>
      </c>
      <c r="AU2420" s="1">
        <v>44221.492847222224</v>
      </c>
      <c r="AV2420">
        <v>4</v>
      </c>
      <c r="AW2420">
        <v>0</v>
      </c>
      <c r="AX2420">
        <v>0</v>
      </c>
      <c r="AY2420">
        <v>0</v>
      </c>
      <c r="AZ2420">
        <v>52</v>
      </c>
      <c r="BA2420">
        <v>0</v>
      </c>
      <c r="BB2420">
        <v>66</v>
      </c>
      <c r="BC2420">
        <v>0</v>
      </c>
      <c r="BD2420">
        <v>0</v>
      </c>
      <c r="BE2420">
        <v>0</v>
      </c>
    </row>
    <row r="2421" spans="1:57" x14ac:dyDescent="0.45">
      <c r="A2421" t="s">
        <v>5826</v>
      </c>
      <c r="B2421" t="s">
        <v>79</v>
      </c>
      <c r="C2421" t="s">
        <v>1182</v>
      </c>
      <c r="D2421" t="s">
        <v>81</v>
      </c>
      <c r="E2421" s="2" t="str">
        <f>HYPERLINK("capsilon://?command=openfolder&amp;siteaddress=FAM.docvelocity-na8.net&amp;folderid=FX78729419-D15C-44C3-F26D-44F0BF5DE1D7","FX20115191")</f>
        <v>FX20115191</v>
      </c>
      <c r="F2421" t="s">
        <v>19</v>
      </c>
      <c r="G2421" t="s">
        <v>19</v>
      </c>
      <c r="H2421" t="s">
        <v>82</v>
      </c>
      <c r="I2421" t="s">
        <v>5827</v>
      </c>
      <c r="J2421">
        <v>38</v>
      </c>
      <c r="K2421" t="s">
        <v>84</v>
      </c>
      <c r="L2421" t="s">
        <v>85</v>
      </c>
      <c r="M2421" t="s">
        <v>86</v>
      </c>
      <c r="N2421">
        <v>3</v>
      </c>
      <c r="O2421" s="1">
        <v>44221.479016203702</v>
      </c>
      <c r="P2421" s="1">
        <v>44221.492928240739</v>
      </c>
      <c r="Q2421">
        <v>632</v>
      </c>
      <c r="R2421">
        <v>570</v>
      </c>
      <c r="S2421" t="b">
        <v>0</v>
      </c>
      <c r="T2421" t="s">
        <v>87</v>
      </c>
      <c r="U2421" t="b">
        <v>0</v>
      </c>
      <c r="V2421" t="s">
        <v>255</v>
      </c>
      <c r="W2421" s="1">
        <v>44221.485752314817</v>
      </c>
      <c r="X2421">
        <v>361</v>
      </c>
      <c r="Y2421">
        <v>37</v>
      </c>
      <c r="Z2421">
        <v>0</v>
      </c>
      <c r="AA2421">
        <v>37</v>
      </c>
      <c r="AB2421">
        <v>0</v>
      </c>
      <c r="AC2421">
        <v>20</v>
      </c>
      <c r="AD2421">
        <v>1</v>
      </c>
      <c r="AE2421">
        <v>0</v>
      </c>
      <c r="AF2421">
        <v>0</v>
      </c>
      <c r="AG2421">
        <v>0</v>
      </c>
      <c r="AH2421" t="s">
        <v>147</v>
      </c>
      <c r="AI2421" s="1">
        <v>44221.488356481481</v>
      </c>
      <c r="AJ2421">
        <v>202</v>
      </c>
      <c r="AK2421">
        <v>0</v>
      </c>
      <c r="AL2421">
        <v>0</v>
      </c>
      <c r="AM2421">
        <v>0</v>
      </c>
      <c r="AN2421">
        <v>0</v>
      </c>
      <c r="AO2421">
        <v>5</v>
      </c>
      <c r="AP2421">
        <v>1</v>
      </c>
      <c r="AQ2421">
        <v>0</v>
      </c>
      <c r="AR2421">
        <v>0</v>
      </c>
      <c r="AS2421">
        <v>0</v>
      </c>
      <c r="AT2421" t="s">
        <v>90</v>
      </c>
      <c r="AU2421" s="1">
        <v>44221.492928240739</v>
      </c>
      <c r="AV2421">
        <v>7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</row>
    <row r="2422" spans="1:57" x14ac:dyDescent="0.45">
      <c r="A2422" t="s">
        <v>5828</v>
      </c>
      <c r="B2422" t="s">
        <v>79</v>
      </c>
      <c r="C2422" t="s">
        <v>5829</v>
      </c>
      <c r="D2422" t="s">
        <v>81</v>
      </c>
      <c r="E2422" s="2" t="str">
        <f>HYPERLINK("capsilon://?command=openfolder&amp;siteaddress=FAM.docvelocity-na8.net&amp;folderid=FX8C98B817-DBE5-A2B4-CAB0-F6DC6575A9D0","FX201222297")</f>
        <v>FX201222297</v>
      </c>
      <c r="F2422" t="s">
        <v>19</v>
      </c>
      <c r="G2422" t="s">
        <v>19</v>
      </c>
      <c r="H2422" t="s">
        <v>82</v>
      </c>
      <c r="I2422" t="s">
        <v>5830</v>
      </c>
      <c r="J2422">
        <v>136</v>
      </c>
      <c r="K2422" t="s">
        <v>84</v>
      </c>
      <c r="L2422" t="s">
        <v>85</v>
      </c>
      <c r="M2422" t="s">
        <v>86</v>
      </c>
      <c r="N2422">
        <v>3</v>
      </c>
      <c r="O2422" s="1">
        <v>44221.481504629628</v>
      </c>
      <c r="P2422" s="1">
        <v>44221.561990740738</v>
      </c>
      <c r="Q2422">
        <v>2060</v>
      </c>
      <c r="R2422">
        <v>4894</v>
      </c>
      <c r="S2422" t="b">
        <v>0</v>
      </c>
      <c r="T2422" t="s">
        <v>87</v>
      </c>
      <c r="U2422" t="b">
        <v>0</v>
      </c>
      <c r="V2422" t="s">
        <v>242</v>
      </c>
      <c r="W2422" s="1">
        <v>44221.528368055559</v>
      </c>
      <c r="X2422">
        <v>3938</v>
      </c>
      <c r="Y2422">
        <v>179</v>
      </c>
      <c r="Z2422">
        <v>0</v>
      </c>
      <c r="AA2422">
        <v>179</v>
      </c>
      <c r="AB2422">
        <v>0</v>
      </c>
      <c r="AC2422">
        <v>129</v>
      </c>
      <c r="AD2422">
        <v>-43</v>
      </c>
      <c r="AE2422">
        <v>0</v>
      </c>
      <c r="AF2422">
        <v>0</v>
      </c>
      <c r="AG2422">
        <v>0</v>
      </c>
      <c r="AH2422" t="s">
        <v>132</v>
      </c>
      <c r="AI2422" s="1">
        <v>44221.560960648145</v>
      </c>
      <c r="AJ2422">
        <v>917</v>
      </c>
      <c r="AK2422">
        <v>18</v>
      </c>
      <c r="AL2422">
        <v>0</v>
      </c>
      <c r="AM2422">
        <v>18</v>
      </c>
      <c r="AN2422">
        <v>0</v>
      </c>
      <c r="AO2422">
        <v>17</v>
      </c>
      <c r="AP2422">
        <v>-61</v>
      </c>
      <c r="AQ2422">
        <v>0</v>
      </c>
      <c r="AR2422">
        <v>0</v>
      </c>
      <c r="AS2422">
        <v>0</v>
      </c>
      <c r="AT2422" t="s">
        <v>90</v>
      </c>
      <c r="AU2422" s="1">
        <v>44221.561990740738</v>
      </c>
      <c r="AV2422">
        <v>39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-61</v>
      </c>
      <c r="BC2422">
        <v>0</v>
      </c>
      <c r="BD2422">
        <v>0</v>
      </c>
      <c r="BE2422">
        <v>0</v>
      </c>
    </row>
    <row r="2423" spans="1:57" hidden="1" x14ac:dyDescent="0.45">
      <c r="A2423" t="s">
        <v>5831</v>
      </c>
      <c r="B2423" t="s">
        <v>79</v>
      </c>
      <c r="C2423" t="s">
        <v>1568</v>
      </c>
      <c r="D2423" t="s">
        <v>81</v>
      </c>
      <c r="E2423" s="2" t="str">
        <f>HYPERLINK("capsilon://?command=openfolder&amp;siteaddress=FAM.docvelocity-na8.net&amp;folderid=FX4F2B6D11-203B-D3A1-D97C-FD0657F85A4A","FX20118563")</f>
        <v>FX20118563</v>
      </c>
      <c r="F2423" t="s">
        <v>19</v>
      </c>
      <c r="G2423" t="s">
        <v>19</v>
      </c>
      <c r="H2423" t="s">
        <v>82</v>
      </c>
      <c r="I2423" t="s">
        <v>5832</v>
      </c>
      <c r="J2423">
        <v>66</v>
      </c>
      <c r="K2423" t="s">
        <v>84</v>
      </c>
      <c r="L2423" t="s">
        <v>85</v>
      </c>
      <c r="M2423" t="s">
        <v>86</v>
      </c>
      <c r="N2423">
        <v>1</v>
      </c>
      <c r="O2423" s="1">
        <v>44201.569050925929</v>
      </c>
      <c r="P2423" s="1">
        <v>44201.570138888892</v>
      </c>
      <c r="Q2423">
        <v>15</v>
      </c>
      <c r="R2423">
        <v>79</v>
      </c>
      <c r="S2423" t="b">
        <v>0</v>
      </c>
      <c r="T2423" t="s">
        <v>87</v>
      </c>
      <c r="U2423" t="b">
        <v>0</v>
      </c>
      <c r="V2423" t="s">
        <v>255</v>
      </c>
      <c r="W2423" s="1">
        <v>44201.570138888892</v>
      </c>
      <c r="X2423">
        <v>79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66</v>
      </c>
      <c r="AE2423">
        <v>52</v>
      </c>
      <c r="AF2423">
        <v>0</v>
      </c>
      <c r="AG2423">
        <v>1</v>
      </c>
      <c r="AH2423" t="s">
        <v>87</v>
      </c>
      <c r="AI2423" t="s">
        <v>87</v>
      </c>
      <c r="AJ2423" t="s">
        <v>87</v>
      </c>
      <c r="AK2423" t="s">
        <v>87</v>
      </c>
      <c r="AL2423" t="s">
        <v>87</v>
      </c>
      <c r="AM2423" t="s">
        <v>87</v>
      </c>
      <c r="AN2423" t="s">
        <v>87</v>
      </c>
      <c r="AO2423" t="s">
        <v>87</v>
      </c>
      <c r="AP2423" t="s">
        <v>87</v>
      </c>
      <c r="AQ2423" t="s">
        <v>87</v>
      </c>
      <c r="AR2423" t="s">
        <v>87</v>
      </c>
      <c r="AS2423" t="s">
        <v>87</v>
      </c>
      <c r="AT2423" t="s">
        <v>87</v>
      </c>
      <c r="AU2423" t="s">
        <v>87</v>
      </c>
      <c r="AV2423" t="s">
        <v>87</v>
      </c>
      <c r="AW2423" t="s">
        <v>87</v>
      </c>
      <c r="AX2423" t="s">
        <v>87</v>
      </c>
      <c r="AY2423" t="s">
        <v>87</v>
      </c>
      <c r="AZ2423" t="s">
        <v>87</v>
      </c>
      <c r="BA2423" t="s">
        <v>87</v>
      </c>
      <c r="BB2423" t="s">
        <v>87</v>
      </c>
      <c r="BC2423" t="s">
        <v>87</v>
      </c>
      <c r="BD2423" t="s">
        <v>87</v>
      </c>
      <c r="BE2423" t="s">
        <v>87</v>
      </c>
    </row>
    <row r="2424" spans="1:57" x14ac:dyDescent="0.45">
      <c r="A2424" t="s">
        <v>5833</v>
      </c>
      <c r="B2424" t="s">
        <v>79</v>
      </c>
      <c r="C2424" t="s">
        <v>1568</v>
      </c>
      <c r="D2424" t="s">
        <v>81</v>
      </c>
      <c r="E2424" s="2" t="str">
        <f>HYPERLINK("capsilon://?command=openfolder&amp;siteaddress=FAM.docvelocity-na8.net&amp;folderid=FX4F2B6D11-203B-D3A1-D97C-FD0657F85A4A","FX20118563")</f>
        <v>FX20118563</v>
      </c>
      <c r="F2424" t="s">
        <v>19</v>
      </c>
      <c r="G2424" t="s">
        <v>19</v>
      </c>
      <c r="H2424" t="s">
        <v>82</v>
      </c>
      <c r="I2424" t="s">
        <v>5832</v>
      </c>
      <c r="J2424">
        <v>38</v>
      </c>
      <c r="K2424" t="s">
        <v>84</v>
      </c>
      <c r="L2424" t="s">
        <v>85</v>
      </c>
      <c r="M2424" t="s">
        <v>86</v>
      </c>
      <c r="N2424">
        <v>3</v>
      </c>
      <c r="O2424" s="1">
        <v>44201.570462962962</v>
      </c>
      <c r="P2424" s="1">
        <v>44201.579131944447</v>
      </c>
      <c r="Q2424">
        <v>181</v>
      </c>
      <c r="R2424">
        <v>568</v>
      </c>
      <c r="S2424" t="b">
        <v>0</v>
      </c>
      <c r="T2424" t="s">
        <v>87</v>
      </c>
      <c r="U2424" t="b">
        <v>1</v>
      </c>
      <c r="V2424" t="s">
        <v>255</v>
      </c>
      <c r="W2424" s="1">
        <v>44201.575127314813</v>
      </c>
      <c r="X2424">
        <v>400</v>
      </c>
      <c r="Y2424">
        <v>37</v>
      </c>
      <c r="Z2424">
        <v>0</v>
      </c>
      <c r="AA2424">
        <v>37</v>
      </c>
      <c r="AB2424">
        <v>0</v>
      </c>
      <c r="AC2424">
        <v>33</v>
      </c>
      <c r="AD2424">
        <v>1</v>
      </c>
      <c r="AE2424">
        <v>0</v>
      </c>
      <c r="AF2424">
        <v>0</v>
      </c>
      <c r="AG2424">
        <v>0</v>
      </c>
      <c r="AH2424" t="s">
        <v>267</v>
      </c>
      <c r="AI2424" s="1">
        <v>44201.577499999999</v>
      </c>
      <c r="AJ2424">
        <v>150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 t="s">
        <v>90</v>
      </c>
      <c r="AU2424" s="1">
        <v>44201.579131944447</v>
      </c>
      <c r="AV2424">
        <v>18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</row>
    <row r="2425" spans="1:57" hidden="1" x14ac:dyDescent="0.45">
      <c r="A2425" t="s">
        <v>5834</v>
      </c>
      <c r="B2425" t="s">
        <v>79</v>
      </c>
      <c r="C2425" t="s">
        <v>5647</v>
      </c>
      <c r="D2425" t="s">
        <v>81</v>
      </c>
      <c r="E2425" s="2" t="str">
        <f>HYPERLINK("capsilon://?command=openfolder&amp;siteaddress=FAM.docvelocity-na8.net&amp;folderid=FX9B6BF64C-4572-9CE9-FC09-5715FD46E9DF","FX20119526")</f>
        <v>FX20119526</v>
      </c>
      <c r="F2425" t="s">
        <v>19</v>
      </c>
      <c r="G2425" t="s">
        <v>19</v>
      </c>
      <c r="H2425" t="s">
        <v>82</v>
      </c>
      <c r="I2425" t="s">
        <v>5835</v>
      </c>
      <c r="J2425">
        <v>66</v>
      </c>
      <c r="K2425" t="s">
        <v>84</v>
      </c>
      <c r="L2425" t="s">
        <v>85</v>
      </c>
      <c r="M2425" t="s">
        <v>86</v>
      </c>
      <c r="N2425">
        <v>3</v>
      </c>
      <c r="O2425" s="1">
        <v>44221.494710648149</v>
      </c>
      <c r="P2425" s="1">
        <v>44221.51489583333</v>
      </c>
      <c r="Q2425">
        <v>976</v>
      </c>
      <c r="R2425">
        <v>768</v>
      </c>
      <c r="S2425" t="b">
        <v>0</v>
      </c>
      <c r="T2425" t="s">
        <v>87</v>
      </c>
      <c r="U2425" t="b">
        <v>0</v>
      </c>
      <c r="V2425" t="s">
        <v>146</v>
      </c>
      <c r="W2425" s="1">
        <v>44221.501747685186</v>
      </c>
      <c r="X2425">
        <v>607</v>
      </c>
      <c r="Y2425">
        <v>0</v>
      </c>
      <c r="Z2425">
        <v>0</v>
      </c>
      <c r="AA2425">
        <v>0</v>
      </c>
      <c r="AB2425">
        <v>52</v>
      </c>
      <c r="AC2425">
        <v>0</v>
      </c>
      <c r="AD2425">
        <v>66</v>
      </c>
      <c r="AE2425">
        <v>0</v>
      </c>
      <c r="AF2425">
        <v>0</v>
      </c>
      <c r="AG2425">
        <v>0</v>
      </c>
      <c r="AH2425" t="s">
        <v>108</v>
      </c>
      <c r="AI2425" s="1">
        <v>44221.503738425927</v>
      </c>
      <c r="AJ2425">
        <v>95</v>
      </c>
      <c r="AK2425">
        <v>0</v>
      </c>
      <c r="AL2425">
        <v>0</v>
      </c>
      <c r="AM2425">
        <v>0</v>
      </c>
      <c r="AN2425">
        <v>52</v>
      </c>
      <c r="AO2425">
        <v>0</v>
      </c>
      <c r="AP2425">
        <v>66</v>
      </c>
      <c r="AQ2425">
        <v>0</v>
      </c>
      <c r="AR2425">
        <v>0</v>
      </c>
      <c r="AS2425">
        <v>0</v>
      </c>
      <c r="AT2425" t="s">
        <v>90</v>
      </c>
      <c r="AU2425" s="1">
        <v>44221.51489583333</v>
      </c>
      <c r="AV2425">
        <v>3</v>
      </c>
      <c r="AW2425">
        <v>0</v>
      </c>
      <c r="AX2425">
        <v>0</v>
      </c>
      <c r="AY2425">
        <v>0</v>
      </c>
      <c r="AZ2425">
        <v>52</v>
      </c>
      <c r="BA2425">
        <v>0</v>
      </c>
      <c r="BB2425">
        <v>66</v>
      </c>
      <c r="BC2425">
        <v>0</v>
      </c>
      <c r="BD2425">
        <v>0</v>
      </c>
      <c r="BE2425">
        <v>0</v>
      </c>
    </row>
    <row r="2426" spans="1:57" x14ac:dyDescent="0.45">
      <c r="A2426" t="s">
        <v>5836</v>
      </c>
      <c r="B2426" t="s">
        <v>79</v>
      </c>
      <c r="C2426" t="s">
        <v>5193</v>
      </c>
      <c r="D2426" t="s">
        <v>81</v>
      </c>
      <c r="E2426" s="2" t="str">
        <f>HYPERLINK("capsilon://?command=openfolder&amp;siteaddress=FAM.docvelocity-na8.net&amp;folderid=FX8C2100EE-EBD0-8FA6-1E08-74355EACF6F0","FX201229390")</f>
        <v>FX201229390</v>
      </c>
      <c r="F2426" t="s">
        <v>19</v>
      </c>
      <c r="G2426" t="s">
        <v>19</v>
      </c>
      <c r="H2426" t="s">
        <v>82</v>
      </c>
      <c r="I2426" t="s">
        <v>5837</v>
      </c>
      <c r="J2426">
        <v>38</v>
      </c>
      <c r="K2426" t="s">
        <v>84</v>
      </c>
      <c r="L2426" t="s">
        <v>85</v>
      </c>
      <c r="M2426" t="s">
        <v>86</v>
      </c>
      <c r="N2426">
        <v>3</v>
      </c>
      <c r="O2426" s="1">
        <v>44221.49628472222</v>
      </c>
      <c r="P2426" s="1">
        <v>44221.562141203707</v>
      </c>
      <c r="Q2426">
        <v>4827</v>
      </c>
      <c r="R2426">
        <v>863</v>
      </c>
      <c r="S2426" t="b">
        <v>0</v>
      </c>
      <c r="T2426" t="s">
        <v>87</v>
      </c>
      <c r="U2426" t="b">
        <v>0</v>
      </c>
      <c r="V2426" t="s">
        <v>88</v>
      </c>
      <c r="W2426" s="1">
        <v>44221.505949074075</v>
      </c>
      <c r="X2426">
        <v>781</v>
      </c>
      <c r="Y2426">
        <v>37</v>
      </c>
      <c r="Z2426">
        <v>0</v>
      </c>
      <c r="AA2426">
        <v>37</v>
      </c>
      <c r="AB2426">
        <v>0</v>
      </c>
      <c r="AC2426">
        <v>34</v>
      </c>
      <c r="AD2426">
        <v>1</v>
      </c>
      <c r="AE2426">
        <v>0</v>
      </c>
      <c r="AF2426">
        <v>0</v>
      </c>
      <c r="AG2426">
        <v>0</v>
      </c>
      <c r="AH2426" t="s">
        <v>132</v>
      </c>
      <c r="AI2426" s="1">
        <v>44221.561782407407</v>
      </c>
      <c r="AJ2426">
        <v>70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0</v>
      </c>
      <c r="AS2426">
        <v>0</v>
      </c>
      <c r="AT2426" t="s">
        <v>90</v>
      </c>
      <c r="AU2426" s="1">
        <v>44221.562141203707</v>
      </c>
      <c r="AV2426">
        <v>12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</v>
      </c>
      <c r="BC2426">
        <v>0</v>
      </c>
      <c r="BD2426">
        <v>0</v>
      </c>
      <c r="BE2426">
        <v>0</v>
      </c>
    </row>
    <row r="2427" spans="1:57" x14ac:dyDescent="0.45">
      <c r="A2427" t="s">
        <v>5838</v>
      </c>
      <c r="B2427" t="s">
        <v>79</v>
      </c>
      <c r="C2427" t="s">
        <v>5839</v>
      </c>
      <c r="D2427" t="s">
        <v>81</v>
      </c>
      <c r="E2427" s="2" t="str">
        <f>HYPERLINK("capsilon://?command=openfolder&amp;siteaddress=FAM.docvelocity-na8.net&amp;folderid=FX3271B92F-D573-F8AD-C13F-BBE9298FA44A","FX210115269")</f>
        <v>FX210115269</v>
      </c>
      <c r="F2427" t="s">
        <v>19</v>
      </c>
      <c r="G2427" t="s">
        <v>19</v>
      </c>
      <c r="H2427" t="s">
        <v>82</v>
      </c>
      <c r="I2427" t="s">
        <v>5840</v>
      </c>
      <c r="J2427">
        <v>155</v>
      </c>
      <c r="K2427" t="s">
        <v>84</v>
      </c>
      <c r="L2427" t="s">
        <v>85</v>
      </c>
      <c r="M2427" t="s">
        <v>86</v>
      </c>
      <c r="N2427">
        <v>3</v>
      </c>
      <c r="O2427" s="1">
        <v>44221.496365740742</v>
      </c>
      <c r="P2427" s="1">
        <v>44221.57230324074</v>
      </c>
      <c r="Q2427">
        <v>3898</v>
      </c>
      <c r="R2427">
        <v>2663</v>
      </c>
      <c r="S2427" t="b">
        <v>0</v>
      </c>
      <c r="T2427" t="s">
        <v>87</v>
      </c>
      <c r="U2427" t="b">
        <v>0</v>
      </c>
      <c r="V2427" t="s">
        <v>255</v>
      </c>
      <c r="W2427" s="1">
        <v>44221.52239583333</v>
      </c>
      <c r="X2427">
        <v>2178</v>
      </c>
      <c r="Y2427">
        <v>215</v>
      </c>
      <c r="Z2427">
        <v>0</v>
      </c>
      <c r="AA2427">
        <v>215</v>
      </c>
      <c r="AB2427">
        <v>0</v>
      </c>
      <c r="AC2427">
        <v>183</v>
      </c>
      <c r="AD2427">
        <v>-60</v>
      </c>
      <c r="AE2427">
        <v>0</v>
      </c>
      <c r="AF2427">
        <v>0</v>
      </c>
      <c r="AG2427">
        <v>0</v>
      </c>
      <c r="AH2427" t="s">
        <v>132</v>
      </c>
      <c r="AI2427" s="1">
        <v>44221.567002314812</v>
      </c>
      <c r="AJ2427">
        <v>450</v>
      </c>
      <c r="AK2427">
        <v>4</v>
      </c>
      <c r="AL2427">
        <v>0</v>
      </c>
      <c r="AM2427">
        <v>4</v>
      </c>
      <c r="AN2427">
        <v>0</v>
      </c>
      <c r="AO2427">
        <v>3</v>
      </c>
      <c r="AP2427">
        <v>-64</v>
      </c>
      <c r="AQ2427">
        <v>0</v>
      </c>
      <c r="AR2427">
        <v>0</v>
      </c>
      <c r="AS2427">
        <v>0</v>
      </c>
      <c r="AT2427" t="s">
        <v>90</v>
      </c>
      <c r="AU2427" s="1">
        <v>44221.57230324074</v>
      </c>
      <c r="AV2427">
        <v>35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-64</v>
      </c>
      <c r="BC2427">
        <v>0</v>
      </c>
      <c r="BD2427">
        <v>0</v>
      </c>
      <c r="BE2427">
        <v>0</v>
      </c>
    </row>
    <row r="2428" spans="1:57" x14ac:dyDescent="0.45">
      <c r="A2428" t="s">
        <v>5841</v>
      </c>
      <c r="B2428" t="s">
        <v>79</v>
      </c>
      <c r="C2428" t="s">
        <v>5842</v>
      </c>
      <c r="D2428" t="s">
        <v>81</v>
      </c>
      <c r="E2428" s="2" t="str">
        <f>HYPERLINK("capsilon://?command=openfolder&amp;siteaddress=FAM.docvelocity-na8.net&amp;folderid=FXD56459BD-D388-2B8F-9FDD-2FE68CDBA17E","FX210112977")</f>
        <v>FX210112977</v>
      </c>
      <c r="F2428" t="s">
        <v>19</v>
      </c>
      <c r="G2428" t="s">
        <v>19</v>
      </c>
      <c r="H2428" t="s">
        <v>82</v>
      </c>
      <c r="I2428" t="s">
        <v>5843</v>
      </c>
      <c r="J2428">
        <v>152</v>
      </c>
      <c r="K2428" t="s">
        <v>84</v>
      </c>
      <c r="L2428" t="s">
        <v>85</v>
      </c>
      <c r="M2428" t="s">
        <v>86</v>
      </c>
      <c r="N2428">
        <v>3</v>
      </c>
      <c r="O2428" s="1">
        <v>44221.499456018515</v>
      </c>
      <c r="P2428" s="1">
        <v>44221.573229166665</v>
      </c>
      <c r="Q2428">
        <v>1687</v>
      </c>
      <c r="R2428">
        <v>4687</v>
      </c>
      <c r="S2428" t="b">
        <v>0</v>
      </c>
      <c r="T2428" t="s">
        <v>87</v>
      </c>
      <c r="U2428" t="b">
        <v>0</v>
      </c>
      <c r="V2428" t="s">
        <v>146</v>
      </c>
      <c r="W2428" s="1">
        <v>44221.548622685186</v>
      </c>
      <c r="X2428">
        <v>4050</v>
      </c>
      <c r="Y2428">
        <v>251</v>
      </c>
      <c r="Z2428">
        <v>0</v>
      </c>
      <c r="AA2428">
        <v>251</v>
      </c>
      <c r="AB2428">
        <v>0</v>
      </c>
      <c r="AC2428">
        <v>197</v>
      </c>
      <c r="AD2428">
        <v>-99</v>
      </c>
      <c r="AE2428">
        <v>0</v>
      </c>
      <c r="AF2428">
        <v>0</v>
      </c>
      <c r="AG2428">
        <v>0</v>
      </c>
      <c r="AH2428" t="s">
        <v>128</v>
      </c>
      <c r="AI2428" s="1">
        <v>44221.572685185187</v>
      </c>
      <c r="AJ2428">
        <v>602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-99</v>
      </c>
      <c r="AQ2428">
        <v>0</v>
      </c>
      <c r="AR2428">
        <v>0</v>
      </c>
      <c r="AS2428">
        <v>0</v>
      </c>
      <c r="AT2428" t="s">
        <v>90</v>
      </c>
      <c r="AU2428" s="1">
        <v>44221.573229166665</v>
      </c>
      <c r="AV2428">
        <v>35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-99</v>
      </c>
      <c r="BC2428">
        <v>0</v>
      </c>
      <c r="BD2428">
        <v>0</v>
      </c>
      <c r="BE2428">
        <v>0</v>
      </c>
    </row>
    <row r="2429" spans="1:57" x14ac:dyDescent="0.45">
      <c r="A2429" t="s">
        <v>5844</v>
      </c>
      <c r="B2429" t="s">
        <v>79</v>
      </c>
      <c r="C2429" t="s">
        <v>3803</v>
      </c>
      <c r="D2429" t="s">
        <v>81</v>
      </c>
      <c r="E2429" s="2" t="str">
        <f>HYPERLINK("capsilon://?command=openfolder&amp;siteaddress=FAM.docvelocity-na8.net&amp;folderid=FX11D0AF1D-56B0-F36E-98DD-934D3D865ABB","FX201229254")</f>
        <v>FX201229254</v>
      </c>
      <c r="F2429" t="s">
        <v>19</v>
      </c>
      <c r="G2429" t="s">
        <v>19</v>
      </c>
      <c r="H2429" t="s">
        <v>82</v>
      </c>
      <c r="I2429" t="s">
        <v>5845</v>
      </c>
      <c r="J2429">
        <v>283</v>
      </c>
      <c r="K2429" t="s">
        <v>84</v>
      </c>
      <c r="L2429" t="s">
        <v>85</v>
      </c>
      <c r="M2429" t="s">
        <v>86</v>
      </c>
      <c r="N2429">
        <v>3</v>
      </c>
      <c r="O2429" s="1">
        <v>44201.571689814817</v>
      </c>
      <c r="P2429" s="1">
        <v>44201.602662037039</v>
      </c>
      <c r="Q2429">
        <v>829</v>
      </c>
      <c r="R2429">
        <v>1847</v>
      </c>
      <c r="S2429" t="b">
        <v>0</v>
      </c>
      <c r="T2429" t="s">
        <v>87</v>
      </c>
      <c r="U2429" t="b">
        <v>0</v>
      </c>
      <c r="V2429" t="s">
        <v>259</v>
      </c>
      <c r="W2429" s="1">
        <v>44201.584016203706</v>
      </c>
      <c r="X2429">
        <v>1059</v>
      </c>
      <c r="Y2429">
        <v>180</v>
      </c>
      <c r="Z2429">
        <v>0</v>
      </c>
      <c r="AA2429">
        <v>180</v>
      </c>
      <c r="AB2429">
        <v>37</v>
      </c>
      <c r="AC2429">
        <v>43</v>
      </c>
      <c r="AD2429">
        <v>103</v>
      </c>
      <c r="AE2429">
        <v>0</v>
      </c>
      <c r="AF2429">
        <v>0</v>
      </c>
      <c r="AG2429">
        <v>0</v>
      </c>
      <c r="AH2429" t="s">
        <v>267</v>
      </c>
      <c r="AI2429" s="1">
        <v>44201.593761574077</v>
      </c>
      <c r="AJ2429">
        <v>673</v>
      </c>
      <c r="AK2429">
        <v>3</v>
      </c>
      <c r="AL2429">
        <v>0</v>
      </c>
      <c r="AM2429">
        <v>3</v>
      </c>
      <c r="AN2429">
        <v>37</v>
      </c>
      <c r="AO2429">
        <v>2</v>
      </c>
      <c r="AP2429">
        <v>100</v>
      </c>
      <c r="AQ2429">
        <v>0</v>
      </c>
      <c r="AR2429">
        <v>0</v>
      </c>
      <c r="AS2429">
        <v>0</v>
      </c>
      <c r="AT2429" t="s">
        <v>90</v>
      </c>
      <c r="AU2429" s="1">
        <v>44201.602662037039</v>
      </c>
      <c r="AV2429">
        <v>115</v>
      </c>
      <c r="AW2429">
        <v>0</v>
      </c>
      <c r="AX2429">
        <v>0</v>
      </c>
      <c r="AY2429">
        <v>0</v>
      </c>
      <c r="AZ2429">
        <v>37</v>
      </c>
      <c r="BA2429">
        <v>0</v>
      </c>
      <c r="BB2429">
        <v>100</v>
      </c>
      <c r="BC2429">
        <v>0</v>
      </c>
      <c r="BD2429">
        <v>0</v>
      </c>
      <c r="BE2429">
        <v>0</v>
      </c>
    </row>
    <row r="2430" spans="1:57" x14ac:dyDescent="0.45">
      <c r="A2430" t="s">
        <v>5846</v>
      </c>
      <c r="B2430" t="s">
        <v>79</v>
      </c>
      <c r="C2430" t="s">
        <v>5847</v>
      </c>
      <c r="D2430" t="s">
        <v>81</v>
      </c>
      <c r="E2430" s="2" t="str">
        <f>HYPERLINK("capsilon://?command=openfolder&amp;siteaddress=FAM.docvelocity-na8.net&amp;folderid=FXA4F8D2D4-C393-47E3-9F81-A099FF26D4FF","FX210114568")</f>
        <v>FX210114568</v>
      </c>
      <c r="F2430" t="s">
        <v>19</v>
      </c>
      <c r="G2430" t="s">
        <v>19</v>
      </c>
      <c r="H2430" t="s">
        <v>82</v>
      </c>
      <c r="I2430" t="s">
        <v>5848</v>
      </c>
      <c r="J2430">
        <v>88</v>
      </c>
      <c r="K2430" t="s">
        <v>84</v>
      </c>
      <c r="L2430" t="s">
        <v>85</v>
      </c>
      <c r="M2430" t="s">
        <v>86</v>
      </c>
      <c r="N2430">
        <v>3</v>
      </c>
      <c r="O2430" s="1">
        <v>44221.504710648151</v>
      </c>
      <c r="P2430" s="1">
        <v>44221.573657407411</v>
      </c>
      <c r="Q2430">
        <v>2040</v>
      </c>
      <c r="R2430">
        <v>3917</v>
      </c>
      <c r="S2430" t="b">
        <v>0</v>
      </c>
      <c r="T2430" t="s">
        <v>87</v>
      </c>
      <c r="U2430" t="b">
        <v>0</v>
      </c>
      <c r="V2430" t="s">
        <v>259</v>
      </c>
      <c r="W2430" s="1">
        <v>44221.544861111113</v>
      </c>
      <c r="X2430">
        <v>3320</v>
      </c>
      <c r="Y2430">
        <v>182</v>
      </c>
      <c r="Z2430">
        <v>0</v>
      </c>
      <c r="AA2430">
        <v>182</v>
      </c>
      <c r="AB2430">
        <v>0</v>
      </c>
      <c r="AC2430">
        <v>144</v>
      </c>
      <c r="AD2430">
        <v>-94</v>
      </c>
      <c r="AE2430">
        <v>0</v>
      </c>
      <c r="AF2430">
        <v>0</v>
      </c>
      <c r="AG2430">
        <v>0</v>
      </c>
      <c r="AH2430" t="s">
        <v>132</v>
      </c>
      <c r="AI2430" s="1">
        <v>44221.572928240741</v>
      </c>
      <c r="AJ2430">
        <v>511</v>
      </c>
      <c r="AK2430">
        <v>2</v>
      </c>
      <c r="AL2430">
        <v>0</v>
      </c>
      <c r="AM2430">
        <v>2</v>
      </c>
      <c r="AN2430">
        <v>0</v>
      </c>
      <c r="AO2430">
        <v>1</v>
      </c>
      <c r="AP2430">
        <v>-96</v>
      </c>
      <c r="AQ2430">
        <v>0</v>
      </c>
      <c r="AR2430">
        <v>0</v>
      </c>
      <c r="AS2430">
        <v>0</v>
      </c>
      <c r="AT2430" t="s">
        <v>90</v>
      </c>
      <c r="AU2430" s="1">
        <v>44221.573657407411</v>
      </c>
      <c r="AV2430">
        <v>36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-96</v>
      </c>
      <c r="BC2430">
        <v>0</v>
      </c>
      <c r="BD2430">
        <v>0</v>
      </c>
      <c r="BE2430">
        <v>0</v>
      </c>
    </row>
    <row r="2431" spans="1:57" x14ac:dyDescent="0.45">
      <c r="A2431" t="s">
        <v>5849</v>
      </c>
      <c r="B2431" t="s">
        <v>79</v>
      </c>
      <c r="C2431" t="s">
        <v>2436</v>
      </c>
      <c r="D2431" t="s">
        <v>81</v>
      </c>
      <c r="E2431" s="2" t="str">
        <f>HYPERLINK("capsilon://?command=openfolder&amp;siteaddress=FAM.docvelocity-na8.net&amp;folderid=FX71593F4B-A87C-060F-57F2-226008F2870F","FX21015062")</f>
        <v>FX21015062</v>
      </c>
      <c r="F2431" t="s">
        <v>19</v>
      </c>
      <c r="G2431" t="s">
        <v>19</v>
      </c>
      <c r="H2431" t="s">
        <v>82</v>
      </c>
      <c r="I2431" t="s">
        <v>5850</v>
      </c>
      <c r="J2431">
        <v>66</v>
      </c>
      <c r="K2431" t="s">
        <v>84</v>
      </c>
      <c r="L2431" t="s">
        <v>85</v>
      </c>
      <c r="M2431" t="s">
        <v>86</v>
      </c>
      <c r="N2431">
        <v>3</v>
      </c>
      <c r="O2431" s="1">
        <v>44221.508055555554</v>
      </c>
      <c r="P2431" s="1">
        <v>44221.605023148149</v>
      </c>
      <c r="Q2431">
        <v>7040</v>
      </c>
      <c r="R2431">
        <v>1338</v>
      </c>
      <c r="S2431" t="b">
        <v>0</v>
      </c>
      <c r="T2431" t="s">
        <v>87</v>
      </c>
      <c r="U2431" t="b">
        <v>0</v>
      </c>
      <c r="V2431" t="s">
        <v>343</v>
      </c>
      <c r="W2431" s="1">
        <v>44221.521585648145</v>
      </c>
      <c r="X2431">
        <v>966</v>
      </c>
      <c r="Y2431">
        <v>52</v>
      </c>
      <c r="Z2431">
        <v>0</v>
      </c>
      <c r="AA2431">
        <v>52</v>
      </c>
      <c r="AB2431">
        <v>0</v>
      </c>
      <c r="AC2431">
        <v>35</v>
      </c>
      <c r="AD2431">
        <v>14</v>
      </c>
      <c r="AE2431">
        <v>0</v>
      </c>
      <c r="AF2431">
        <v>0</v>
      </c>
      <c r="AG2431">
        <v>0</v>
      </c>
      <c r="AH2431" t="s">
        <v>128</v>
      </c>
      <c r="AI2431" s="1">
        <v>44221.576562499999</v>
      </c>
      <c r="AJ2431">
        <v>227</v>
      </c>
      <c r="AK2431">
        <v>2</v>
      </c>
      <c r="AL2431">
        <v>0</v>
      </c>
      <c r="AM2431">
        <v>2</v>
      </c>
      <c r="AN2431">
        <v>0</v>
      </c>
      <c r="AO2431">
        <v>2</v>
      </c>
      <c r="AP2431">
        <v>12</v>
      </c>
      <c r="AQ2431">
        <v>0</v>
      </c>
      <c r="AR2431">
        <v>0</v>
      </c>
      <c r="AS2431">
        <v>0</v>
      </c>
      <c r="AT2431" t="s">
        <v>90</v>
      </c>
      <c r="AU2431" s="1">
        <v>44221.605023148149</v>
      </c>
      <c r="AV2431">
        <v>145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12</v>
      </c>
      <c r="BC2431">
        <v>0</v>
      </c>
      <c r="BD2431">
        <v>0</v>
      </c>
      <c r="BE2431">
        <v>0</v>
      </c>
    </row>
    <row r="2432" spans="1:57" hidden="1" x14ac:dyDescent="0.45">
      <c r="A2432" t="s">
        <v>5851</v>
      </c>
      <c r="B2432" t="s">
        <v>79</v>
      </c>
      <c r="C2432" t="s">
        <v>5852</v>
      </c>
      <c r="D2432" t="s">
        <v>81</v>
      </c>
      <c r="E2432" s="2" t="str">
        <f>HYPERLINK("capsilon://?command=openfolder&amp;siteaddress=FAM.docvelocity-na8.net&amp;folderid=FX75ED590B-8B19-0D59-C148-40BE088B7FBD","FX20121580")</f>
        <v>FX20121580</v>
      </c>
      <c r="F2432" t="s">
        <v>19</v>
      </c>
      <c r="G2432" t="s">
        <v>19</v>
      </c>
      <c r="H2432" t="s">
        <v>82</v>
      </c>
      <c r="I2432" t="s">
        <v>5853</v>
      </c>
      <c r="J2432">
        <v>66</v>
      </c>
      <c r="K2432" t="s">
        <v>84</v>
      </c>
      <c r="L2432" t="s">
        <v>85</v>
      </c>
      <c r="M2432" t="s">
        <v>86</v>
      </c>
      <c r="N2432">
        <v>1</v>
      </c>
      <c r="O2432" s="1">
        <v>44221.508657407408</v>
      </c>
      <c r="P2432" s="1">
        <v>44221.514363425929</v>
      </c>
      <c r="Q2432">
        <v>172</v>
      </c>
      <c r="R2432">
        <v>321</v>
      </c>
      <c r="S2432" t="b">
        <v>0</v>
      </c>
      <c r="T2432" t="s">
        <v>87</v>
      </c>
      <c r="U2432" t="b">
        <v>0</v>
      </c>
      <c r="V2432" t="s">
        <v>168</v>
      </c>
      <c r="W2432" s="1">
        <v>44221.514363425929</v>
      </c>
      <c r="X2432">
        <v>321</v>
      </c>
      <c r="Y2432">
        <v>5</v>
      </c>
      <c r="Z2432">
        <v>0</v>
      </c>
      <c r="AA2432">
        <v>5</v>
      </c>
      <c r="AB2432">
        <v>0</v>
      </c>
      <c r="AC2432">
        <v>6</v>
      </c>
      <c r="AD2432">
        <v>61</v>
      </c>
      <c r="AE2432">
        <v>52</v>
      </c>
      <c r="AF2432">
        <v>0</v>
      </c>
      <c r="AG2432">
        <v>1</v>
      </c>
      <c r="AH2432" t="s">
        <v>87</v>
      </c>
      <c r="AI2432" t="s">
        <v>87</v>
      </c>
      <c r="AJ2432" t="s">
        <v>87</v>
      </c>
      <c r="AK2432" t="s">
        <v>87</v>
      </c>
      <c r="AL2432" t="s">
        <v>87</v>
      </c>
      <c r="AM2432" t="s">
        <v>87</v>
      </c>
      <c r="AN2432" t="s">
        <v>87</v>
      </c>
      <c r="AO2432" t="s">
        <v>87</v>
      </c>
      <c r="AP2432" t="s">
        <v>87</v>
      </c>
      <c r="AQ2432" t="s">
        <v>87</v>
      </c>
      <c r="AR2432" t="s">
        <v>87</v>
      </c>
      <c r="AS2432" t="s">
        <v>87</v>
      </c>
      <c r="AT2432" t="s">
        <v>87</v>
      </c>
      <c r="AU2432" t="s">
        <v>87</v>
      </c>
      <c r="AV2432" t="s">
        <v>87</v>
      </c>
      <c r="AW2432" t="s">
        <v>87</v>
      </c>
      <c r="AX2432" t="s">
        <v>87</v>
      </c>
      <c r="AY2432" t="s">
        <v>87</v>
      </c>
      <c r="AZ2432" t="s">
        <v>87</v>
      </c>
      <c r="BA2432" t="s">
        <v>87</v>
      </c>
      <c r="BB2432" t="s">
        <v>87</v>
      </c>
      <c r="BC2432" t="s">
        <v>87</v>
      </c>
      <c r="BD2432" t="s">
        <v>87</v>
      </c>
      <c r="BE2432" t="s">
        <v>87</v>
      </c>
    </row>
    <row r="2433" spans="1:57" x14ac:dyDescent="0.45">
      <c r="A2433" t="s">
        <v>5854</v>
      </c>
      <c r="B2433" t="s">
        <v>79</v>
      </c>
      <c r="C2433" t="s">
        <v>5636</v>
      </c>
      <c r="D2433" t="s">
        <v>81</v>
      </c>
      <c r="E2433" s="2" t="str">
        <f>HYPERLINK("capsilon://?command=openfolder&amp;siteaddress=FAM.docvelocity-na8.net&amp;folderid=FX0602D358-5972-8DE6-5C2C-80830DE0F5D5","FX20123660")</f>
        <v>FX20123660</v>
      </c>
      <c r="F2433" t="s">
        <v>19</v>
      </c>
      <c r="G2433" t="s">
        <v>19</v>
      </c>
      <c r="H2433" t="s">
        <v>82</v>
      </c>
      <c r="I2433" t="s">
        <v>5855</v>
      </c>
      <c r="J2433">
        <v>169</v>
      </c>
      <c r="K2433" t="s">
        <v>84</v>
      </c>
      <c r="L2433" t="s">
        <v>85</v>
      </c>
      <c r="M2433" t="s">
        <v>86</v>
      </c>
      <c r="N2433">
        <v>3</v>
      </c>
      <c r="O2433" s="1">
        <v>44221.510162037041</v>
      </c>
      <c r="P2433" s="1">
        <v>44221.605300925927</v>
      </c>
      <c r="Q2433">
        <v>6835</v>
      </c>
      <c r="R2433">
        <v>1385</v>
      </c>
      <c r="S2433" t="b">
        <v>0</v>
      </c>
      <c r="T2433" t="s">
        <v>87</v>
      </c>
      <c r="U2433" t="b">
        <v>0</v>
      </c>
      <c r="V2433" t="s">
        <v>919</v>
      </c>
      <c r="W2433" s="1">
        <v>44221.524004629631</v>
      </c>
      <c r="X2433">
        <v>1081</v>
      </c>
      <c r="Y2433">
        <v>119</v>
      </c>
      <c r="Z2433">
        <v>0</v>
      </c>
      <c r="AA2433">
        <v>119</v>
      </c>
      <c r="AB2433">
        <v>0</v>
      </c>
      <c r="AC2433">
        <v>29</v>
      </c>
      <c r="AD2433">
        <v>50</v>
      </c>
      <c r="AE2433">
        <v>0</v>
      </c>
      <c r="AF2433">
        <v>0</v>
      </c>
      <c r="AG2433">
        <v>0</v>
      </c>
      <c r="AH2433" t="s">
        <v>128</v>
      </c>
      <c r="AI2433" s="1">
        <v>44221.579826388886</v>
      </c>
      <c r="AJ2433">
        <v>281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50</v>
      </c>
      <c r="AQ2433">
        <v>0</v>
      </c>
      <c r="AR2433">
        <v>0</v>
      </c>
      <c r="AS2433">
        <v>0</v>
      </c>
      <c r="AT2433" t="s">
        <v>90</v>
      </c>
      <c r="AU2433" s="1">
        <v>44221.605300925927</v>
      </c>
      <c r="AV2433">
        <v>23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50</v>
      </c>
      <c r="BC2433">
        <v>0</v>
      </c>
      <c r="BD2433">
        <v>0</v>
      </c>
      <c r="BE2433">
        <v>0</v>
      </c>
    </row>
    <row r="2434" spans="1:57" hidden="1" x14ac:dyDescent="0.45">
      <c r="A2434" t="s">
        <v>5856</v>
      </c>
      <c r="B2434" t="s">
        <v>79</v>
      </c>
      <c r="C2434" t="s">
        <v>1182</v>
      </c>
      <c r="D2434" t="s">
        <v>81</v>
      </c>
      <c r="E2434" s="2" t="str">
        <f>HYPERLINK("capsilon://?command=openfolder&amp;siteaddress=FAM.docvelocity-na8.net&amp;folderid=FX78729419-D15C-44C3-F26D-44F0BF5DE1D7","FX20115191")</f>
        <v>FX20115191</v>
      </c>
      <c r="F2434" t="s">
        <v>19</v>
      </c>
      <c r="G2434" t="s">
        <v>19</v>
      </c>
      <c r="H2434" t="s">
        <v>82</v>
      </c>
      <c r="I2434" t="s">
        <v>5857</v>
      </c>
      <c r="J2434">
        <v>66</v>
      </c>
      <c r="K2434" t="s">
        <v>84</v>
      </c>
      <c r="L2434" t="s">
        <v>85</v>
      </c>
      <c r="M2434" t="s">
        <v>86</v>
      </c>
      <c r="N2434">
        <v>1</v>
      </c>
      <c r="O2434" s="1">
        <v>44221.51289351852</v>
      </c>
      <c r="P2434" s="1">
        <v>44221.515057870369</v>
      </c>
      <c r="Q2434">
        <v>127</v>
      </c>
      <c r="R2434">
        <v>60</v>
      </c>
      <c r="S2434" t="b">
        <v>0</v>
      </c>
      <c r="T2434" t="s">
        <v>87</v>
      </c>
      <c r="U2434" t="b">
        <v>0</v>
      </c>
      <c r="V2434" t="s">
        <v>168</v>
      </c>
      <c r="W2434" s="1">
        <v>44221.515057870369</v>
      </c>
      <c r="X2434">
        <v>40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66</v>
      </c>
      <c r="AE2434">
        <v>52</v>
      </c>
      <c r="AF2434">
        <v>0</v>
      </c>
      <c r="AG2434">
        <v>1</v>
      </c>
      <c r="AH2434" t="s">
        <v>87</v>
      </c>
      <c r="AI2434" t="s">
        <v>87</v>
      </c>
      <c r="AJ2434" t="s">
        <v>87</v>
      </c>
      <c r="AK2434" t="s">
        <v>87</v>
      </c>
      <c r="AL2434" t="s">
        <v>87</v>
      </c>
      <c r="AM2434" t="s">
        <v>87</v>
      </c>
      <c r="AN2434" t="s">
        <v>87</v>
      </c>
      <c r="AO2434" t="s">
        <v>87</v>
      </c>
      <c r="AP2434" t="s">
        <v>87</v>
      </c>
      <c r="AQ2434" t="s">
        <v>87</v>
      </c>
      <c r="AR2434" t="s">
        <v>87</v>
      </c>
      <c r="AS2434" t="s">
        <v>87</v>
      </c>
      <c r="AT2434" t="s">
        <v>87</v>
      </c>
      <c r="AU2434" t="s">
        <v>87</v>
      </c>
      <c r="AV2434" t="s">
        <v>87</v>
      </c>
      <c r="AW2434" t="s">
        <v>87</v>
      </c>
      <c r="AX2434" t="s">
        <v>87</v>
      </c>
      <c r="AY2434" t="s">
        <v>87</v>
      </c>
      <c r="AZ2434" t="s">
        <v>87</v>
      </c>
      <c r="BA2434" t="s">
        <v>87</v>
      </c>
      <c r="BB2434" t="s">
        <v>87</v>
      </c>
      <c r="BC2434" t="s">
        <v>87</v>
      </c>
      <c r="BD2434" t="s">
        <v>87</v>
      </c>
      <c r="BE2434" t="s">
        <v>87</v>
      </c>
    </row>
    <row r="2435" spans="1:57" hidden="1" x14ac:dyDescent="0.45">
      <c r="A2435" t="s">
        <v>5858</v>
      </c>
      <c r="B2435" t="s">
        <v>79</v>
      </c>
      <c r="C2435" t="s">
        <v>2914</v>
      </c>
      <c r="D2435" t="s">
        <v>81</v>
      </c>
      <c r="E2435" s="2" t="str">
        <f>HYPERLINK("capsilon://?command=openfolder&amp;siteaddress=FAM.docvelocity-na8.net&amp;folderid=FX4AFA1650-2937-1A09-3489-321C8363AB76","FX2012775")</f>
        <v>FX2012775</v>
      </c>
      <c r="F2435" t="s">
        <v>19</v>
      </c>
      <c r="G2435" t="s">
        <v>19</v>
      </c>
      <c r="H2435" t="s">
        <v>82</v>
      </c>
      <c r="I2435" t="s">
        <v>5859</v>
      </c>
      <c r="J2435">
        <v>66</v>
      </c>
      <c r="K2435" t="s">
        <v>84</v>
      </c>
      <c r="L2435" t="s">
        <v>85</v>
      </c>
      <c r="M2435" t="s">
        <v>86</v>
      </c>
      <c r="N2435">
        <v>3</v>
      </c>
      <c r="O2435" s="1">
        <v>44221.513333333336</v>
      </c>
      <c r="P2435" s="1">
        <v>44221.605347222219</v>
      </c>
      <c r="Q2435">
        <v>7839</v>
      </c>
      <c r="R2435">
        <v>111</v>
      </c>
      <c r="S2435" t="b">
        <v>0</v>
      </c>
      <c r="T2435" t="s">
        <v>87</v>
      </c>
      <c r="U2435" t="b">
        <v>0</v>
      </c>
      <c r="V2435" t="s">
        <v>160</v>
      </c>
      <c r="W2435" s="1">
        <v>44221.527106481481</v>
      </c>
      <c r="X2435">
        <v>60</v>
      </c>
      <c r="Y2435">
        <v>0</v>
      </c>
      <c r="Z2435">
        <v>0</v>
      </c>
      <c r="AA2435">
        <v>0</v>
      </c>
      <c r="AB2435">
        <v>52</v>
      </c>
      <c r="AC2435">
        <v>0</v>
      </c>
      <c r="AD2435">
        <v>66</v>
      </c>
      <c r="AE2435">
        <v>0</v>
      </c>
      <c r="AF2435">
        <v>0</v>
      </c>
      <c r="AG2435">
        <v>0</v>
      </c>
      <c r="AH2435" t="s">
        <v>132</v>
      </c>
      <c r="AI2435" s="1">
        <v>44221.577557870369</v>
      </c>
      <c r="AJ2435">
        <v>23</v>
      </c>
      <c r="AK2435">
        <v>0</v>
      </c>
      <c r="AL2435">
        <v>0</v>
      </c>
      <c r="AM2435">
        <v>0</v>
      </c>
      <c r="AN2435">
        <v>52</v>
      </c>
      <c r="AO2435">
        <v>0</v>
      </c>
      <c r="AP2435">
        <v>66</v>
      </c>
      <c r="AQ2435">
        <v>0</v>
      </c>
      <c r="AR2435">
        <v>0</v>
      </c>
      <c r="AS2435">
        <v>0</v>
      </c>
      <c r="AT2435" t="s">
        <v>90</v>
      </c>
      <c r="AU2435" s="1">
        <v>44221.605347222219</v>
      </c>
      <c r="AV2435">
        <v>3</v>
      </c>
      <c r="AW2435">
        <v>0</v>
      </c>
      <c r="AX2435">
        <v>0</v>
      </c>
      <c r="AY2435">
        <v>0</v>
      </c>
      <c r="AZ2435">
        <v>52</v>
      </c>
      <c r="BA2435">
        <v>0</v>
      </c>
      <c r="BB2435">
        <v>66</v>
      </c>
      <c r="BC2435">
        <v>0</v>
      </c>
      <c r="BD2435">
        <v>0</v>
      </c>
      <c r="BE2435">
        <v>0</v>
      </c>
    </row>
    <row r="2436" spans="1:57" x14ac:dyDescent="0.45">
      <c r="A2436" t="s">
        <v>5860</v>
      </c>
      <c r="B2436" t="s">
        <v>79</v>
      </c>
      <c r="C2436" t="s">
        <v>5852</v>
      </c>
      <c r="D2436" t="s">
        <v>81</v>
      </c>
      <c r="E2436" s="2" t="str">
        <f>HYPERLINK("capsilon://?command=openfolder&amp;siteaddress=FAM.docvelocity-na8.net&amp;folderid=FX75ED590B-8B19-0D59-C148-40BE088B7FBD","FX20121580")</f>
        <v>FX20121580</v>
      </c>
      <c r="F2436" t="s">
        <v>19</v>
      </c>
      <c r="G2436" t="s">
        <v>19</v>
      </c>
      <c r="H2436" t="s">
        <v>82</v>
      </c>
      <c r="I2436" t="s">
        <v>5853</v>
      </c>
      <c r="J2436">
        <v>38</v>
      </c>
      <c r="K2436" t="s">
        <v>84</v>
      </c>
      <c r="L2436" t="s">
        <v>85</v>
      </c>
      <c r="M2436" t="s">
        <v>86</v>
      </c>
      <c r="N2436">
        <v>3</v>
      </c>
      <c r="O2436" s="1">
        <v>44221.514652777776</v>
      </c>
      <c r="P2436" s="1">
        <v>44221.539537037039</v>
      </c>
      <c r="Q2436">
        <v>369</v>
      </c>
      <c r="R2436">
        <v>1781</v>
      </c>
      <c r="S2436" t="b">
        <v>0</v>
      </c>
      <c r="T2436" t="s">
        <v>87</v>
      </c>
      <c r="U2436" t="b">
        <v>1</v>
      </c>
      <c r="V2436" t="s">
        <v>168</v>
      </c>
      <c r="W2436" s="1">
        <v>44221.534317129626</v>
      </c>
      <c r="X2436">
        <v>1663</v>
      </c>
      <c r="Y2436">
        <v>37</v>
      </c>
      <c r="Z2436">
        <v>0</v>
      </c>
      <c r="AA2436">
        <v>37</v>
      </c>
      <c r="AB2436">
        <v>0</v>
      </c>
      <c r="AC2436">
        <v>35</v>
      </c>
      <c r="AD2436">
        <v>1</v>
      </c>
      <c r="AE2436">
        <v>0</v>
      </c>
      <c r="AF2436">
        <v>0</v>
      </c>
      <c r="AG2436">
        <v>0</v>
      </c>
      <c r="AH2436" t="s">
        <v>132</v>
      </c>
      <c r="AI2436" s="1">
        <v>44221.537523148145</v>
      </c>
      <c r="AJ2436">
        <v>112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 t="s">
        <v>90</v>
      </c>
      <c r="AU2436" s="1">
        <v>44221.539537037039</v>
      </c>
      <c r="AV2436">
        <v>6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1</v>
      </c>
      <c r="BC2436">
        <v>0</v>
      </c>
      <c r="BD2436">
        <v>0</v>
      </c>
      <c r="BE2436">
        <v>0</v>
      </c>
    </row>
    <row r="2437" spans="1:57" x14ac:dyDescent="0.45">
      <c r="A2437" t="s">
        <v>5861</v>
      </c>
      <c r="B2437" t="s">
        <v>79</v>
      </c>
      <c r="C2437" t="s">
        <v>1182</v>
      </c>
      <c r="D2437" t="s">
        <v>81</v>
      </c>
      <c r="E2437" s="2" t="str">
        <f>HYPERLINK("capsilon://?command=openfolder&amp;siteaddress=FAM.docvelocity-na8.net&amp;folderid=FX78729419-D15C-44C3-F26D-44F0BF5DE1D7","FX20115191")</f>
        <v>FX20115191</v>
      </c>
      <c r="F2437" t="s">
        <v>19</v>
      </c>
      <c r="G2437" t="s">
        <v>19</v>
      </c>
      <c r="H2437" t="s">
        <v>82</v>
      </c>
      <c r="I2437" t="s">
        <v>5857</v>
      </c>
      <c r="J2437">
        <v>38</v>
      </c>
      <c r="K2437" t="s">
        <v>84</v>
      </c>
      <c r="L2437" t="s">
        <v>85</v>
      </c>
      <c r="M2437" t="s">
        <v>86</v>
      </c>
      <c r="N2437">
        <v>3</v>
      </c>
      <c r="O2437" s="1">
        <v>44221.515347222223</v>
      </c>
      <c r="P2437" s="1">
        <v>44221.539606481485</v>
      </c>
      <c r="Q2437">
        <v>1295</v>
      </c>
      <c r="R2437">
        <v>801</v>
      </c>
      <c r="S2437" t="b">
        <v>0</v>
      </c>
      <c r="T2437" t="s">
        <v>87</v>
      </c>
      <c r="U2437" t="b">
        <v>1</v>
      </c>
      <c r="V2437" t="s">
        <v>343</v>
      </c>
      <c r="W2437" s="1">
        <v>44221.528680555559</v>
      </c>
      <c r="X2437">
        <v>612</v>
      </c>
      <c r="Y2437">
        <v>37</v>
      </c>
      <c r="Z2437">
        <v>0</v>
      </c>
      <c r="AA2437">
        <v>37</v>
      </c>
      <c r="AB2437">
        <v>0</v>
      </c>
      <c r="AC2437">
        <v>29</v>
      </c>
      <c r="AD2437">
        <v>1</v>
      </c>
      <c r="AE2437">
        <v>0</v>
      </c>
      <c r="AF2437">
        <v>0</v>
      </c>
      <c r="AG2437">
        <v>0</v>
      </c>
      <c r="AH2437" t="s">
        <v>128</v>
      </c>
      <c r="AI2437" s="1">
        <v>44221.538437499999</v>
      </c>
      <c r="AJ2437">
        <v>184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 t="s">
        <v>90</v>
      </c>
      <c r="AU2437" s="1">
        <v>44221.539606481485</v>
      </c>
      <c r="AV2437">
        <v>5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</row>
    <row r="2438" spans="1:57" x14ac:dyDescent="0.45">
      <c r="A2438" t="s">
        <v>5862</v>
      </c>
      <c r="B2438" t="s">
        <v>79</v>
      </c>
      <c r="C2438" t="s">
        <v>291</v>
      </c>
      <c r="D2438" t="s">
        <v>81</v>
      </c>
      <c r="E2438" s="2" t="str">
        <f>HYPERLINK("capsilon://?command=openfolder&amp;siteaddress=FAM.docvelocity-na8.net&amp;folderid=FX70828DD1-7C8A-408D-824A-3E564181271A","FX20128019")</f>
        <v>FX20128019</v>
      </c>
      <c r="F2438" t="s">
        <v>19</v>
      </c>
      <c r="G2438" t="s">
        <v>19</v>
      </c>
      <c r="H2438" t="s">
        <v>82</v>
      </c>
      <c r="I2438" t="s">
        <v>5863</v>
      </c>
      <c r="J2438">
        <v>63</v>
      </c>
      <c r="K2438" t="s">
        <v>84</v>
      </c>
      <c r="L2438" t="s">
        <v>85</v>
      </c>
      <c r="M2438" t="s">
        <v>86</v>
      </c>
      <c r="N2438">
        <v>3</v>
      </c>
      <c r="O2438" s="1">
        <v>44221.520162037035</v>
      </c>
      <c r="P2438" s="1">
        <v>44221.605532407404</v>
      </c>
      <c r="Q2438">
        <v>6414</v>
      </c>
      <c r="R2438">
        <v>962</v>
      </c>
      <c r="S2438" t="b">
        <v>0</v>
      </c>
      <c r="T2438" t="s">
        <v>87</v>
      </c>
      <c r="U2438" t="b">
        <v>0</v>
      </c>
      <c r="V2438" t="s">
        <v>160</v>
      </c>
      <c r="W2438" s="1">
        <v>44221.53634259259</v>
      </c>
      <c r="X2438">
        <v>797</v>
      </c>
      <c r="Y2438">
        <v>59</v>
      </c>
      <c r="Z2438">
        <v>0</v>
      </c>
      <c r="AA2438">
        <v>59</v>
      </c>
      <c r="AB2438">
        <v>0</v>
      </c>
      <c r="AC2438">
        <v>57</v>
      </c>
      <c r="AD2438">
        <v>4</v>
      </c>
      <c r="AE2438">
        <v>0</v>
      </c>
      <c r="AF2438">
        <v>0</v>
      </c>
      <c r="AG2438">
        <v>0</v>
      </c>
      <c r="AH2438" t="s">
        <v>132</v>
      </c>
      <c r="AI2438" s="1">
        <v>44221.579293981478</v>
      </c>
      <c r="AJ2438">
        <v>149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4</v>
      </c>
      <c r="AQ2438">
        <v>0</v>
      </c>
      <c r="AR2438">
        <v>0</v>
      </c>
      <c r="AS2438">
        <v>0</v>
      </c>
      <c r="AT2438" t="s">
        <v>90</v>
      </c>
      <c r="AU2438" s="1">
        <v>44221.605532407404</v>
      </c>
      <c r="AV2438">
        <v>16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4</v>
      </c>
      <c r="BC2438">
        <v>0</v>
      </c>
      <c r="BD2438">
        <v>0</v>
      </c>
      <c r="BE2438">
        <v>0</v>
      </c>
    </row>
    <row r="2439" spans="1:57" hidden="1" x14ac:dyDescent="0.45">
      <c r="A2439" t="s">
        <v>5864</v>
      </c>
      <c r="B2439" t="s">
        <v>79</v>
      </c>
      <c r="C2439" t="s">
        <v>1568</v>
      </c>
      <c r="D2439" t="s">
        <v>81</v>
      </c>
      <c r="E2439" s="2" t="str">
        <f>HYPERLINK("capsilon://?command=openfolder&amp;siteaddress=FAM.docvelocity-na8.net&amp;folderid=FX4F2B6D11-203B-D3A1-D97C-FD0657F85A4A","FX20118563")</f>
        <v>FX20118563</v>
      </c>
      <c r="F2439" t="s">
        <v>19</v>
      </c>
      <c r="G2439" t="s">
        <v>19</v>
      </c>
      <c r="H2439" t="s">
        <v>82</v>
      </c>
      <c r="I2439" t="s">
        <v>5865</v>
      </c>
      <c r="J2439">
        <v>66</v>
      </c>
      <c r="K2439" t="s">
        <v>84</v>
      </c>
      <c r="L2439" t="s">
        <v>85</v>
      </c>
      <c r="M2439" t="s">
        <v>86</v>
      </c>
      <c r="N2439">
        <v>3</v>
      </c>
      <c r="O2439" s="1">
        <v>44221.520844907405</v>
      </c>
      <c r="P2439" s="1">
        <v>44221.605567129627</v>
      </c>
      <c r="Q2439">
        <v>7217</v>
      </c>
      <c r="R2439">
        <v>103</v>
      </c>
      <c r="S2439" t="b">
        <v>0</v>
      </c>
      <c r="T2439" t="s">
        <v>87</v>
      </c>
      <c r="U2439" t="b">
        <v>0</v>
      </c>
      <c r="V2439" t="s">
        <v>255</v>
      </c>
      <c r="W2439" s="1">
        <v>44221.528275462966</v>
      </c>
      <c r="X2439">
        <v>76</v>
      </c>
      <c r="Y2439">
        <v>0</v>
      </c>
      <c r="Z2439">
        <v>0</v>
      </c>
      <c r="AA2439">
        <v>0</v>
      </c>
      <c r="AB2439">
        <v>52</v>
      </c>
      <c r="AC2439">
        <v>0</v>
      </c>
      <c r="AD2439">
        <v>66</v>
      </c>
      <c r="AE2439">
        <v>0</v>
      </c>
      <c r="AF2439">
        <v>0</v>
      </c>
      <c r="AG2439">
        <v>0</v>
      </c>
      <c r="AH2439" t="s">
        <v>132</v>
      </c>
      <c r="AI2439" s="1">
        <v>44221.579583333332</v>
      </c>
      <c r="AJ2439">
        <v>24</v>
      </c>
      <c r="AK2439">
        <v>0</v>
      </c>
      <c r="AL2439">
        <v>0</v>
      </c>
      <c r="AM2439">
        <v>0</v>
      </c>
      <c r="AN2439">
        <v>52</v>
      </c>
      <c r="AO2439">
        <v>0</v>
      </c>
      <c r="AP2439">
        <v>66</v>
      </c>
      <c r="AQ2439">
        <v>0</v>
      </c>
      <c r="AR2439">
        <v>0</v>
      </c>
      <c r="AS2439">
        <v>0</v>
      </c>
      <c r="AT2439" t="s">
        <v>90</v>
      </c>
      <c r="AU2439" s="1">
        <v>44221.605567129627</v>
      </c>
      <c r="AV2439">
        <v>3</v>
      </c>
      <c r="AW2439">
        <v>0</v>
      </c>
      <c r="AX2439">
        <v>0</v>
      </c>
      <c r="AY2439">
        <v>0</v>
      </c>
      <c r="AZ2439">
        <v>52</v>
      </c>
      <c r="BA2439">
        <v>0</v>
      </c>
      <c r="BB2439">
        <v>66</v>
      </c>
      <c r="BC2439">
        <v>0</v>
      </c>
      <c r="BD2439">
        <v>0</v>
      </c>
      <c r="BE2439">
        <v>0</v>
      </c>
    </row>
    <row r="2440" spans="1:57" hidden="1" x14ac:dyDescent="0.45">
      <c r="A2440" t="s">
        <v>5866</v>
      </c>
      <c r="B2440" t="s">
        <v>79</v>
      </c>
      <c r="C2440" t="s">
        <v>3364</v>
      </c>
      <c r="D2440" t="s">
        <v>81</v>
      </c>
      <c r="E2440" s="2" t="str">
        <f>HYPERLINK("capsilon://?command=openfolder&amp;siteaddress=FAM.docvelocity-na8.net&amp;folderid=FXCB50852C-CFC1-0FCE-3740-2BF26F45E418","FX20122163")</f>
        <v>FX20122163</v>
      </c>
      <c r="F2440" t="s">
        <v>19</v>
      </c>
      <c r="G2440" t="s">
        <v>19</v>
      </c>
      <c r="H2440" t="s">
        <v>82</v>
      </c>
      <c r="I2440" t="s">
        <v>5867</v>
      </c>
      <c r="J2440">
        <v>66</v>
      </c>
      <c r="K2440" t="s">
        <v>84</v>
      </c>
      <c r="L2440" t="s">
        <v>85</v>
      </c>
      <c r="M2440" t="s">
        <v>86</v>
      </c>
      <c r="N2440">
        <v>1</v>
      </c>
      <c r="O2440" s="1">
        <v>44221.521134259259</v>
      </c>
      <c r="P2440" s="1">
        <v>44221.529050925928</v>
      </c>
      <c r="Q2440">
        <v>618</v>
      </c>
      <c r="R2440">
        <v>66</v>
      </c>
      <c r="S2440" t="b">
        <v>0</v>
      </c>
      <c r="T2440" t="s">
        <v>87</v>
      </c>
      <c r="U2440" t="b">
        <v>0</v>
      </c>
      <c r="V2440" t="s">
        <v>255</v>
      </c>
      <c r="W2440" s="1">
        <v>44221.529050925928</v>
      </c>
      <c r="X2440">
        <v>66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66</v>
      </c>
      <c r="AE2440">
        <v>52</v>
      </c>
      <c r="AF2440">
        <v>0</v>
      </c>
      <c r="AG2440">
        <v>1</v>
      </c>
      <c r="AH2440" t="s">
        <v>87</v>
      </c>
      <c r="AI2440" t="s">
        <v>87</v>
      </c>
      <c r="AJ2440" t="s">
        <v>87</v>
      </c>
      <c r="AK2440" t="s">
        <v>87</v>
      </c>
      <c r="AL2440" t="s">
        <v>87</v>
      </c>
      <c r="AM2440" t="s">
        <v>87</v>
      </c>
      <c r="AN2440" t="s">
        <v>87</v>
      </c>
      <c r="AO2440" t="s">
        <v>87</v>
      </c>
      <c r="AP2440" t="s">
        <v>87</v>
      </c>
      <c r="AQ2440" t="s">
        <v>87</v>
      </c>
      <c r="AR2440" t="s">
        <v>87</v>
      </c>
      <c r="AS2440" t="s">
        <v>87</v>
      </c>
      <c r="AT2440" t="s">
        <v>87</v>
      </c>
      <c r="AU2440" t="s">
        <v>87</v>
      </c>
      <c r="AV2440" t="s">
        <v>87</v>
      </c>
      <c r="AW2440" t="s">
        <v>87</v>
      </c>
      <c r="AX2440" t="s">
        <v>87</v>
      </c>
      <c r="AY2440" t="s">
        <v>87</v>
      </c>
      <c r="AZ2440" t="s">
        <v>87</v>
      </c>
      <c r="BA2440" t="s">
        <v>87</v>
      </c>
      <c r="BB2440" t="s">
        <v>87</v>
      </c>
      <c r="BC2440" t="s">
        <v>87</v>
      </c>
      <c r="BD2440" t="s">
        <v>87</v>
      </c>
      <c r="BE2440" t="s">
        <v>87</v>
      </c>
    </row>
    <row r="2441" spans="1:57" hidden="1" x14ac:dyDescent="0.45">
      <c r="A2441" t="s">
        <v>5868</v>
      </c>
      <c r="B2441" t="s">
        <v>79</v>
      </c>
      <c r="C2441" t="s">
        <v>3168</v>
      </c>
      <c r="D2441" t="s">
        <v>81</v>
      </c>
      <c r="E2441" s="2" t="str">
        <f>HYPERLINK("capsilon://?command=openfolder&amp;siteaddress=FAM.docvelocity-na8.net&amp;folderid=FXF2BDA973-B566-B8D7-0678-A512746E8407","FX20126102")</f>
        <v>FX20126102</v>
      </c>
      <c r="F2441" t="s">
        <v>19</v>
      </c>
      <c r="G2441" t="s">
        <v>19</v>
      </c>
      <c r="H2441" t="s">
        <v>82</v>
      </c>
      <c r="I2441" t="s">
        <v>5869</v>
      </c>
      <c r="J2441">
        <v>66</v>
      </c>
      <c r="K2441" t="s">
        <v>84</v>
      </c>
      <c r="L2441" t="s">
        <v>85</v>
      </c>
      <c r="M2441" t="s">
        <v>86</v>
      </c>
      <c r="N2441">
        <v>3</v>
      </c>
      <c r="O2441" s="1">
        <v>44221.523506944446</v>
      </c>
      <c r="P2441" s="1">
        <v>44221.60560185185</v>
      </c>
      <c r="Q2441">
        <v>6846</v>
      </c>
      <c r="R2441">
        <v>247</v>
      </c>
      <c r="S2441" t="b">
        <v>0</v>
      </c>
      <c r="T2441" t="s">
        <v>87</v>
      </c>
      <c r="U2441" t="b">
        <v>0</v>
      </c>
      <c r="V2441" t="s">
        <v>242</v>
      </c>
      <c r="W2441" s="1">
        <v>44221.530173611114</v>
      </c>
      <c r="X2441">
        <v>155</v>
      </c>
      <c r="Y2441">
        <v>0</v>
      </c>
      <c r="Z2441">
        <v>0</v>
      </c>
      <c r="AA2441">
        <v>0</v>
      </c>
      <c r="AB2441">
        <v>52</v>
      </c>
      <c r="AC2441">
        <v>0</v>
      </c>
      <c r="AD2441">
        <v>66</v>
      </c>
      <c r="AE2441">
        <v>0</v>
      </c>
      <c r="AF2441">
        <v>0</v>
      </c>
      <c r="AG2441">
        <v>0</v>
      </c>
      <c r="AH2441" t="s">
        <v>132</v>
      </c>
      <c r="AI2441" s="1">
        <v>44221.580613425926</v>
      </c>
      <c r="AJ2441">
        <v>89</v>
      </c>
      <c r="AK2441">
        <v>0</v>
      </c>
      <c r="AL2441">
        <v>0</v>
      </c>
      <c r="AM2441">
        <v>0</v>
      </c>
      <c r="AN2441">
        <v>52</v>
      </c>
      <c r="AO2441">
        <v>0</v>
      </c>
      <c r="AP2441">
        <v>66</v>
      </c>
      <c r="AQ2441">
        <v>0</v>
      </c>
      <c r="AR2441">
        <v>0</v>
      </c>
      <c r="AS2441">
        <v>0</v>
      </c>
      <c r="AT2441" t="s">
        <v>90</v>
      </c>
      <c r="AU2441" s="1">
        <v>44221.60560185185</v>
      </c>
      <c r="AV2441">
        <v>3</v>
      </c>
      <c r="AW2441">
        <v>0</v>
      </c>
      <c r="AX2441">
        <v>0</v>
      </c>
      <c r="AY2441">
        <v>0</v>
      </c>
      <c r="AZ2441">
        <v>52</v>
      </c>
      <c r="BA2441">
        <v>0</v>
      </c>
      <c r="BB2441">
        <v>66</v>
      </c>
      <c r="BC2441">
        <v>0</v>
      </c>
      <c r="BD2441">
        <v>0</v>
      </c>
      <c r="BE2441">
        <v>0</v>
      </c>
    </row>
    <row r="2442" spans="1:57" hidden="1" x14ac:dyDescent="0.45">
      <c r="A2442" t="s">
        <v>5870</v>
      </c>
      <c r="B2442" t="s">
        <v>79</v>
      </c>
      <c r="C2442" t="s">
        <v>830</v>
      </c>
      <c r="D2442" t="s">
        <v>81</v>
      </c>
      <c r="E2442" s="2" t="str">
        <f>HYPERLINK("capsilon://?command=openfolder&amp;siteaddress=FAM.docvelocity-na8.net&amp;folderid=FXFC9E5EE0-2D9E-274E-E063-48F803C7C86E","FX20123744")</f>
        <v>FX20123744</v>
      </c>
      <c r="F2442" t="s">
        <v>19</v>
      </c>
      <c r="G2442" t="s">
        <v>19</v>
      </c>
      <c r="H2442" t="s">
        <v>82</v>
      </c>
      <c r="I2442" t="s">
        <v>5871</v>
      </c>
      <c r="J2442">
        <v>66</v>
      </c>
      <c r="K2442" t="s">
        <v>84</v>
      </c>
      <c r="L2442" t="s">
        <v>85</v>
      </c>
      <c r="M2442" t="s">
        <v>86</v>
      </c>
      <c r="N2442">
        <v>3</v>
      </c>
      <c r="O2442" s="1">
        <v>44221.525995370372</v>
      </c>
      <c r="P2442" s="1">
        <v>44221.605636574073</v>
      </c>
      <c r="Q2442">
        <v>6733</v>
      </c>
      <c r="R2442">
        <v>148</v>
      </c>
      <c r="S2442" t="b">
        <v>0</v>
      </c>
      <c r="T2442" t="s">
        <v>87</v>
      </c>
      <c r="U2442" t="b">
        <v>0</v>
      </c>
      <c r="V2442" t="s">
        <v>343</v>
      </c>
      <c r="W2442" s="1">
        <v>44221.53025462963</v>
      </c>
      <c r="X2442">
        <v>135</v>
      </c>
      <c r="Y2442">
        <v>0</v>
      </c>
      <c r="Z2442">
        <v>0</v>
      </c>
      <c r="AA2442">
        <v>0</v>
      </c>
      <c r="AB2442">
        <v>52</v>
      </c>
      <c r="AC2442">
        <v>0</v>
      </c>
      <c r="AD2442">
        <v>66</v>
      </c>
      <c r="AE2442">
        <v>0</v>
      </c>
      <c r="AF2442">
        <v>0</v>
      </c>
      <c r="AG2442">
        <v>0</v>
      </c>
      <c r="AH2442" t="s">
        <v>128</v>
      </c>
      <c r="AI2442" s="1">
        <v>44221.579965277779</v>
      </c>
      <c r="AJ2442">
        <v>11</v>
      </c>
      <c r="AK2442">
        <v>0</v>
      </c>
      <c r="AL2442">
        <v>0</v>
      </c>
      <c r="AM2442">
        <v>0</v>
      </c>
      <c r="AN2442">
        <v>52</v>
      </c>
      <c r="AO2442">
        <v>0</v>
      </c>
      <c r="AP2442">
        <v>66</v>
      </c>
      <c r="AQ2442">
        <v>0</v>
      </c>
      <c r="AR2442">
        <v>0</v>
      </c>
      <c r="AS2442">
        <v>0</v>
      </c>
      <c r="AT2442" t="s">
        <v>90</v>
      </c>
      <c r="AU2442" s="1">
        <v>44221.605636574073</v>
      </c>
      <c r="AV2442">
        <v>2</v>
      </c>
      <c r="AW2442">
        <v>0</v>
      </c>
      <c r="AX2442">
        <v>0</v>
      </c>
      <c r="AY2442">
        <v>0</v>
      </c>
      <c r="AZ2442">
        <v>52</v>
      </c>
      <c r="BA2442">
        <v>0</v>
      </c>
      <c r="BB2442">
        <v>66</v>
      </c>
      <c r="BC2442">
        <v>0</v>
      </c>
      <c r="BD2442">
        <v>0</v>
      </c>
      <c r="BE2442">
        <v>0</v>
      </c>
    </row>
    <row r="2443" spans="1:57" x14ac:dyDescent="0.45">
      <c r="A2443" t="s">
        <v>5872</v>
      </c>
      <c r="B2443" t="s">
        <v>79</v>
      </c>
      <c r="C2443" t="s">
        <v>3720</v>
      </c>
      <c r="D2443" t="s">
        <v>81</v>
      </c>
      <c r="E2443" s="2" t="str">
        <f>HYPERLINK("capsilon://?command=openfolder&amp;siteaddress=FAM.docvelocity-na8.net&amp;folderid=FX626125A0-95C7-9364-E90F-A86A00A4B080","FX20126963")</f>
        <v>FX20126963</v>
      </c>
      <c r="F2443" t="s">
        <v>19</v>
      </c>
      <c r="G2443" t="s">
        <v>19</v>
      </c>
      <c r="H2443" t="s">
        <v>82</v>
      </c>
      <c r="I2443" t="s">
        <v>5873</v>
      </c>
      <c r="J2443">
        <v>76</v>
      </c>
      <c r="K2443" t="s">
        <v>84</v>
      </c>
      <c r="L2443" t="s">
        <v>85</v>
      </c>
      <c r="M2443" t="s">
        <v>86</v>
      </c>
      <c r="N2443">
        <v>3</v>
      </c>
      <c r="O2443" s="1">
        <v>44201.573958333334</v>
      </c>
      <c r="P2443" s="1">
        <v>44201.602743055555</v>
      </c>
      <c r="Q2443">
        <v>837</v>
      </c>
      <c r="R2443">
        <v>1650</v>
      </c>
      <c r="S2443" t="b">
        <v>0</v>
      </c>
      <c r="T2443" t="s">
        <v>87</v>
      </c>
      <c r="U2443" t="b">
        <v>0</v>
      </c>
      <c r="V2443" t="s">
        <v>168</v>
      </c>
      <c r="W2443" s="1">
        <v>44201.591921296298</v>
      </c>
      <c r="X2443">
        <v>1526</v>
      </c>
      <c r="Y2443">
        <v>74</v>
      </c>
      <c r="Z2443">
        <v>0</v>
      </c>
      <c r="AA2443">
        <v>74</v>
      </c>
      <c r="AB2443">
        <v>0</v>
      </c>
      <c r="AC2443">
        <v>69</v>
      </c>
      <c r="AD2443">
        <v>2</v>
      </c>
      <c r="AE2443">
        <v>0</v>
      </c>
      <c r="AF2443">
        <v>0</v>
      </c>
      <c r="AG2443">
        <v>0</v>
      </c>
      <c r="AH2443" t="s">
        <v>267</v>
      </c>
      <c r="AI2443" s="1">
        <v>44201.597592592596</v>
      </c>
      <c r="AJ2443">
        <v>118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2</v>
      </c>
      <c r="AQ2443">
        <v>0</v>
      </c>
      <c r="AR2443">
        <v>0</v>
      </c>
      <c r="AS2443">
        <v>0</v>
      </c>
      <c r="AT2443" t="s">
        <v>90</v>
      </c>
      <c r="AU2443" s="1">
        <v>44201.602743055555</v>
      </c>
      <c r="AV2443">
        <v>6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2</v>
      </c>
      <c r="BC2443">
        <v>0</v>
      </c>
      <c r="BD2443">
        <v>0</v>
      </c>
      <c r="BE2443">
        <v>0</v>
      </c>
    </row>
    <row r="2444" spans="1:57" x14ac:dyDescent="0.45">
      <c r="A2444" t="s">
        <v>5874</v>
      </c>
      <c r="B2444" t="s">
        <v>79</v>
      </c>
      <c r="C2444" t="s">
        <v>5875</v>
      </c>
      <c r="D2444" t="s">
        <v>81</v>
      </c>
      <c r="E2444" s="2" t="str">
        <f>HYPERLINK("capsilon://?command=openfolder&amp;siteaddress=FAM.docvelocity-na8.net&amp;folderid=FX2B03A2F4-A3F0-BB85-DE5A-6E18F477908D","FX210111617")</f>
        <v>FX210111617</v>
      </c>
      <c r="F2444" t="s">
        <v>19</v>
      </c>
      <c r="G2444" t="s">
        <v>19</v>
      </c>
      <c r="H2444" t="s">
        <v>82</v>
      </c>
      <c r="I2444" t="s">
        <v>5876</v>
      </c>
      <c r="J2444">
        <v>205</v>
      </c>
      <c r="K2444" t="s">
        <v>84</v>
      </c>
      <c r="L2444" t="s">
        <v>85</v>
      </c>
      <c r="M2444" t="s">
        <v>86</v>
      </c>
      <c r="N2444">
        <v>3</v>
      </c>
      <c r="O2444" s="1">
        <v>44221.527627314812</v>
      </c>
      <c r="P2444" s="1">
        <v>44221.606157407405</v>
      </c>
      <c r="Q2444">
        <v>5602</v>
      </c>
      <c r="R2444">
        <v>1183</v>
      </c>
      <c r="S2444" t="b">
        <v>0</v>
      </c>
      <c r="T2444" t="s">
        <v>87</v>
      </c>
      <c r="U2444" t="b">
        <v>0</v>
      </c>
      <c r="V2444" t="s">
        <v>255</v>
      </c>
      <c r="W2444" s="1">
        <v>44221.539293981485</v>
      </c>
      <c r="X2444">
        <v>884</v>
      </c>
      <c r="Y2444">
        <v>186</v>
      </c>
      <c r="Z2444">
        <v>0</v>
      </c>
      <c r="AA2444">
        <v>186</v>
      </c>
      <c r="AB2444">
        <v>0</v>
      </c>
      <c r="AC2444">
        <v>61</v>
      </c>
      <c r="AD2444">
        <v>19</v>
      </c>
      <c r="AE2444">
        <v>0</v>
      </c>
      <c r="AF2444">
        <v>0</v>
      </c>
      <c r="AG2444">
        <v>0</v>
      </c>
      <c r="AH2444" t="s">
        <v>132</v>
      </c>
      <c r="AI2444" s="1">
        <v>44221.583460648151</v>
      </c>
      <c r="AJ2444">
        <v>245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19</v>
      </c>
      <c r="AQ2444">
        <v>0</v>
      </c>
      <c r="AR2444">
        <v>0</v>
      </c>
      <c r="AS2444">
        <v>0</v>
      </c>
      <c r="AT2444" t="s">
        <v>90</v>
      </c>
      <c r="AU2444" s="1">
        <v>44221.606157407405</v>
      </c>
      <c r="AV2444">
        <v>44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19</v>
      </c>
      <c r="BC2444">
        <v>0</v>
      </c>
      <c r="BD2444">
        <v>0</v>
      </c>
      <c r="BE2444">
        <v>0</v>
      </c>
    </row>
    <row r="2445" spans="1:57" x14ac:dyDescent="0.45">
      <c r="A2445" t="s">
        <v>5877</v>
      </c>
      <c r="B2445" t="s">
        <v>79</v>
      </c>
      <c r="C2445" t="s">
        <v>5878</v>
      </c>
      <c r="D2445" t="s">
        <v>81</v>
      </c>
      <c r="E2445" s="2" t="str">
        <f>HYPERLINK("capsilon://?command=openfolder&amp;siteaddress=FAM.docvelocity-na8.net&amp;folderid=FX117EE384-B259-7E99-B469-33D3D92085C1","FX20125487")</f>
        <v>FX20125487</v>
      </c>
      <c r="F2445" t="s">
        <v>19</v>
      </c>
      <c r="G2445" t="s">
        <v>19</v>
      </c>
      <c r="H2445" t="s">
        <v>82</v>
      </c>
      <c r="I2445" t="s">
        <v>5879</v>
      </c>
      <c r="J2445">
        <v>94</v>
      </c>
      <c r="K2445" t="s">
        <v>84</v>
      </c>
      <c r="L2445" t="s">
        <v>85</v>
      </c>
      <c r="M2445" t="s">
        <v>86</v>
      </c>
      <c r="N2445">
        <v>3</v>
      </c>
      <c r="O2445" s="1">
        <v>44221.528078703705</v>
      </c>
      <c r="P2445" s="1">
        <v>44221.60670138889</v>
      </c>
      <c r="Q2445">
        <v>5778</v>
      </c>
      <c r="R2445">
        <v>1015</v>
      </c>
      <c r="S2445" t="b">
        <v>0</v>
      </c>
      <c r="T2445" t="s">
        <v>87</v>
      </c>
      <c r="U2445" t="b">
        <v>0</v>
      </c>
      <c r="V2445" t="s">
        <v>343</v>
      </c>
      <c r="W2445" s="1">
        <v>44221.539942129632</v>
      </c>
      <c r="X2445">
        <v>836</v>
      </c>
      <c r="Y2445">
        <v>88</v>
      </c>
      <c r="Z2445">
        <v>0</v>
      </c>
      <c r="AA2445">
        <v>88</v>
      </c>
      <c r="AB2445">
        <v>0</v>
      </c>
      <c r="AC2445">
        <v>61</v>
      </c>
      <c r="AD2445">
        <v>6</v>
      </c>
      <c r="AE2445">
        <v>0</v>
      </c>
      <c r="AF2445">
        <v>0</v>
      </c>
      <c r="AG2445">
        <v>0</v>
      </c>
      <c r="AH2445" t="s">
        <v>132</v>
      </c>
      <c r="AI2445" s="1">
        <v>44221.584999999999</v>
      </c>
      <c r="AJ2445">
        <v>133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6</v>
      </c>
      <c r="AQ2445">
        <v>0</v>
      </c>
      <c r="AR2445">
        <v>0</v>
      </c>
      <c r="AS2445">
        <v>0</v>
      </c>
      <c r="AT2445" t="s">
        <v>90</v>
      </c>
      <c r="AU2445" s="1">
        <v>44221.60670138889</v>
      </c>
      <c r="AV2445">
        <v>46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6</v>
      </c>
      <c r="BC2445">
        <v>0</v>
      </c>
      <c r="BD2445">
        <v>0</v>
      </c>
      <c r="BE2445">
        <v>0</v>
      </c>
    </row>
    <row r="2446" spans="1:57" x14ac:dyDescent="0.45">
      <c r="A2446" t="s">
        <v>5880</v>
      </c>
      <c r="B2446" t="s">
        <v>79</v>
      </c>
      <c r="C2446" t="s">
        <v>5881</v>
      </c>
      <c r="D2446" t="s">
        <v>81</v>
      </c>
      <c r="E2446" s="2" t="str">
        <f>HYPERLINK("capsilon://?command=openfolder&amp;siteaddress=FAM.docvelocity-na8.net&amp;folderid=FXCB49BFCF-AC86-8E81-9FC8-64D7754BDABD","FX21011253")</f>
        <v>FX21011253</v>
      </c>
      <c r="F2446" t="s">
        <v>19</v>
      </c>
      <c r="G2446" t="s">
        <v>19</v>
      </c>
      <c r="H2446" t="s">
        <v>82</v>
      </c>
      <c r="I2446" t="s">
        <v>5882</v>
      </c>
      <c r="J2446">
        <v>38</v>
      </c>
      <c r="K2446" t="s">
        <v>84</v>
      </c>
      <c r="L2446" t="s">
        <v>85</v>
      </c>
      <c r="M2446" t="s">
        <v>86</v>
      </c>
      <c r="N2446">
        <v>3</v>
      </c>
      <c r="O2446" s="1">
        <v>44221.528402777774</v>
      </c>
      <c r="P2446" s="1">
        <v>44221.606770833336</v>
      </c>
      <c r="Q2446">
        <v>6252</v>
      </c>
      <c r="R2446">
        <v>519</v>
      </c>
      <c r="S2446" t="b">
        <v>0</v>
      </c>
      <c r="T2446" t="s">
        <v>87</v>
      </c>
      <c r="U2446" t="b">
        <v>0</v>
      </c>
      <c r="V2446" t="s">
        <v>160</v>
      </c>
      <c r="W2446" s="1">
        <v>44221.541458333333</v>
      </c>
      <c r="X2446">
        <v>441</v>
      </c>
      <c r="Y2446">
        <v>37</v>
      </c>
      <c r="Z2446">
        <v>0</v>
      </c>
      <c r="AA2446">
        <v>37</v>
      </c>
      <c r="AB2446">
        <v>0</v>
      </c>
      <c r="AC2446">
        <v>34</v>
      </c>
      <c r="AD2446">
        <v>1</v>
      </c>
      <c r="AE2446">
        <v>0</v>
      </c>
      <c r="AF2446">
        <v>0</v>
      </c>
      <c r="AG2446">
        <v>0</v>
      </c>
      <c r="AH2446" t="s">
        <v>132</v>
      </c>
      <c r="AI2446" s="1">
        <v>44221.585740740738</v>
      </c>
      <c r="AJ2446">
        <v>63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 t="s">
        <v>90</v>
      </c>
      <c r="AU2446" s="1">
        <v>44221.606770833336</v>
      </c>
      <c r="AV2446">
        <v>5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1</v>
      </c>
      <c r="BC2446">
        <v>0</v>
      </c>
      <c r="BD2446">
        <v>0</v>
      </c>
      <c r="BE2446">
        <v>0</v>
      </c>
    </row>
    <row r="2447" spans="1:57" x14ac:dyDescent="0.45">
      <c r="A2447" t="s">
        <v>5883</v>
      </c>
      <c r="B2447" t="s">
        <v>79</v>
      </c>
      <c r="C2447" t="s">
        <v>3364</v>
      </c>
      <c r="D2447" t="s">
        <v>81</v>
      </c>
      <c r="E2447" s="2" t="str">
        <f>HYPERLINK("capsilon://?command=openfolder&amp;siteaddress=FAM.docvelocity-na8.net&amp;folderid=FXCB50852C-CFC1-0FCE-3740-2BF26F45E418","FX20122163")</f>
        <v>FX20122163</v>
      </c>
      <c r="F2447" t="s">
        <v>19</v>
      </c>
      <c r="G2447" t="s">
        <v>19</v>
      </c>
      <c r="H2447" t="s">
        <v>82</v>
      </c>
      <c r="I2447" t="s">
        <v>5867</v>
      </c>
      <c r="J2447">
        <v>38</v>
      </c>
      <c r="K2447" t="s">
        <v>84</v>
      </c>
      <c r="L2447" t="s">
        <v>85</v>
      </c>
      <c r="M2447" t="s">
        <v>86</v>
      </c>
      <c r="N2447">
        <v>3</v>
      </c>
      <c r="O2447" s="1">
        <v>44221.529293981483</v>
      </c>
      <c r="P2447" s="1">
        <v>44221.547500000001</v>
      </c>
      <c r="Q2447">
        <v>452</v>
      </c>
      <c r="R2447">
        <v>1121</v>
      </c>
      <c r="S2447" t="b">
        <v>0</v>
      </c>
      <c r="T2447" t="s">
        <v>87</v>
      </c>
      <c r="U2447" t="b">
        <v>1</v>
      </c>
      <c r="V2447" t="s">
        <v>242</v>
      </c>
      <c r="W2447" s="1">
        <v>44221.542349537034</v>
      </c>
      <c r="X2447">
        <v>1051</v>
      </c>
      <c r="Y2447">
        <v>37</v>
      </c>
      <c r="Z2447">
        <v>0</v>
      </c>
      <c r="AA2447">
        <v>37</v>
      </c>
      <c r="AB2447">
        <v>0</v>
      </c>
      <c r="AC2447">
        <v>34</v>
      </c>
      <c r="AD2447">
        <v>1</v>
      </c>
      <c r="AE2447">
        <v>0</v>
      </c>
      <c r="AF2447">
        <v>0</v>
      </c>
      <c r="AG2447">
        <v>0</v>
      </c>
      <c r="AH2447" t="s">
        <v>132</v>
      </c>
      <c r="AI2447" s="1">
        <v>44221.546053240738</v>
      </c>
      <c r="AJ2447">
        <v>55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 t="s">
        <v>90</v>
      </c>
      <c r="AU2447" s="1">
        <v>44221.547500000001</v>
      </c>
      <c r="AV2447">
        <v>7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1</v>
      </c>
      <c r="BC2447">
        <v>0</v>
      </c>
      <c r="BD2447">
        <v>0</v>
      </c>
      <c r="BE2447">
        <v>0</v>
      </c>
    </row>
    <row r="2448" spans="1:57" hidden="1" x14ac:dyDescent="0.45">
      <c r="A2448" t="s">
        <v>5884</v>
      </c>
      <c r="B2448" t="s">
        <v>79</v>
      </c>
      <c r="C2448" t="s">
        <v>5878</v>
      </c>
      <c r="D2448" t="s">
        <v>81</v>
      </c>
      <c r="E2448" s="2" t="str">
        <f>HYPERLINK("capsilon://?command=openfolder&amp;siteaddress=FAM.docvelocity-na8.net&amp;folderid=FX117EE384-B259-7E99-B469-33D3D92085C1","FX20125487")</f>
        <v>FX20125487</v>
      </c>
      <c r="F2448" t="s">
        <v>19</v>
      </c>
      <c r="G2448" t="s">
        <v>19</v>
      </c>
      <c r="H2448" t="s">
        <v>82</v>
      </c>
      <c r="I2448" t="s">
        <v>5885</v>
      </c>
      <c r="J2448">
        <v>66</v>
      </c>
      <c r="K2448" t="s">
        <v>84</v>
      </c>
      <c r="L2448" t="s">
        <v>85</v>
      </c>
      <c r="M2448" t="s">
        <v>86</v>
      </c>
      <c r="N2448">
        <v>1</v>
      </c>
      <c r="O2448" s="1">
        <v>44221.530231481483</v>
      </c>
      <c r="P2448" s="1">
        <v>44221.538437499999</v>
      </c>
      <c r="Q2448">
        <v>624</v>
      </c>
      <c r="R2448">
        <v>85</v>
      </c>
      <c r="S2448" t="b">
        <v>0</v>
      </c>
      <c r="T2448" t="s">
        <v>87</v>
      </c>
      <c r="U2448" t="b">
        <v>0</v>
      </c>
      <c r="V2448" t="s">
        <v>142</v>
      </c>
      <c r="W2448" s="1">
        <v>44221.538437499999</v>
      </c>
      <c r="X2448">
        <v>85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66</v>
      </c>
      <c r="AE2448">
        <v>52</v>
      </c>
      <c r="AF2448">
        <v>0</v>
      </c>
      <c r="AG2448">
        <v>1</v>
      </c>
      <c r="AH2448" t="s">
        <v>87</v>
      </c>
      <c r="AI2448" t="s">
        <v>87</v>
      </c>
      <c r="AJ2448" t="s">
        <v>87</v>
      </c>
      <c r="AK2448" t="s">
        <v>87</v>
      </c>
      <c r="AL2448" t="s">
        <v>87</v>
      </c>
      <c r="AM2448" t="s">
        <v>87</v>
      </c>
      <c r="AN2448" t="s">
        <v>87</v>
      </c>
      <c r="AO2448" t="s">
        <v>87</v>
      </c>
      <c r="AP2448" t="s">
        <v>87</v>
      </c>
      <c r="AQ2448" t="s">
        <v>87</v>
      </c>
      <c r="AR2448" t="s">
        <v>87</v>
      </c>
      <c r="AS2448" t="s">
        <v>87</v>
      </c>
      <c r="AT2448" t="s">
        <v>87</v>
      </c>
      <c r="AU2448" t="s">
        <v>87</v>
      </c>
      <c r="AV2448" t="s">
        <v>87</v>
      </c>
      <c r="AW2448" t="s">
        <v>87</v>
      </c>
      <c r="AX2448" t="s">
        <v>87</v>
      </c>
      <c r="AY2448" t="s">
        <v>87</v>
      </c>
      <c r="AZ2448" t="s">
        <v>87</v>
      </c>
      <c r="BA2448" t="s">
        <v>87</v>
      </c>
      <c r="BB2448" t="s">
        <v>87</v>
      </c>
      <c r="BC2448" t="s">
        <v>87</v>
      </c>
      <c r="BD2448" t="s">
        <v>87</v>
      </c>
      <c r="BE2448" t="s">
        <v>87</v>
      </c>
    </row>
    <row r="2449" spans="1:57" hidden="1" x14ac:dyDescent="0.45">
      <c r="A2449" t="s">
        <v>5886</v>
      </c>
      <c r="B2449" t="s">
        <v>79</v>
      </c>
      <c r="C2449" t="s">
        <v>5887</v>
      </c>
      <c r="D2449" t="s">
        <v>81</v>
      </c>
      <c r="E2449" s="2" t="str">
        <f>HYPERLINK("capsilon://?command=openfolder&amp;siteaddress=FAM.docvelocity-na8.net&amp;folderid=FX213317B3-7D52-360F-1EC9-CA35F0758CEF","FX20125776")</f>
        <v>FX20125776</v>
      </c>
      <c r="F2449" t="s">
        <v>19</v>
      </c>
      <c r="G2449" t="s">
        <v>19</v>
      </c>
      <c r="H2449" t="s">
        <v>82</v>
      </c>
      <c r="I2449" t="s">
        <v>5888</v>
      </c>
      <c r="J2449">
        <v>66</v>
      </c>
      <c r="K2449" t="s">
        <v>84</v>
      </c>
      <c r="L2449" t="s">
        <v>85</v>
      </c>
      <c r="M2449" t="s">
        <v>86</v>
      </c>
      <c r="N2449">
        <v>1</v>
      </c>
      <c r="O2449" s="1">
        <v>44221.532094907408</v>
      </c>
      <c r="P2449" s="1">
        <v>44221.539155092592</v>
      </c>
      <c r="Q2449">
        <v>549</v>
      </c>
      <c r="R2449">
        <v>61</v>
      </c>
      <c r="S2449" t="b">
        <v>0</v>
      </c>
      <c r="T2449" t="s">
        <v>87</v>
      </c>
      <c r="U2449" t="b">
        <v>0</v>
      </c>
      <c r="V2449" t="s">
        <v>142</v>
      </c>
      <c r="W2449" s="1">
        <v>44221.539155092592</v>
      </c>
      <c r="X2449">
        <v>61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66</v>
      </c>
      <c r="AE2449">
        <v>52</v>
      </c>
      <c r="AF2449">
        <v>0</v>
      </c>
      <c r="AG2449">
        <v>1</v>
      </c>
      <c r="AH2449" t="s">
        <v>87</v>
      </c>
      <c r="AI2449" t="s">
        <v>87</v>
      </c>
      <c r="AJ2449" t="s">
        <v>87</v>
      </c>
      <c r="AK2449" t="s">
        <v>87</v>
      </c>
      <c r="AL2449" t="s">
        <v>87</v>
      </c>
      <c r="AM2449" t="s">
        <v>87</v>
      </c>
      <c r="AN2449" t="s">
        <v>87</v>
      </c>
      <c r="AO2449" t="s">
        <v>87</v>
      </c>
      <c r="AP2449" t="s">
        <v>87</v>
      </c>
      <c r="AQ2449" t="s">
        <v>87</v>
      </c>
      <c r="AR2449" t="s">
        <v>87</v>
      </c>
      <c r="AS2449" t="s">
        <v>87</v>
      </c>
      <c r="AT2449" t="s">
        <v>87</v>
      </c>
      <c r="AU2449" t="s">
        <v>87</v>
      </c>
      <c r="AV2449" t="s">
        <v>87</v>
      </c>
      <c r="AW2449" t="s">
        <v>87</v>
      </c>
      <c r="AX2449" t="s">
        <v>87</v>
      </c>
      <c r="AY2449" t="s">
        <v>87</v>
      </c>
      <c r="AZ2449" t="s">
        <v>87</v>
      </c>
      <c r="BA2449" t="s">
        <v>87</v>
      </c>
      <c r="BB2449" t="s">
        <v>87</v>
      </c>
      <c r="BC2449" t="s">
        <v>87</v>
      </c>
      <c r="BD2449" t="s">
        <v>87</v>
      </c>
      <c r="BE2449" t="s">
        <v>87</v>
      </c>
    </row>
    <row r="2450" spans="1:57" x14ac:dyDescent="0.45">
      <c r="A2450" t="s">
        <v>5889</v>
      </c>
      <c r="B2450" t="s">
        <v>79</v>
      </c>
      <c r="C2450" t="s">
        <v>5890</v>
      </c>
      <c r="D2450" t="s">
        <v>81</v>
      </c>
      <c r="E2450" s="2" t="str">
        <f>HYPERLINK("capsilon://?command=openfolder&amp;siteaddress=FAM.docvelocity-na8.net&amp;folderid=FX264AC855-A482-1DBA-B03A-A99A8ABC631A","FX210113629")</f>
        <v>FX210113629</v>
      </c>
      <c r="F2450" t="s">
        <v>19</v>
      </c>
      <c r="G2450" t="s">
        <v>19</v>
      </c>
      <c r="H2450" t="s">
        <v>82</v>
      </c>
      <c r="I2450" t="s">
        <v>5891</v>
      </c>
      <c r="J2450">
        <v>206</v>
      </c>
      <c r="K2450" t="s">
        <v>84</v>
      </c>
      <c r="L2450" t="s">
        <v>85</v>
      </c>
      <c r="M2450" t="s">
        <v>86</v>
      </c>
      <c r="N2450">
        <v>3</v>
      </c>
      <c r="O2450" s="1">
        <v>44221.532199074078</v>
      </c>
      <c r="P2450" s="1">
        <v>44221.608032407406</v>
      </c>
      <c r="Q2450">
        <v>4250</v>
      </c>
      <c r="R2450">
        <v>2302</v>
      </c>
      <c r="S2450" t="b">
        <v>0</v>
      </c>
      <c r="T2450" t="s">
        <v>87</v>
      </c>
      <c r="U2450" t="b">
        <v>0</v>
      </c>
      <c r="V2450" t="s">
        <v>255</v>
      </c>
      <c r="W2450" s="1">
        <v>44221.561678240738</v>
      </c>
      <c r="X2450">
        <v>1464</v>
      </c>
      <c r="Y2450">
        <v>159</v>
      </c>
      <c r="Z2450">
        <v>0</v>
      </c>
      <c r="AA2450">
        <v>159</v>
      </c>
      <c r="AB2450">
        <v>0</v>
      </c>
      <c r="AC2450">
        <v>61</v>
      </c>
      <c r="AD2450">
        <v>47</v>
      </c>
      <c r="AE2450">
        <v>0</v>
      </c>
      <c r="AF2450">
        <v>0</v>
      </c>
      <c r="AG2450">
        <v>0</v>
      </c>
      <c r="AH2450" t="s">
        <v>132</v>
      </c>
      <c r="AI2450" s="1">
        <v>44221.592222222222</v>
      </c>
      <c r="AJ2450">
        <v>559</v>
      </c>
      <c r="AK2450">
        <v>4</v>
      </c>
      <c r="AL2450">
        <v>0</v>
      </c>
      <c r="AM2450">
        <v>4</v>
      </c>
      <c r="AN2450">
        <v>0</v>
      </c>
      <c r="AO2450">
        <v>3</v>
      </c>
      <c r="AP2450">
        <v>43</v>
      </c>
      <c r="AQ2450">
        <v>0</v>
      </c>
      <c r="AR2450">
        <v>0</v>
      </c>
      <c r="AS2450">
        <v>0</v>
      </c>
      <c r="AT2450" t="s">
        <v>90</v>
      </c>
      <c r="AU2450" s="1">
        <v>44221.608032407406</v>
      </c>
      <c r="AV2450">
        <v>108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43</v>
      </c>
      <c r="BC2450">
        <v>0</v>
      </c>
      <c r="BD2450">
        <v>0</v>
      </c>
      <c r="BE2450">
        <v>0</v>
      </c>
    </row>
    <row r="2451" spans="1:57" x14ac:dyDescent="0.45">
      <c r="A2451" t="s">
        <v>5892</v>
      </c>
      <c r="B2451" t="s">
        <v>79</v>
      </c>
      <c r="C2451" t="s">
        <v>2674</v>
      </c>
      <c r="D2451" t="s">
        <v>81</v>
      </c>
      <c r="E2451" s="2" t="str">
        <f>HYPERLINK("capsilon://?command=openfolder&amp;siteaddress=FAM.docvelocity-na8.net&amp;folderid=FX8CB4270B-F44F-C2CE-7C82-12834537AF65","FX21016371")</f>
        <v>FX21016371</v>
      </c>
      <c r="F2451" t="s">
        <v>19</v>
      </c>
      <c r="G2451" t="s">
        <v>19</v>
      </c>
      <c r="H2451" t="s">
        <v>82</v>
      </c>
      <c r="I2451" t="s">
        <v>5893</v>
      </c>
      <c r="J2451">
        <v>66</v>
      </c>
      <c r="K2451" t="s">
        <v>84</v>
      </c>
      <c r="L2451" t="s">
        <v>85</v>
      </c>
      <c r="M2451" t="s">
        <v>86</v>
      </c>
      <c r="N2451">
        <v>3</v>
      </c>
      <c r="O2451" s="1">
        <v>44221.536527777775</v>
      </c>
      <c r="P2451" s="1">
        <v>44221.60832175926</v>
      </c>
      <c r="Q2451">
        <v>5836</v>
      </c>
      <c r="R2451">
        <v>367</v>
      </c>
      <c r="S2451" t="b">
        <v>0</v>
      </c>
      <c r="T2451" t="s">
        <v>87</v>
      </c>
      <c r="U2451" t="b">
        <v>0</v>
      </c>
      <c r="V2451" t="s">
        <v>255</v>
      </c>
      <c r="W2451" s="1">
        <v>44221.542361111111</v>
      </c>
      <c r="X2451">
        <v>264</v>
      </c>
      <c r="Y2451">
        <v>52</v>
      </c>
      <c r="Z2451">
        <v>0</v>
      </c>
      <c r="AA2451">
        <v>52</v>
      </c>
      <c r="AB2451">
        <v>0</v>
      </c>
      <c r="AC2451">
        <v>35</v>
      </c>
      <c r="AD2451">
        <v>14</v>
      </c>
      <c r="AE2451">
        <v>0</v>
      </c>
      <c r="AF2451">
        <v>0</v>
      </c>
      <c r="AG2451">
        <v>0</v>
      </c>
      <c r="AH2451" t="s">
        <v>132</v>
      </c>
      <c r="AI2451" s="1">
        <v>44221.593136574076</v>
      </c>
      <c r="AJ2451">
        <v>78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14</v>
      </c>
      <c r="AQ2451">
        <v>0</v>
      </c>
      <c r="AR2451">
        <v>0</v>
      </c>
      <c r="AS2451">
        <v>0</v>
      </c>
      <c r="AT2451" t="s">
        <v>90</v>
      </c>
      <c r="AU2451" s="1">
        <v>44221.60832175926</v>
      </c>
      <c r="AV2451">
        <v>25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14</v>
      </c>
      <c r="BC2451">
        <v>0</v>
      </c>
      <c r="BD2451">
        <v>0</v>
      </c>
      <c r="BE2451">
        <v>0</v>
      </c>
    </row>
    <row r="2452" spans="1:57" x14ac:dyDescent="0.45">
      <c r="A2452" t="s">
        <v>5894</v>
      </c>
      <c r="B2452" t="s">
        <v>79</v>
      </c>
      <c r="C2452" t="s">
        <v>5895</v>
      </c>
      <c r="D2452" t="s">
        <v>81</v>
      </c>
      <c r="E2452" s="2" t="str">
        <f>HYPERLINK("capsilon://?command=openfolder&amp;siteaddress=FAM.docvelocity-na8.net&amp;folderid=FX477A6155-D890-710B-0683-878272FEC43C","FX210111876")</f>
        <v>FX210111876</v>
      </c>
      <c r="F2452" t="s">
        <v>19</v>
      </c>
      <c r="G2452" t="s">
        <v>19</v>
      </c>
      <c r="H2452" t="s">
        <v>82</v>
      </c>
      <c r="I2452" t="s">
        <v>5896</v>
      </c>
      <c r="J2452">
        <v>178</v>
      </c>
      <c r="K2452" t="s">
        <v>84</v>
      </c>
      <c r="L2452" t="s">
        <v>85</v>
      </c>
      <c r="M2452" t="s">
        <v>86</v>
      </c>
      <c r="N2452">
        <v>3</v>
      </c>
      <c r="O2452" s="1">
        <v>44221.537731481483</v>
      </c>
      <c r="P2452" s="1">
        <v>44221.608888888892</v>
      </c>
      <c r="Q2452">
        <v>2482</v>
      </c>
      <c r="R2452">
        <v>3666</v>
      </c>
      <c r="S2452" t="b">
        <v>0</v>
      </c>
      <c r="T2452" t="s">
        <v>87</v>
      </c>
      <c r="U2452" t="b">
        <v>0</v>
      </c>
      <c r="V2452" t="s">
        <v>242</v>
      </c>
      <c r="W2452" s="1">
        <v>44221.581631944442</v>
      </c>
      <c r="X2452">
        <v>3393</v>
      </c>
      <c r="Y2452">
        <v>140</v>
      </c>
      <c r="Z2452">
        <v>0</v>
      </c>
      <c r="AA2452">
        <v>140</v>
      </c>
      <c r="AB2452">
        <v>0</v>
      </c>
      <c r="AC2452">
        <v>49</v>
      </c>
      <c r="AD2452">
        <v>38</v>
      </c>
      <c r="AE2452">
        <v>0</v>
      </c>
      <c r="AF2452">
        <v>0</v>
      </c>
      <c r="AG2452">
        <v>0</v>
      </c>
      <c r="AH2452" t="s">
        <v>132</v>
      </c>
      <c r="AI2452" s="1">
        <v>44221.595752314817</v>
      </c>
      <c r="AJ2452">
        <v>225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38</v>
      </c>
      <c r="AQ2452">
        <v>0</v>
      </c>
      <c r="AR2452">
        <v>0</v>
      </c>
      <c r="AS2452">
        <v>0</v>
      </c>
      <c r="AT2452" t="s">
        <v>90</v>
      </c>
      <c r="AU2452" s="1">
        <v>44221.608888888892</v>
      </c>
      <c r="AV2452">
        <v>48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38</v>
      </c>
      <c r="BC2452">
        <v>0</v>
      </c>
      <c r="BD2452">
        <v>0</v>
      </c>
      <c r="BE2452">
        <v>0</v>
      </c>
    </row>
    <row r="2453" spans="1:57" x14ac:dyDescent="0.45">
      <c r="A2453" t="s">
        <v>5897</v>
      </c>
      <c r="B2453" t="s">
        <v>79</v>
      </c>
      <c r="C2453" t="s">
        <v>5898</v>
      </c>
      <c r="D2453" t="s">
        <v>81</v>
      </c>
      <c r="E2453" s="2" t="str">
        <f>HYPERLINK("capsilon://?command=openfolder&amp;siteaddress=FAM.docvelocity-na8.net&amp;folderid=FX9EA15EAA-7156-4CB2-92E6-25D0F6DA6CE6","FX210113685")</f>
        <v>FX210113685</v>
      </c>
      <c r="F2453" t="s">
        <v>19</v>
      </c>
      <c r="G2453" t="s">
        <v>19</v>
      </c>
      <c r="H2453" t="s">
        <v>82</v>
      </c>
      <c r="I2453" t="s">
        <v>5899</v>
      </c>
      <c r="J2453">
        <v>38</v>
      </c>
      <c r="K2453" t="s">
        <v>84</v>
      </c>
      <c r="L2453" t="s">
        <v>85</v>
      </c>
      <c r="M2453" t="s">
        <v>86</v>
      </c>
      <c r="N2453">
        <v>3</v>
      </c>
      <c r="O2453" s="1">
        <v>44221.539039351854</v>
      </c>
      <c r="P2453" s="1">
        <v>44221.608969907407</v>
      </c>
      <c r="Q2453">
        <v>5692</v>
      </c>
      <c r="R2453">
        <v>350</v>
      </c>
      <c r="S2453" t="b">
        <v>0</v>
      </c>
      <c r="T2453" t="s">
        <v>87</v>
      </c>
      <c r="U2453" t="b">
        <v>0</v>
      </c>
      <c r="V2453" t="s">
        <v>255</v>
      </c>
      <c r="W2453" s="1">
        <v>44221.544733796298</v>
      </c>
      <c r="X2453">
        <v>204</v>
      </c>
      <c r="Y2453">
        <v>37</v>
      </c>
      <c r="Z2453">
        <v>0</v>
      </c>
      <c r="AA2453">
        <v>37</v>
      </c>
      <c r="AB2453">
        <v>0</v>
      </c>
      <c r="AC2453">
        <v>13</v>
      </c>
      <c r="AD2453">
        <v>1</v>
      </c>
      <c r="AE2453">
        <v>0</v>
      </c>
      <c r="AF2453">
        <v>0</v>
      </c>
      <c r="AG2453">
        <v>0</v>
      </c>
      <c r="AH2453" t="s">
        <v>128</v>
      </c>
      <c r="AI2453" s="1">
        <v>44221.596875000003</v>
      </c>
      <c r="AJ2453">
        <v>140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 t="s">
        <v>90</v>
      </c>
      <c r="AU2453" s="1">
        <v>44221.608969907407</v>
      </c>
      <c r="AV2453">
        <v>6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1</v>
      </c>
      <c r="BC2453">
        <v>0</v>
      </c>
      <c r="BD2453">
        <v>0</v>
      </c>
      <c r="BE2453">
        <v>0</v>
      </c>
    </row>
    <row r="2454" spans="1:57" x14ac:dyDescent="0.45">
      <c r="A2454" t="s">
        <v>5900</v>
      </c>
      <c r="B2454" t="s">
        <v>79</v>
      </c>
      <c r="C2454" t="s">
        <v>5878</v>
      </c>
      <c r="D2454" t="s">
        <v>81</v>
      </c>
      <c r="E2454" s="2" t="str">
        <f>HYPERLINK("capsilon://?command=openfolder&amp;siteaddress=FAM.docvelocity-na8.net&amp;folderid=FX117EE384-B259-7E99-B469-33D3D92085C1","FX20125487")</f>
        <v>FX20125487</v>
      </c>
      <c r="F2454" t="s">
        <v>19</v>
      </c>
      <c r="G2454" t="s">
        <v>19</v>
      </c>
      <c r="H2454" t="s">
        <v>82</v>
      </c>
      <c r="I2454" t="s">
        <v>5885</v>
      </c>
      <c r="J2454">
        <v>38</v>
      </c>
      <c r="K2454" t="s">
        <v>84</v>
      </c>
      <c r="L2454" t="s">
        <v>85</v>
      </c>
      <c r="M2454" t="s">
        <v>86</v>
      </c>
      <c r="N2454">
        <v>3</v>
      </c>
      <c r="O2454" s="1">
        <v>44221.539409722223</v>
      </c>
      <c r="P2454" s="1">
        <v>44221.547581018516</v>
      </c>
      <c r="Q2454">
        <v>363</v>
      </c>
      <c r="R2454">
        <v>343</v>
      </c>
      <c r="S2454" t="b">
        <v>0</v>
      </c>
      <c r="T2454" t="s">
        <v>87</v>
      </c>
      <c r="U2454" t="b">
        <v>1</v>
      </c>
      <c r="V2454" t="s">
        <v>142</v>
      </c>
      <c r="W2454" s="1">
        <v>44221.542708333334</v>
      </c>
      <c r="X2454">
        <v>256</v>
      </c>
      <c r="Y2454">
        <v>37</v>
      </c>
      <c r="Z2454">
        <v>0</v>
      </c>
      <c r="AA2454">
        <v>37</v>
      </c>
      <c r="AB2454">
        <v>0</v>
      </c>
      <c r="AC2454">
        <v>35</v>
      </c>
      <c r="AD2454">
        <v>1</v>
      </c>
      <c r="AE2454">
        <v>0</v>
      </c>
      <c r="AF2454">
        <v>0</v>
      </c>
      <c r="AG2454">
        <v>0</v>
      </c>
      <c r="AH2454" t="s">
        <v>132</v>
      </c>
      <c r="AI2454" s="1">
        <v>44221.546979166669</v>
      </c>
      <c r="AJ2454">
        <v>80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</v>
      </c>
      <c r="AQ2454">
        <v>0</v>
      </c>
      <c r="AR2454">
        <v>0</v>
      </c>
      <c r="AS2454">
        <v>0</v>
      </c>
      <c r="AT2454" t="s">
        <v>90</v>
      </c>
      <c r="AU2454" s="1">
        <v>44221.547581018516</v>
      </c>
      <c r="AV2454">
        <v>7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1</v>
      </c>
      <c r="BC2454">
        <v>0</v>
      </c>
      <c r="BD2454">
        <v>0</v>
      </c>
      <c r="BE2454">
        <v>0</v>
      </c>
    </row>
    <row r="2455" spans="1:57" x14ac:dyDescent="0.45">
      <c r="A2455" t="s">
        <v>5901</v>
      </c>
      <c r="B2455" t="s">
        <v>79</v>
      </c>
      <c r="C2455" t="s">
        <v>5902</v>
      </c>
      <c r="D2455" t="s">
        <v>81</v>
      </c>
      <c r="E2455" s="2" t="str">
        <f>HYPERLINK("capsilon://?command=openfolder&amp;siteaddress=FAM.docvelocity-na8.net&amp;folderid=FXE4820A0A-FB97-55B7-D96C-FB70992C46E0","FX210111734")</f>
        <v>FX210111734</v>
      </c>
      <c r="F2455" t="s">
        <v>19</v>
      </c>
      <c r="G2455" t="s">
        <v>19</v>
      </c>
      <c r="H2455" t="s">
        <v>82</v>
      </c>
      <c r="I2455" t="s">
        <v>5903</v>
      </c>
      <c r="J2455">
        <v>86</v>
      </c>
      <c r="K2455" t="s">
        <v>84</v>
      </c>
      <c r="L2455" t="s">
        <v>85</v>
      </c>
      <c r="M2455" t="s">
        <v>86</v>
      </c>
      <c r="N2455">
        <v>3</v>
      </c>
      <c r="O2455" s="1">
        <v>44221.539583333331</v>
      </c>
      <c r="P2455" s="1">
        <v>44221.6093287037</v>
      </c>
      <c r="Q2455">
        <v>4672</v>
      </c>
      <c r="R2455">
        <v>1354</v>
      </c>
      <c r="S2455" t="b">
        <v>0</v>
      </c>
      <c r="T2455" t="s">
        <v>87</v>
      </c>
      <c r="U2455" t="b">
        <v>0</v>
      </c>
      <c r="V2455" t="s">
        <v>142</v>
      </c>
      <c r="W2455" s="1">
        <v>44221.551655092589</v>
      </c>
      <c r="X2455">
        <v>773</v>
      </c>
      <c r="Y2455">
        <v>80</v>
      </c>
      <c r="Z2455">
        <v>0</v>
      </c>
      <c r="AA2455">
        <v>80</v>
      </c>
      <c r="AB2455">
        <v>0</v>
      </c>
      <c r="AC2455">
        <v>49</v>
      </c>
      <c r="AD2455">
        <v>6</v>
      </c>
      <c r="AE2455">
        <v>0</v>
      </c>
      <c r="AF2455">
        <v>0</v>
      </c>
      <c r="AG2455">
        <v>0</v>
      </c>
      <c r="AH2455" t="s">
        <v>132</v>
      </c>
      <c r="AI2455" s="1">
        <v>44221.602129629631</v>
      </c>
      <c r="AJ2455">
        <v>550</v>
      </c>
      <c r="AK2455">
        <v>2</v>
      </c>
      <c r="AL2455">
        <v>0</v>
      </c>
      <c r="AM2455">
        <v>2</v>
      </c>
      <c r="AN2455">
        <v>0</v>
      </c>
      <c r="AO2455">
        <v>1</v>
      </c>
      <c r="AP2455">
        <v>4</v>
      </c>
      <c r="AQ2455">
        <v>0</v>
      </c>
      <c r="AR2455">
        <v>0</v>
      </c>
      <c r="AS2455">
        <v>0</v>
      </c>
      <c r="AT2455" t="s">
        <v>90</v>
      </c>
      <c r="AU2455" s="1">
        <v>44221.6093287037</v>
      </c>
      <c r="AV2455">
        <v>31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4</v>
      </c>
      <c r="BC2455">
        <v>0</v>
      </c>
      <c r="BD2455">
        <v>0</v>
      </c>
      <c r="BE2455">
        <v>0</v>
      </c>
    </row>
    <row r="2456" spans="1:57" x14ac:dyDescent="0.45">
      <c r="A2456" t="s">
        <v>5904</v>
      </c>
      <c r="B2456" t="s">
        <v>79</v>
      </c>
      <c r="C2456" t="s">
        <v>5887</v>
      </c>
      <c r="D2456" t="s">
        <v>81</v>
      </c>
      <c r="E2456" s="2" t="str">
        <f>HYPERLINK("capsilon://?command=openfolder&amp;siteaddress=FAM.docvelocity-na8.net&amp;folderid=FX213317B3-7D52-360F-1EC9-CA35F0758CEF","FX20125776")</f>
        <v>FX20125776</v>
      </c>
      <c r="F2456" t="s">
        <v>19</v>
      </c>
      <c r="G2456" t="s">
        <v>19</v>
      </c>
      <c r="H2456" t="s">
        <v>82</v>
      </c>
      <c r="I2456" t="s">
        <v>5888</v>
      </c>
      <c r="J2456">
        <v>38</v>
      </c>
      <c r="K2456" t="s">
        <v>84</v>
      </c>
      <c r="L2456" t="s">
        <v>85</v>
      </c>
      <c r="M2456" t="s">
        <v>86</v>
      </c>
      <c r="N2456">
        <v>3</v>
      </c>
      <c r="O2456" s="1">
        <v>44221.539756944447</v>
      </c>
      <c r="P2456" s="1">
        <v>44221.55678240741</v>
      </c>
      <c r="Q2456">
        <v>613</v>
      </c>
      <c r="R2456">
        <v>858</v>
      </c>
      <c r="S2456" t="b">
        <v>0</v>
      </c>
      <c r="T2456" t="s">
        <v>87</v>
      </c>
      <c r="U2456" t="b">
        <v>1</v>
      </c>
      <c r="V2456" t="s">
        <v>343</v>
      </c>
      <c r="W2456" s="1">
        <v>44221.549004629633</v>
      </c>
      <c r="X2456">
        <v>782</v>
      </c>
      <c r="Y2456">
        <v>37</v>
      </c>
      <c r="Z2456">
        <v>0</v>
      </c>
      <c r="AA2456">
        <v>37</v>
      </c>
      <c r="AB2456">
        <v>0</v>
      </c>
      <c r="AC2456">
        <v>34</v>
      </c>
      <c r="AD2456">
        <v>1</v>
      </c>
      <c r="AE2456">
        <v>0</v>
      </c>
      <c r="AF2456">
        <v>0</v>
      </c>
      <c r="AG2456">
        <v>0</v>
      </c>
      <c r="AH2456" t="s">
        <v>132</v>
      </c>
      <c r="AI2456" s="1">
        <v>44221.550335648149</v>
      </c>
      <c r="AJ2456">
        <v>69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 t="s">
        <v>90</v>
      </c>
      <c r="AU2456" s="1">
        <v>44221.55678240741</v>
      </c>
      <c r="AV2456">
        <v>7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1</v>
      </c>
      <c r="BC2456">
        <v>0</v>
      </c>
      <c r="BD2456">
        <v>0</v>
      </c>
      <c r="BE2456">
        <v>0</v>
      </c>
    </row>
    <row r="2457" spans="1:57" x14ac:dyDescent="0.45">
      <c r="A2457" t="s">
        <v>5905</v>
      </c>
      <c r="B2457" t="s">
        <v>79</v>
      </c>
      <c r="C2457" t="s">
        <v>5906</v>
      </c>
      <c r="D2457" t="s">
        <v>81</v>
      </c>
      <c r="E2457" s="2" t="str">
        <f>HYPERLINK("capsilon://?command=openfolder&amp;siteaddress=FAM.docvelocity-na8.net&amp;folderid=FX7B247ADA-5699-201C-68E4-12FB4B47C65E","FX201221040")</f>
        <v>FX201221040</v>
      </c>
      <c r="F2457" t="s">
        <v>19</v>
      </c>
      <c r="G2457" t="s">
        <v>19</v>
      </c>
      <c r="H2457" t="s">
        <v>82</v>
      </c>
      <c r="I2457" t="s">
        <v>5907</v>
      </c>
      <c r="J2457">
        <v>26</v>
      </c>
      <c r="K2457" t="s">
        <v>84</v>
      </c>
      <c r="L2457" t="s">
        <v>85</v>
      </c>
      <c r="M2457" t="s">
        <v>86</v>
      </c>
      <c r="N2457">
        <v>3</v>
      </c>
      <c r="O2457" s="1">
        <v>44221.543090277781</v>
      </c>
      <c r="P2457" s="1">
        <v>44221.609386574077</v>
      </c>
      <c r="Q2457">
        <v>5239</v>
      </c>
      <c r="R2457">
        <v>489</v>
      </c>
      <c r="S2457" t="b">
        <v>0</v>
      </c>
      <c r="T2457" t="s">
        <v>87</v>
      </c>
      <c r="U2457" t="b">
        <v>0</v>
      </c>
      <c r="V2457" t="s">
        <v>259</v>
      </c>
      <c r="W2457" s="1">
        <v>44221.548645833333</v>
      </c>
      <c r="X2457">
        <v>326</v>
      </c>
      <c r="Y2457">
        <v>21</v>
      </c>
      <c r="Z2457">
        <v>0</v>
      </c>
      <c r="AA2457">
        <v>21</v>
      </c>
      <c r="AB2457">
        <v>0</v>
      </c>
      <c r="AC2457">
        <v>12</v>
      </c>
      <c r="AD2457">
        <v>5</v>
      </c>
      <c r="AE2457">
        <v>0</v>
      </c>
      <c r="AF2457">
        <v>0</v>
      </c>
      <c r="AG2457">
        <v>0</v>
      </c>
      <c r="AH2457" t="s">
        <v>128</v>
      </c>
      <c r="AI2457" s="1">
        <v>44221.598726851851</v>
      </c>
      <c r="AJ2457">
        <v>159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5</v>
      </c>
      <c r="AQ2457">
        <v>0</v>
      </c>
      <c r="AR2457">
        <v>0</v>
      </c>
      <c r="AS2457">
        <v>0</v>
      </c>
      <c r="AT2457" t="s">
        <v>90</v>
      </c>
      <c r="AU2457" s="1">
        <v>44221.609386574077</v>
      </c>
      <c r="AV2457">
        <v>4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5</v>
      </c>
      <c r="BC2457">
        <v>0</v>
      </c>
      <c r="BD2457">
        <v>0</v>
      </c>
      <c r="BE2457">
        <v>0</v>
      </c>
    </row>
    <row r="2458" spans="1:57" hidden="1" x14ac:dyDescent="0.45">
      <c r="A2458" t="s">
        <v>5908</v>
      </c>
      <c r="B2458" t="s">
        <v>79</v>
      </c>
      <c r="C2458" t="s">
        <v>228</v>
      </c>
      <c r="D2458" t="s">
        <v>81</v>
      </c>
      <c r="E2458" s="2" t="str">
        <f>HYPERLINK("capsilon://?command=openfolder&amp;siteaddress=FAM.docvelocity-na8.net&amp;folderid=FX5D451816-A0CA-C012-88FD-68C733393718","FX201227485")</f>
        <v>FX201227485</v>
      </c>
      <c r="F2458" t="s">
        <v>19</v>
      </c>
      <c r="G2458" t="s">
        <v>19</v>
      </c>
      <c r="H2458" t="s">
        <v>82</v>
      </c>
      <c r="I2458" t="s">
        <v>5909</v>
      </c>
      <c r="J2458">
        <v>38</v>
      </c>
      <c r="K2458" t="s">
        <v>84</v>
      </c>
      <c r="L2458" t="s">
        <v>85</v>
      </c>
      <c r="M2458" t="s">
        <v>86</v>
      </c>
      <c r="N2458">
        <v>3</v>
      </c>
      <c r="O2458" s="1">
        <v>44221.544398148151</v>
      </c>
      <c r="P2458" s="1">
        <v>44221.609502314815</v>
      </c>
      <c r="Q2458">
        <v>5419</v>
      </c>
      <c r="R2458">
        <v>206</v>
      </c>
      <c r="S2458" t="b">
        <v>0</v>
      </c>
      <c r="T2458" t="s">
        <v>87</v>
      </c>
      <c r="U2458" t="b">
        <v>0</v>
      </c>
      <c r="V2458" t="s">
        <v>146</v>
      </c>
      <c r="W2458" s="1">
        <v>44221.550787037035</v>
      </c>
      <c r="X2458">
        <v>186</v>
      </c>
      <c r="Y2458">
        <v>0</v>
      </c>
      <c r="Z2458">
        <v>0</v>
      </c>
      <c r="AA2458">
        <v>0</v>
      </c>
      <c r="AB2458">
        <v>37</v>
      </c>
      <c r="AC2458">
        <v>0</v>
      </c>
      <c r="AD2458">
        <v>38</v>
      </c>
      <c r="AE2458">
        <v>0</v>
      </c>
      <c r="AF2458">
        <v>0</v>
      </c>
      <c r="AG2458">
        <v>0</v>
      </c>
      <c r="AH2458" t="s">
        <v>128</v>
      </c>
      <c r="AI2458" s="1">
        <v>44221.598854166667</v>
      </c>
      <c r="AJ2458">
        <v>10</v>
      </c>
      <c r="AK2458">
        <v>0</v>
      </c>
      <c r="AL2458">
        <v>0</v>
      </c>
      <c r="AM2458">
        <v>0</v>
      </c>
      <c r="AN2458">
        <v>37</v>
      </c>
      <c r="AO2458">
        <v>0</v>
      </c>
      <c r="AP2458">
        <v>38</v>
      </c>
      <c r="AQ2458">
        <v>0</v>
      </c>
      <c r="AR2458">
        <v>0</v>
      </c>
      <c r="AS2458">
        <v>0</v>
      </c>
      <c r="AT2458" t="s">
        <v>90</v>
      </c>
      <c r="AU2458" s="1">
        <v>44221.609502314815</v>
      </c>
      <c r="AV2458">
        <v>10</v>
      </c>
      <c r="AW2458">
        <v>0</v>
      </c>
      <c r="AX2458">
        <v>0</v>
      </c>
      <c r="AY2458">
        <v>0</v>
      </c>
      <c r="AZ2458">
        <v>37</v>
      </c>
      <c r="BA2458">
        <v>0</v>
      </c>
      <c r="BB2458">
        <v>38</v>
      </c>
      <c r="BC2458">
        <v>0</v>
      </c>
      <c r="BD2458">
        <v>0</v>
      </c>
      <c r="BE2458">
        <v>0</v>
      </c>
    </row>
    <row r="2459" spans="1:57" x14ac:dyDescent="0.45">
      <c r="A2459" t="s">
        <v>5910</v>
      </c>
      <c r="B2459" t="s">
        <v>79</v>
      </c>
      <c r="C2459" t="s">
        <v>5911</v>
      </c>
      <c r="D2459" t="s">
        <v>81</v>
      </c>
      <c r="E2459" s="2" t="str">
        <f>HYPERLINK("capsilon://?command=openfolder&amp;siteaddress=FAM.docvelocity-na8.net&amp;folderid=FX006EBBA9-E7A7-9058-9AE8-3A65BC049E82","FX20125193")</f>
        <v>FX20125193</v>
      </c>
      <c r="F2459" t="s">
        <v>19</v>
      </c>
      <c r="G2459" t="s">
        <v>19</v>
      </c>
      <c r="H2459" t="s">
        <v>82</v>
      </c>
      <c r="I2459" t="s">
        <v>5912</v>
      </c>
      <c r="J2459">
        <v>183</v>
      </c>
      <c r="K2459" t="s">
        <v>84</v>
      </c>
      <c r="L2459" t="s">
        <v>85</v>
      </c>
      <c r="M2459" t="s">
        <v>86</v>
      </c>
      <c r="N2459">
        <v>3</v>
      </c>
      <c r="O2459" s="1">
        <v>44221.549027777779</v>
      </c>
      <c r="P2459" s="1">
        <v>44221.610150462962</v>
      </c>
      <c r="Q2459">
        <v>3611</v>
      </c>
      <c r="R2459">
        <v>1670</v>
      </c>
      <c r="S2459" t="b">
        <v>0</v>
      </c>
      <c r="T2459" t="s">
        <v>87</v>
      </c>
      <c r="U2459" t="b">
        <v>0</v>
      </c>
      <c r="V2459" t="s">
        <v>343</v>
      </c>
      <c r="W2459" s="1">
        <v>44221.564097222225</v>
      </c>
      <c r="X2459">
        <v>1297</v>
      </c>
      <c r="Y2459">
        <v>108</v>
      </c>
      <c r="Z2459">
        <v>0</v>
      </c>
      <c r="AA2459">
        <v>108</v>
      </c>
      <c r="AB2459">
        <v>0</v>
      </c>
      <c r="AC2459">
        <v>27</v>
      </c>
      <c r="AD2459">
        <v>75</v>
      </c>
      <c r="AE2459">
        <v>0</v>
      </c>
      <c r="AF2459">
        <v>0</v>
      </c>
      <c r="AG2459">
        <v>0</v>
      </c>
      <c r="AH2459" t="s">
        <v>128</v>
      </c>
      <c r="AI2459" s="1">
        <v>44221.602546296293</v>
      </c>
      <c r="AJ2459">
        <v>318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75</v>
      </c>
      <c r="AQ2459">
        <v>0</v>
      </c>
      <c r="AR2459">
        <v>0</v>
      </c>
      <c r="AS2459">
        <v>0</v>
      </c>
      <c r="AT2459" t="s">
        <v>90</v>
      </c>
      <c r="AU2459" s="1">
        <v>44221.610150462962</v>
      </c>
      <c r="AV2459">
        <v>55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75</v>
      </c>
      <c r="BC2459">
        <v>0</v>
      </c>
      <c r="BD2459">
        <v>0</v>
      </c>
      <c r="BE2459">
        <v>0</v>
      </c>
    </row>
    <row r="2460" spans="1:57" x14ac:dyDescent="0.45">
      <c r="A2460" t="s">
        <v>5913</v>
      </c>
      <c r="B2460" t="s">
        <v>79</v>
      </c>
      <c r="C2460" t="s">
        <v>5914</v>
      </c>
      <c r="D2460" t="s">
        <v>81</v>
      </c>
      <c r="E2460" s="2" t="str">
        <f>HYPERLINK("capsilon://?command=openfolder&amp;siteaddress=FAM.docvelocity-na8.net&amp;folderid=FX5392057E-4617-4D09-DD0C-8059BA5A372B","FX210112889")</f>
        <v>FX210112889</v>
      </c>
      <c r="F2460" t="s">
        <v>19</v>
      </c>
      <c r="G2460" t="s">
        <v>19</v>
      </c>
      <c r="H2460" t="s">
        <v>82</v>
      </c>
      <c r="I2460" t="s">
        <v>5915</v>
      </c>
      <c r="J2460">
        <v>120</v>
      </c>
      <c r="K2460" t="s">
        <v>84</v>
      </c>
      <c r="L2460" t="s">
        <v>85</v>
      </c>
      <c r="M2460" t="s">
        <v>86</v>
      </c>
      <c r="N2460">
        <v>3</v>
      </c>
      <c r="O2460" s="1">
        <v>44221.550578703704</v>
      </c>
      <c r="P2460" s="1">
        <v>44221.610520833332</v>
      </c>
      <c r="Q2460">
        <v>3168</v>
      </c>
      <c r="R2460">
        <v>2011</v>
      </c>
      <c r="S2460" t="b">
        <v>0</v>
      </c>
      <c r="T2460" t="s">
        <v>87</v>
      </c>
      <c r="U2460" t="b">
        <v>0</v>
      </c>
      <c r="V2460" t="s">
        <v>146</v>
      </c>
      <c r="W2460" s="1">
        <v>44221.571018518516</v>
      </c>
      <c r="X2460">
        <v>1747</v>
      </c>
      <c r="Y2460">
        <v>144</v>
      </c>
      <c r="Z2460">
        <v>0</v>
      </c>
      <c r="AA2460">
        <v>144</v>
      </c>
      <c r="AB2460">
        <v>0</v>
      </c>
      <c r="AC2460">
        <v>83</v>
      </c>
      <c r="AD2460">
        <v>-24</v>
      </c>
      <c r="AE2460">
        <v>0</v>
      </c>
      <c r="AF2460">
        <v>0</v>
      </c>
      <c r="AG2460">
        <v>0</v>
      </c>
      <c r="AH2460" t="s">
        <v>132</v>
      </c>
      <c r="AI2460" s="1">
        <v>44221.604837962965</v>
      </c>
      <c r="AJ2460">
        <v>233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-24</v>
      </c>
      <c r="AQ2460">
        <v>0</v>
      </c>
      <c r="AR2460">
        <v>0</v>
      </c>
      <c r="AS2460">
        <v>0</v>
      </c>
      <c r="AT2460" t="s">
        <v>90</v>
      </c>
      <c r="AU2460" s="1">
        <v>44221.610520833332</v>
      </c>
      <c r="AV2460">
        <v>31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-24</v>
      </c>
      <c r="BC2460">
        <v>0</v>
      </c>
      <c r="BD2460">
        <v>0</v>
      </c>
      <c r="BE2460">
        <v>0</v>
      </c>
    </row>
    <row r="2461" spans="1:57" x14ac:dyDescent="0.45">
      <c r="A2461" t="s">
        <v>5916</v>
      </c>
      <c r="B2461" t="s">
        <v>79</v>
      </c>
      <c r="C2461" t="s">
        <v>1694</v>
      </c>
      <c r="D2461" t="s">
        <v>81</v>
      </c>
      <c r="E2461" s="2" t="str">
        <f>HYPERLINK("capsilon://?command=openfolder&amp;siteaddress=FAM.docvelocity-na8.net&amp;folderid=FXD80F3E95-85DC-A3C1-8B94-2C365488A410","FX20111599")</f>
        <v>FX20111599</v>
      </c>
      <c r="F2461" t="s">
        <v>19</v>
      </c>
      <c r="G2461" t="s">
        <v>19</v>
      </c>
      <c r="H2461" t="s">
        <v>82</v>
      </c>
      <c r="I2461" t="s">
        <v>5917</v>
      </c>
      <c r="J2461">
        <v>123</v>
      </c>
      <c r="K2461" t="s">
        <v>84</v>
      </c>
      <c r="L2461" t="s">
        <v>85</v>
      </c>
      <c r="M2461" t="s">
        <v>86</v>
      </c>
      <c r="N2461">
        <v>3</v>
      </c>
      <c r="O2461" s="1">
        <v>44201.578229166669</v>
      </c>
      <c r="P2461" s="1">
        <v>44201.61377314815</v>
      </c>
      <c r="Q2461">
        <v>868</v>
      </c>
      <c r="R2461">
        <v>2203</v>
      </c>
      <c r="S2461" t="b">
        <v>0</v>
      </c>
      <c r="T2461" t="s">
        <v>87</v>
      </c>
      <c r="U2461" t="b">
        <v>0</v>
      </c>
      <c r="V2461" t="s">
        <v>179</v>
      </c>
      <c r="W2461" s="1">
        <v>44201.597928240742</v>
      </c>
      <c r="X2461">
        <v>1666</v>
      </c>
      <c r="Y2461">
        <v>102</v>
      </c>
      <c r="Z2461">
        <v>0</v>
      </c>
      <c r="AA2461">
        <v>102</v>
      </c>
      <c r="AB2461">
        <v>0</v>
      </c>
      <c r="AC2461">
        <v>58</v>
      </c>
      <c r="AD2461">
        <v>21</v>
      </c>
      <c r="AE2461">
        <v>0</v>
      </c>
      <c r="AF2461">
        <v>0</v>
      </c>
      <c r="AG2461">
        <v>0</v>
      </c>
      <c r="AH2461" t="s">
        <v>94</v>
      </c>
      <c r="AI2461" s="1">
        <v>44201.607141203705</v>
      </c>
      <c r="AJ2461">
        <v>447</v>
      </c>
      <c r="AK2461">
        <v>3</v>
      </c>
      <c r="AL2461">
        <v>0</v>
      </c>
      <c r="AM2461">
        <v>3</v>
      </c>
      <c r="AN2461">
        <v>0</v>
      </c>
      <c r="AO2461">
        <v>2</v>
      </c>
      <c r="AP2461">
        <v>18</v>
      </c>
      <c r="AQ2461">
        <v>0</v>
      </c>
      <c r="AR2461">
        <v>0</v>
      </c>
      <c r="AS2461">
        <v>0</v>
      </c>
      <c r="AT2461" t="s">
        <v>90</v>
      </c>
      <c r="AU2461" s="1">
        <v>44201.61377314815</v>
      </c>
      <c r="AV2461">
        <v>90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18</v>
      </c>
      <c r="BC2461">
        <v>0</v>
      </c>
      <c r="BD2461">
        <v>0</v>
      </c>
      <c r="BE2461">
        <v>0</v>
      </c>
    </row>
    <row r="2462" spans="1:57" x14ac:dyDescent="0.45">
      <c r="A2462" t="s">
        <v>5918</v>
      </c>
      <c r="B2462" t="s">
        <v>79</v>
      </c>
      <c r="C2462" t="s">
        <v>5919</v>
      </c>
      <c r="D2462" t="s">
        <v>81</v>
      </c>
      <c r="E2462" s="2" t="str">
        <f>HYPERLINK("capsilon://?command=openfolder&amp;siteaddress=FAM.docvelocity-na8.net&amp;folderid=FXB64945B4-F0C4-3E0D-FA86-E18C3B031A0F","FX210114907")</f>
        <v>FX210114907</v>
      </c>
      <c r="F2462" t="s">
        <v>19</v>
      </c>
      <c r="G2462" t="s">
        <v>19</v>
      </c>
      <c r="H2462" t="s">
        <v>82</v>
      </c>
      <c r="I2462" t="s">
        <v>5920</v>
      </c>
      <c r="J2462">
        <v>139</v>
      </c>
      <c r="K2462" t="s">
        <v>84</v>
      </c>
      <c r="L2462" t="s">
        <v>85</v>
      </c>
      <c r="M2462" t="s">
        <v>86</v>
      </c>
      <c r="N2462">
        <v>3</v>
      </c>
      <c r="O2462" s="1">
        <v>44221.551851851851</v>
      </c>
      <c r="P2462" s="1">
        <v>44221.684201388889</v>
      </c>
      <c r="Q2462">
        <v>2466</v>
      </c>
      <c r="R2462">
        <v>8969</v>
      </c>
      <c r="S2462" t="b">
        <v>0</v>
      </c>
      <c r="T2462" t="s">
        <v>87</v>
      </c>
      <c r="U2462" t="b">
        <v>0</v>
      </c>
      <c r="V2462" t="s">
        <v>259</v>
      </c>
      <c r="W2462" s="1">
        <v>44221.654004629629</v>
      </c>
      <c r="X2462">
        <v>8535</v>
      </c>
      <c r="Y2462">
        <v>160</v>
      </c>
      <c r="Z2462">
        <v>0</v>
      </c>
      <c r="AA2462">
        <v>160</v>
      </c>
      <c r="AB2462">
        <v>0</v>
      </c>
      <c r="AC2462">
        <v>79</v>
      </c>
      <c r="AD2462">
        <v>-21</v>
      </c>
      <c r="AE2462">
        <v>0</v>
      </c>
      <c r="AF2462">
        <v>0</v>
      </c>
      <c r="AG2462">
        <v>0</v>
      </c>
      <c r="AH2462" t="s">
        <v>132</v>
      </c>
      <c r="AI2462" s="1">
        <v>44221.66033564815</v>
      </c>
      <c r="AJ2462">
        <v>357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-21</v>
      </c>
      <c r="AQ2462">
        <v>0</v>
      </c>
      <c r="AR2462">
        <v>0</v>
      </c>
      <c r="AS2462">
        <v>0</v>
      </c>
      <c r="AT2462" t="s">
        <v>90</v>
      </c>
      <c r="AU2462" s="1">
        <v>44221.684201388889</v>
      </c>
      <c r="AV2462">
        <v>33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-21</v>
      </c>
      <c r="BC2462">
        <v>0</v>
      </c>
      <c r="BD2462">
        <v>0</v>
      </c>
      <c r="BE2462">
        <v>0</v>
      </c>
    </row>
    <row r="2463" spans="1:57" hidden="1" x14ac:dyDescent="0.45">
      <c r="A2463" t="s">
        <v>5921</v>
      </c>
      <c r="B2463" t="s">
        <v>79</v>
      </c>
      <c r="C2463" t="s">
        <v>5922</v>
      </c>
      <c r="D2463" t="s">
        <v>81</v>
      </c>
      <c r="E2463" s="2" t="str">
        <f>HYPERLINK("capsilon://?command=openfolder&amp;siteaddress=FAM.docvelocity-na8.net&amp;folderid=FXE3A2260C-35B8-3D26-68C6-25A54867B932","FX201220648")</f>
        <v>FX201220648</v>
      </c>
      <c r="F2463" t="s">
        <v>19</v>
      </c>
      <c r="G2463" t="s">
        <v>19</v>
      </c>
      <c r="H2463" t="s">
        <v>82</v>
      </c>
      <c r="I2463" t="s">
        <v>5923</v>
      </c>
      <c r="J2463">
        <v>66</v>
      </c>
      <c r="K2463" t="s">
        <v>84</v>
      </c>
      <c r="L2463" t="s">
        <v>85</v>
      </c>
      <c r="M2463" t="s">
        <v>86</v>
      </c>
      <c r="N2463">
        <v>1</v>
      </c>
      <c r="O2463" s="1">
        <v>44221.552349537036</v>
      </c>
      <c r="P2463" s="1">
        <v>44221.565567129626</v>
      </c>
      <c r="Q2463">
        <v>997</v>
      </c>
      <c r="R2463">
        <v>145</v>
      </c>
      <c r="S2463" t="b">
        <v>0</v>
      </c>
      <c r="T2463" t="s">
        <v>87</v>
      </c>
      <c r="U2463" t="b">
        <v>0</v>
      </c>
      <c r="V2463" t="s">
        <v>343</v>
      </c>
      <c r="W2463" s="1">
        <v>44221.565567129626</v>
      </c>
      <c r="X2463">
        <v>126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66</v>
      </c>
      <c r="AE2463">
        <v>52</v>
      </c>
      <c r="AF2463">
        <v>0</v>
      </c>
      <c r="AG2463">
        <v>1</v>
      </c>
      <c r="AH2463" t="s">
        <v>87</v>
      </c>
      <c r="AI2463" t="s">
        <v>87</v>
      </c>
      <c r="AJ2463" t="s">
        <v>87</v>
      </c>
      <c r="AK2463" t="s">
        <v>87</v>
      </c>
      <c r="AL2463" t="s">
        <v>87</v>
      </c>
      <c r="AM2463" t="s">
        <v>87</v>
      </c>
      <c r="AN2463" t="s">
        <v>87</v>
      </c>
      <c r="AO2463" t="s">
        <v>87</v>
      </c>
      <c r="AP2463" t="s">
        <v>87</v>
      </c>
      <c r="AQ2463" t="s">
        <v>87</v>
      </c>
      <c r="AR2463" t="s">
        <v>87</v>
      </c>
      <c r="AS2463" t="s">
        <v>87</v>
      </c>
      <c r="AT2463" t="s">
        <v>87</v>
      </c>
      <c r="AU2463" t="s">
        <v>87</v>
      </c>
      <c r="AV2463" t="s">
        <v>87</v>
      </c>
      <c r="AW2463" t="s">
        <v>87</v>
      </c>
      <c r="AX2463" t="s">
        <v>87</v>
      </c>
      <c r="AY2463" t="s">
        <v>87</v>
      </c>
      <c r="AZ2463" t="s">
        <v>87</v>
      </c>
      <c r="BA2463" t="s">
        <v>87</v>
      </c>
      <c r="BB2463" t="s">
        <v>87</v>
      </c>
      <c r="BC2463" t="s">
        <v>87</v>
      </c>
      <c r="BD2463" t="s">
        <v>87</v>
      </c>
      <c r="BE2463" t="s">
        <v>87</v>
      </c>
    </row>
    <row r="2464" spans="1:57" x14ac:dyDescent="0.45">
      <c r="A2464" t="s">
        <v>5924</v>
      </c>
      <c r="B2464" t="s">
        <v>79</v>
      </c>
      <c r="C2464" t="s">
        <v>5766</v>
      </c>
      <c r="D2464" t="s">
        <v>81</v>
      </c>
      <c r="E2464" s="2" t="str">
        <f>HYPERLINK("capsilon://?command=openfolder&amp;siteaddress=FAM.docvelocity-na8.net&amp;folderid=FX9B299C91-CA19-D74F-0A21-7A4D5AD3DDB7","FX201221185")</f>
        <v>FX201221185</v>
      </c>
      <c r="F2464" t="s">
        <v>19</v>
      </c>
      <c r="G2464" t="s">
        <v>19</v>
      </c>
      <c r="H2464" t="s">
        <v>82</v>
      </c>
      <c r="I2464" t="s">
        <v>5767</v>
      </c>
      <c r="J2464">
        <v>375</v>
      </c>
      <c r="K2464" t="s">
        <v>84</v>
      </c>
      <c r="L2464" t="s">
        <v>85</v>
      </c>
      <c r="M2464" t="s">
        <v>86</v>
      </c>
      <c r="N2464">
        <v>3</v>
      </c>
      <c r="O2464" s="1">
        <v>44201.5783912037</v>
      </c>
      <c r="P2464" s="1">
        <v>44201.620243055557</v>
      </c>
      <c r="Q2464">
        <v>211</v>
      </c>
      <c r="R2464">
        <v>3405</v>
      </c>
      <c r="S2464" t="b">
        <v>0</v>
      </c>
      <c r="T2464" t="s">
        <v>87</v>
      </c>
      <c r="U2464" t="b">
        <v>1</v>
      </c>
      <c r="V2464" t="s">
        <v>160</v>
      </c>
      <c r="W2464" s="1">
        <v>44201.611550925925</v>
      </c>
      <c r="X2464">
        <v>2844</v>
      </c>
      <c r="Y2464">
        <v>351</v>
      </c>
      <c r="Z2464">
        <v>0</v>
      </c>
      <c r="AA2464">
        <v>351</v>
      </c>
      <c r="AB2464">
        <v>0</v>
      </c>
      <c r="AC2464">
        <v>161</v>
      </c>
      <c r="AD2464">
        <v>24</v>
      </c>
      <c r="AE2464">
        <v>0</v>
      </c>
      <c r="AF2464">
        <v>0</v>
      </c>
      <c r="AG2464">
        <v>0</v>
      </c>
      <c r="AH2464" t="s">
        <v>94</v>
      </c>
      <c r="AI2464" s="1">
        <v>44201.617974537039</v>
      </c>
      <c r="AJ2464">
        <v>536</v>
      </c>
      <c r="AK2464">
        <v>2</v>
      </c>
      <c r="AL2464">
        <v>0</v>
      </c>
      <c r="AM2464">
        <v>2</v>
      </c>
      <c r="AN2464">
        <v>0</v>
      </c>
      <c r="AO2464">
        <v>1</v>
      </c>
      <c r="AP2464">
        <v>22</v>
      </c>
      <c r="AQ2464">
        <v>0</v>
      </c>
      <c r="AR2464">
        <v>0</v>
      </c>
      <c r="AS2464">
        <v>0</v>
      </c>
      <c r="AT2464" t="s">
        <v>90</v>
      </c>
      <c r="AU2464" s="1">
        <v>44201.620243055557</v>
      </c>
      <c r="AV2464">
        <v>25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22</v>
      </c>
      <c r="BC2464">
        <v>0</v>
      </c>
      <c r="BD2464">
        <v>0</v>
      </c>
      <c r="BE2464">
        <v>0</v>
      </c>
    </row>
    <row r="2465" spans="1:57" hidden="1" x14ac:dyDescent="0.45">
      <c r="A2465" t="s">
        <v>5925</v>
      </c>
      <c r="B2465" t="s">
        <v>79</v>
      </c>
      <c r="C2465" t="s">
        <v>5926</v>
      </c>
      <c r="D2465" t="s">
        <v>81</v>
      </c>
      <c r="E2465" s="2" t="str">
        <f>HYPERLINK("capsilon://?command=openfolder&amp;siteaddress=FAM.docvelocity-na8.net&amp;folderid=FX5DC802AF-5786-D1CA-7DC0-3AC554AFC650","FX20113539")</f>
        <v>FX20113539</v>
      </c>
      <c r="F2465" t="s">
        <v>19</v>
      </c>
      <c r="G2465" t="s">
        <v>19</v>
      </c>
      <c r="H2465" t="s">
        <v>82</v>
      </c>
      <c r="I2465" t="s">
        <v>5927</v>
      </c>
      <c r="J2465">
        <v>66</v>
      </c>
      <c r="K2465" t="s">
        <v>84</v>
      </c>
      <c r="L2465" t="s">
        <v>85</v>
      </c>
      <c r="M2465" t="s">
        <v>86</v>
      </c>
      <c r="N2465">
        <v>3</v>
      </c>
      <c r="O2465" s="1">
        <v>44201.578472222223</v>
      </c>
      <c r="P2465" s="1">
        <v>44201.602777777778</v>
      </c>
      <c r="Q2465">
        <v>1965</v>
      </c>
      <c r="R2465">
        <v>135</v>
      </c>
      <c r="S2465" t="b">
        <v>0</v>
      </c>
      <c r="T2465" t="s">
        <v>87</v>
      </c>
      <c r="U2465" t="b">
        <v>0</v>
      </c>
      <c r="V2465" t="s">
        <v>255</v>
      </c>
      <c r="W2465" s="1">
        <v>44201.580706018518</v>
      </c>
      <c r="X2465">
        <v>109</v>
      </c>
      <c r="Y2465">
        <v>0</v>
      </c>
      <c r="Z2465">
        <v>0</v>
      </c>
      <c r="AA2465">
        <v>0</v>
      </c>
      <c r="AB2465">
        <v>52</v>
      </c>
      <c r="AC2465">
        <v>0</v>
      </c>
      <c r="AD2465">
        <v>66</v>
      </c>
      <c r="AE2465">
        <v>0</v>
      </c>
      <c r="AF2465">
        <v>0</v>
      </c>
      <c r="AG2465">
        <v>0</v>
      </c>
      <c r="AH2465" t="s">
        <v>267</v>
      </c>
      <c r="AI2465" s="1">
        <v>44201.597870370373</v>
      </c>
      <c r="AJ2465">
        <v>23</v>
      </c>
      <c r="AK2465">
        <v>0</v>
      </c>
      <c r="AL2465">
        <v>0</v>
      </c>
      <c r="AM2465">
        <v>0</v>
      </c>
      <c r="AN2465">
        <v>52</v>
      </c>
      <c r="AO2465">
        <v>0</v>
      </c>
      <c r="AP2465">
        <v>66</v>
      </c>
      <c r="AQ2465">
        <v>0</v>
      </c>
      <c r="AR2465">
        <v>0</v>
      </c>
      <c r="AS2465">
        <v>0</v>
      </c>
      <c r="AT2465" t="s">
        <v>90</v>
      </c>
      <c r="AU2465" s="1">
        <v>44201.602777777778</v>
      </c>
      <c r="AV2465">
        <v>3</v>
      </c>
      <c r="AW2465">
        <v>0</v>
      </c>
      <c r="AX2465">
        <v>0</v>
      </c>
      <c r="AY2465">
        <v>0</v>
      </c>
      <c r="AZ2465">
        <v>52</v>
      </c>
      <c r="BA2465">
        <v>0</v>
      </c>
      <c r="BB2465">
        <v>66</v>
      </c>
      <c r="BC2465">
        <v>0</v>
      </c>
      <c r="BD2465">
        <v>0</v>
      </c>
      <c r="BE2465">
        <v>0</v>
      </c>
    </row>
    <row r="2466" spans="1:57" hidden="1" x14ac:dyDescent="0.45">
      <c r="A2466" t="s">
        <v>5928</v>
      </c>
      <c r="B2466" t="s">
        <v>79</v>
      </c>
      <c r="C2466" t="s">
        <v>5929</v>
      </c>
      <c r="D2466" t="s">
        <v>81</v>
      </c>
      <c r="E2466" s="2" t="str">
        <f>HYPERLINK("capsilon://?command=openfolder&amp;siteaddress=FAM.docvelocity-na8.net&amp;folderid=FX8C45DD01-D193-AE41-BACC-E4C9A88989DF","FX20113289")</f>
        <v>FX20113289</v>
      </c>
      <c r="F2466" t="s">
        <v>19</v>
      </c>
      <c r="G2466" t="s">
        <v>19</v>
      </c>
      <c r="H2466" t="s">
        <v>82</v>
      </c>
      <c r="I2466" t="s">
        <v>5930</v>
      </c>
      <c r="J2466">
        <v>66</v>
      </c>
      <c r="K2466" t="s">
        <v>84</v>
      </c>
      <c r="L2466" t="s">
        <v>85</v>
      </c>
      <c r="M2466" t="s">
        <v>86</v>
      </c>
      <c r="N2466">
        <v>3</v>
      </c>
      <c r="O2466" s="1">
        <v>44221.554108796299</v>
      </c>
      <c r="P2466" s="1">
        <v>44221.610555555555</v>
      </c>
      <c r="Q2466">
        <v>4787</v>
      </c>
      <c r="R2466">
        <v>90</v>
      </c>
      <c r="S2466" t="b">
        <v>0</v>
      </c>
      <c r="T2466" t="s">
        <v>87</v>
      </c>
      <c r="U2466" t="b">
        <v>0</v>
      </c>
      <c r="V2466" t="s">
        <v>255</v>
      </c>
      <c r="W2466" s="1">
        <v>44221.568784722222</v>
      </c>
      <c r="X2466">
        <v>62</v>
      </c>
      <c r="Y2466">
        <v>0</v>
      </c>
      <c r="Z2466">
        <v>0</v>
      </c>
      <c r="AA2466">
        <v>0</v>
      </c>
      <c r="AB2466">
        <v>52</v>
      </c>
      <c r="AC2466">
        <v>0</v>
      </c>
      <c r="AD2466">
        <v>66</v>
      </c>
      <c r="AE2466">
        <v>0</v>
      </c>
      <c r="AF2466">
        <v>0</v>
      </c>
      <c r="AG2466">
        <v>0</v>
      </c>
      <c r="AH2466" t="s">
        <v>128</v>
      </c>
      <c r="AI2466" s="1">
        <v>44221.602662037039</v>
      </c>
      <c r="AJ2466">
        <v>9</v>
      </c>
      <c r="AK2466">
        <v>0</v>
      </c>
      <c r="AL2466">
        <v>0</v>
      </c>
      <c r="AM2466">
        <v>0</v>
      </c>
      <c r="AN2466">
        <v>52</v>
      </c>
      <c r="AO2466">
        <v>0</v>
      </c>
      <c r="AP2466">
        <v>66</v>
      </c>
      <c r="AQ2466">
        <v>0</v>
      </c>
      <c r="AR2466">
        <v>0</v>
      </c>
      <c r="AS2466">
        <v>0</v>
      </c>
      <c r="AT2466" t="s">
        <v>90</v>
      </c>
      <c r="AU2466" s="1">
        <v>44221.610555555555</v>
      </c>
      <c r="AV2466">
        <v>2</v>
      </c>
      <c r="AW2466">
        <v>0</v>
      </c>
      <c r="AX2466">
        <v>0</v>
      </c>
      <c r="AY2466">
        <v>0</v>
      </c>
      <c r="AZ2466">
        <v>52</v>
      </c>
      <c r="BA2466">
        <v>0</v>
      </c>
      <c r="BB2466">
        <v>66</v>
      </c>
      <c r="BC2466">
        <v>0</v>
      </c>
      <c r="BD2466">
        <v>0</v>
      </c>
      <c r="BE2466">
        <v>0</v>
      </c>
    </row>
    <row r="2467" spans="1:57" x14ac:dyDescent="0.45">
      <c r="A2467" t="s">
        <v>5931</v>
      </c>
      <c r="B2467" t="s">
        <v>79</v>
      </c>
      <c r="C2467" t="s">
        <v>868</v>
      </c>
      <c r="D2467" t="s">
        <v>81</v>
      </c>
      <c r="E2467" s="2" t="str">
        <f>HYPERLINK("capsilon://?command=openfolder&amp;siteaddress=FAM.docvelocity-na8.net&amp;folderid=FXD6F9673C-CB6D-A7EC-26D6-1C9592D30343","FX20121075")</f>
        <v>FX20121075</v>
      </c>
      <c r="F2467" t="s">
        <v>19</v>
      </c>
      <c r="G2467" t="s">
        <v>19</v>
      </c>
      <c r="H2467" t="s">
        <v>82</v>
      </c>
      <c r="I2467" t="s">
        <v>5932</v>
      </c>
      <c r="J2467">
        <v>31</v>
      </c>
      <c r="K2467" t="s">
        <v>84</v>
      </c>
      <c r="L2467" t="s">
        <v>85</v>
      </c>
      <c r="M2467" t="s">
        <v>86</v>
      </c>
      <c r="N2467">
        <v>3</v>
      </c>
      <c r="O2467" s="1">
        <v>44221.560590277775</v>
      </c>
      <c r="P2467" s="1">
        <v>44221.610972222225</v>
      </c>
      <c r="Q2467">
        <v>3730</v>
      </c>
      <c r="R2467">
        <v>623</v>
      </c>
      <c r="S2467" t="b">
        <v>0</v>
      </c>
      <c r="T2467" t="s">
        <v>87</v>
      </c>
      <c r="U2467" t="b">
        <v>0</v>
      </c>
      <c r="V2467" t="s">
        <v>259</v>
      </c>
      <c r="W2467" s="1">
        <v>44221.571284722224</v>
      </c>
      <c r="X2467">
        <v>478</v>
      </c>
      <c r="Y2467">
        <v>27</v>
      </c>
      <c r="Z2467">
        <v>0</v>
      </c>
      <c r="AA2467">
        <v>27</v>
      </c>
      <c r="AB2467">
        <v>0</v>
      </c>
      <c r="AC2467">
        <v>16</v>
      </c>
      <c r="AD2467">
        <v>4</v>
      </c>
      <c r="AE2467">
        <v>0</v>
      </c>
      <c r="AF2467">
        <v>0</v>
      </c>
      <c r="AG2467">
        <v>0</v>
      </c>
      <c r="AH2467" t="s">
        <v>128</v>
      </c>
      <c r="AI2467" s="1">
        <v>44221.603946759256</v>
      </c>
      <c r="AJ2467">
        <v>110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4</v>
      </c>
      <c r="AQ2467">
        <v>0</v>
      </c>
      <c r="AR2467">
        <v>0</v>
      </c>
      <c r="AS2467">
        <v>0</v>
      </c>
      <c r="AT2467" t="s">
        <v>90</v>
      </c>
      <c r="AU2467" s="1">
        <v>44221.610972222225</v>
      </c>
      <c r="AV2467">
        <v>35</v>
      </c>
      <c r="AW2467">
        <v>0</v>
      </c>
      <c r="AX2467">
        <v>0</v>
      </c>
      <c r="AY2467">
        <v>0</v>
      </c>
      <c r="AZ2467">
        <v>27</v>
      </c>
      <c r="BA2467">
        <v>0</v>
      </c>
      <c r="BB2467">
        <v>4</v>
      </c>
      <c r="BC2467">
        <v>0</v>
      </c>
      <c r="BD2467">
        <v>0</v>
      </c>
      <c r="BE2467">
        <v>0</v>
      </c>
    </row>
    <row r="2468" spans="1:57" x14ac:dyDescent="0.45">
      <c r="A2468" t="s">
        <v>5933</v>
      </c>
      <c r="B2468" t="s">
        <v>79</v>
      </c>
      <c r="C2468" t="s">
        <v>868</v>
      </c>
      <c r="D2468" t="s">
        <v>81</v>
      </c>
      <c r="E2468" s="2" t="str">
        <f>HYPERLINK("capsilon://?command=openfolder&amp;siteaddress=FAM.docvelocity-na8.net&amp;folderid=FXD6F9673C-CB6D-A7EC-26D6-1C9592D30343","FX20121075")</f>
        <v>FX20121075</v>
      </c>
      <c r="F2468" t="s">
        <v>19</v>
      </c>
      <c r="G2468" t="s">
        <v>19</v>
      </c>
      <c r="H2468" t="s">
        <v>82</v>
      </c>
      <c r="I2468" t="s">
        <v>5934</v>
      </c>
      <c r="J2468">
        <v>55</v>
      </c>
      <c r="K2468" t="s">
        <v>84</v>
      </c>
      <c r="L2468" t="s">
        <v>85</v>
      </c>
      <c r="M2468" t="s">
        <v>86</v>
      </c>
      <c r="N2468">
        <v>3</v>
      </c>
      <c r="O2468" s="1">
        <v>44221.562060185184</v>
      </c>
      <c r="P2468" s="1">
        <v>44221.611354166664</v>
      </c>
      <c r="Q2468">
        <v>3390</v>
      </c>
      <c r="R2468">
        <v>869</v>
      </c>
      <c r="S2468" t="b">
        <v>0</v>
      </c>
      <c r="T2468" t="s">
        <v>87</v>
      </c>
      <c r="U2468" t="b">
        <v>0</v>
      </c>
      <c r="V2468" t="s">
        <v>255</v>
      </c>
      <c r="W2468" s="1">
        <v>44221.576932870368</v>
      </c>
      <c r="X2468">
        <v>703</v>
      </c>
      <c r="Y2468">
        <v>56</v>
      </c>
      <c r="Z2468">
        <v>0</v>
      </c>
      <c r="AA2468">
        <v>56</v>
      </c>
      <c r="AB2468">
        <v>0</v>
      </c>
      <c r="AC2468">
        <v>26</v>
      </c>
      <c r="AD2468">
        <v>-1</v>
      </c>
      <c r="AE2468">
        <v>0</v>
      </c>
      <c r="AF2468">
        <v>0</v>
      </c>
      <c r="AG2468">
        <v>0</v>
      </c>
      <c r="AH2468" t="s">
        <v>128</v>
      </c>
      <c r="AI2468" s="1">
        <v>44221.605497685188</v>
      </c>
      <c r="AJ2468">
        <v>133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-1</v>
      </c>
      <c r="AQ2468">
        <v>0</v>
      </c>
      <c r="AR2468">
        <v>0</v>
      </c>
      <c r="AS2468">
        <v>0</v>
      </c>
      <c r="AT2468" t="s">
        <v>90</v>
      </c>
      <c r="AU2468" s="1">
        <v>44221.611354166664</v>
      </c>
      <c r="AV2468">
        <v>33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-1</v>
      </c>
      <c r="BC2468">
        <v>0</v>
      </c>
      <c r="BD2468">
        <v>0</v>
      </c>
      <c r="BE2468">
        <v>0</v>
      </c>
    </row>
    <row r="2469" spans="1:57" hidden="1" x14ac:dyDescent="0.45">
      <c r="A2469" t="s">
        <v>5935</v>
      </c>
      <c r="B2469" t="s">
        <v>79</v>
      </c>
      <c r="C2469" t="s">
        <v>297</v>
      </c>
      <c r="D2469" t="s">
        <v>81</v>
      </c>
      <c r="E2469" s="2" t="str">
        <f>HYPERLINK("capsilon://?command=openfolder&amp;siteaddress=FAM.docvelocity-na8.net&amp;folderid=FX2479CCCD-400C-6FBA-D49B-1C32E065F806","FX2012244")</f>
        <v>FX2012244</v>
      </c>
      <c r="F2469" t="s">
        <v>19</v>
      </c>
      <c r="G2469" t="s">
        <v>19</v>
      </c>
      <c r="H2469" t="s">
        <v>82</v>
      </c>
      <c r="I2469" t="s">
        <v>5936</v>
      </c>
      <c r="J2469">
        <v>66</v>
      </c>
      <c r="K2469" t="s">
        <v>84</v>
      </c>
      <c r="L2469" t="s">
        <v>85</v>
      </c>
      <c r="M2469" t="s">
        <v>86</v>
      </c>
      <c r="N2469">
        <v>3</v>
      </c>
      <c r="O2469" s="1">
        <v>44221.564085648148</v>
      </c>
      <c r="P2469" s="1">
        <v>44221.611400462964</v>
      </c>
      <c r="Q2469">
        <v>4006</v>
      </c>
      <c r="R2469">
        <v>82</v>
      </c>
      <c r="S2469" t="b">
        <v>0</v>
      </c>
      <c r="T2469" t="s">
        <v>87</v>
      </c>
      <c r="U2469" t="b">
        <v>0</v>
      </c>
      <c r="V2469" t="s">
        <v>160</v>
      </c>
      <c r="W2469" s="1">
        <v>44221.570462962962</v>
      </c>
      <c r="X2469">
        <v>55</v>
      </c>
      <c r="Y2469">
        <v>0</v>
      </c>
      <c r="Z2469">
        <v>0</v>
      </c>
      <c r="AA2469">
        <v>0</v>
      </c>
      <c r="AB2469">
        <v>52</v>
      </c>
      <c r="AC2469">
        <v>0</v>
      </c>
      <c r="AD2469">
        <v>66</v>
      </c>
      <c r="AE2469">
        <v>0</v>
      </c>
      <c r="AF2469">
        <v>0</v>
      </c>
      <c r="AG2469">
        <v>0</v>
      </c>
      <c r="AH2469" t="s">
        <v>132</v>
      </c>
      <c r="AI2469" s="1">
        <v>44221.605127314811</v>
      </c>
      <c r="AJ2469">
        <v>24</v>
      </c>
      <c r="AK2469">
        <v>0</v>
      </c>
      <c r="AL2469">
        <v>0</v>
      </c>
      <c r="AM2469">
        <v>0</v>
      </c>
      <c r="AN2469">
        <v>52</v>
      </c>
      <c r="AO2469">
        <v>0</v>
      </c>
      <c r="AP2469">
        <v>66</v>
      </c>
      <c r="AQ2469">
        <v>0</v>
      </c>
      <c r="AR2469">
        <v>0</v>
      </c>
      <c r="AS2469">
        <v>0</v>
      </c>
      <c r="AT2469" t="s">
        <v>90</v>
      </c>
      <c r="AU2469" s="1">
        <v>44221.611400462964</v>
      </c>
      <c r="AV2469">
        <v>3</v>
      </c>
      <c r="AW2469">
        <v>0</v>
      </c>
      <c r="AX2469">
        <v>0</v>
      </c>
      <c r="AY2469">
        <v>0</v>
      </c>
      <c r="AZ2469">
        <v>52</v>
      </c>
      <c r="BA2469">
        <v>0</v>
      </c>
      <c r="BB2469">
        <v>66</v>
      </c>
      <c r="BC2469">
        <v>0</v>
      </c>
      <c r="BD2469">
        <v>0</v>
      </c>
      <c r="BE2469">
        <v>0</v>
      </c>
    </row>
    <row r="2470" spans="1:57" x14ac:dyDescent="0.45">
      <c r="A2470" t="s">
        <v>5937</v>
      </c>
      <c r="B2470" t="s">
        <v>79</v>
      </c>
      <c r="C2470" t="s">
        <v>5922</v>
      </c>
      <c r="D2470" t="s">
        <v>81</v>
      </c>
      <c r="E2470" s="2" t="str">
        <f>HYPERLINK("capsilon://?command=openfolder&amp;siteaddress=FAM.docvelocity-na8.net&amp;folderid=FXE3A2260C-35B8-3D26-68C6-25A54867B932","FX201220648")</f>
        <v>FX201220648</v>
      </c>
      <c r="F2470" t="s">
        <v>19</v>
      </c>
      <c r="G2470" t="s">
        <v>19</v>
      </c>
      <c r="H2470" t="s">
        <v>82</v>
      </c>
      <c r="I2470" t="s">
        <v>5923</v>
      </c>
      <c r="J2470">
        <v>38</v>
      </c>
      <c r="K2470" t="s">
        <v>84</v>
      </c>
      <c r="L2470" t="s">
        <v>85</v>
      </c>
      <c r="M2470" t="s">
        <v>86</v>
      </c>
      <c r="N2470">
        <v>3</v>
      </c>
      <c r="O2470" s="1">
        <v>44221.565810185188</v>
      </c>
      <c r="P2470" s="1">
        <v>44221.574652777781</v>
      </c>
      <c r="Q2470">
        <v>150</v>
      </c>
      <c r="R2470">
        <v>614</v>
      </c>
      <c r="S2470" t="b">
        <v>0</v>
      </c>
      <c r="T2470" t="s">
        <v>87</v>
      </c>
      <c r="U2470" t="b">
        <v>1</v>
      </c>
      <c r="V2470" t="s">
        <v>343</v>
      </c>
      <c r="W2470" s="1">
        <v>44221.571655092594</v>
      </c>
      <c r="X2470">
        <v>496</v>
      </c>
      <c r="Y2470">
        <v>37</v>
      </c>
      <c r="Z2470">
        <v>0</v>
      </c>
      <c r="AA2470">
        <v>37</v>
      </c>
      <c r="AB2470">
        <v>0</v>
      </c>
      <c r="AC2470">
        <v>31</v>
      </c>
      <c r="AD2470">
        <v>1</v>
      </c>
      <c r="AE2470">
        <v>0</v>
      </c>
      <c r="AF2470">
        <v>0</v>
      </c>
      <c r="AG2470">
        <v>0</v>
      </c>
      <c r="AH2470" t="s">
        <v>128</v>
      </c>
      <c r="AI2470" s="1">
        <v>44221.573923611111</v>
      </c>
      <c r="AJ2470">
        <v>106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 t="s">
        <v>90</v>
      </c>
      <c r="AU2470" s="1">
        <v>44221.574652777781</v>
      </c>
      <c r="AV2470">
        <v>12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0</v>
      </c>
      <c r="BE2470">
        <v>0</v>
      </c>
    </row>
    <row r="2471" spans="1:57" x14ac:dyDescent="0.45">
      <c r="A2471" t="s">
        <v>5938</v>
      </c>
      <c r="B2471" t="s">
        <v>79</v>
      </c>
      <c r="C2471" t="s">
        <v>5939</v>
      </c>
      <c r="D2471" t="s">
        <v>81</v>
      </c>
      <c r="E2471" s="2" t="str">
        <f>HYPERLINK("capsilon://?command=openfolder&amp;siteaddress=FAM.docvelocity-na8.net&amp;folderid=FX64BDDEEA-C33B-8AE4-6FF9-E4BE2BD3AF5B","FX210113834")</f>
        <v>FX210113834</v>
      </c>
      <c r="F2471" t="s">
        <v>19</v>
      </c>
      <c r="G2471" t="s">
        <v>19</v>
      </c>
      <c r="H2471" t="s">
        <v>82</v>
      </c>
      <c r="I2471" t="s">
        <v>5940</v>
      </c>
      <c r="J2471">
        <v>177</v>
      </c>
      <c r="K2471" t="s">
        <v>84</v>
      </c>
      <c r="L2471" t="s">
        <v>85</v>
      </c>
      <c r="M2471" t="s">
        <v>86</v>
      </c>
      <c r="N2471">
        <v>3</v>
      </c>
      <c r="O2471" s="1">
        <v>44221.570208333331</v>
      </c>
      <c r="P2471" s="1">
        <v>44221.611701388887</v>
      </c>
      <c r="Q2471">
        <v>463</v>
      </c>
      <c r="R2471">
        <v>3122</v>
      </c>
      <c r="S2471" t="b">
        <v>0</v>
      </c>
      <c r="T2471" t="s">
        <v>87</v>
      </c>
      <c r="U2471" t="b">
        <v>0</v>
      </c>
      <c r="V2471" t="s">
        <v>160</v>
      </c>
      <c r="W2471" s="1">
        <v>44221.603645833333</v>
      </c>
      <c r="X2471">
        <v>2866</v>
      </c>
      <c r="Y2471">
        <v>131</v>
      </c>
      <c r="Z2471">
        <v>0</v>
      </c>
      <c r="AA2471">
        <v>131</v>
      </c>
      <c r="AB2471">
        <v>21</v>
      </c>
      <c r="AC2471">
        <v>118</v>
      </c>
      <c r="AD2471">
        <v>46</v>
      </c>
      <c r="AE2471">
        <v>0</v>
      </c>
      <c r="AF2471">
        <v>0</v>
      </c>
      <c r="AG2471">
        <v>0</v>
      </c>
      <c r="AH2471" t="s">
        <v>132</v>
      </c>
      <c r="AI2471" s="1">
        <v>44221.607800925929</v>
      </c>
      <c r="AJ2471">
        <v>230</v>
      </c>
      <c r="AK2471">
        <v>3</v>
      </c>
      <c r="AL2471">
        <v>0</v>
      </c>
      <c r="AM2471">
        <v>3</v>
      </c>
      <c r="AN2471">
        <v>21</v>
      </c>
      <c r="AO2471">
        <v>2</v>
      </c>
      <c r="AP2471">
        <v>43</v>
      </c>
      <c r="AQ2471">
        <v>0</v>
      </c>
      <c r="AR2471">
        <v>0</v>
      </c>
      <c r="AS2471">
        <v>0</v>
      </c>
      <c r="AT2471" t="s">
        <v>90</v>
      </c>
      <c r="AU2471" s="1">
        <v>44221.611701388887</v>
      </c>
      <c r="AV2471">
        <v>26</v>
      </c>
      <c r="AW2471">
        <v>0</v>
      </c>
      <c r="AX2471">
        <v>0</v>
      </c>
      <c r="AY2471">
        <v>0</v>
      </c>
      <c r="AZ2471">
        <v>21</v>
      </c>
      <c r="BA2471">
        <v>0</v>
      </c>
      <c r="BB2471">
        <v>43</v>
      </c>
      <c r="BC2471">
        <v>0</v>
      </c>
      <c r="BD2471">
        <v>0</v>
      </c>
      <c r="BE2471">
        <v>0</v>
      </c>
    </row>
    <row r="2472" spans="1:57" x14ac:dyDescent="0.45">
      <c r="A2472" t="s">
        <v>5941</v>
      </c>
      <c r="B2472" t="s">
        <v>79</v>
      </c>
      <c r="C2472" t="s">
        <v>5942</v>
      </c>
      <c r="D2472" t="s">
        <v>81</v>
      </c>
      <c r="E2472" s="2" t="str">
        <f>HYPERLINK("capsilon://?command=openfolder&amp;siteaddress=FAM.docvelocity-na8.net&amp;folderid=FXFD84A2F8-7D8A-DED2-EDEC-F357561BE7A3","FX210115126")</f>
        <v>FX210115126</v>
      </c>
      <c r="F2472" t="s">
        <v>19</v>
      </c>
      <c r="G2472" t="s">
        <v>19</v>
      </c>
      <c r="H2472" t="s">
        <v>82</v>
      </c>
      <c r="I2472" t="s">
        <v>5943</v>
      </c>
      <c r="J2472">
        <v>248</v>
      </c>
      <c r="K2472" t="s">
        <v>84</v>
      </c>
      <c r="L2472" t="s">
        <v>85</v>
      </c>
      <c r="M2472" t="s">
        <v>86</v>
      </c>
      <c r="N2472">
        <v>3</v>
      </c>
      <c r="O2472" s="1">
        <v>44221.57267361111</v>
      </c>
      <c r="P2472" s="1">
        <v>44221.612002314818</v>
      </c>
      <c r="Q2472">
        <v>386</v>
      </c>
      <c r="R2472">
        <v>3012</v>
      </c>
      <c r="S2472" t="b">
        <v>0</v>
      </c>
      <c r="T2472" t="s">
        <v>87</v>
      </c>
      <c r="U2472" t="b">
        <v>0</v>
      </c>
      <c r="V2472" t="s">
        <v>146</v>
      </c>
      <c r="W2472" s="1">
        <v>44221.602175925924</v>
      </c>
      <c r="X2472">
        <v>2547</v>
      </c>
      <c r="Y2472">
        <v>162</v>
      </c>
      <c r="Z2472">
        <v>0</v>
      </c>
      <c r="AA2472">
        <v>162</v>
      </c>
      <c r="AB2472">
        <v>37</v>
      </c>
      <c r="AC2472">
        <v>78</v>
      </c>
      <c r="AD2472">
        <v>86</v>
      </c>
      <c r="AE2472">
        <v>0</v>
      </c>
      <c r="AF2472">
        <v>0</v>
      </c>
      <c r="AG2472">
        <v>0</v>
      </c>
      <c r="AH2472" t="s">
        <v>128</v>
      </c>
      <c r="AI2472" s="1">
        <v>44221.610590277778</v>
      </c>
      <c r="AJ2472">
        <v>439</v>
      </c>
      <c r="AK2472">
        <v>0</v>
      </c>
      <c r="AL2472">
        <v>0</v>
      </c>
      <c r="AM2472">
        <v>0</v>
      </c>
      <c r="AN2472">
        <v>37</v>
      </c>
      <c r="AO2472">
        <v>0</v>
      </c>
      <c r="AP2472">
        <v>86</v>
      </c>
      <c r="AQ2472">
        <v>0</v>
      </c>
      <c r="AR2472">
        <v>0</v>
      </c>
      <c r="AS2472">
        <v>0</v>
      </c>
      <c r="AT2472" t="s">
        <v>90</v>
      </c>
      <c r="AU2472" s="1">
        <v>44221.612002314818</v>
      </c>
      <c r="AV2472">
        <v>26</v>
      </c>
      <c r="AW2472">
        <v>0</v>
      </c>
      <c r="AX2472">
        <v>0</v>
      </c>
      <c r="AY2472">
        <v>0</v>
      </c>
      <c r="AZ2472">
        <v>37</v>
      </c>
      <c r="BA2472">
        <v>0</v>
      </c>
      <c r="BB2472">
        <v>86</v>
      </c>
      <c r="BC2472">
        <v>0</v>
      </c>
      <c r="BD2472">
        <v>0</v>
      </c>
      <c r="BE2472">
        <v>0</v>
      </c>
    </row>
    <row r="2473" spans="1:57" hidden="1" x14ac:dyDescent="0.45">
      <c r="A2473" t="s">
        <v>5944</v>
      </c>
      <c r="B2473" t="s">
        <v>79</v>
      </c>
      <c r="C2473" t="s">
        <v>5945</v>
      </c>
      <c r="D2473" t="s">
        <v>81</v>
      </c>
      <c r="E2473" s="2" t="str">
        <f>HYPERLINK("capsilon://?command=openfolder&amp;siteaddress=FAM.docvelocity-na8.net&amp;folderid=FX6D148520-82EC-FAA4-3432-30A66C456F94","FX210111693")</f>
        <v>FX210111693</v>
      </c>
      <c r="F2473" t="s">
        <v>19</v>
      </c>
      <c r="G2473" t="s">
        <v>19</v>
      </c>
      <c r="H2473" t="s">
        <v>82</v>
      </c>
      <c r="I2473" t="s">
        <v>5946</v>
      </c>
      <c r="J2473">
        <v>199</v>
      </c>
      <c r="K2473" t="s">
        <v>84</v>
      </c>
      <c r="L2473" t="s">
        <v>85</v>
      </c>
      <c r="M2473" t="s">
        <v>86</v>
      </c>
      <c r="N2473">
        <v>1</v>
      </c>
      <c r="O2473" s="1">
        <v>44221.573692129627</v>
      </c>
      <c r="P2473" s="1">
        <v>44221.606956018521</v>
      </c>
      <c r="Q2473">
        <v>3</v>
      </c>
      <c r="R2473">
        <v>2871</v>
      </c>
      <c r="S2473" t="b">
        <v>0</v>
      </c>
      <c r="T2473" t="s">
        <v>87</v>
      </c>
      <c r="U2473" t="b">
        <v>0</v>
      </c>
      <c r="V2473" t="s">
        <v>179</v>
      </c>
      <c r="W2473" s="1">
        <v>44221.606956018521</v>
      </c>
      <c r="X2473">
        <v>2871</v>
      </c>
      <c r="Y2473">
        <v>155</v>
      </c>
      <c r="Z2473">
        <v>0</v>
      </c>
      <c r="AA2473">
        <v>155</v>
      </c>
      <c r="AB2473">
        <v>0</v>
      </c>
      <c r="AC2473">
        <v>107</v>
      </c>
      <c r="AD2473">
        <v>44</v>
      </c>
      <c r="AE2473">
        <v>42</v>
      </c>
      <c r="AF2473">
        <v>0</v>
      </c>
      <c r="AG2473">
        <v>4</v>
      </c>
      <c r="AH2473" t="s">
        <v>87</v>
      </c>
      <c r="AI2473" t="s">
        <v>87</v>
      </c>
      <c r="AJ2473" t="s">
        <v>87</v>
      </c>
      <c r="AK2473" t="s">
        <v>87</v>
      </c>
      <c r="AL2473" t="s">
        <v>87</v>
      </c>
      <c r="AM2473" t="s">
        <v>87</v>
      </c>
      <c r="AN2473" t="s">
        <v>87</v>
      </c>
      <c r="AO2473" t="s">
        <v>87</v>
      </c>
      <c r="AP2473" t="s">
        <v>87</v>
      </c>
      <c r="AQ2473" t="s">
        <v>87</v>
      </c>
      <c r="AR2473" t="s">
        <v>87</v>
      </c>
      <c r="AS2473" t="s">
        <v>87</v>
      </c>
      <c r="AT2473" t="s">
        <v>87</v>
      </c>
      <c r="AU2473" t="s">
        <v>87</v>
      </c>
      <c r="AV2473" t="s">
        <v>87</v>
      </c>
      <c r="AW2473" t="s">
        <v>87</v>
      </c>
      <c r="AX2473" t="s">
        <v>87</v>
      </c>
      <c r="AY2473" t="s">
        <v>87</v>
      </c>
      <c r="AZ2473" t="s">
        <v>87</v>
      </c>
      <c r="BA2473" t="s">
        <v>87</v>
      </c>
      <c r="BB2473" t="s">
        <v>87</v>
      </c>
      <c r="BC2473" t="s">
        <v>87</v>
      </c>
      <c r="BD2473" t="s">
        <v>87</v>
      </c>
      <c r="BE2473" t="s">
        <v>87</v>
      </c>
    </row>
    <row r="2474" spans="1:57" x14ac:dyDescent="0.45">
      <c r="A2474" t="s">
        <v>5947</v>
      </c>
      <c r="B2474" t="s">
        <v>79</v>
      </c>
      <c r="C2474" t="s">
        <v>5939</v>
      </c>
      <c r="D2474" t="s">
        <v>81</v>
      </c>
      <c r="E2474" s="2" t="str">
        <f>HYPERLINK("capsilon://?command=openfolder&amp;siteaddress=FAM.docvelocity-na8.net&amp;folderid=FX64BDDEEA-C33B-8AE4-6FF9-E4BE2BD3AF5B","FX210113834")</f>
        <v>FX210113834</v>
      </c>
      <c r="F2474" t="s">
        <v>19</v>
      </c>
      <c r="G2474" t="s">
        <v>19</v>
      </c>
      <c r="H2474" t="s">
        <v>82</v>
      </c>
      <c r="I2474" t="s">
        <v>5948</v>
      </c>
      <c r="J2474">
        <v>58</v>
      </c>
      <c r="K2474" t="s">
        <v>84</v>
      </c>
      <c r="L2474" t="s">
        <v>85</v>
      </c>
      <c r="M2474" t="s">
        <v>86</v>
      </c>
      <c r="N2474">
        <v>3</v>
      </c>
      <c r="O2474" s="1">
        <v>44221.576481481483</v>
      </c>
      <c r="P2474" s="1">
        <v>44221.613425925927</v>
      </c>
      <c r="Q2474">
        <v>2457</v>
      </c>
      <c r="R2474">
        <v>735</v>
      </c>
      <c r="S2474" t="b">
        <v>0</v>
      </c>
      <c r="T2474" t="s">
        <v>87</v>
      </c>
      <c r="U2474" t="b">
        <v>0</v>
      </c>
      <c r="V2474" t="s">
        <v>255</v>
      </c>
      <c r="W2474" s="1">
        <v>44221.58222222222</v>
      </c>
      <c r="X2474">
        <v>456</v>
      </c>
      <c r="Y2474">
        <v>52</v>
      </c>
      <c r="Z2474">
        <v>0</v>
      </c>
      <c r="AA2474">
        <v>52</v>
      </c>
      <c r="AB2474">
        <v>0</v>
      </c>
      <c r="AC2474">
        <v>33</v>
      </c>
      <c r="AD2474">
        <v>6</v>
      </c>
      <c r="AE2474">
        <v>0</v>
      </c>
      <c r="AF2474">
        <v>0</v>
      </c>
      <c r="AG2474">
        <v>0</v>
      </c>
      <c r="AH2474" t="s">
        <v>132</v>
      </c>
      <c r="AI2474" s="1">
        <v>44221.609629629631</v>
      </c>
      <c r="AJ2474">
        <v>157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6</v>
      </c>
      <c r="AQ2474">
        <v>0</v>
      </c>
      <c r="AR2474">
        <v>0</v>
      </c>
      <c r="AS2474">
        <v>0</v>
      </c>
      <c r="AT2474" t="s">
        <v>90</v>
      </c>
      <c r="AU2474" s="1">
        <v>44221.613425925927</v>
      </c>
      <c r="AV2474">
        <v>122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6</v>
      </c>
      <c r="BC2474">
        <v>0</v>
      </c>
      <c r="BD2474">
        <v>0</v>
      </c>
      <c r="BE2474">
        <v>0</v>
      </c>
    </row>
    <row r="2475" spans="1:57" x14ac:dyDescent="0.45">
      <c r="A2475" t="s">
        <v>5949</v>
      </c>
      <c r="B2475" t="s">
        <v>79</v>
      </c>
      <c r="C2475" t="s">
        <v>5950</v>
      </c>
      <c r="D2475" t="s">
        <v>81</v>
      </c>
      <c r="E2475" s="2" t="str">
        <f>HYPERLINK("capsilon://?command=openfolder&amp;siteaddress=FAM.docvelocity-na8.net&amp;folderid=FX9185F86F-A462-99C7-BE70-E2C8407BC3BB","FX210115183")</f>
        <v>FX210115183</v>
      </c>
      <c r="F2475" t="s">
        <v>19</v>
      </c>
      <c r="G2475" t="s">
        <v>19</v>
      </c>
      <c r="H2475" t="s">
        <v>82</v>
      </c>
      <c r="I2475" t="s">
        <v>5951</v>
      </c>
      <c r="J2475">
        <v>602</v>
      </c>
      <c r="K2475" t="s">
        <v>84</v>
      </c>
      <c r="L2475" t="s">
        <v>85</v>
      </c>
      <c r="M2475" t="s">
        <v>86</v>
      </c>
      <c r="N2475">
        <v>3</v>
      </c>
      <c r="O2475" s="1">
        <v>44221.577175925922</v>
      </c>
      <c r="P2475" s="1">
        <v>44221.684837962966</v>
      </c>
      <c r="Q2475">
        <v>2478</v>
      </c>
      <c r="R2475">
        <v>6824</v>
      </c>
      <c r="S2475" t="b">
        <v>0</v>
      </c>
      <c r="T2475" t="s">
        <v>87</v>
      </c>
      <c r="U2475" t="b">
        <v>0</v>
      </c>
      <c r="V2475" t="s">
        <v>259</v>
      </c>
      <c r="W2475" s="1">
        <v>44221.638472222221</v>
      </c>
      <c r="X2475">
        <v>5290</v>
      </c>
      <c r="Y2475">
        <v>523</v>
      </c>
      <c r="Z2475">
        <v>0</v>
      </c>
      <c r="AA2475">
        <v>523</v>
      </c>
      <c r="AB2475">
        <v>0</v>
      </c>
      <c r="AC2475">
        <v>385</v>
      </c>
      <c r="AD2475">
        <v>79</v>
      </c>
      <c r="AE2475">
        <v>0</v>
      </c>
      <c r="AF2475">
        <v>0</v>
      </c>
      <c r="AG2475">
        <v>0</v>
      </c>
      <c r="AH2475" t="s">
        <v>132</v>
      </c>
      <c r="AI2475" s="1">
        <v>44221.656192129631</v>
      </c>
      <c r="AJ2475">
        <v>1479</v>
      </c>
      <c r="AK2475">
        <v>3</v>
      </c>
      <c r="AL2475">
        <v>0</v>
      </c>
      <c r="AM2475">
        <v>3</v>
      </c>
      <c r="AN2475">
        <v>0</v>
      </c>
      <c r="AO2475">
        <v>2</v>
      </c>
      <c r="AP2475">
        <v>76</v>
      </c>
      <c r="AQ2475">
        <v>0</v>
      </c>
      <c r="AR2475">
        <v>0</v>
      </c>
      <c r="AS2475">
        <v>0</v>
      </c>
      <c r="AT2475" t="s">
        <v>90</v>
      </c>
      <c r="AU2475" s="1">
        <v>44221.684837962966</v>
      </c>
      <c r="AV2475">
        <v>55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76</v>
      </c>
      <c r="BC2475">
        <v>0</v>
      </c>
      <c r="BD2475">
        <v>0</v>
      </c>
      <c r="BE2475">
        <v>0</v>
      </c>
    </row>
    <row r="2476" spans="1:57" x14ac:dyDescent="0.45">
      <c r="A2476" t="s">
        <v>5952</v>
      </c>
      <c r="B2476" t="s">
        <v>79</v>
      </c>
      <c r="C2476" t="s">
        <v>5953</v>
      </c>
      <c r="D2476" t="s">
        <v>81</v>
      </c>
      <c r="E2476" s="2" t="str">
        <f>HYPERLINK("capsilon://?command=openfolder&amp;siteaddress=FAM.docvelocity-na8.net&amp;folderid=FX5046C1C7-C752-EC97-D730-1D3C302522B5","FX210111491")</f>
        <v>FX210111491</v>
      </c>
      <c r="F2476" t="s">
        <v>19</v>
      </c>
      <c r="G2476" t="s">
        <v>19</v>
      </c>
      <c r="H2476" t="s">
        <v>82</v>
      </c>
      <c r="I2476" t="s">
        <v>5954</v>
      </c>
      <c r="J2476">
        <v>38</v>
      </c>
      <c r="K2476" t="s">
        <v>84</v>
      </c>
      <c r="L2476" t="s">
        <v>85</v>
      </c>
      <c r="M2476" t="s">
        <v>86</v>
      </c>
      <c r="N2476">
        <v>3</v>
      </c>
      <c r="O2476" s="1">
        <v>44221.584282407406</v>
      </c>
      <c r="P2476" s="1">
        <v>44221.613495370373</v>
      </c>
      <c r="Q2476">
        <v>1721</v>
      </c>
      <c r="R2476">
        <v>803</v>
      </c>
      <c r="S2476" t="b">
        <v>0</v>
      </c>
      <c r="T2476" t="s">
        <v>87</v>
      </c>
      <c r="U2476" t="b">
        <v>0</v>
      </c>
      <c r="V2476" t="s">
        <v>171</v>
      </c>
      <c r="W2476" s="1">
        <v>44221.592719907407</v>
      </c>
      <c r="X2476">
        <v>728</v>
      </c>
      <c r="Y2476">
        <v>37</v>
      </c>
      <c r="Z2476">
        <v>0</v>
      </c>
      <c r="AA2476">
        <v>37</v>
      </c>
      <c r="AB2476">
        <v>0</v>
      </c>
      <c r="AC2476">
        <v>34</v>
      </c>
      <c r="AD2476">
        <v>1</v>
      </c>
      <c r="AE2476">
        <v>0</v>
      </c>
      <c r="AF2476">
        <v>0</v>
      </c>
      <c r="AG2476">
        <v>0</v>
      </c>
      <c r="AH2476" t="s">
        <v>132</v>
      </c>
      <c r="AI2476" s="1">
        <v>44221.610439814816</v>
      </c>
      <c r="AJ2476">
        <v>69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 t="s">
        <v>90</v>
      </c>
      <c r="AU2476" s="1">
        <v>44221.613495370373</v>
      </c>
      <c r="AV2476">
        <v>6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1</v>
      </c>
      <c r="BC2476">
        <v>0</v>
      </c>
      <c r="BD2476">
        <v>0</v>
      </c>
      <c r="BE2476">
        <v>0</v>
      </c>
    </row>
    <row r="2477" spans="1:57" x14ac:dyDescent="0.45">
      <c r="A2477" t="s">
        <v>5955</v>
      </c>
      <c r="B2477" t="s">
        <v>79</v>
      </c>
      <c r="C2477" t="s">
        <v>5942</v>
      </c>
      <c r="D2477" t="s">
        <v>81</v>
      </c>
      <c r="E2477" s="2" t="str">
        <f>HYPERLINK("capsilon://?command=openfolder&amp;siteaddress=FAM.docvelocity-na8.net&amp;folderid=FXFD84A2F8-7D8A-DED2-EDEC-F357561BE7A3","FX210115126")</f>
        <v>FX210115126</v>
      </c>
      <c r="F2477" t="s">
        <v>19</v>
      </c>
      <c r="G2477" t="s">
        <v>19</v>
      </c>
      <c r="H2477" t="s">
        <v>82</v>
      </c>
      <c r="I2477" t="s">
        <v>5956</v>
      </c>
      <c r="J2477">
        <v>57</v>
      </c>
      <c r="K2477" t="s">
        <v>84</v>
      </c>
      <c r="L2477" t="s">
        <v>85</v>
      </c>
      <c r="M2477" t="s">
        <v>86</v>
      </c>
      <c r="N2477">
        <v>3</v>
      </c>
      <c r="O2477" s="1">
        <v>44221.586076388892</v>
      </c>
      <c r="P2477" s="1">
        <v>44221.613761574074</v>
      </c>
      <c r="Q2477">
        <v>1548</v>
      </c>
      <c r="R2477">
        <v>844</v>
      </c>
      <c r="S2477" t="b">
        <v>0</v>
      </c>
      <c r="T2477" t="s">
        <v>87</v>
      </c>
      <c r="U2477" t="b">
        <v>0</v>
      </c>
      <c r="V2477" t="s">
        <v>242</v>
      </c>
      <c r="W2477" s="1">
        <v>44221.594872685186</v>
      </c>
      <c r="X2477">
        <v>750</v>
      </c>
      <c r="Y2477">
        <v>44</v>
      </c>
      <c r="Z2477">
        <v>0</v>
      </c>
      <c r="AA2477">
        <v>44</v>
      </c>
      <c r="AB2477">
        <v>0</v>
      </c>
      <c r="AC2477">
        <v>19</v>
      </c>
      <c r="AD2477">
        <v>13</v>
      </c>
      <c r="AE2477">
        <v>0</v>
      </c>
      <c r="AF2477">
        <v>0</v>
      </c>
      <c r="AG2477">
        <v>0</v>
      </c>
      <c r="AH2477" t="s">
        <v>132</v>
      </c>
      <c r="AI2477" s="1">
        <v>44221.611284722225</v>
      </c>
      <c r="AJ2477">
        <v>72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13</v>
      </c>
      <c r="AQ2477">
        <v>0</v>
      </c>
      <c r="AR2477">
        <v>0</v>
      </c>
      <c r="AS2477">
        <v>0</v>
      </c>
      <c r="AT2477" t="s">
        <v>90</v>
      </c>
      <c r="AU2477" s="1">
        <v>44221.613761574074</v>
      </c>
      <c r="AV2477">
        <v>22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13</v>
      </c>
      <c r="BC2477">
        <v>0</v>
      </c>
      <c r="BD2477">
        <v>0</v>
      </c>
      <c r="BE2477">
        <v>0</v>
      </c>
    </row>
    <row r="2478" spans="1:57" x14ac:dyDescent="0.45">
      <c r="A2478" t="s">
        <v>5957</v>
      </c>
      <c r="B2478" t="s">
        <v>79</v>
      </c>
      <c r="C2478" t="s">
        <v>5953</v>
      </c>
      <c r="D2478" t="s">
        <v>81</v>
      </c>
      <c r="E2478" s="2" t="str">
        <f>HYPERLINK("capsilon://?command=openfolder&amp;siteaddress=FAM.docvelocity-na8.net&amp;folderid=FX5046C1C7-C752-EC97-D730-1D3C302522B5","FX210111491")</f>
        <v>FX210111491</v>
      </c>
      <c r="F2478" t="s">
        <v>19</v>
      </c>
      <c r="G2478" t="s">
        <v>19</v>
      </c>
      <c r="H2478" t="s">
        <v>82</v>
      </c>
      <c r="I2478" t="s">
        <v>5958</v>
      </c>
      <c r="J2478">
        <v>38</v>
      </c>
      <c r="K2478" t="s">
        <v>84</v>
      </c>
      <c r="L2478" t="s">
        <v>85</v>
      </c>
      <c r="M2478" t="s">
        <v>86</v>
      </c>
      <c r="N2478">
        <v>3</v>
      </c>
      <c r="O2478" s="1">
        <v>44221.586388888885</v>
      </c>
      <c r="P2478" s="1">
        <v>44221.61383101852</v>
      </c>
      <c r="Q2478">
        <v>769</v>
      </c>
      <c r="R2478">
        <v>1602</v>
      </c>
      <c r="S2478" t="b">
        <v>0</v>
      </c>
      <c r="T2478" t="s">
        <v>87</v>
      </c>
      <c r="U2478" t="b">
        <v>0</v>
      </c>
      <c r="V2478" t="s">
        <v>168</v>
      </c>
      <c r="W2478" s="1">
        <v>44221.603379629632</v>
      </c>
      <c r="X2478">
        <v>1452</v>
      </c>
      <c r="Y2478">
        <v>37</v>
      </c>
      <c r="Z2478">
        <v>0</v>
      </c>
      <c r="AA2478">
        <v>37</v>
      </c>
      <c r="AB2478">
        <v>0</v>
      </c>
      <c r="AC2478">
        <v>35</v>
      </c>
      <c r="AD2478">
        <v>1</v>
      </c>
      <c r="AE2478">
        <v>0</v>
      </c>
      <c r="AF2478">
        <v>0</v>
      </c>
      <c r="AG2478">
        <v>0</v>
      </c>
      <c r="AH2478" t="s">
        <v>128</v>
      </c>
      <c r="AI2478" s="1">
        <v>44221.612280092595</v>
      </c>
      <c r="AJ2478">
        <v>145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</v>
      </c>
      <c r="AQ2478">
        <v>0</v>
      </c>
      <c r="AR2478">
        <v>0</v>
      </c>
      <c r="AS2478">
        <v>0</v>
      </c>
      <c r="AT2478" t="s">
        <v>90</v>
      </c>
      <c r="AU2478" s="1">
        <v>44221.61383101852</v>
      </c>
      <c r="AV2478">
        <v>5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1</v>
      </c>
      <c r="BC2478">
        <v>0</v>
      </c>
      <c r="BD2478">
        <v>0</v>
      </c>
      <c r="BE2478">
        <v>0</v>
      </c>
    </row>
    <row r="2479" spans="1:57" x14ac:dyDescent="0.45">
      <c r="A2479" t="s">
        <v>5959</v>
      </c>
      <c r="B2479" t="s">
        <v>79</v>
      </c>
      <c r="C2479" t="s">
        <v>5953</v>
      </c>
      <c r="D2479" t="s">
        <v>81</v>
      </c>
      <c r="E2479" s="2" t="str">
        <f>HYPERLINK("capsilon://?command=openfolder&amp;siteaddress=FAM.docvelocity-na8.net&amp;folderid=FX5046C1C7-C752-EC97-D730-1D3C302522B5","FX210111491")</f>
        <v>FX210111491</v>
      </c>
      <c r="F2479" t="s">
        <v>19</v>
      </c>
      <c r="G2479" t="s">
        <v>19</v>
      </c>
      <c r="H2479" t="s">
        <v>82</v>
      </c>
      <c r="I2479" t="s">
        <v>5960</v>
      </c>
      <c r="J2479">
        <v>333</v>
      </c>
      <c r="K2479" t="s">
        <v>84</v>
      </c>
      <c r="L2479" t="s">
        <v>85</v>
      </c>
      <c r="M2479" t="s">
        <v>86</v>
      </c>
      <c r="N2479">
        <v>3</v>
      </c>
      <c r="O2479" s="1">
        <v>44221.587129629632</v>
      </c>
      <c r="P2479" s="1">
        <v>44221.685671296298</v>
      </c>
      <c r="Q2479">
        <v>2166</v>
      </c>
      <c r="R2479">
        <v>6348</v>
      </c>
      <c r="S2479" t="b">
        <v>0</v>
      </c>
      <c r="T2479" t="s">
        <v>87</v>
      </c>
      <c r="U2479" t="b">
        <v>0</v>
      </c>
      <c r="V2479" t="s">
        <v>171</v>
      </c>
      <c r="W2479" s="1">
        <v>44221.66070601852</v>
      </c>
      <c r="X2479">
        <v>5873</v>
      </c>
      <c r="Y2479">
        <v>257</v>
      </c>
      <c r="Z2479">
        <v>0</v>
      </c>
      <c r="AA2479">
        <v>257</v>
      </c>
      <c r="AB2479">
        <v>0</v>
      </c>
      <c r="AC2479">
        <v>114</v>
      </c>
      <c r="AD2479">
        <v>76</v>
      </c>
      <c r="AE2479">
        <v>0</v>
      </c>
      <c r="AF2479">
        <v>0</v>
      </c>
      <c r="AG2479">
        <v>0</v>
      </c>
      <c r="AH2479" t="s">
        <v>132</v>
      </c>
      <c r="AI2479" s="1">
        <v>44221.667083333334</v>
      </c>
      <c r="AJ2479">
        <v>404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76</v>
      </c>
      <c r="AQ2479">
        <v>0</v>
      </c>
      <c r="AR2479">
        <v>0</v>
      </c>
      <c r="AS2479">
        <v>0</v>
      </c>
      <c r="AT2479" t="s">
        <v>90</v>
      </c>
      <c r="AU2479" s="1">
        <v>44221.685671296298</v>
      </c>
      <c r="AV2479">
        <v>71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76</v>
      </c>
      <c r="BC2479">
        <v>0</v>
      </c>
      <c r="BD2479">
        <v>0</v>
      </c>
      <c r="BE2479">
        <v>0</v>
      </c>
    </row>
    <row r="2480" spans="1:57" hidden="1" x14ac:dyDescent="0.45">
      <c r="A2480" t="s">
        <v>5961</v>
      </c>
      <c r="B2480" t="s">
        <v>79</v>
      </c>
      <c r="C2480" t="s">
        <v>1722</v>
      </c>
      <c r="D2480" t="s">
        <v>81</v>
      </c>
      <c r="E2480" s="2" t="str">
        <f>HYPERLINK("capsilon://?command=openfolder&amp;siteaddress=FAM.docvelocity-na8.net&amp;folderid=FXB743C46B-EB3C-E965-1F38-9AE1DABA004D","FX201223491")</f>
        <v>FX201223491</v>
      </c>
      <c r="F2480" t="s">
        <v>19</v>
      </c>
      <c r="G2480" t="s">
        <v>19</v>
      </c>
      <c r="H2480" t="s">
        <v>82</v>
      </c>
      <c r="I2480" t="s">
        <v>5962</v>
      </c>
      <c r="J2480">
        <v>66</v>
      </c>
      <c r="K2480" t="s">
        <v>84</v>
      </c>
      <c r="L2480" t="s">
        <v>85</v>
      </c>
      <c r="M2480" t="s">
        <v>86</v>
      </c>
      <c r="N2480">
        <v>3</v>
      </c>
      <c r="O2480" s="1">
        <v>44221.587442129632</v>
      </c>
      <c r="P2480" s="1">
        <v>44221.613888888889</v>
      </c>
      <c r="Q2480">
        <v>1938</v>
      </c>
      <c r="R2480">
        <v>347</v>
      </c>
      <c r="S2480" t="b">
        <v>0</v>
      </c>
      <c r="T2480" t="s">
        <v>87</v>
      </c>
      <c r="U2480" t="b">
        <v>0</v>
      </c>
      <c r="V2480" t="s">
        <v>242</v>
      </c>
      <c r="W2480" s="1">
        <v>44221.600300925929</v>
      </c>
      <c r="X2480">
        <v>262</v>
      </c>
      <c r="Y2480">
        <v>0</v>
      </c>
      <c r="Z2480">
        <v>0</v>
      </c>
      <c r="AA2480">
        <v>0</v>
      </c>
      <c r="AB2480">
        <v>52</v>
      </c>
      <c r="AC2480">
        <v>0</v>
      </c>
      <c r="AD2480">
        <v>66</v>
      </c>
      <c r="AE2480">
        <v>0</v>
      </c>
      <c r="AF2480">
        <v>0</v>
      </c>
      <c r="AG2480">
        <v>0</v>
      </c>
      <c r="AH2480" t="s">
        <v>132</v>
      </c>
      <c r="AI2480" s="1">
        <v>44221.611574074072</v>
      </c>
      <c r="AJ2480">
        <v>24</v>
      </c>
      <c r="AK2480">
        <v>0</v>
      </c>
      <c r="AL2480">
        <v>0</v>
      </c>
      <c r="AM2480">
        <v>0</v>
      </c>
      <c r="AN2480">
        <v>52</v>
      </c>
      <c r="AO2480">
        <v>0</v>
      </c>
      <c r="AP2480">
        <v>66</v>
      </c>
      <c r="AQ2480">
        <v>0</v>
      </c>
      <c r="AR2480">
        <v>0</v>
      </c>
      <c r="AS2480">
        <v>0</v>
      </c>
      <c r="AT2480" t="s">
        <v>90</v>
      </c>
      <c r="AU2480" s="1">
        <v>44221.613888888889</v>
      </c>
      <c r="AV2480">
        <v>4</v>
      </c>
      <c r="AW2480">
        <v>0</v>
      </c>
      <c r="AX2480">
        <v>0</v>
      </c>
      <c r="AY2480">
        <v>0</v>
      </c>
      <c r="AZ2480">
        <v>52</v>
      </c>
      <c r="BA2480">
        <v>0</v>
      </c>
      <c r="BB2480">
        <v>66</v>
      </c>
      <c r="BC2480">
        <v>0</v>
      </c>
      <c r="BD2480">
        <v>0</v>
      </c>
      <c r="BE2480">
        <v>0</v>
      </c>
    </row>
    <row r="2481" spans="1:57" hidden="1" x14ac:dyDescent="0.45">
      <c r="A2481" t="s">
        <v>5963</v>
      </c>
      <c r="B2481" t="s">
        <v>79</v>
      </c>
      <c r="C2481" t="s">
        <v>1226</v>
      </c>
      <c r="D2481" t="s">
        <v>81</v>
      </c>
      <c r="E2481" s="2" t="str">
        <f>HYPERLINK("capsilon://?command=openfolder&amp;siteaddress=FAM.docvelocity-na8.net&amp;folderid=FX20638E3F-DC65-E459-B4A6-8522D3961AA9","FX20126938")</f>
        <v>FX20126938</v>
      </c>
      <c r="F2481" t="s">
        <v>19</v>
      </c>
      <c r="G2481" t="s">
        <v>19</v>
      </c>
      <c r="H2481" t="s">
        <v>82</v>
      </c>
      <c r="I2481" t="s">
        <v>5964</v>
      </c>
      <c r="J2481">
        <v>66</v>
      </c>
      <c r="K2481" t="s">
        <v>84</v>
      </c>
      <c r="L2481" t="s">
        <v>85</v>
      </c>
      <c r="M2481" t="s">
        <v>86</v>
      </c>
      <c r="N2481">
        <v>3</v>
      </c>
      <c r="O2481" s="1">
        <v>44221.587719907409</v>
      </c>
      <c r="P2481" s="1">
        <v>44221.613935185182</v>
      </c>
      <c r="Q2481">
        <v>2169</v>
      </c>
      <c r="R2481">
        <v>96</v>
      </c>
      <c r="S2481" t="b">
        <v>0</v>
      </c>
      <c r="T2481" t="s">
        <v>87</v>
      </c>
      <c r="U2481" t="b">
        <v>0</v>
      </c>
      <c r="V2481" t="s">
        <v>255</v>
      </c>
      <c r="W2481" s="1">
        <v>44221.599270833336</v>
      </c>
      <c r="X2481">
        <v>72</v>
      </c>
      <c r="Y2481">
        <v>0</v>
      </c>
      <c r="Z2481">
        <v>0</v>
      </c>
      <c r="AA2481">
        <v>0</v>
      </c>
      <c r="AB2481">
        <v>52</v>
      </c>
      <c r="AC2481">
        <v>0</v>
      </c>
      <c r="AD2481">
        <v>66</v>
      </c>
      <c r="AE2481">
        <v>0</v>
      </c>
      <c r="AF2481">
        <v>0</v>
      </c>
      <c r="AG2481">
        <v>0</v>
      </c>
      <c r="AH2481" t="s">
        <v>132</v>
      </c>
      <c r="AI2481" s="1">
        <v>44221.611817129633</v>
      </c>
      <c r="AJ2481">
        <v>21</v>
      </c>
      <c r="AK2481">
        <v>0</v>
      </c>
      <c r="AL2481">
        <v>0</v>
      </c>
      <c r="AM2481">
        <v>0</v>
      </c>
      <c r="AN2481">
        <v>52</v>
      </c>
      <c r="AO2481">
        <v>0</v>
      </c>
      <c r="AP2481">
        <v>66</v>
      </c>
      <c r="AQ2481">
        <v>0</v>
      </c>
      <c r="AR2481">
        <v>0</v>
      </c>
      <c r="AS2481">
        <v>0</v>
      </c>
      <c r="AT2481" t="s">
        <v>90</v>
      </c>
      <c r="AU2481" s="1">
        <v>44221.613935185182</v>
      </c>
      <c r="AV2481">
        <v>3</v>
      </c>
      <c r="AW2481">
        <v>0</v>
      </c>
      <c r="AX2481">
        <v>0</v>
      </c>
      <c r="AY2481">
        <v>0</v>
      </c>
      <c r="AZ2481">
        <v>52</v>
      </c>
      <c r="BA2481">
        <v>0</v>
      </c>
      <c r="BB2481">
        <v>66</v>
      </c>
      <c r="BC2481">
        <v>0</v>
      </c>
      <c r="BD2481">
        <v>0</v>
      </c>
      <c r="BE2481">
        <v>0</v>
      </c>
    </row>
    <row r="2482" spans="1:57" x14ac:dyDescent="0.45">
      <c r="A2482" t="s">
        <v>5965</v>
      </c>
      <c r="B2482" t="s">
        <v>79</v>
      </c>
      <c r="C2482" t="s">
        <v>5966</v>
      </c>
      <c r="D2482" t="s">
        <v>81</v>
      </c>
      <c r="E2482" s="2" t="str">
        <f>HYPERLINK("capsilon://?command=openfolder&amp;siteaddress=FAM.docvelocity-na8.net&amp;folderid=FX6A068A88-F260-8DA8-F2B0-BC3F00DE5CF9","FX201227330")</f>
        <v>FX201227330</v>
      </c>
      <c r="F2482" t="s">
        <v>19</v>
      </c>
      <c r="G2482" t="s">
        <v>19</v>
      </c>
      <c r="H2482" t="s">
        <v>82</v>
      </c>
      <c r="I2482" t="s">
        <v>5967</v>
      </c>
      <c r="J2482">
        <v>38</v>
      </c>
      <c r="K2482" t="s">
        <v>84</v>
      </c>
      <c r="L2482" t="s">
        <v>85</v>
      </c>
      <c r="M2482" t="s">
        <v>86</v>
      </c>
      <c r="N2482">
        <v>3</v>
      </c>
      <c r="O2482" s="1">
        <v>44221.588229166664</v>
      </c>
      <c r="P2482" s="1">
        <v>44221.614016203705</v>
      </c>
      <c r="Q2482">
        <v>1786</v>
      </c>
      <c r="R2482">
        <v>442</v>
      </c>
      <c r="S2482" t="b">
        <v>0</v>
      </c>
      <c r="T2482" t="s">
        <v>87</v>
      </c>
      <c r="U2482" t="b">
        <v>0</v>
      </c>
      <c r="V2482" t="s">
        <v>255</v>
      </c>
      <c r="W2482" s="1">
        <v>44221.603587962964</v>
      </c>
      <c r="X2482">
        <v>372</v>
      </c>
      <c r="Y2482">
        <v>37</v>
      </c>
      <c r="Z2482">
        <v>0</v>
      </c>
      <c r="AA2482">
        <v>37</v>
      </c>
      <c r="AB2482">
        <v>0</v>
      </c>
      <c r="AC2482">
        <v>35</v>
      </c>
      <c r="AD2482">
        <v>1</v>
      </c>
      <c r="AE2482">
        <v>0</v>
      </c>
      <c r="AF2482">
        <v>0</v>
      </c>
      <c r="AG2482">
        <v>0</v>
      </c>
      <c r="AH2482" t="s">
        <v>132</v>
      </c>
      <c r="AI2482" s="1">
        <v>44221.612569444442</v>
      </c>
      <c r="AJ2482">
        <v>64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 t="s">
        <v>90</v>
      </c>
      <c r="AU2482" s="1">
        <v>44221.614016203705</v>
      </c>
      <c r="AV2482">
        <v>6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1</v>
      </c>
      <c r="BC2482">
        <v>0</v>
      </c>
      <c r="BD2482">
        <v>0</v>
      </c>
      <c r="BE2482">
        <v>0</v>
      </c>
    </row>
    <row r="2483" spans="1:57" x14ac:dyDescent="0.45">
      <c r="A2483" t="s">
        <v>5968</v>
      </c>
      <c r="B2483" t="s">
        <v>79</v>
      </c>
      <c r="C2483" t="s">
        <v>5969</v>
      </c>
      <c r="D2483" t="s">
        <v>81</v>
      </c>
      <c r="E2483" s="2" t="str">
        <f>HYPERLINK("capsilon://?command=openfolder&amp;siteaddress=FAM.docvelocity-na8.net&amp;folderid=FX8384AEEB-1062-03BB-5A9A-9685004ECC62","FX210113141")</f>
        <v>FX210113141</v>
      </c>
      <c r="F2483" t="s">
        <v>19</v>
      </c>
      <c r="G2483" t="s">
        <v>19</v>
      </c>
      <c r="H2483" t="s">
        <v>82</v>
      </c>
      <c r="I2483" t="s">
        <v>5970</v>
      </c>
      <c r="J2483">
        <v>38</v>
      </c>
      <c r="K2483" t="s">
        <v>84</v>
      </c>
      <c r="L2483" t="s">
        <v>85</v>
      </c>
      <c r="M2483" t="s">
        <v>86</v>
      </c>
      <c r="N2483">
        <v>3</v>
      </c>
      <c r="O2483" s="1">
        <v>44221.59170138889</v>
      </c>
      <c r="P2483" s="1">
        <v>44221.61409722222</v>
      </c>
      <c r="Q2483">
        <v>1511</v>
      </c>
      <c r="R2483">
        <v>424</v>
      </c>
      <c r="S2483" t="b">
        <v>0</v>
      </c>
      <c r="T2483" t="s">
        <v>87</v>
      </c>
      <c r="U2483" t="b">
        <v>0</v>
      </c>
      <c r="V2483" t="s">
        <v>242</v>
      </c>
      <c r="W2483" s="1">
        <v>44221.603773148148</v>
      </c>
      <c r="X2483">
        <v>300</v>
      </c>
      <c r="Y2483">
        <v>37</v>
      </c>
      <c r="Z2483">
        <v>0</v>
      </c>
      <c r="AA2483">
        <v>37</v>
      </c>
      <c r="AB2483">
        <v>0</v>
      </c>
      <c r="AC2483">
        <v>5</v>
      </c>
      <c r="AD2483">
        <v>1</v>
      </c>
      <c r="AE2483">
        <v>0</v>
      </c>
      <c r="AF2483">
        <v>0</v>
      </c>
      <c r="AG2483">
        <v>0</v>
      </c>
      <c r="AH2483" t="s">
        <v>128</v>
      </c>
      <c r="AI2483" s="1">
        <v>44221.613657407404</v>
      </c>
      <c r="AJ2483">
        <v>118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 t="s">
        <v>90</v>
      </c>
      <c r="AU2483" s="1">
        <v>44221.61409722222</v>
      </c>
      <c r="AV2483">
        <v>6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1</v>
      </c>
      <c r="BC2483">
        <v>0</v>
      </c>
      <c r="BD2483">
        <v>0</v>
      </c>
      <c r="BE2483">
        <v>0</v>
      </c>
    </row>
    <row r="2484" spans="1:57" hidden="1" x14ac:dyDescent="0.45">
      <c r="A2484" t="s">
        <v>5971</v>
      </c>
      <c r="B2484" t="s">
        <v>79</v>
      </c>
      <c r="C2484" t="s">
        <v>3985</v>
      </c>
      <c r="D2484" t="s">
        <v>81</v>
      </c>
      <c r="E2484" s="2" t="str">
        <f>HYPERLINK("capsilon://?command=openfolder&amp;siteaddress=FAM.docvelocity-na8.net&amp;folderid=FX1987F8D2-BFEE-E09E-18CD-7E3C64E3FAF2","FX20127945")</f>
        <v>FX20127945</v>
      </c>
      <c r="F2484" t="s">
        <v>19</v>
      </c>
      <c r="G2484" t="s">
        <v>19</v>
      </c>
      <c r="H2484" t="s">
        <v>82</v>
      </c>
      <c r="I2484" t="s">
        <v>5972</v>
      </c>
      <c r="J2484">
        <v>66</v>
      </c>
      <c r="K2484" t="s">
        <v>84</v>
      </c>
      <c r="L2484" t="s">
        <v>85</v>
      </c>
      <c r="M2484" t="s">
        <v>86</v>
      </c>
      <c r="N2484">
        <v>3</v>
      </c>
      <c r="O2484" s="1">
        <v>44221.5940162037</v>
      </c>
      <c r="P2484" s="1">
        <v>44221.614212962966</v>
      </c>
      <c r="Q2484">
        <v>1570</v>
      </c>
      <c r="R2484">
        <v>175</v>
      </c>
      <c r="S2484" t="b">
        <v>0</v>
      </c>
      <c r="T2484" t="s">
        <v>87</v>
      </c>
      <c r="U2484" t="b">
        <v>0</v>
      </c>
      <c r="V2484" t="s">
        <v>168</v>
      </c>
      <c r="W2484" s="1">
        <v>44221.604988425926</v>
      </c>
      <c r="X2484">
        <v>138</v>
      </c>
      <c r="Y2484">
        <v>0</v>
      </c>
      <c r="Z2484">
        <v>0</v>
      </c>
      <c r="AA2484">
        <v>0</v>
      </c>
      <c r="AB2484">
        <v>52</v>
      </c>
      <c r="AC2484">
        <v>0</v>
      </c>
      <c r="AD2484">
        <v>66</v>
      </c>
      <c r="AE2484">
        <v>0</v>
      </c>
      <c r="AF2484">
        <v>0</v>
      </c>
      <c r="AG2484">
        <v>0</v>
      </c>
      <c r="AH2484" t="s">
        <v>132</v>
      </c>
      <c r="AI2484" s="1">
        <v>44221.612696759257</v>
      </c>
      <c r="AJ2484">
        <v>10</v>
      </c>
      <c r="AK2484">
        <v>0</v>
      </c>
      <c r="AL2484">
        <v>0</v>
      </c>
      <c r="AM2484">
        <v>0</v>
      </c>
      <c r="AN2484">
        <v>52</v>
      </c>
      <c r="AO2484">
        <v>0</v>
      </c>
      <c r="AP2484">
        <v>66</v>
      </c>
      <c r="AQ2484">
        <v>0</v>
      </c>
      <c r="AR2484">
        <v>0</v>
      </c>
      <c r="AS2484">
        <v>0</v>
      </c>
      <c r="AT2484" t="s">
        <v>90</v>
      </c>
      <c r="AU2484" s="1">
        <v>44221.614212962966</v>
      </c>
      <c r="AV2484">
        <v>4</v>
      </c>
      <c r="AW2484">
        <v>0</v>
      </c>
      <c r="AX2484">
        <v>0</v>
      </c>
      <c r="AY2484">
        <v>0</v>
      </c>
      <c r="AZ2484">
        <v>52</v>
      </c>
      <c r="BA2484">
        <v>0</v>
      </c>
      <c r="BB2484">
        <v>66</v>
      </c>
      <c r="BC2484">
        <v>0</v>
      </c>
      <c r="BD2484">
        <v>0</v>
      </c>
      <c r="BE2484">
        <v>0</v>
      </c>
    </row>
    <row r="2485" spans="1:57" hidden="1" x14ac:dyDescent="0.45">
      <c r="A2485" t="s">
        <v>5973</v>
      </c>
      <c r="B2485" t="s">
        <v>79</v>
      </c>
      <c r="C2485" t="s">
        <v>3985</v>
      </c>
      <c r="D2485" t="s">
        <v>81</v>
      </c>
      <c r="E2485" s="2" t="str">
        <f>HYPERLINK("capsilon://?command=openfolder&amp;siteaddress=FAM.docvelocity-na8.net&amp;folderid=FX1987F8D2-BFEE-E09E-18CD-7E3C64E3FAF2","FX20127945")</f>
        <v>FX20127945</v>
      </c>
      <c r="F2485" t="s">
        <v>19</v>
      </c>
      <c r="G2485" t="s">
        <v>19</v>
      </c>
      <c r="H2485" t="s">
        <v>82</v>
      </c>
      <c r="I2485" t="s">
        <v>5974</v>
      </c>
      <c r="J2485">
        <v>66</v>
      </c>
      <c r="K2485" t="s">
        <v>84</v>
      </c>
      <c r="L2485" t="s">
        <v>85</v>
      </c>
      <c r="M2485" t="s">
        <v>86</v>
      </c>
      <c r="N2485">
        <v>3</v>
      </c>
      <c r="O2485" s="1">
        <v>44221.596145833333</v>
      </c>
      <c r="P2485" s="1">
        <v>44221.614259259259</v>
      </c>
      <c r="Q2485">
        <v>1368</v>
      </c>
      <c r="R2485">
        <v>197</v>
      </c>
      <c r="S2485" t="b">
        <v>0</v>
      </c>
      <c r="T2485" t="s">
        <v>87</v>
      </c>
      <c r="U2485" t="b">
        <v>0</v>
      </c>
      <c r="V2485" t="s">
        <v>255</v>
      </c>
      <c r="W2485" s="1">
        <v>44221.605578703704</v>
      </c>
      <c r="X2485">
        <v>172</v>
      </c>
      <c r="Y2485">
        <v>0</v>
      </c>
      <c r="Z2485">
        <v>0</v>
      </c>
      <c r="AA2485">
        <v>0</v>
      </c>
      <c r="AB2485">
        <v>52</v>
      </c>
      <c r="AC2485">
        <v>0</v>
      </c>
      <c r="AD2485">
        <v>66</v>
      </c>
      <c r="AE2485">
        <v>0</v>
      </c>
      <c r="AF2485">
        <v>0</v>
      </c>
      <c r="AG2485">
        <v>0</v>
      </c>
      <c r="AH2485" t="s">
        <v>147</v>
      </c>
      <c r="AI2485" s="1">
        <v>44221.612835648149</v>
      </c>
      <c r="AJ2485">
        <v>22</v>
      </c>
      <c r="AK2485">
        <v>0</v>
      </c>
      <c r="AL2485">
        <v>0</v>
      </c>
      <c r="AM2485">
        <v>0</v>
      </c>
      <c r="AN2485">
        <v>52</v>
      </c>
      <c r="AO2485">
        <v>0</v>
      </c>
      <c r="AP2485">
        <v>66</v>
      </c>
      <c r="AQ2485">
        <v>0</v>
      </c>
      <c r="AR2485">
        <v>0</v>
      </c>
      <c r="AS2485">
        <v>0</v>
      </c>
      <c r="AT2485" t="s">
        <v>90</v>
      </c>
      <c r="AU2485" s="1">
        <v>44221.614259259259</v>
      </c>
      <c r="AV2485">
        <v>3</v>
      </c>
      <c r="AW2485">
        <v>0</v>
      </c>
      <c r="AX2485">
        <v>0</v>
      </c>
      <c r="AY2485">
        <v>0</v>
      </c>
      <c r="AZ2485">
        <v>52</v>
      </c>
      <c r="BA2485">
        <v>0</v>
      </c>
      <c r="BB2485">
        <v>66</v>
      </c>
      <c r="BC2485">
        <v>0</v>
      </c>
      <c r="BD2485">
        <v>0</v>
      </c>
      <c r="BE2485">
        <v>0</v>
      </c>
    </row>
    <row r="2486" spans="1:57" hidden="1" x14ac:dyDescent="0.45">
      <c r="A2486" t="s">
        <v>5975</v>
      </c>
      <c r="B2486" t="s">
        <v>79</v>
      </c>
      <c r="C2486" t="s">
        <v>3985</v>
      </c>
      <c r="D2486" t="s">
        <v>81</v>
      </c>
      <c r="E2486" s="2" t="str">
        <f>HYPERLINK("capsilon://?command=openfolder&amp;siteaddress=FAM.docvelocity-na8.net&amp;folderid=FX1987F8D2-BFEE-E09E-18CD-7E3C64E3FAF2","FX20127945")</f>
        <v>FX20127945</v>
      </c>
      <c r="F2486" t="s">
        <v>19</v>
      </c>
      <c r="G2486" t="s">
        <v>19</v>
      </c>
      <c r="H2486" t="s">
        <v>82</v>
      </c>
      <c r="I2486" t="s">
        <v>5976</v>
      </c>
      <c r="J2486">
        <v>66</v>
      </c>
      <c r="K2486" t="s">
        <v>84</v>
      </c>
      <c r="L2486" t="s">
        <v>85</v>
      </c>
      <c r="M2486" t="s">
        <v>86</v>
      </c>
      <c r="N2486">
        <v>3</v>
      </c>
      <c r="O2486" s="1">
        <v>44221.596655092595</v>
      </c>
      <c r="P2486" s="1">
        <v>44221.614293981482</v>
      </c>
      <c r="Q2486">
        <v>1473</v>
      </c>
      <c r="R2486">
        <v>51</v>
      </c>
      <c r="S2486" t="b">
        <v>0</v>
      </c>
      <c r="T2486" t="s">
        <v>87</v>
      </c>
      <c r="U2486" t="b">
        <v>0</v>
      </c>
      <c r="V2486" t="s">
        <v>160</v>
      </c>
      <c r="W2486" s="1">
        <v>44221.604097222225</v>
      </c>
      <c r="X2486">
        <v>39</v>
      </c>
      <c r="Y2486">
        <v>0</v>
      </c>
      <c r="Z2486">
        <v>0</v>
      </c>
      <c r="AA2486">
        <v>0</v>
      </c>
      <c r="AB2486">
        <v>52</v>
      </c>
      <c r="AC2486">
        <v>0</v>
      </c>
      <c r="AD2486">
        <v>66</v>
      </c>
      <c r="AE2486">
        <v>0</v>
      </c>
      <c r="AF2486">
        <v>0</v>
      </c>
      <c r="AG2486">
        <v>0</v>
      </c>
      <c r="AH2486" t="s">
        <v>132</v>
      </c>
      <c r="AI2486" s="1">
        <v>44221.612824074073</v>
      </c>
      <c r="AJ2486">
        <v>10</v>
      </c>
      <c r="AK2486">
        <v>0</v>
      </c>
      <c r="AL2486">
        <v>0</v>
      </c>
      <c r="AM2486">
        <v>0</v>
      </c>
      <c r="AN2486">
        <v>52</v>
      </c>
      <c r="AO2486">
        <v>0</v>
      </c>
      <c r="AP2486">
        <v>66</v>
      </c>
      <c r="AQ2486">
        <v>0</v>
      </c>
      <c r="AR2486">
        <v>0</v>
      </c>
      <c r="AS2486">
        <v>0</v>
      </c>
      <c r="AT2486" t="s">
        <v>90</v>
      </c>
      <c r="AU2486" s="1">
        <v>44221.614293981482</v>
      </c>
      <c r="AV2486">
        <v>2</v>
      </c>
      <c r="AW2486">
        <v>0</v>
      </c>
      <c r="AX2486">
        <v>0</v>
      </c>
      <c r="AY2486">
        <v>0</v>
      </c>
      <c r="AZ2486">
        <v>52</v>
      </c>
      <c r="BA2486">
        <v>0</v>
      </c>
      <c r="BB2486">
        <v>66</v>
      </c>
      <c r="BC2486">
        <v>0</v>
      </c>
      <c r="BD2486">
        <v>0</v>
      </c>
      <c r="BE2486">
        <v>0</v>
      </c>
    </row>
    <row r="2487" spans="1:57" x14ac:dyDescent="0.45">
      <c r="A2487" t="s">
        <v>5977</v>
      </c>
      <c r="B2487" t="s">
        <v>79</v>
      </c>
      <c r="C2487" t="s">
        <v>1890</v>
      </c>
      <c r="D2487" t="s">
        <v>81</v>
      </c>
      <c r="E2487" s="2" t="str">
        <f>HYPERLINK("capsilon://?command=openfolder&amp;siteaddress=FAM.docvelocity-na8.net&amp;folderid=FXA2660F5D-D7CA-DD78-A601-1795C871FF8A","FX20126951")</f>
        <v>FX20126951</v>
      </c>
      <c r="F2487" t="s">
        <v>19</v>
      </c>
      <c r="G2487" t="s">
        <v>19</v>
      </c>
      <c r="H2487" t="s">
        <v>82</v>
      </c>
      <c r="I2487" t="s">
        <v>5978</v>
      </c>
      <c r="J2487">
        <v>66</v>
      </c>
      <c r="K2487" t="s">
        <v>84</v>
      </c>
      <c r="L2487" t="s">
        <v>85</v>
      </c>
      <c r="M2487" t="s">
        <v>86</v>
      </c>
      <c r="N2487">
        <v>3</v>
      </c>
      <c r="O2487" s="1">
        <v>44221.599872685183</v>
      </c>
      <c r="P2487" s="1">
        <v>44221.618460648147</v>
      </c>
      <c r="Q2487">
        <v>774</v>
      </c>
      <c r="R2487">
        <v>832</v>
      </c>
      <c r="S2487" t="b">
        <v>0</v>
      </c>
      <c r="T2487" t="s">
        <v>87</v>
      </c>
      <c r="U2487" t="b">
        <v>0</v>
      </c>
      <c r="V2487" t="s">
        <v>242</v>
      </c>
      <c r="W2487" s="1">
        <v>44221.611400462964</v>
      </c>
      <c r="X2487">
        <v>658</v>
      </c>
      <c r="Y2487">
        <v>52</v>
      </c>
      <c r="Z2487">
        <v>0</v>
      </c>
      <c r="AA2487">
        <v>52</v>
      </c>
      <c r="AB2487">
        <v>0</v>
      </c>
      <c r="AC2487">
        <v>39</v>
      </c>
      <c r="AD2487">
        <v>14</v>
      </c>
      <c r="AE2487">
        <v>0</v>
      </c>
      <c r="AF2487">
        <v>0</v>
      </c>
      <c r="AG2487">
        <v>0</v>
      </c>
      <c r="AH2487" t="s">
        <v>132</v>
      </c>
      <c r="AI2487" s="1">
        <v>44221.614317129628</v>
      </c>
      <c r="AJ2487">
        <v>128</v>
      </c>
      <c r="AK2487">
        <v>2</v>
      </c>
      <c r="AL2487">
        <v>0</v>
      </c>
      <c r="AM2487">
        <v>2</v>
      </c>
      <c r="AN2487">
        <v>0</v>
      </c>
      <c r="AO2487">
        <v>1</v>
      </c>
      <c r="AP2487">
        <v>12</v>
      </c>
      <c r="AQ2487">
        <v>0</v>
      </c>
      <c r="AR2487">
        <v>0</v>
      </c>
      <c r="AS2487">
        <v>0</v>
      </c>
      <c r="AT2487" t="s">
        <v>90</v>
      </c>
      <c r="AU2487" s="1">
        <v>44221.618460648147</v>
      </c>
      <c r="AV2487">
        <v>46</v>
      </c>
      <c r="AW2487">
        <v>1</v>
      </c>
      <c r="AX2487">
        <v>0</v>
      </c>
      <c r="AY2487">
        <v>1</v>
      </c>
      <c r="AZ2487">
        <v>0</v>
      </c>
      <c r="BA2487">
        <v>1</v>
      </c>
      <c r="BB2487">
        <v>11</v>
      </c>
      <c r="BC2487">
        <v>0</v>
      </c>
      <c r="BD2487">
        <v>0</v>
      </c>
      <c r="BE2487">
        <v>0</v>
      </c>
    </row>
    <row r="2488" spans="1:57" x14ac:dyDescent="0.45">
      <c r="A2488" t="s">
        <v>5979</v>
      </c>
      <c r="B2488" t="s">
        <v>79</v>
      </c>
      <c r="C2488" t="s">
        <v>5980</v>
      </c>
      <c r="D2488" t="s">
        <v>81</v>
      </c>
      <c r="E2488" s="2" t="str">
        <f>HYPERLINK("capsilon://?command=openfolder&amp;siteaddress=FAM.docvelocity-na8.net&amp;folderid=FX9AC63F46-CAAA-284D-A576-95ADC277348A","FX210111239")</f>
        <v>FX210111239</v>
      </c>
      <c r="F2488" t="s">
        <v>19</v>
      </c>
      <c r="G2488" t="s">
        <v>19</v>
      </c>
      <c r="H2488" t="s">
        <v>82</v>
      </c>
      <c r="I2488" t="s">
        <v>5981</v>
      </c>
      <c r="J2488">
        <v>282</v>
      </c>
      <c r="K2488" t="s">
        <v>84</v>
      </c>
      <c r="L2488" t="s">
        <v>85</v>
      </c>
      <c r="M2488" t="s">
        <v>86</v>
      </c>
      <c r="N2488">
        <v>3</v>
      </c>
      <c r="O2488" s="1">
        <v>44221.60056712963</v>
      </c>
      <c r="P2488" s="1">
        <v>44221.631863425922</v>
      </c>
      <c r="Q2488">
        <v>553</v>
      </c>
      <c r="R2488">
        <v>2151</v>
      </c>
      <c r="S2488" t="b">
        <v>0</v>
      </c>
      <c r="T2488" t="s">
        <v>87</v>
      </c>
      <c r="U2488" t="b">
        <v>0</v>
      </c>
      <c r="V2488" t="s">
        <v>255</v>
      </c>
      <c r="W2488" s="1">
        <v>44221.624467592592</v>
      </c>
      <c r="X2488">
        <v>1631</v>
      </c>
      <c r="Y2488">
        <v>306</v>
      </c>
      <c r="Z2488">
        <v>0</v>
      </c>
      <c r="AA2488">
        <v>306</v>
      </c>
      <c r="AB2488">
        <v>0</v>
      </c>
      <c r="AC2488">
        <v>155</v>
      </c>
      <c r="AD2488">
        <v>-24</v>
      </c>
      <c r="AE2488">
        <v>0</v>
      </c>
      <c r="AF2488">
        <v>0</v>
      </c>
      <c r="AG2488">
        <v>0</v>
      </c>
      <c r="AH2488" t="s">
        <v>132</v>
      </c>
      <c r="AI2488" s="1">
        <v>44221.629745370374</v>
      </c>
      <c r="AJ2488">
        <v>452</v>
      </c>
      <c r="AK2488">
        <v>3</v>
      </c>
      <c r="AL2488">
        <v>0</v>
      </c>
      <c r="AM2488">
        <v>3</v>
      </c>
      <c r="AN2488">
        <v>0</v>
      </c>
      <c r="AO2488">
        <v>2</v>
      </c>
      <c r="AP2488">
        <v>-27</v>
      </c>
      <c r="AQ2488">
        <v>0</v>
      </c>
      <c r="AR2488">
        <v>0</v>
      </c>
      <c r="AS2488">
        <v>0</v>
      </c>
      <c r="AT2488" t="s">
        <v>90</v>
      </c>
      <c r="AU2488" s="1">
        <v>44221.631863425922</v>
      </c>
      <c r="AV2488">
        <v>29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-27</v>
      </c>
      <c r="BC2488">
        <v>0</v>
      </c>
      <c r="BD2488">
        <v>0</v>
      </c>
      <c r="BE2488">
        <v>0</v>
      </c>
    </row>
    <row r="2489" spans="1:57" hidden="1" x14ac:dyDescent="0.45">
      <c r="A2489" t="s">
        <v>5982</v>
      </c>
      <c r="B2489" t="s">
        <v>79</v>
      </c>
      <c r="C2489" t="s">
        <v>1863</v>
      </c>
      <c r="D2489" t="s">
        <v>81</v>
      </c>
      <c r="E2489" s="2" t="str">
        <f>HYPERLINK("capsilon://?command=openfolder&amp;siteaddress=FAM.docvelocity-na8.net&amp;folderid=FX2F9E6C7F-FC90-4EE8-6AA3-EDBFFF0FEE98","FX21014068")</f>
        <v>FX21014068</v>
      </c>
      <c r="F2489" t="s">
        <v>19</v>
      </c>
      <c r="G2489" t="s">
        <v>19</v>
      </c>
      <c r="H2489" t="s">
        <v>82</v>
      </c>
      <c r="I2489" t="s">
        <v>5983</v>
      </c>
      <c r="J2489">
        <v>66</v>
      </c>
      <c r="K2489" t="s">
        <v>84</v>
      </c>
      <c r="L2489" t="s">
        <v>85</v>
      </c>
      <c r="M2489" t="s">
        <v>86</v>
      </c>
      <c r="N2489">
        <v>1</v>
      </c>
      <c r="O2489" s="1">
        <v>44221.600624999999</v>
      </c>
      <c r="P2489" s="1">
        <v>44221.606770833336</v>
      </c>
      <c r="Q2489">
        <v>482</v>
      </c>
      <c r="R2489">
        <v>49</v>
      </c>
      <c r="S2489" t="b">
        <v>0</v>
      </c>
      <c r="T2489" t="s">
        <v>87</v>
      </c>
      <c r="U2489" t="b">
        <v>0</v>
      </c>
      <c r="V2489" t="s">
        <v>168</v>
      </c>
      <c r="W2489" s="1">
        <v>44221.606770833336</v>
      </c>
      <c r="X2489">
        <v>49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66</v>
      </c>
      <c r="AE2489">
        <v>52</v>
      </c>
      <c r="AF2489">
        <v>0</v>
      </c>
      <c r="AG2489">
        <v>1</v>
      </c>
      <c r="AH2489" t="s">
        <v>87</v>
      </c>
      <c r="AI2489" t="s">
        <v>87</v>
      </c>
      <c r="AJ2489" t="s">
        <v>87</v>
      </c>
      <c r="AK2489" t="s">
        <v>87</v>
      </c>
      <c r="AL2489" t="s">
        <v>87</v>
      </c>
      <c r="AM2489" t="s">
        <v>87</v>
      </c>
      <c r="AN2489" t="s">
        <v>87</v>
      </c>
      <c r="AO2489" t="s">
        <v>87</v>
      </c>
      <c r="AP2489" t="s">
        <v>87</v>
      </c>
      <c r="AQ2489" t="s">
        <v>87</v>
      </c>
      <c r="AR2489" t="s">
        <v>87</v>
      </c>
      <c r="AS2489" t="s">
        <v>87</v>
      </c>
      <c r="AT2489" t="s">
        <v>87</v>
      </c>
      <c r="AU2489" t="s">
        <v>87</v>
      </c>
      <c r="AV2489" t="s">
        <v>87</v>
      </c>
      <c r="AW2489" t="s">
        <v>87</v>
      </c>
      <c r="AX2489" t="s">
        <v>87</v>
      </c>
      <c r="AY2489" t="s">
        <v>87</v>
      </c>
      <c r="AZ2489" t="s">
        <v>87</v>
      </c>
      <c r="BA2489" t="s">
        <v>87</v>
      </c>
      <c r="BB2489" t="s">
        <v>87</v>
      </c>
      <c r="BC2489" t="s">
        <v>87</v>
      </c>
      <c r="BD2489" t="s">
        <v>87</v>
      </c>
      <c r="BE2489" t="s">
        <v>87</v>
      </c>
    </row>
    <row r="2490" spans="1:57" x14ac:dyDescent="0.45">
      <c r="A2490" t="s">
        <v>5984</v>
      </c>
      <c r="B2490" t="s">
        <v>79</v>
      </c>
      <c r="C2490" t="s">
        <v>5939</v>
      </c>
      <c r="D2490" t="s">
        <v>81</v>
      </c>
      <c r="E2490" s="2" t="str">
        <f>HYPERLINK("capsilon://?command=openfolder&amp;siteaddress=FAM.docvelocity-na8.net&amp;folderid=FX64BDDEEA-C33B-8AE4-6FF9-E4BE2BD3AF5B","FX210113834")</f>
        <v>FX210113834</v>
      </c>
      <c r="F2490" t="s">
        <v>19</v>
      </c>
      <c r="G2490" t="s">
        <v>19</v>
      </c>
      <c r="H2490" t="s">
        <v>82</v>
      </c>
      <c r="I2490" t="s">
        <v>5985</v>
      </c>
      <c r="J2490">
        <v>58</v>
      </c>
      <c r="K2490" t="s">
        <v>84</v>
      </c>
      <c r="L2490" t="s">
        <v>85</v>
      </c>
      <c r="M2490" t="s">
        <v>86</v>
      </c>
      <c r="N2490">
        <v>3</v>
      </c>
      <c r="O2490" s="1">
        <v>44221.602152777778</v>
      </c>
      <c r="P2490" s="1">
        <v>44221.622997685183</v>
      </c>
      <c r="Q2490">
        <v>607</v>
      </c>
      <c r="R2490">
        <v>1194</v>
      </c>
      <c r="S2490" t="b">
        <v>0</v>
      </c>
      <c r="T2490" t="s">
        <v>87</v>
      </c>
      <c r="U2490" t="b">
        <v>0</v>
      </c>
      <c r="V2490" t="s">
        <v>168</v>
      </c>
      <c r="W2490" s="1">
        <v>44221.615254629629</v>
      </c>
      <c r="X2490">
        <v>732</v>
      </c>
      <c r="Y2490">
        <v>46</v>
      </c>
      <c r="Z2490">
        <v>0</v>
      </c>
      <c r="AA2490">
        <v>46</v>
      </c>
      <c r="AB2490">
        <v>0</v>
      </c>
      <c r="AC2490">
        <v>32</v>
      </c>
      <c r="AD2490">
        <v>12</v>
      </c>
      <c r="AE2490">
        <v>0</v>
      </c>
      <c r="AF2490">
        <v>0</v>
      </c>
      <c r="AG2490">
        <v>0</v>
      </c>
      <c r="AH2490" t="s">
        <v>132</v>
      </c>
      <c r="AI2490" s="1">
        <v>44221.620833333334</v>
      </c>
      <c r="AJ2490">
        <v>442</v>
      </c>
      <c r="AK2490">
        <v>1</v>
      </c>
      <c r="AL2490">
        <v>0</v>
      </c>
      <c r="AM2490">
        <v>1</v>
      </c>
      <c r="AN2490">
        <v>0</v>
      </c>
      <c r="AO2490">
        <v>1</v>
      </c>
      <c r="AP2490">
        <v>11</v>
      </c>
      <c r="AQ2490">
        <v>0</v>
      </c>
      <c r="AR2490">
        <v>0</v>
      </c>
      <c r="AS2490">
        <v>0</v>
      </c>
      <c r="AT2490" t="s">
        <v>90</v>
      </c>
      <c r="AU2490" s="1">
        <v>44221.622997685183</v>
      </c>
      <c r="AV2490">
        <v>20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11</v>
      </c>
      <c r="BC2490">
        <v>0</v>
      </c>
      <c r="BD2490">
        <v>0</v>
      </c>
      <c r="BE2490">
        <v>0</v>
      </c>
    </row>
    <row r="2491" spans="1:57" x14ac:dyDescent="0.45">
      <c r="A2491" t="s">
        <v>5986</v>
      </c>
      <c r="B2491" t="s">
        <v>79</v>
      </c>
      <c r="C2491" t="s">
        <v>5939</v>
      </c>
      <c r="D2491" t="s">
        <v>81</v>
      </c>
      <c r="E2491" s="2" t="str">
        <f>HYPERLINK("capsilon://?command=openfolder&amp;siteaddress=FAM.docvelocity-na8.net&amp;folderid=FX64BDDEEA-C33B-8AE4-6FF9-E4BE2BD3AF5B","FX210113834")</f>
        <v>FX210113834</v>
      </c>
      <c r="F2491" t="s">
        <v>19</v>
      </c>
      <c r="G2491" t="s">
        <v>19</v>
      </c>
      <c r="H2491" t="s">
        <v>82</v>
      </c>
      <c r="I2491" t="s">
        <v>5987</v>
      </c>
      <c r="J2491">
        <v>58</v>
      </c>
      <c r="K2491" t="s">
        <v>84</v>
      </c>
      <c r="L2491" t="s">
        <v>85</v>
      </c>
      <c r="M2491" t="s">
        <v>86</v>
      </c>
      <c r="N2491">
        <v>3</v>
      </c>
      <c r="O2491" s="1">
        <v>44221.602916666663</v>
      </c>
      <c r="P2491" s="1">
        <v>44221.629270833335</v>
      </c>
      <c r="Q2491">
        <v>1752</v>
      </c>
      <c r="R2491">
        <v>525</v>
      </c>
      <c r="S2491" t="b">
        <v>0</v>
      </c>
      <c r="T2491" t="s">
        <v>87</v>
      </c>
      <c r="U2491" t="b">
        <v>0</v>
      </c>
      <c r="V2491" t="s">
        <v>242</v>
      </c>
      <c r="W2491" s="1">
        <v>44221.615104166667</v>
      </c>
      <c r="X2491">
        <v>319</v>
      </c>
      <c r="Y2491">
        <v>52</v>
      </c>
      <c r="Z2491">
        <v>0</v>
      </c>
      <c r="AA2491">
        <v>52</v>
      </c>
      <c r="AB2491">
        <v>0</v>
      </c>
      <c r="AC2491">
        <v>37</v>
      </c>
      <c r="AD2491">
        <v>6</v>
      </c>
      <c r="AE2491">
        <v>0</v>
      </c>
      <c r="AF2491">
        <v>0</v>
      </c>
      <c r="AG2491">
        <v>0</v>
      </c>
      <c r="AH2491" t="s">
        <v>132</v>
      </c>
      <c r="AI2491" s="1">
        <v>44221.623657407406</v>
      </c>
      <c r="AJ2491">
        <v>154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6</v>
      </c>
      <c r="AQ2491">
        <v>0</v>
      </c>
      <c r="AR2491">
        <v>0</v>
      </c>
      <c r="AS2491">
        <v>0</v>
      </c>
      <c r="AT2491" t="s">
        <v>90</v>
      </c>
      <c r="AU2491" s="1">
        <v>44221.629270833335</v>
      </c>
      <c r="AV2491">
        <v>25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6</v>
      </c>
      <c r="BC2491">
        <v>0</v>
      </c>
      <c r="BD2491">
        <v>0</v>
      </c>
      <c r="BE2491">
        <v>0</v>
      </c>
    </row>
    <row r="2492" spans="1:57" hidden="1" x14ac:dyDescent="0.45">
      <c r="A2492" t="s">
        <v>5988</v>
      </c>
      <c r="B2492" t="s">
        <v>79</v>
      </c>
      <c r="C2492" t="s">
        <v>5989</v>
      </c>
      <c r="D2492" t="s">
        <v>81</v>
      </c>
      <c r="E2492" s="2" t="str">
        <f>HYPERLINK("capsilon://?command=openfolder&amp;siteaddress=FAM.docvelocity-na8.net&amp;folderid=FXBBE62192-267C-F7F6-D457-9951AD5406EC","FX2012393")</f>
        <v>FX2012393</v>
      </c>
      <c r="F2492" t="s">
        <v>19</v>
      </c>
      <c r="G2492" t="s">
        <v>19</v>
      </c>
      <c r="H2492" t="s">
        <v>82</v>
      </c>
      <c r="I2492" t="s">
        <v>5990</v>
      </c>
      <c r="J2492">
        <v>66</v>
      </c>
      <c r="K2492" t="s">
        <v>84</v>
      </c>
      <c r="L2492" t="s">
        <v>85</v>
      </c>
      <c r="M2492" t="s">
        <v>86</v>
      </c>
      <c r="N2492">
        <v>1</v>
      </c>
      <c r="O2492" s="1">
        <v>44221.604849537034</v>
      </c>
      <c r="P2492" s="1">
        <v>44221.612766203703</v>
      </c>
      <c r="Q2492">
        <v>596</v>
      </c>
      <c r="R2492">
        <v>88</v>
      </c>
      <c r="S2492" t="b">
        <v>0</v>
      </c>
      <c r="T2492" t="s">
        <v>87</v>
      </c>
      <c r="U2492" t="b">
        <v>0</v>
      </c>
      <c r="V2492" t="s">
        <v>343</v>
      </c>
      <c r="W2492" s="1">
        <v>44221.612766203703</v>
      </c>
      <c r="X2492">
        <v>88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66</v>
      </c>
      <c r="AE2492">
        <v>52</v>
      </c>
      <c r="AF2492">
        <v>0</v>
      </c>
      <c r="AG2492">
        <v>1</v>
      </c>
      <c r="AH2492" t="s">
        <v>87</v>
      </c>
      <c r="AI2492" t="s">
        <v>87</v>
      </c>
      <c r="AJ2492" t="s">
        <v>87</v>
      </c>
      <c r="AK2492" t="s">
        <v>87</v>
      </c>
      <c r="AL2492" t="s">
        <v>87</v>
      </c>
      <c r="AM2492" t="s">
        <v>87</v>
      </c>
      <c r="AN2492" t="s">
        <v>87</v>
      </c>
      <c r="AO2492" t="s">
        <v>87</v>
      </c>
      <c r="AP2492" t="s">
        <v>87</v>
      </c>
      <c r="AQ2492" t="s">
        <v>87</v>
      </c>
      <c r="AR2492" t="s">
        <v>87</v>
      </c>
      <c r="AS2492" t="s">
        <v>87</v>
      </c>
      <c r="AT2492" t="s">
        <v>87</v>
      </c>
      <c r="AU2492" t="s">
        <v>87</v>
      </c>
      <c r="AV2492" t="s">
        <v>87</v>
      </c>
      <c r="AW2492" t="s">
        <v>87</v>
      </c>
      <c r="AX2492" t="s">
        <v>87</v>
      </c>
      <c r="AY2492" t="s">
        <v>87</v>
      </c>
      <c r="AZ2492" t="s">
        <v>87</v>
      </c>
      <c r="BA2492" t="s">
        <v>87</v>
      </c>
      <c r="BB2492" t="s">
        <v>87</v>
      </c>
      <c r="BC2492" t="s">
        <v>87</v>
      </c>
      <c r="BD2492" t="s">
        <v>87</v>
      </c>
      <c r="BE2492" t="s">
        <v>87</v>
      </c>
    </row>
    <row r="2493" spans="1:57" hidden="1" x14ac:dyDescent="0.45">
      <c r="A2493" t="s">
        <v>5991</v>
      </c>
      <c r="B2493" t="s">
        <v>79</v>
      </c>
      <c r="C2493" t="s">
        <v>1863</v>
      </c>
      <c r="D2493" t="s">
        <v>81</v>
      </c>
      <c r="E2493" s="2" t="str">
        <f>HYPERLINK("capsilon://?command=openfolder&amp;siteaddress=FAM.docvelocity-na8.net&amp;folderid=FX2F9E6C7F-FC90-4EE8-6AA3-EDBFFF0FEE98","FX21014068")</f>
        <v>FX21014068</v>
      </c>
      <c r="F2493" t="s">
        <v>19</v>
      </c>
      <c r="G2493" t="s">
        <v>19</v>
      </c>
      <c r="H2493" t="s">
        <v>82</v>
      </c>
      <c r="I2493" t="s">
        <v>5992</v>
      </c>
      <c r="J2493">
        <v>66</v>
      </c>
      <c r="K2493" t="s">
        <v>84</v>
      </c>
      <c r="L2493" t="s">
        <v>85</v>
      </c>
      <c r="M2493" t="s">
        <v>86</v>
      </c>
      <c r="N2493">
        <v>1</v>
      </c>
      <c r="O2493" s="1">
        <v>44221.606249999997</v>
      </c>
      <c r="P2493" s="1">
        <v>44221.613668981481</v>
      </c>
      <c r="Q2493">
        <v>566</v>
      </c>
      <c r="R2493">
        <v>75</v>
      </c>
      <c r="S2493" t="b">
        <v>0</v>
      </c>
      <c r="T2493" t="s">
        <v>87</v>
      </c>
      <c r="U2493" t="b">
        <v>0</v>
      </c>
      <c r="V2493" t="s">
        <v>343</v>
      </c>
      <c r="W2493" s="1">
        <v>44221.613668981481</v>
      </c>
      <c r="X2493">
        <v>75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66</v>
      </c>
      <c r="AE2493">
        <v>52</v>
      </c>
      <c r="AF2493">
        <v>0</v>
      </c>
      <c r="AG2493">
        <v>1</v>
      </c>
      <c r="AH2493" t="s">
        <v>87</v>
      </c>
      <c r="AI2493" t="s">
        <v>87</v>
      </c>
      <c r="AJ2493" t="s">
        <v>87</v>
      </c>
      <c r="AK2493" t="s">
        <v>87</v>
      </c>
      <c r="AL2493" t="s">
        <v>87</v>
      </c>
      <c r="AM2493" t="s">
        <v>87</v>
      </c>
      <c r="AN2493" t="s">
        <v>87</v>
      </c>
      <c r="AO2493" t="s">
        <v>87</v>
      </c>
      <c r="AP2493" t="s">
        <v>87</v>
      </c>
      <c r="AQ2493" t="s">
        <v>87</v>
      </c>
      <c r="AR2493" t="s">
        <v>87</v>
      </c>
      <c r="AS2493" t="s">
        <v>87</v>
      </c>
      <c r="AT2493" t="s">
        <v>87</v>
      </c>
      <c r="AU2493" t="s">
        <v>87</v>
      </c>
      <c r="AV2493" t="s">
        <v>87</v>
      </c>
      <c r="AW2493" t="s">
        <v>87</v>
      </c>
      <c r="AX2493" t="s">
        <v>87</v>
      </c>
      <c r="AY2493" t="s">
        <v>87</v>
      </c>
      <c r="AZ2493" t="s">
        <v>87</v>
      </c>
      <c r="BA2493" t="s">
        <v>87</v>
      </c>
      <c r="BB2493" t="s">
        <v>87</v>
      </c>
      <c r="BC2493" t="s">
        <v>87</v>
      </c>
      <c r="BD2493" t="s">
        <v>87</v>
      </c>
      <c r="BE2493" t="s">
        <v>87</v>
      </c>
    </row>
    <row r="2494" spans="1:57" x14ac:dyDescent="0.45">
      <c r="A2494" t="s">
        <v>5993</v>
      </c>
      <c r="B2494" t="s">
        <v>79</v>
      </c>
      <c r="C2494" t="s">
        <v>1863</v>
      </c>
      <c r="D2494" t="s">
        <v>81</v>
      </c>
      <c r="E2494" s="2" t="str">
        <f>HYPERLINK("capsilon://?command=openfolder&amp;siteaddress=FAM.docvelocity-na8.net&amp;folderid=FX2F9E6C7F-FC90-4EE8-6AA3-EDBFFF0FEE98","FX21014068")</f>
        <v>FX21014068</v>
      </c>
      <c r="F2494" t="s">
        <v>19</v>
      </c>
      <c r="G2494" t="s">
        <v>19</v>
      </c>
      <c r="H2494" t="s">
        <v>82</v>
      </c>
      <c r="I2494" t="s">
        <v>5983</v>
      </c>
      <c r="J2494">
        <v>38</v>
      </c>
      <c r="K2494" t="s">
        <v>84</v>
      </c>
      <c r="L2494" t="s">
        <v>85</v>
      </c>
      <c r="M2494" t="s">
        <v>86</v>
      </c>
      <c r="N2494">
        <v>3</v>
      </c>
      <c r="O2494" s="1">
        <v>44221.607048611113</v>
      </c>
      <c r="P2494" s="1">
        <v>44221.618530092594</v>
      </c>
      <c r="Q2494">
        <v>52</v>
      </c>
      <c r="R2494">
        <v>940</v>
      </c>
      <c r="S2494" t="b">
        <v>0</v>
      </c>
      <c r="T2494" t="s">
        <v>87</v>
      </c>
      <c r="U2494" t="b">
        <v>1</v>
      </c>
      <c r="V2494" t="s">
        <v>179</v>
      </c>
      <c r="W2494" s="1">
        <v>44221.614942129629</v>
      </c>
      <c r="X2494">
        <v>668</v>
      </c>
      <c r="Y2494">
        <v>37</v>
      </c>
      <c r="Z2494">
        <v>0</v>
      </c>
      <c r="AA2494">
        <v>37</v>
      </c>
      <c r="AB2494">
        <v>0</v>
      </c>
      <c r="AC2494">
        <v>33</v>
      </c>
      <c r="AD2494">
        <v>1</v>
      </c>
      <c r="AE2494">
        <v>0</v>
      </c>
      <c r="AF2494">
        <v>0</v>
      </c>
      <c r="AG2494">
        <v>0</v>
      </c>
      <c r="AH2494" t="s">
        <v>147</v>
      </c>
      <c r="AI2494" s="1">
        <v>44221.618043981478</v>
      </c>
      <c r="AJ2494">
        <v>267</v>
      </c>
      <c r="AK2494">
        <v>2</v>
      </c>
      <c r="AL2494">
        <v>0</v>
      </c>
      <c r="AM2494">
        <v>2</v>
      </c>
      <c r="AN2494">
        <v>0</v>
      </c>
      <c r="AO2494">
        <v>1</v>
      </c>
      <c r="AP2494">
        <v>-1</v>
      </c>
      <c r="AQ2494">
        <v>0</v>
      </c>
      <c r="AR2494">
        <v>0</v>
      </c>
      <c r="AS2494">
        <v>0</v>
      </c>
      <c r="AT2494" t="s">
        <v>90</v>
      </c>
      <c r="AU2494" s="1">
        <v>44221.618530092594</v>
      </c>
      <c r="AV2494">
        <v>5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-1</v>
      </c>
      <c r="BC2494">
        <v>0</v>
      </c>
      <c r="BD2494">
        <v>0</v>
      </c>
      <c r="BE2494">
        <v>0</v>
      </c>
    </row>
    <row r="2495" spans="1:57" x14ac:dyDescent="0.45">
      <c r="A2495" t="s">
        <v>5994</v>
      </c>
      <c r="B2495" t="s">
        <v>79</v>
      </c>
      <c r="C2495" t="s">
        <v>5945</v>
      </c>
      <c r="D2495" t="s">
        <v>81</v>
      </c>
      <c r="E2495" s="2" t="str">
        <f>HYPERLINK("capsilon://?command=openfolder&amp;siteaddress=FAM.docvelocity-na8.net&amp;folderid=FX6D148520-82EC-FAA4-3432-30A66C456F94","FX210111693")</f>
        <v>FX210111693</v>
      </c>
      <c r="F2495" t="s">
        <v>19</v>
      </c>
      <c r="G2495" t="s">
        <v>19</v>
      </c>
      <c r="H2495" t="s">
        <v>82</v>
      </c>
      <c r="I2495" t="s">
        <v>5946</v>
      </c>
      <c r="J2495">
        <v>104</v>
      </c>
      <c r="K2495" t="s">
        <v>84</v>
      </c>
      <c r="L2495" t="s">
        <v>85</v>
      </c>
      <c r="M2495" t="s">
        <v>86</v>
      </c>
      <c r="N2495">
        <v>3</v>
      </c>
      <c r="O2495" s="1">
        <v>44221.607372685183</v>
      </c>
      <c r="P2495" s="1">
        <v>44221.682708333334</v>
      </c>
      <c r="Q2495">
        <v>2192</v>
      </c>
      <c r="R2495">
        <v>4317</v>
      </c>
      <c r="S2495" t="b">
        <v>0</v>
      </c>
      <c r="T2495" t="s">
        <v>87</v>
      </c>
      <c r="U2495" t="b">
        <v>1</v>
      </c>
      <c r="V2495" t="s">
        <v>179</v>
      </c>
      <c r="W2495" s="1">
        <v>44221.652743055558</v>
      </c>
      <c r="X2495">
        <v>3265</v>
      </c>
      <c r="Y2495">
        <v>98</v>
      </c>
      <c r="Z2495">
        <v>0</v>
      </c>
      <c r="AA2495">
        <v>98</v>
      </c>
      <c r="AB2495">
        <v>0</v>
      </c>
      <c r="AC2495">
        <v>106</v>
      </c>
      <c r="AD2495">
        <v>6</v>
      </c>
      <c r="AE2495">
        <v>0</v>
      </c>
      <c r="AF2495">
        <v>0</v>
      </c>
      <c r="AG2495">
        <v>0</v>
      </c>
      <c r="AH2495" t="s">
        <v>128</v>
      </c>
      <c r="AI2495" s="1">
        <v>44221.664456018516</v>
      </c>
      <c r="AJ2495">
        <v>943</v>
      </c>
      <c r="AK2495">
        <v>12</v>
      </c>
      <c r="AL2495">
        <v>0</v>
      </c>
      <c r="AM2495">
        <v>12</v>
      </c>
      <c r="AN2495">
        <v>0</v>
      </c>
      <c r="AO2495">
        <v>12</v>
      </c>
      <c r="AP2495">
        <v>-6</v>
      </c>
      <c r="AQ2495">
        <v>0</v>
      </c>
      <c r="AR2495">
        <v>0</v>
      </c>
      <c r="AS2495">
        <v>0</v>
      </c>
      <c r="AT2495" t="s">
        <v>90</v>
      </c>
      <c r="AU2495" s="1">
        <v>44221.682708333334</v>
      </c>
      <c r="AV2495">
        <v>58</v>
      </c>
      <c r="AW2495">
        <v>2</v>
      </c>
      <c r="AX2495">
        <v>0</v>
      </c>
      <c r="AY2495">
        <v>2</v>
      </c>
      <c r="AZ2495">
        <v>0</v>
      </c>
      <c r="BA2495">
        <v>2</v>
      </c>
      <c r="BB2495">
        <v>-8</v>
      </c>
      <c r="BC2495">
        <v>0</v>
      </c>
      <c r="BD2495">
        <v>0</v>
      </c>
      <c r="BE2495">
        <v>0</v>
      </c>
    </row>
    <row r="2496" spans="1:57" x14ac:dyDescent="0.45">
      <c r="A2496" t="s">
        <v>5995</v>
      </c>
      <c r="B2496" t="s">
        <v>79</v>
      </c>
      <c r="C2496" t="s">
        <v>5939</v>
      </c>
      <c r="D2496" t="s">
        <v>81</v>
      </c>
      <c r="E2496" s="2" t="str">
        <f>HYPERLINK("capsilon://?command=openfolder&amp;siteaddress=FAM.docvelocity-na8.net&amp;folderid=FX64BDDEEA-C33B-8AE4-6FF9-E4BE2BD3AF5B","FX210113834")</f>
        <v>FX210113834</v>
      </c>
      <c r="F2496" t="s">
        <v>19</v>
      </c>
      <c r="G2496" t="s">
        <v>19</v>
      </c>
      <c r="H2496" t="s">
        <v>82</v>
      </c>
      <c r="I2496" t="s">
        <v>5996</v>
      </c>
      <c r="J2496">
        <v>26</v>
      </c>
      <c r="K2496" t="s">
        <v>84</v>
      </c>
      <c r="L2496" t="s">
        <v>85</v>
      </c>
      <c r="M2496" t="s">
        <v>86</v>
      </c>
      <c r="N2496">
        <v>3</v>
      </c>
      <c r="O2496" s="1">
        <v>44221.611701388887</v>
      </c>
      <c r="P2496" s="1">
        <v>44221.631944444445</v>
      </c>
      <c r="Q2496">
        <v>360</v>
      </c>
      <c r="R2496">
        <v>1389</v>
      </c>
      <c r="S2496" t="b">
        <v>0</v>
      </c>
      <c r="T2496" t="s">
        <v>87</v>
      </c>
      <c r="U2496" t="b">
        <v>0</v>
      </c>
      <c r="V2496" t="s">
        <v>168</v>
      </c>
      <c r="W2496" s="1">
        <v>44221.630578703705</v>
      </c>
      <c r="X2496">
        <v>1324</v>
      </c>
      <c r="Y2496">
        <v>21</v>
      </c>
      <c r="Z2496">
        <v>0</v>
      </c>
      <c r="AA2496">
        <v>21</v>
      </c>
      <c r="AB2496">
        <v>0</v>
      </c>
      <c r="AC2496">
        <v>4</v>
      </c>
      <c r="AD2496">
        <v>5</v>
      </c>
      <c r="AE2496">
        <v>0</v>
      </c>
      <c r="AF2496">
        <v>0</v>
      </c>
      <c r="AG2496">
        <v>0</v>
      </c>
      <c r="AH2496" t="s">
        <v>132</v>
      </c>
      <c r="AI2496" s="1">
        <v>44221.631689814814</v>
      </c>
      <c r="AJ2496">
        <v>59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5</v>
      </c>
      <c r="AQ2496">
        <v>0</v>
      </c>
      <c r="AR2496">
        <v>0</v>
      </c>
      <c r="AS2496">
        <v>0</v>
      </c>
      <c r="AT2496" t="s">
        <v>90</v>
      </c>
      <c r="AU2496" s="1">
        <v>44221.631944444445</v>
      </c>
      <c r="AV2496">
        <v>6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5</v>
      </c>
      <c r="BC2496">
        <v>0</v>
      </c>
      <c r="BD2496">
        <v>0</v>
      </c>
      <c r="BE2496">
        <v>0</v>
      </c>
    </row>
    <row r="2497" spans="1:57" x14ac:dyDescent="0.45">
      <c r="A2497" t="s">
        <v>5997</v>
      </c>
      <c r="B2497" t="s">
        <v>79</v>
      </c>
      <c r="C2497" t="s">
        <v>5939</v>
      </c>
      <c r="D2497" t="s">
        <v>81</v>
      </c>
      <c r="E2497" s="2" t="str">
        <f>HYPERLINK("capsilon://?command=openfolder&amp;siteaddress=FAM.docvelocity-na8.net&amp;folderid=FX64BDDEEA-C33B-8AE4-6FF9-E4BE2BD3AF5B","FX210113834")</f>
        <v>FX210113834</v>
      </c>
      <c r="F2497" t="s">
        <v>19</v>
      </c>
      <c r="G2497" t="s">
        <v>19</v>
      </c>
      <c r="H2497" t="s">
        <v>82</v>
      </c>
      <c r="I2497" t="s">
        <v>5998</v>
      </c>
      <c r="J2497">
        <v>26</v>
      </c>
      <c r="K2497" t="s">
        <v>84</v>
      </c>
      <c r="L2497" t="s">
        <v>85</v>
      </c>
      <c r="M2497" t="s">
        <v>86</v>
      </c>
      <c r="N2497">
        <v>3</v>
      </c>
      <c r="O2497" s="1">
        <v>44221.612222222226</v>
      </c>
      <c r="P2497" s="1">
        <v>44221.629328703704</v>
      </c>
      <c r="Q2497">
        <v>1243</v>
      </c>
      <c r="R2497">
        <v>235</v>
      </c>
      <c r="S2497" t="b">
        <v>0</v>
      </c>
      <c r="T2497" t="s">
        <v>87</v>
      </c>
      <c r="U2497" t="b">
        <v>0</v>
      </c>
      <c r="V2497" t="s">
        <v>242</v>
      </c>
      <c r="W2497" s="1">
        <v>44221.622233796297</v>
      </c>
      <c r="X2497">
        <v>143</v>
      </c>
      <c r="Y2497">
        <v>21</v>
      </c>
      <c r="Z2497">
        <v>0</v>
      </c>
      <c r="AA2497">
        <v>21</v>
      </c>
      <c r="AB2497">
        <v>0</v>
      </c>
      <c r="AC2497">
        <v>4</v>
      </c>
      <c r="AD2497">
        <v>5</v>
      </c>
      <c r="AE2497">
        <v>0</v>
      </c>
      <c r="AF2497">
        <v>0</v>
      </c>
      <c r="AG2497">
        <v>0</v>
      </c>
      <c r="AH2497" t="s">
        <v>132</v>
      </c>
      <c r="AI2497" s="1">
        <v>44221.624351851853</v>
      </c>
      <c r="AJ2497">
        <v>59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5</v>
      </c>
      <c r="AQ2497">
        <v>0</v>
      </c>
      <c r="AR2497">
        <v>0</v>
      </c>
      <c r="AS2497">
        <v>0</v>
      </c>
      <c r="AT2497" t="s">
        <v>90</v>
      </c>
      <c r="AU2497" s="1">
        <v>44221.629328703704</v>
      </c>
      <c r="AV2497">
        <v>4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5</v>
      </c>
      <c r="BC2497">
        <v>0</v>
      </c>
      <c r="BD2497">
        <v>0</v>
      </c>
      <c r="BE2497">
        <v>0</v>
      </c>
    </row>
    <row r="2498" spans="1:57" hidden="1" x14ac:dyDescent="0.45">
      <c r="A2498" t="s">
        <v>5999</v>
      </c>
      <c r="B2498" t="s">
        <v>79</v>
      </c>
      <c r="C2498" t="s">
        <v>5852</v>
      </c>
      <c r="D2498" t="s">
        <v>81</v>
      </c>
      <c r="E2498" s="2" t="str">
        <f>HYPERLINK("capsilon://?command=openfolder&amp;siteaddress=FAM.docvelocity-na8.net&amp;folderid=FX75ED590B-8B19-0D59-C148-40BE088B7FBD","FX20121580")</f>
        <v>FX20121580</v>
      </c>
      <c r="F2498" t="s">
        <v>19</v>
      </c>
      <c r="G2498" t="s">
        <v>19</v>
      </c>
      <c r="H2498" t="s">
        <v>82</v>
      </c>
      <c r="I2498" t="s">
        <v>6000</v>
      </c>
      <c r="J2498">
        <v>81</v>
      </c>
      <c r="K2498" t="s">
        <v>84</v>
      </c>
      <c r="L2498" t="s">
        <v>85</v>
      </c>
      <c r="M2498" t="s">
        <v>86</v>
      </c>
      <c r="N2498">
        <v>1</v>
      </c>
      <c r="O2498" s="1">
        <v>44221.61246527778</v>
      </c>
      <c r="P2498" s="1">
        <v>44221.623310185183</v>
      </c>
      <c r="Q2498">
        <v>845</v>
      </c>
      <c r="R2498">
        <v>92</v>
      </c>
      <c r="S2498" t="b">
        <v>0</v>
      </c>
      <c r="T2498" t="s">
        <v>87</v>
      </c>
      <c r="U2498" t="b">
        <v>0</v>
      </c>
      <c r="V2498" t="s">
        <v>242</v>
      </c>
      <c r="W2498" s="1">
        <v>44221.623310185183</v>
      </c>
      <c r="X2498">
        <v>92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81</v>
      </c>
      <c r="AE2498">
        <v>77</v>
      </c>
      <c r="AF2498">
        <v>0</v>
      </c>
      <c r="AG2498">
        <v>2</v>
      </c>
      <c r="AH2498" t="s">
        <v>87</v>
      </c>
      <c r="AI2498" t="s">
        <v>87</v>
      </c>
      <c r="AJ2498" t="s">
        <v>87</v>
      </c>
      <c r="AK2498" t="s">
        <v>87</v>
      </c>
      <c r="AL2498" t="s">
        <v>87</v>
      </c>
      <c r="AM2498" t="s">
        <v>87</v>
      </c>
      <c r="AN2498" t="s">
        <v>87</v>
      </c>
      <c r="AO2498" t="s">
        <v>87</v>
      </c>
      <c r="AP2498" t="s">
        <v>87</v>
      </c>
      <c r="AQ2498" t="s">
        <v>87</v>
      </c>
      <c r="AR2498" t="s">
        <v>87</v>
      </c>
      <c r="AS2498" t="s">
        <v>87</v>
      </c>
      <c r="AT2498" t="s">
        <v>87</v>
      </c>
      <c r="AU2498" t="s">
        <v>87</v>
      </c>
      <c r="AV2498" t="s">
        <v>87</v>
      </c>
      <c r="AW2498" t="s">
        <v>87</v>
      </c>
      <c r="AX2498" t="s">
        <v>87</v>
      </c>
      <c r="AY2498" t="s">
        <v>87</v>
      </c>
      <c r="AZ2498" t="s">
        <v>87</v>
      </c>
      <c r="BA2498" t="s">
        <v>87</v>
      </c>
      <c r="BB2498" t="s">
        <v>87</v>
      </c>
      <c r="BC2498" t="s">
        <v>87</v>
      </c>
      <c r="BD2498" t="s">
        <v>87</v>
      </c>
      <c r="BE2498" t="s">
        <v>87</v>
      </c>
    </row>
    <row r="2499" spans="1:57" x14ac:dyDescent="0.45">
      <c r="A2499" t="s">
        <v>6001</v>
      </c>
      <c r="B2499" t="s">
        <v>79</v>
      </c>
      <c r="C2499" t="s">
        <v>5939</v>
      </c>
      <c r="D2499" t="s">
        <v>81</v>
      </c>
      <c r="E2499" s="2" t="str">
        <f>HYPERLINK("capsilon://?command=openfolder&amp;siteaddress=FAM.docvelocity-na8.net&amp;folderid=FX64BDDEEA-C33B-8AE4-6FF9-E4BE2BD3AF5B","FX210113834")</f>
        <v>FX210113834</v>
      </c>
      <c r="F2499" t="s">
        <v>19</v>
      </c>
      <c r="G2499" t="s">
        <v>19</v>
      </c>
      <c r="H2499" t="s">
        <v>82</v>
      </c>
      <c r="I2499" t="s">
        <v>6002</v>
      </c>
      <c r="J2499">
        <v>26</v>
      </c>
      <c r="K2499" t="s">
        <v>84</v>
      </c>
      <c r="L2499" t="s">
        <v>85</v>
      </c>
      <c r="M2499" t="s">
        <v>86</v>
      </c>
      <c r="N2499">
        <v>3</v>
      </c>
      <c r="O2499" s="1">
        <v>44221.613125000003</v>
      </c>
      <c r="P2499" s="1">
        <v>44221.629386574074</v>
      </c>
      <c r="Q2499">
        <v>1014</v>
      </c>
      <c r="R2499">
        <v>391</v>
      </c>
      <c r="S2499" t="b">
        <v>0</v>
      </c>
      <c r="T2499" t="s">
        <v>87</v>
      </c>
      <c r="U2499" t="b">
        <v>0</v>
      </c>
      <c r="V2499" t="s">
        <v>242</v>
      </c>
      <c r="W2499" s="1">
        <v>44221.624884259261</v>
      </c>
      <c r="X2499">
        <v>135</v>
      </c>
      <c r="Y2499">
        <v>21</v>
      </c>
      <c r="Z2499">
        <v>0</v>
      </c>
      <c r="AA2499">
        <v>21</v>
      </c>
      <c r="AB2499">
        <v>0</v>
      </c>
      <c r="AC2499">
        <v>4</v>
      </c>
      <c r="AD2499">
        <v>5</v>
      </c>
      <c r="AE2499">
        <v>0</v>
      </c>
      <c r="AF2499">
        <v>0</v>
      </c>
      <c r="AG2499">
        <v>0</v>
      </c>
      <c r="AH2499" t="s">
        <v>128</v>
      </c>
      <c r="AI2499" s="1">
        <v>44221.629155092596</v>
      </c>
      <c r="AJ2499">
        <v>251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5</v>
      </c>
      <c r="AQ2499">
        <v>0</v>
      </c>
      <c r="AR2499">
        <v>0</v>
      </c>
      <c r="AS2499">
        <v>0</v>
      </c>
      <c r="AT2499" t="s">
        <v>90</v>
      </c>
      <c r="AU2499" s="1">
        <v>44221.629386574074</v>
      </c>
      <c r="AV2499">
        <v>5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5</v>
      </c>
      <c r="BC2499">
        <v>0</v>
      </c>
      <c r="BD2499">
        <v>0</v>
      </c>
      <c r="BE2499">
        <v>0</v>
      </c>
    </row>
    <row r="2500" spans="1:57" x14ac:dyDescent="0.45">
      <c r="A2500" t="s">
        <v>6003</v>
      </c>
      <c r="B2500" t="s">
        <v>79</v>
      </c>
      <c r="C2500" t="s">
        <v>5989</v>
      </c>
      <c r="D2500" t="s">
        <v>81</v>
      </c>
      <c r="E2500" s="2" t="str">
        <f>HYPERLINK("capsilon://?command=openfolder&amp;siteaddress=FAM.docvelocity-na8.net&amp;folderid=FXBBE62192-267C-F7F6-D457-9951AD5406EC","FX2012393")</f>
        <v>FX2012393</v>
      </c>
      <c r="F2500" t="s">
        <v>19</v>
      </c>
      <c r="G2500" t="s">
        <v>19</v>
      </c>
      <c r="H2500" t="s">
        <v>82</v>
      </c>
      <c r="I2500" t="s">
        <v>5990</v>
      </c>
      <c r="J2500">
        <v>38</v>
      </c>
      <c r="K2500" t="s">
        <v>84</v>
      </c>
      <c r="L2500" t="s">
        <v>85</v>
      </c>
      <c r="M2500" t="s">
        <v>86</v>
      </c>
      <c r="N2500">
        <v>3</v>
      </c>
      <c r="O2500" s="1">
        <v>44221.61341435185</v>
      </c>
      <c r="P2500" s="1">
        <v>44221.628969907404</v>
      </c>
      <c r="Q2500">
        <v>81</v>
      </c>
      <c r="R2500">
        <v>1263</v>
      </c>
      <c r="S2500" t="b">
        <v>0</v>
      </c>
      <c r="T2500" t="s">
        <v>87</v>
      </c>
      <c r="U2500" t="b">
        <v>1</v>
      </c>
      <c r="V2500" t="s">
        <v>343</v>
      </c>
      <c r="W2500" s="1">
        <v>44221.617800925924</v>
      </c>
      <c r="X2500">
        <v>356</v>
      </c>
      <c r="Y2500">
        <v>37</v>
      </c>
      <c r="Z2500">
        <v>0</v>
      </c>
      <c r="AA2500">
        <v>37</v>
      </c>
      <c r="AB2500">
        <v>0</v>
      </c>
      <c r="AC2500">
        <v>27</v>
      </c>
      <c r="AD2500">
        <v>1</v>
      </c>
      <c r="AE2500">
        <v>0</v>
      </c>
      <c r="AF2500">
        <v>0</v>
      </c>
      <c r="AG2500">
        <v>0</v>
      </c>
      <c r="AH2500" t="s">
        <v>147</v>
      </c>
      <c r="AI2500" s="1">
        <v>44221.628321759257</v>
      </c>
      <c r="AJ2500">
        <v>887</v>
      </c>
      <c r="AK2500">
        <v>0</v>
      </c>
      <c r="AL2500">
        <v>0</v>
      </c>
      <c r="AM2500">
        <v>0</v>
      </c>
      <c r="AN2500">
        <v>0</v>
      </c>
      <c r="AO2500">
        <v>7</v>
      </c>
      <c r="AP2500">
        <v>1</v>
      </c>
      <c r="AQ2500">
        <v>0</v>
      </c>
      <c r="AR2500">
        <v>0</v>
      </c>
      <c r="AS2500">
        <v>0</v>
      </c>
      <c r="AT2500" t="s">
        <v>90</v>
      </c>
      <c r="AU2500" s="1">
        <v>44221.628969907404</v>
      </c>
      <c r="AV2500">
        <v>20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1</v>
      </c>
      <c r="BC2500">
        <v>0</v>
      </c>
      <c r="BD2500">
        <v>0</v>
      </c>
      <c r="BE2500">
        <v>0</v>
      </c>
    </row>
    <row r="2501" spans="1:57" x14ac:dyDescent="0.45">
      <c r="A2501" t="s">
        <v>6004</v>
      </c>
      <c r="B2501" t="s">
        <v>79</v>
      </c>
      <c r="C2501" t="s">
        <v>5939</v>
      </c>
      <c r="D2501" t="s">
        <v>81</v>
      </c>
      <c r="E2501" s="2" t="str">
        <f>HYPERLINK("capsilon://?command=openfolder&amp;siteaddress=FAM.docvelocity-na8.net&amp;folderid=FX64BDDEEA-C33B-8AE4-6FF9-E4BE2BD3AF5B","FX210113834")</f>
        <v>FX210113834</v>
      </c>
      <c r="F2501" t="s">
        <v>19</v>
      </c>
      <c r="G2501" t="s">
        <v>19</v>
      </c>
      <c r="H2501" t="s">
        <v>82</v>
      </c>
      <c r="I2501" t="s">
        <v>6005</v>
      </c>
      <c r="J2501">
        <v>26</v>
      </c>
      <c r="K2501" t="s">
        <v>84</v>
      </c>
      <c r="L2501" t="s">
        <v>85</v>
      </c>
      <c r="M2501" t="s">
        <v>86</v>
      </c>
      <c r="N2501">
        <v>3</v>
      </c>
      <c r="O2501" s="1">
        <v>44221.61383101852</v>
      </c>
      <c r="P2501" s="1">
        <v>44221.631990740738</v>
      </c>
      <c r="Q2501">
        <v>1205</v>
      </c>
      <c r="R2501">
        <v>364</v>
      </c>
      <c r="S2501" t="b">
        <v>0</v>
      </c>
      <c r="T2501" t="s">
        <v>87</v>
      </c>
      <c r="U2501" t="b">
        <v>0</v>
      </c>
      <c r="V2501" t="s">
        <v>255</v>
      </c>
      <c r="W2501" s="1">
        <v>44221.626446759263</v>
      </c>
      <c r="X2501">
        <v>170</v>
      </c>
      <c r="Y2501">
        <v>21</v>
      </c>
      <c r="Z2501">
        <v>0</v>
      </c>
      <c r="AA2501">
        <v>21</v>
      </c>
      <c r="AB2501">
        <v>0</v>
      </c>
      <c r="AC2501">
        <v>4</v>
      </c>
      <c r="AD2501">
        <v>5</v>
      </c>
      <c r="AE2501">
        <v>0</v>
      </c>
      <c r="AF2501">
        <v>0</v>
      </c>
      <c r="AG2501">
        <v>0</v>
      </c>
      <c r="AH2501" t="s">
        <v>147</v>
      </c>
      <c r="AI2501" s="1">
        <v>44221.630532407406</v>
      </c>
      <c r="AJ2501">
        <v>190</v>
      </c>
      <c r="AK2501">
        <v>0</v>
      </c>
      <c r="AL2501">
        <v>0</v>
      </c>
      <c r="AM2501">
        <v>0</v>
      </c>
      <c r="AN2501">
        <v>0</v>
      </c>
      <c r="AO2501">
        <v>2</v>
      </c>
      <c r="AP2501">
        <v>5</v>
      </c>
      <c r="AQ2501">
        <v>0</v>
      </c>
      <c r="AR2501">
        <v>0</v>
      </c>
      <c r="AS2501">
        <v>0</v>
      </c>
      <c r="AT2501" t="s">
        <v>90</v>
      </c>
      <c r="AU2501" s="1">
        <v>44221.631990740738</v>
      </c>
      <c r="AV2501">
        <v>4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5</v>
      </c>
      <c r="BC2501">
        <v>0</v>
      </c>
      <c r="BD2501">
        <v>0</v>
      </c>
      <c r="BE2501">
        <v>0</v>
      </c>
    </row>
    <row r="2502" spans="1:57" x14ac:dyDescent="0.45">
      <c r="A2502" t="s">
        <v>6006</v>
      </c>
      <c r="B2502" t="s">
        <v>79</v>
      </c>
      <c r="C2502" t="s">
        <v>1863</v>
      </c>
      <c r="D2502" t="s">
        <v>81</v>
      </c>
      <c r="E2502" s="2" t="str">
        <f>HYPERLINK("capsilon://?command=openfolder&amp;siteaddress=FAM.docvelocity-na8.net&amp;folderid=FX2F9E6C7F-FC90-4EE8-6AA3-EDBFFF0FEE98","FX21014068")</f>
        <v>FX21014068</v>
      </c>
      <c r="F2502" t="s">
        <v>19</v>
      </c>
      <c r="G2502" t="s">
        <v>19</v>
      </c>
      <c r="H2502" t="s">
        <v>82</v>
      </c>
      <c r="I2502" t="s">
        <v>5992</v>
      </c>
      <c r="J2502">
        <v>38</v>
      </c>
      <c r="K2502" t="s">
        <v>84</v>
      </c>
      <c r="L2502" t="s">
        <v>85</v>
      </c>
      <c r="M2502" t="s">
        <v>86</v>
      </c>
      <c r="N2502">
        <v>3</v>
      </c>
      <c r="O2502" s="1">
        <v>44221.61409722222</v>
      </c>
      <c r="P2502" s="1">
        <v>44221.622754629629</v>
      </c>
      <c r="Q2502">
        <v>131</v>
      </c>
      <c r="R2502">
        <v>617</v>
      </c>
      <c r="S2502" t="b">
        <v>0</v>
      </c>
      <c r="T2502" t="s">
        <v>87</v>
      </c>
      <c r="U2502" t="b">
        <v>1</v>
      </c>
      <c r="V2502" t="s">
        <v>242</v>
      </c>
      <c r="W2502" s="1">
        <v>44221.620567129627</v>
      </c>
      <c r="X2502">
        <v>471</v>
      </c>
      <c r="Y2502">
        <v>37</v>
      </c>
      <c r="Z2502">
        <v>0</v>
      </c>
      <c r="AA2502">
        <v>37</v>
      </c>
      <c r="AB2502">
        <v>0</v>
      </c>
      <c r="AC2502">
        <v>34</v>
      </c>
      <c r="AD2502">
        <v>1</v>
      </c>
      <c r="AE2502">
        <v>0</v>
      </c>
      <c r="AF2502">
        <v>0</v>
      </c>
      <c r="AG2502">
        <v>0</v>
      </c>
      <c r="AH2502" t="s">
        <v>132</v>
      </c>
      <c r="AI2502" s="1">
        <v>44221.621874999997</v>
      </c>
      <c r="AJ2502">
        <v>89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</v>
      </c>
      <c r="AQ2502">
        <v>0</v>
      </c>
      <c r="AR2502">
        <v>0</v>
      </c>
      <c r="AS2502">
        <v>0</v>
      </c>
      <c r="AT2502" t="s">
        <v>90</v>
      </c>
      <c r="AU2502" s="1">
        <v>44221.622754629629</v>
      </c>
      <c r="AV2502">
        <v>57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0</v>
      </c>
    </row>
    <row r="2503" spans="1:57" x14ac:dyDescent="0.45">
      <c r="A2503" t="s">
        <v>6007</v>
      </c>
      <c r="B2503" t="s">
        <v>79</v>
      </c>
      <c r="C2503" t="s">
        <v>5939</v>
      </c>
      <c r="D2503" t="s">
        <v>81</v>
      </c>
      <c r="E2503" s="2" t="str">
        <f>HYPERLINK("capsilon://?command=openfolder&amp;siteaddress=FAM.docvelocity-na8.net&amp;folderid=FX64BDDEEA-C33B-8AE4-6FF9-E4BE2BD3AF5B","FX210113834")</f>
        <v>FX210113834</v>
      </c>
      <c r="F2503" t="s">
        <v>19</v>
      </c>
      <c r="G2503" t="s">
        <v>19</v>
      </c>
      <c r="H2503" t="s">
        <v>82</v>
      </c>
      <c r="I2503" t="s">
        <v>6008</v>
      </c>
      <c r="J2503">
        <v>58</v>
      </c>
      <c r="K2503" t="s">
        <v>84</v>
      </c>
      <c r="L2503" t="s">
        <v>85</v>
      </c>
      <c r="M2503" t="s">
        <v>86</v>
      </c>
      <c r="N2503">
        <v>3</v>
      </c>
      <c r="O2503" s="1">
        <v>44221.614814814813</v>
      </c>
      <c r="P2503" s="1">
        <v>44221.636770833335</v>
      </c>
      <c r="Q2503">
        <v>1203</v>
      </c>
      <c r="R2503">
        <v>694</v>
      </c>
      <c r="S2503" t="b">
        <v>0</v>
      </c>
      <c r="T2503" t="s">
        <v>87</v>
      </c>
      <c r="U2503" t="b">
        <v>0</v>
      </c>
      <c r="V2503" t="s">
        <v>255</v>
      </c>
      <c r="W2503" s="1">
        <v>44221.630497685182</v>
      </c>
      <c r="X2503">
        <v>349</v>
      </c>
      <c r="Y2503">
        <v>52</v>
      </c>
      <c r="Z2503">
        <v>0</v>
      </c>
      <c r="AA2503">
        <v>52</v>
      </c>
      <c r="AB2503">
        <v>0</v>
      </c>
      <c r="AC2503">
        <v>32</v>
      </c>
      <c r="AD2503">
        <v>6</v>
      </c>
      <c r="AE2503">
        <v>0</v>
      </c>
      <c r="AF2503">
        <v>0</v>
      </c>
      <c r="AG2503">
        <v>0</v>
      </c>
      <c r="AH2503" t="s">
        <v>128</v>
      </c>
      <c r="AI2503" s="1">
        <v>44221.634745370371</v>
      </c>
      <c r="AJ2503">
        <v>309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6</v>
      </c>
      <c r="AQ2503">
        <v>0</v>
      </c>
      <c r="AR2503">
        <v>0</v>
      </c>
      <c r="AS2503">
        <v>0</v>
      </c>
      <c r="AT2503" t="s">
        <v>90</v>
      </c>
      <c r="AU2503" s="1">
        <v>44221.636770833335</v>
      </c>
      <c r="AV2503">
        <v>5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6</v>
      </c>
      <c r="BC2503">
        <v>0</v>
      </c>
      <c r="BD2503">
        <v>0</v>
      </c>
      <c r="BE2503">
        <v>0</v>
      </c>
    </row>
    <row r="2504" spans="1:57" x14ac:dyDescent="0.45">
      <c r="A2504" t="s">
        <v>6009</v>
      </c>
      <c r="B2504" t="s">
        <v>79</v>
      </c>
      <c r="C2504" t="s">
        <v>5939</v>
      </c>
      <c r="D2504" t="s">
        <v>81</v>
      </c>
      <c r="E2504" s="2" t="str">
        <f>HYPERLINK("capsilon://?command=openfolder&amp;siteaddress=FAM.docvelocity-na8.net&amp;folderid=FX64BDDEEA-C33B-8AE4-6FF9-E4BE2BD3AF5B","FX210113834")</f>
        <v>FX210113834</v>
      </c>
      <c r="F2504" t="s">
        <v>19</v>
      </c>
      <c r="G2504" t="s">
        <v>19</v>
      </c>
      <c r="H2504" t="s">
        <v>82</v>
      </c>
      <c r="I2504" t="s">
        <v>6010</v>
      </c>
      <c r="J2504">
        <v>58</v>
      </c>
      <c r="K2504" t="s">
        <v>84</v>
      </c>
      <c r="L2504" t="s">
        <v>85</v>
      </c>
      <c r="M2504" t="s">
        <v>86</v>
      </c>
      <c r="N2504">
        <v>3</v>
      </c>
      <c r="O2504" s="1">
        <v>44221.615520833337</v>
      </c>
      <c r="P2504" s="1">
        <v>44221.642534722225</v>
      </c>
      <c r="Q2504">
        <v>1684</v>
      </c>
      <c r="R2504">
        <v>650</v>
      </c>
      <c r="S2504" t="b">
        <v>0</v>
      </c>
      <c r="T2504" t="s">
        <v>87</v>
      </c>
      <c r="U2504" t="b">
        <v>0</v>
      </c>
      <c r="V2504" t="s">
        <v>255</v>
      </c>
      <c r="W2504" s="1">
        <v>44221.634606481479</v>
      </c>
      <c r="X2504">
        <v>355</v>
      </c>
      <c r="Y2504">
        <v>52</v>
      </c>
      <c r="Z2504">
        <v>0</v>
      </c>
      <c r="AA2504">
        <v>52</v>
      </c>
      <c r="AB2504">
        <v>0</v>
      </c>
      <c r="AC2504">
        <v>31</v>
      </c>
      <c r="AD2504">
        <v>6</v>
      </c>
      <c r="AE2504">
        <v>0</v>
      </c>
      <c r="AF2504">
        <v>0</v>
      </c>
      <c r="AG2504">
        <v>0</v>
      </c>
      <c r="AH2504" t="s">
        <v>128</v>
      </c>
      <c r="AI2504" s="1">
        <v>44221.638101851851</v>
      </c>
      <c r="AJ2504">
        <v>289</v>
      </c>
      <c r="AK2504">
        <v>1</v>
      </c>
      <c r="AL2504">
        <v>0</v>
      </c>
      <c r="AM2504">
        <v>1</v>
      </c>
      <c r="AN2504">
        <v>0</v>
      </c>
      <c r="AO2504">
        <v>1</v>
      </c>
      <c r="AP2504">
        <v>5</v>
      </c>
      <c r="AQ2504">
        <v>0</v>
      </c>
      <c r="AR2504">
        <v>0</v>
      </c>
      <c r="AS2504">
        <v>0</v>
      </c>
      <c r="AT2504" t="s">
        <v>90</v>
      </c>
      <c r="AU2504" s="1">
        <v>44221.642534722225</v>
      </c>
      <c r="AV2504">
        <v>6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5</v>
      </c>
      <c r="BC2504">
        <v>0</v>
      </c>
      <c r="BD2504">
        <v>0</v>
      </c>
      <c r="BE2504">
        <v>0</v>
      </c>
    </row>
    <row r="2505" spans="1:57" hidden="1" x14ac:dyDescent="0.45">
      <c r="A2505" t="s">
        <v>6011</v>
      </c>
      <c r="B2505" t="s">
        <v>79</v>
      </c>
      <c r="C2505" t="s">
        <v>3985</v>
      </c>
      <c r="D2505" t="s">
        <v>81</v>
      </c>
      <c r="E2505" s="2" t="str">
        <f>HYPERLINK("capsilon://?command=openfolder&amp;siteaddress=FAM.docvelocity-na8.net&amp;folderid=FX1987F8D2-BFEE-E09E-18CD-7E3C64E3FAF2","FX20127945")</f>
        <v>FX20127945</v>
      </c>
      <c r="F2505" t="s">
        <v>19</v>
      </c>
      <c r="G2505" t="s">
        <v>19</v>
      </c>
      <c r="H2505" t="s">
        <v>82</v>
      </c>
      <c r="I2505" t="s">
        <v>6012</v>
      </c>
      <c r="J2505">
        <v>66</v>
      </c>
      <c r="K2505" t="s">
        <v>84</v>
      </c>
      <c r="L2505" t="s">
        <v>85</v>
      </c>
      <c r="M2505" t="s">
        <v>86</v>
      </c>
      <c r="N2505">
        <v>3</v>
      </c>
      <c r="O2505" s="1">
        <v>44221.61681712963</v>
      </c>
      <c r="P2505" s="1">
        <v>44221.636805555558</v>
      </c>
      <c r="Q2505">
        <v>1615</v>
      </c>
      <c r="R2505">
        <v>112</v>
      </c>
      <c r="S2505" t="b">
        <v>0</v>
      </c>
      <c r="T2505" t="s">
        <v>87</v>
      </c>
      <c r="U2505" t="b">
        <v>0</v>
      </c>
      <c r="V2505" t="s">
        <v>168</v>
      </c>
      <c r="W2505" s="1">
        <v>44221.631736111114</v>
      </c>
      <c r="X2505">
        <v>99</v>
      </c>
      <c r="Y2505">
        <v>0</v>
      </c>
      <c r="Z2505">
        <v>0</v>
      </c>
      <c r="AA2505">
        <v>0</v>
      </c>
      <c r="AB2505">
        <v>52</v>
      </c>
      <c r="AC2505">
        <v>0</v>
      </c>
      <c r="AD2505">
        <v>66</v>
      </c>
      <c r="AE2505">
        <v>0</v>
      </c>
      <c r="AF2505">
        <v>0</v>
      </c>
      <c r="AG2505">
        <v>0</v>
      </c>
      <c r="AH2505" t="s">
        <v>132</v>
      </c>
      <c r="AI2505" s="1">
        <v>44221.635046296295</v>
      </c>
      <c r="AJ2505">
        <v>10</v>
      </c>
      <c r="AK2505">
        <v>0</v>
      </c>
      <c r="AL2505">
        <v>0</v>
      </c>
      <c r="AM2505">
        <v>0</v>
      </c>
      <c r="AN2505">
        <v>52</v>
      </c>
      <c r="AO2505">
        <v>0</v>
      </c>
      <c r="AP2505">
        <v>66</v>
      </c>
      <c r="AQ2505">
        <v>0</v>
      </c>
      <c r="AR2505">
        <v>0</v>
      </c>
      <c r="AS2505">
        <v>0</v>
      </c>
      <c r="AT2505" t="s">
        <v>90</v>
      </c>
      <c r="AU2505" s="1">
        <v>44221.636805555558</v>
      </c>
      <c r="AV2505">
        <v>3</v>
      </c>
      <c r="AW2505">
        <v>0</v>
      </c>
      <c r="AX2505">
        <v>0</v>
      </c>
      <c r="AY2505">
        <v>0</v>
      </c>
      <c r="AZ2505">
        <v>52</v>
      </c>
      <c r="BA2505">
        <v>0</v>
      </c>
      <c r="BB2505">
        <v>66</v>
      </c>
      <c r="BC2505">
        <v>0</v>
      </c>
      <c r="BD2505">
        <v>0</v>
      </c>
      <c r="BE2505">
        <v>0</v>
      </c>
    </row>
    <row r="2506" spans="1:57" hidden="1" x14ac:dyDescent="0.45">
      <c r="A2506" t="s">
        <v>6013</v>
      </c>
      <c r="B2506" t="s">
        <v>79</v>
      </c>
      <c r="C2506" t="s">
        <v>3985</v>
      </c>
      <c r="D2506" t="s">
        <v>81</v>
      </c>
      <c r="E2506" s="2" t="str">
        <f>HYPERLINK("capsilon://?command=openfolder&amp;siteaddress=FAM.docvelocity-na8.net&amp;folderid=FX1987F8D2-BFEE-E09E-18CD-7E3C64E3FAF2","FX20127945")</f>
        <v>FX20127945</v>
      </c>
      <c r="F2506" t="s">
        <v>19</v>
      </c>
      <c r="G2506" t="s">
        <v>19</v>
      </c>
      <c r="H2506" t="s">
        <v>82</v>
      </c>
      <c r="I2506" t="s">
        <v>6014</v>
      </c>
      <c r="J2506">
        <v>66</v>
      </c>
      <c r="K2506" t="s">
        <v>84</v>
      </c>
      <c r="L2506" t="s">
        <v>85</v>
      </c>
      <c r="M2506" t="s">
        <v>86</v>
      </c>
      <c r="N2506">
        <v>3</v>
      </c>
      <c r="O2506" s="1">
        <v>44221.61822916667</v>
      </c>
      <c r="P2506" s="1">
        <v>44221.636840277781</v>
      </c>
      <c r="Q2506">
        <v>1523</v>
      </c>
      <c r="R2506">
        <v>85</v>
      </c>
      <c r="S2506" t="b">
        <v>0</v>
      </c>
      <c r="T2506" t="s">
        <v>87</v>
      </c>
      <c r="U2506" t="b">
        <v>0</v>
      </c>
      <c r="V2506" t="s">
        <v>168</v>
      </c>
      <c r="W2506" s="1">
        <v>44221.632604166669</v>
      </c>
      <c r="X2506">
        <v>74</v>
      </c>
      <c r="Y2506">
        <v>0</v>
      </c>
      <c r="Z2506">
        <v>0</v>
      </c>
      <c r="AA2506">
        <v>0</v>
      </c>
      <c r="AB2506">
        <v>52</v>
      </c>
      <c r="AC2506">
        <v>0</v>
      </c>
      <c r="AD2506">
        <v>66</v>
      </c>
      <c r="AE2506">
        <v>0</v>
      </c>
      <c r="AF2506">
        <v>0</v>
      </c>
      <c r="AG2506">
        <v>0</v>
      </c>
      <c r="AH2506" t="s">
        <v>132</v>
      </c>
      <c r="AI2506" s="1">
        <v>44221.635162037041</v>
      </c>
      <c r="AJ2506">
        <v>9</v>
      </c>
      <c r="AK2506">
        <v>0</v>
      </c>
      <c r="AL2506">
        <v>0</v>
      </c>
      <c r="AM2506">
        <v>0</v>
      </c>
      <c r="AN2506">
        <v>52</v>
      </c>
      <c r="AO2506">
        <v>0</v>
      </c>
      <c r="AP2506">
        <v>66</v>
      </c>
      <c r="AQ2506">
        <v>0</v>
      </c>
      <c r="AR2506">
        <v>0</v>
      </c>
      <c r="AS2506">
        <v>0</v>
      </c>
      <c r="AT2506" t="s">
        <v>90</v>
      </c>
      <c r="AU2506" s="1">
        <v>44221.636840277781</v>
      </c>
      <c r="AV2506">
        <v>2</v>
      </c>
      <c r="AW2506">
        <v>0</v>
      </c>
      <c r="AX2506">
        <v>0</v>
      </c>
      <c r="AY2506">
        <v>0</v>
      </c>
      <c r="AZ2506">
        <v>52</v>
      </c>
      <c r="BA2506">
        <v>0</v>
      </c>
      <c r="BB2506">
        <v>66</v>
      </c>
      <c r="BC2506">
        <v>0</v>
      </c>
      <c r="BD2506">
        <v>0</v>
      </c>
      <c r="BE2506">
        <v>0</v>
      </c>
    </row>
    <row r="2507" spans="1:57" hidden="1" x14ac:dyDescent="0.45">
      <c r="A2507" t="s">
        <v>6015</v>
      </c>
      <c r="B2507" t="s">
        <v>79</v>
      </c>
      <c r="C2507" t="s">
        <v>3985</v>
      </c>
      <c r="D2507" t="s">
        <v>81</v>
      </c>
      <c r="E2507" s="2" t="str">
        <f>HYPERLINK("capsilon://?command=openfolder&amp;siteaddress=FAM.docvelocity-na8.net&amp;folderid=FX1987F8D2-BFEE-E09E-18CD-7E3C64E3FAF2","FX20127945")</f>
        <v>FX20127945</v>
      </c>
      <c r="F2507" t="s">
        <v>19</v>
      </c>
      <c r="G2507" t="s">
        <v>19</v>
      </c>
      <c r="H2507" t="s">
        <v>82</v>
      </c>
      <c r="I2507" t="s">
        <v>6016</v>
      </c>
      <c r="J2507">
        <v>66</v>
      </c>
      <c r="K2507" t="s">
        <v>84</v>
      </c>
      <c r="L2507" t="s">
        <v>85</v>
      </c>
      <c r="M2507" t="s">
        <v>86</v>
      </c>
      <c r="N2507">
        <v>3</v>
      </c>
      <c r="O2507" s="1">
        <v>44221.619409722225</v>
      </c>
      <c r="P2507" s="1">
        <v>44221.636874999997</v>
      </c>
      <c r="Q2507">
        <v>1421</v>
      </c>
      <c r="R2507">
        <v>88</v>
      </c>
      <c r="S2507" t="b">
        <v>0</v>
      </c>
      <c r="T2507" t="s">
        <v>87</v>
      </c>
      <c r="U2507" t="b">
        <v>0</v>
      </c>
      <c r="V2507" t="s">
        <v>242</v>
      </c>
      <c r="W2507" s="1">
        <v>44221.632627314815</v>
      </c>
      <c r="X2507">
        <v>73</v>
      </c>
      <c r="Y2507">
        <v>0</v>
      </c>
      <c r="Z2507">
        <v>0</v>
      </c>
      <c r="AA2507">
        <v>0</v>
      </c>
      <c r="AB2507">
        <v>52</v>
      </c>
      <c r="AC2507">
        <v>0</v>
      </c>
      <c r="AD2507">
        <v>66</v>
      </c>
      <c r="AE2507">
        <v>0</v>
      </c>
      <c r="AF2507">
        <v>0</v>
      </c>
      <c r="AG2507">
        <v>0</v>
      </c>
      <c r="AH2507" t="s">
        <v>132</v>
      </c>
      <c r="AI2507" s="1">
        <v>44221.635324074072</v>
      </c>
      <c r="AJ2507">
        <v>13</v>
      </c>
      <c r="AK2507">
        <v>0</v>
      </c>
      <c r="AL2507">
        <v>0</v>
      </c>
      <c r="AM2507">
        <v>0</v>
      </c>
      <c r="AN2507">
        <v>52</v>
      </c>
      <c r="AO2507">
        <v>0</v>
      </c>
      <c r="AP2507">
        <v>66</v>
      </c>
      <c r="AQ2507">
        <v>0</v>
      </c>
      <c r="AR2507">
        <v>0</v>
      </c>
      <c r="AS2507">
        <v>0</v>
      </c>
      <c r="AT2507" t="s">
        <v>90</v>
      </c>
      <c r="AU2507" s="1">
        <v>44221.636874999997</v>
      </c>
      <c r="AV2507">
        <v>2</v>
      </c>
      <c r="AW2507">
        <v>0</v>
      </c>
      <c r="AX2507">
        <v>0</v>
      </c>
      <c r="AY2507">
        <v>0</v>
      </c>
      <c r="AZ2507">
        <v>52</v>
      </c>
      <c r="BA2507">
        <v>0</v>
      </c>
      <c r="BB2507">
        <v>66</v>
      </c>
      <c r="BC2507">
        <v>0</v>
      </c>
      <c r="BD2507">
        <v>0</v>
      </c>
      <c r="BE2507">
        <v>0</v>
      </c>
    </row>
    <row r="2508" spans="1:57" x14ac:dyDescent="0.45">
      <c r="A2508" t="s">
        <v>6017</v>
      </c>
      <c r="B2508" t="s">
        <v>79</v>
      </c>
      <c r="C2508" t="s">
        <v>3481</v>
      </c>
      <c r="D2508" t="s">
        <v>81</v>
      </c>
      <c r="E2508" s="2" t="str">
        <f>HYPERLINK("capsilon://?command=openfolder&amp;siteaddress=FAM.docvelocity-na8.net&amp;folderid=FXFB1C4480-B579-44D0-8C09-5CAB18181F19","FX201223470")</f>
        <v>FX201223470</v>
      </c>
      <c r="F2508" t="s">
        <v>19</v>
      </c>
      <c r="G2508" t="s">
        <v>19</v>
      </c>
      <c r="H2508" t="s">
        <v>82</v>
      </c>
      <c r="I2508" t="s">
        <v>6018</v>
      </c>
      <c r="J2508">
        <v>29</v>
      </c>
      <c r="K2508" t="s">
        <v>84</v>
      </c>
      <c r="L2508" t="s">
        <v>85</v>
      </c>
      <c r="M2508" t="s">
        <v>86</v>
      </c>
      <c r="N2508">
        <v>3</v>
      </c>
      <c r="O2508" s="1">
        <v>44221.621516203704</v>
      </c>
      <c r="P2508" s="1">
        <v>44221.642592592594</v>
      </c>
      <c r="Q2508">
        <v>1264</v>
      </c>
      <c r="R2508">
        <v>557</v>
      </c>
      <c r="S2508" t="b">
        <v>0</v>
      </c>
      <c r="T2508" t="s">
        <v>87</v>
      </c>
      <c r="U2508" t="b">
        <v>0</v>
      </c>
      <c r="V2508" t="s">
        <v>168</v>
      </c>
      <c r="W2508" s="1">
        <v>44221.637986111113</v>
      </c>
      <c r="X2508">
        <v>464</v>
      </c>
      <c r="Y2508">
        <v>9</v>
      </c>
      <c r="Z2508">
        <v>0</v>
      </c>
      <c r="AA2508">
        <v>9</v>
      </c>
      <c r="AB2508">
        <v>0</v>
      </c>
      <c r="AC2508">
        <v>2</v>
      </c>
      <c r="AD2508">
        <v>20</v>
      </c>
      <c r="AE2508">
        <v>0</v>
      </c>
      <c r="AF2508">
        <v>0</v>
      </c>
      <c r="AG2508">
        <v>0</v>
      </c>
      <c r="AH2508" t="s">
        <v>128</v>
      </c>
      <c r="AI2508" s="1">
        <v>44221.639143518521</v>
      </c>
      <c r="AJ2508">
        <v>89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20</v>
      </c>
      <c r="AQ2508">
        <v>0</v>
      </c>
      <c r="AR2508">
        <v>0</v>
      </c>
      <c r="AS2508">
        <v>0</v>
      </c>
      <c r="AT2508" t="s">
        <v>90</v>
      </c>
      <c r="AU2508" s="1">
        <v>44221.642592592594</v>
      </c>
      <c r="AV2508">
        <v>4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20</v>
      </c>
      <c r="BC2508">
        <v>0</v>
      </c>
      <c r="BD2508">
        <v>0</v>
      </c>
      <c r="BE2508">
        <v>0</v>
      </c>
    </row>
    <row r="2509" spans="1:57" x14ac:dyDescent="0.45">
      <c r="A2509" t="s">
        <v>6019</v>
      </c>
      <c r="B2509" t="s">
        <v>79</v>
      </c>
      <c r="C2509" t="s">
        <v>5939</v>
      </c>
      <c r="D2509" t="s">
        <v>81</v>
      </c>
      <c r="E2509" s="2" t="str">
        <f>HYPERLINK("capsilon://?command=openfolder&amp;siteaddress=FAM.docvelocity-na8.net&amp;folderid=FX64BDDEEA-C33B-8AE4-6FF9-E4BE2BD3AF5B","FX210113834")</f>
        <v>FX210113834</v>
      </c>
      <c r="F2509" t="s">
        <v>19</v>
      </c>
      <c r="G2509" t="s">
        <v>19</v>
      </c>
      <c r="H2509" t="s">
        <v>82</v>
      </c>
      <c r="I2509" t="s">
        <v>6020</v>
      </c>
      <c r="J2509">
        <v>58</v>
      </c>
      <c r="K2509" t="s">
        <v>84</v>
      </c>
      <c r="L2509" t="s">
        <v>85</v>
      </c>
      <c r="M2509" t="s">
        <v>86</v>
      </c>
      <c r="N2509">
        <v>3</v>
      </c>
      <c r="O2509" s="1">
        <v>44221.622824074075</v>
      </c>
      <c r="P2509" s="1">
        <v>44221.642650462964</v>
      </c>
      <c r="Q2509">
        <v>1224</v>
      </c>
      <c r="R2509">
        <v>489</v>
      </c>
      <c r="S2509" t="b">
        <v>0</v>
      </c>
      <c r="T2509" t="s">
        <v>87</v>
      </c>
      <c r="U2509" t="b">
        <v>0</v>
      </c>
      <c r="V2509" t="s">
        <v>242</v>
      </c>
      <c r="W2509" s="1">
        <v>44221.635949074072</v>
      </c>
      <c r="X2509">
        <v>286</v>
      </c>
      <c r="Y2509">
        <v>52</v>
      </c>
      <c r="Z2509">
        <v>0</v>
      </c>
      <c r="AA2509">
        <v>52</v>
      </c>
      <c r="AB2509">
        <v>0</v>
      </c>
      <c r="AC2509">
        <v>37</v>
      </c>
      <c r="AD2509">
        <v>6</v>
      </c>
      <c r="AE2509">
        <v>0</v>
      </c>
      <c r="AF2509">
        <v>0</v>
      </c>
      <c r="AG2509">
        <v>0</v>
      </c>
      <c r="AH2509" t="s">
        <v>132</v>
      </c>
      <c r="AI2509" s="1">
        <v>44221.639062499999</v>
      </c>
      <c r="AJ2509">
        <v>199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6</v>
      </c>
      <c r="AQ2509">
        <v>0</v>
      </c>
      <c r="AR2509">
        <v>0</v>
      </c>
      <c r="AS2509">
        <v>0</v>
      </c>
      <c r="AT2509" t="s">
        <v>90</v>
      </c>
      <c r="AU2509" s="1">
        <v>44221.642650462964</v>
      </c>
      <c r="AV2509">
        <v>4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6</v>
      </c>
      <c r="BC2509">
        <v>0</v>
      </c>
      <c r="BD2509">
        <v>0</v>
      </c>
      <c r="BE2509">
        <v>0</v>
      </c>
    </row>
    <row r="2510" spans="1:57" x14ac:dyDescent="0.45">
      <c r="A2510" t="s">
        <v>6021</v>
      </c>
      <c r="B2510" t="s">
        <v>79</v>
      </c>
      <c r="C2510" t="s">
        <v>5852</v>
      </c>
      <c r="D2510" t="s">
        <v>81</v>
      </c>
      <c r="E2510" s="2" t="str">
        <f>HYPERLINK("capsilon://?command=openfolder&amp;siteaddress=FAM.docvelocity-na8.net&amp;folderid=FX75ED590B-8B19-0D59-C148-40BE088B7FBD","FX20121580")</f>
        <v>FX20121580</v>
      </c>
      <c r="F2510" t="s">
        <v>19</v>
      </c>
      <c r="G2510" t="s">
        <v>19</v>
      </c>
      <c r="H2510" t="s">
        <v>82</v>
      </c>
      <c r="I2510" t="s">
        <v>6000</v>
      </c>
      <c r="J2510">
        <v>162</v>
      </c>
      <c r="K2510" t="s">
        <v>84</v>
      </c>
      <c r="L2510" t="s">
        <v>85</v>
      </c>
      <c r="M2510" t="s">
        <v>86</v>
      </c>
      <c r="N2510">
        <v>3</v>
      </c>
      <c r="O2510" s="1">
        <v>44221.624652777777</v>
      </c>
      <c r="P2510" s="1">
        <v>44221.636701388888</v>
      </c>
      <c r="Q2510">
        <v>160</v>
      </c>
      <c r="R2510">
        <v>881</v>
      </c>
      <c r="S2510" t="b">
        <v>0</v>
      </c>
      <c r="T2510" t="s">
        <v>87</v>
      </c>
      <c r="U2510" t="b">
        <v>1</v>
      </c>
      <c r="V2510" t="s">
        <v>242</v>
      </c>
      <c r="W2510" s="1">
        <v>44221.63177083333</v>
      </c>
      <c r="X2510">
        <v>594</v>
      </c>
      <c r="Y2510">
        <v>154</v>
      </c>
      <c r="Z2510">
        <v>0</v>
      </c>
      <c r="AA2510">
        <v>154</v>
      </c>
      <c r="AB2510">
        <v>0</v>
      </c>
      <c r="AC2510">
        <v>50</v>
      </c>
      <c r="AD2510">
        <v>8</v>
      </c>
      <c r="AE2510">
        <v>0</v>
      </c>
      <c r="AF2510">
        <v>0</v>
      </c>
      <c r="AG2510">
        <v>0</v>
      </c>
      <c r="AH2510" t="s">
        <v>132</v>
      </c>
      <c r="AI2510" s="1">
        <v>44221.634918981479</v>
      </c>
      <c r="AJ2510">
        <v>270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8</v>
      </c>
      <c r="AQ2510">
        <v>0</v>
      </c>
      <c r="AR2510">
        <v>0</v>
      </c>
      <c r="AS2510">
        <v>0</v>
      </c>
      <c r="AT2510" t="s">
        <v>90</v>
      </c>
      <c r="AU2510" s="1">
        <v>44221.636701388888</v>
      </c>
      <c r="AV2510">
        <v>17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8</v>
      </c>
      <c r="BC2510">
        <v>0</v>
      </c>
      <c r="BD2510">
        <v>0</v>
      </c>
      <c r="BE2510">
        <v>0</v>
      </c>
    </row>
    <row r="2511" spans="1:57" x14ac:dyDescent="0.45">
      <c r="A2511" t="s">
        <v>6022</v>
      </c>
      <c r="B2511" t="s">
        <v>79</v>
      </c>
      <c r="C2511" t="s">
        <v>6023</v>
      </c>
      <c r="D2511" t="s">
        <v>81</v>
      </c>
      <c r="E2511" s="2" t="str">
        <f>HYPERLINK("capsilon://?command=openfolder&amp;siteaddress=FAM.docvelocity-na8.net&amp;folderid=FXA01A2553-67E5-AF07-9DA4-42AD702E092B","FX210114021")</f>
        <v>FX210114021</v>
      </c>
      <c r="F2511" t="s">
        <v>19</v>
      </c>
      <c r="G2511" t="s">
        <v>19</v>
      </c>
      <c r="H2511" t="s">
        <v>82</v>
      </c>
      <c r="I2511" t="s">
        <v>6024</v>
      </c>
      <c r="J2511">
        <v>76</v>
      </c>
      <c r="K2511" t="s">
        <v>84</v>
      </c>
      <c r="L2511" t="s">
        <v>85</v>
      </c>
      <c r="M2511" t="s">
        <v>86</v>
      </c>
      <c r="N2511">
        <v>3</v>
      </c>
      <c r="O2511" s="1">
        <v>44221.629189814812</v>
      </c>
      <c r="P2511" s="1">
        <v>44221.685752314814</v>
      </c>
      <c r="Q2511">
        <v>3954</v>
      </c>
      <c r="R2511">
        <v>933</v>
      </c>
      <c r="S2511" t="b">
        <v>0</v>
      </c>
      <c r="T2511" t="s">
        <v>87</v>
      </c>
      <c r="U2511" t="b">
        <v>0</v>
      </c>
      <c r="V2511" t="s">
        <v>255</v>
      </c>
      <c r="W2511" s="1">
        <v>44221.642939814818</v>
      </c>
      <c r="X2511">
        <v>719</v>
      </c>
      <c r="Y2511">
        <v>74</v>
      </c>
      <c r="Z2511">
        <v>0</v>
      </c>
      <c r="AA2511">
        <v>74</v>
      </c>
      <c r="AB2511">
        <v>0</v>
      </c>
      <c r="AC2511">
        <v>45</v>
      </c>
      <c r="AD2511">
        <v>2</v>
      </c>
      <c r="AE2511">
        <v>0</v>
      </c>
      <c r="AF2511">
        <v>0</v>
      </c>
      <c r="AG2511">
        <v>0</v>
      </c>
      <c r="AH2511" t="s">
        <v>128</v>
      </c>
      <c r="AI2511" s="1">
        <v>44221.650983796295</v>
      </c>
      <c r="AJ2511">
        <v>207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2</v>
      </c>
      <c r="AQ2511">
        <v>0</v>
      </c>
      <c r="AR2511">
        <v>0</v>
      </c>
      <c r="AS2511">
        <v>0</v>
      </c>
      <c r="AT2511" t="s">
        <v>90</v>
      </c>
      <c r="AU2511" s="1">
        <v>44221.685752314814</v>
      </c>
      <c r="AV2511">
        <v>7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2</v>
      </c>
      <c r="BC2511">
        <v>0</v>
      </c>
      <c r="BD2511">
        <v>0</v>
      </c>
      <c r="BE2511">
        <v>0</v>
      </c>
    </row>
    <row r="2512" spans="1:57" x14ac:dyDescent="0.45">
      <c r="A2512" t="s">
        <v>6025</v>
      </c>
      <c r="B2512" t="s">
        <v>79</v>
      </c>
      <c r="C2512" t="s">
        <v>3481</v>
      </c>
      <c r="D2512" t="s">
        <v>81</v>
      </c>
      <c r="E2512" s="2" t="str">
        <f>HYPERLINK("capsilon://?command=openfolder&amp;siteaddress=FAM.docvelocity-na8.net&amp;folderid=FXFB1C4480-B579-44D0-8C09-5CAB18181F19","FX201223470")</f>
        <v>FX201223470</v>
      </c>
      <c r="F2512" t="s">
        <v>19</v>
      </c>
      <c r="G2512" t="s">
        <v>19</v>
      </c>
      <c r="H2512" t="s">
        <v>82</v>
      </c>
      <c r="I2512" t="s">
        <v>6026</v>
      </c>
      <c r="J2512">
        <v>29</v>
      </c>
      <c r="K2512" t="s">
        <v>84</v>
      </c>
      <c r="L2512" t="s">
        <v>85</v>
      </c>
      <c r="M2512" t="s">
        <v>86</v>
      </c>
      <c r="N2512">
        <v>3</v>
      </c>
      <c r="O2512" s="1">
        <v>44221.633553240739</v>
      </c>
      <c r="P2512" s="1">
        <v>44221.642708333333</v>
      </c>
      <c r="Q2512">
        <v>535</v>
      </c>
      <c r="R2512">
        <v>256</v>
      </c>
      <c r="S2512" t="b">
        <v>0</v>
      </c>
      <c r="T2512" t="s">
        <v>87</v>
      </c>
      <c r="U2512" t="b">
        <v>0</v>
      </c>
      <c r="V2512" t="s">
        <v>242</v>
      </c>
      <c r="W2512" s="1">
        <v>44221.637280092589</v>
      </c>
      <c r="X2512">
        <v>114</v>
      </c>
      <c r="Y2512">
        <v>15</v>
      </c>
      <c r="Z2512">
        <v>0</v>
      </c>
      <c r="AA2512">
        <v>15</v>
      </c>
      <c r="AB2512">
        <v>0</v>
      </c>
      <c r="AC2512">
        <v>8</v>
      </c>
      <c r="AD2512">
        <v>14</v>
      </c>
      <c r="AE2512">
        <v>0</v>
      </c>
      <c r="AF2512">
        <v>0</v>
      </c>
      <c r="AG2512">
        <v>0</v>
      </c>
      <c r="AH2512" t="s">
        <v>128</v>
      </c>
      <c r="AI2512" s="1">
        <v>44221.640740740739</v>
      </c>
      <c r="AJ2512">
        <v>137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14</v>
      </c>
      <c r="AQ2512">
        <v>0</v>
      </c>
      <c r="AR2512">
        <v>0</v>
      </c>
      <c r="AS2512">
        <v>0</v>
      </c>
      <c r="AT2512" t="s">
        <v>90</v>
      </c>
      <c r="AU2512" s="1">
        <v>44221.642708333333</v>
      </c>
      <c r="AV2512">
        <v>5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14</v>
      </c>
      <c r="BC2512">
        <v>0</v>
      </c>
      <c r="BD2512">
        <v>0</v>
      </c>
      <c r="BE2512">
        <v>0</v>
      </c>
    </row>
    <row r="2513" spans="1:57" x14ac:dyDescent="0.45">
      <c r="A2513" t="s">
        <v>6027</v>
      </c>
      <c r="B2513" t="s">
        <v>79</v>
      </c>
      <c r="C2513" t="s">
        <v>6028</v>
      </c>
      <c r="D2513" t="s">
        <v>81</v>
      </c>
      <c r="E2513" s="2" t="str">
        <f>HYPERLINK("capsilon://?command=openfolder&amp;siteaddress=FAM.docvelocity-na8.net&amp;folderid=FX25E3DB79-B4A2-64C8-C1C4-6B9A735B647E","FX201222501")</f>
        <v>FX201222501</v>
      </c>
      <c r="F2513" t="s">
        <v>19</v>
      </c>
      <c r="G2513" t="s">
        <v>19</v>
      </c>
      <c r="H2513" t="s">
        <v>82</v>
      </c>
      <c r="I2513" t="s">
        <v>6029</v>
      </c>
      <c r="J2513">
        <v>262</v>
      </c>
      <c r="K2513" t="s">
        <v>84</v>
      </c>
      <c r="L2513" t="s">
        <v>85</v>
      </c>
      <c r="M2513" t="s">
        <v>86</v>
      </c>
      <c r="N2513">
        <v>3</v>
      </c>
      <c r="O2513" s="1">
        <v>44221.634618055556</v>
      </c>
      <c r="P2513" s="1">
        <v>44221.686736111114</v>
      </c>
      <c r="Q2513">
        <v>3682</v>
      </c>
      <c r="R2513">
        <v>821</v>
      </c>
      <c r="S2513" t="b">
        <v>0</v>
      </c>
      <c r="T2513" t="s">
        <v>87</v>
      </c>
      <c r="U2513" t="b">
        <v>0</v>
      </c>
      <c r="V2513" t="s">
        <v>242</v>
      </c>
      <c r="W2513" s="1">
        <v>44221.643275462964</v>
      </c>
      <c r="X2513">
        <v>517</v>
      </c>
      <c r="Y2513">
        <v>94</v>
      </c>
      <c r="Z2513">
        <v>0</v>
      </c>
      <c r="AA2513">
        <v>94</v>
      </c>
      <c r="AB2513">
        <v>0</v>
      </c>
      <c r="AC2513">
        <v>36</v>
      </c>
      <c r="AD2513">
        <v>168</v>
      </c>
      <c r="AE2513">
        <v>0</v>
      </c>
      <c r="AF2513">
        <v>0</v>
      </c>
      <c r="AG2513">
        <v>0</v>
      </c>
      <c r="AH2513" t="s">
        <v>128</v>
      </c>
      <c r="AI2513" s="1">
        <v>44221.65353009259</v>
      </c>
      <c r="AJ2513">
        <v>219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168</v>
      </c>
      <c r="AQ2513">
        <v>0</v>
      </c>
      <c r="AR2513">
        <v>0</v>
      </c>
      <c r="AS2513">
        <v>0</v>
      </c>
      <c r="AT2513" t="s">
        <v>90</v>
      </c>
      <c r="AU2513" s="1">
        <v>44221.686736111114</v>
      </c>
      <c r="AV2513">
        <v>85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168</v>
      </c>
      <c r="BC2513">
        <v>0</v>
      </c>
      <c r="BD2513">
        <v>0</v>
      </c>
      <c r="BE2513">
        <v>0</v>
      </c>
    </row>
    <row r="2514" spans="1:57" hidden="1" x14ac:dyDescent="0.45">
      <c r="A2514" t="s">
        <v>6030</v>
      </c>
      <c r="B2514" t="s">
        <v>79</v>
      </c>
      <c r="C2514" t="s">
        <v>1876</v>
      </c>
      <c r="D2514" t="s">
        <v>81</v>
      </c>
      <c r="E2514" s="2" t="str">
        <f>HYPERLINK("capsilon://?command=openfolder&amp;siteaddress=FAM.docvelocity-na8.net&amp;folderid=FX0860BE9F-9F25-E1C6-90D9-25BCF2574AED","FX20127323")</f>
        <v>FX20127323</v>
      </c>
      <c r="F2514" t="s">
        <v>19</v>
      </c>
      <c r="G2514" t="s">
        <v>19</v>
      </c>
      <c r="H2514" t="s">
        <v>82</v>
      </c>
      <c r="I2514" t="s">
        <v>6031</v>
      </c>
      <c r="J2514">
        <v>66</v>
      </c>
      <c r="K2514" t="s">
        <v>84</v>
      </c>
      <c r="L2514" t="s">
        <v>85</v>
      </c>
      <c r="M2514" t="s">
        <v>86</v>
      </c>
      <c r="N2514">
        <v>3</v>
      </c>
      <c r="O2514" s="1">
        <v>44221.636874999997</v>
      </c>
      <c r="P2514" s="1">
        <v>44221.642754629633</v>
      </c>
      <c r="Q2514">
        <v>458</v>
      </c>
      <c r="R2514">
        <v>50</v>
      </c>
      <c r="S2514" t="b">
        <v>0</v>
      </c>
      <c r="T2514" t="s">
        <v>87</v>
      </c>
      <c r="U2514" t="b">
        <v>0</v>
      </c>
      <c r="V2514" t="s">
        <v>168</v>
      </c>
      <c r="W2514" s="1">
        <v>44221.638449074075</v>
      </c>
      <c r="X2514">
        <v>39</v>
      </c>
      <c r="Y2514">
        <v>0</v>
      </c>
      <c r="Z2514">
        <v>0</v>
      </c>
      <c r="AA2514">
        <v>0</v>
      </c>
      <c r="AB2514">
        <v>52</v>
      </c>
      <c r="AC2514">
        <v>0</v>
      </c>
      <c r="AD2514">
        <v>66</v>
      </c>
      <c r="AE2514">
        <v>0</v>
      </c>
      <c r="AF2514">
        <v>0</v>
      </c>
      <c r="AG2514">
        <v>0</v>
      </c>
      <c r="AH2514" t="s">
        <v>128</v>
      </c>
      <c r="AI2514" s="1">
        <v>44221.640844907408</v>
      </c>
      <c r="AJ2514">
        <v>8</v>
      </c>
      <c r="AK2514">
        <v>0</v>
      </c>
      <c r="AL2514">
        <v>0</v>
      </c>
      <c r="AM2514">
        <v>0</v>
      </c>
      <c r="AN2514">
        <v>52</v>
      </c>
      <c r="AO2514">
        <v>0</v>
      </c>
      <c r="AP2514">
        <v>66</v>
      </c>
      <c r="AQ2514">
        <v>0</v>
      </c>
      <c r="AR2514">
        <v>0</v>
      </c>
      <c r="AS2514">
        <v>0</v>
      </c>
      <c r="AT2514" t="s">
        <v>90</v>
      </c>
      <c r="AU2514" s="1">
        <v>44221.642754629633</v>
      </c>
      <c r="AV2514">
        <v>3</v>
      </c>
      <c r="AW2514">
        <v>0</v>
      </c>
      <c r="AX2514">
        <v>0</v>
      </c>
      <c r="AY2514">
        <v>0</v>
      </c>
      <c r="AZ2514">
        <v>52</v>
      </c>
      <c r="BA2514">
        <v>0</v>
      </c>
      <c r="BB2514">
        <v>66</v>
      </c>
      <c r="BC2514">
        <v>0</v>
      </c>
      <c r="BD2514">
        <v>0</v>
      </c>
      <c r="BE2514">
        <v>0</v>
      </c>
    </row>
    <row r="2515" spans="1:57" x14ac:dyDescent="0.45">
      <c r="A2515" t="s">
        <v>6032</v>
      </c>
      <c r="B2515" t="s">
        <v>79</v>
      </c>
      <c r="C2515" t="s">
        <v>3265</v>
      </c>
      <c r="D2515" t="s">
        <v>81</v>
      </c>
      <c r="E2515" s="2" t="str">
        <f>HYPERLINK("capsilon://?command=openfolder&amp;siteaddress=FAM.docvelocity-na8.net&amp;folderid=FX6C2D813C-29AF-0753-E01C-AD802C6B09F4","FX21017909")</f>
        <v>FX21017909</v>
      </c>
      <c r="F2515" t="s">
        <v>19</v>
      </c>
      <c r="G2515" t="s">
        <v>19</v>
      </c>
      <c r="H2515" t="s">
        <v>82</v>
      </c>
      <c r="I2515" t="s">
        <v>6033</v>
      </c>
      <c r="J2515">
        <v>50</v>
      </c>
      <c r="K2515" t="s">
        <v>84</v>
      </c>
      <c r="L2515" t="s">
        <v>85</v>
      </c>
      <c r="M2515" t="s">
        <v>86</v>
      </c>
      <c r="N2515">
        <v>3</v>
      </c>
      <c r="O2515" s="1">
        <v>44221.639675925922</v>
      </c>
      <c r="P2515" s="1">
        <v>44221.686967592592</v>
      </c>
      <c r="Q2515">
        <v>3249</v>
      </c>
      <c r="R2515">
        <v>837</v>
      </c>
      <c r="S2515" t="b">
        <v>0</v>
      </c>
      <c r="T2515" t="s">
        <v>87</v>
      </c>
      <c r="U2515" t="b">
        <v>0</v>
      </c>
      <c r="V2515" t="s">
        <v>168</v>
      </c>
      <c r="W2515" s="1">
        <v>44221.647303240738</v>
      </c>
      <c r="X2515">
        <v>643</v>
      </c>
      <c r="Y2515">
        <v>46</v>
      </c>
      <c r="Z2515">
        <v>0</v>
      </c>
      <c r="AA2515">
        <v>46</v>
      </c>
      <c r="AB2515">
        <v>0</v>
      </c>
      <c r="AC2515">
        <v>18</v>
      </c>
      <c r="AD2515">
        <v>4</v>
      </c>
      <c r="AE2515">
        <v>0</v>
      </c>
      <c r="AF2515">
        <v>0</v>
      </c>
      <c r="AG2515">
        <v>0</v>
      </c>
      <c r="AH2515" t="s">
        <v>147</v>
      </c>
      <c r="AI2515" s="1">
        <v>44221.656643518516</v>
      </c>
      <c r="AJ2515">
        <v>174</v>
      </c>
      <c r="AK2515">
        <v>0</v>
      </c>
      <c r="AL2515">
        <v>0</v>
      </c>
      <c r="AM2515">
        <v>0</v>
      </c>
      <c r="AN2515">
        <v>0</v>
      </c>
      <c r="AO2515">
        <v>3</v>
      </c>
      <c r="AP2515">
        <v>4</v>
      </c>
      <c r="AQ2515">
        <v>0</v>
      </c>
      <c r="AR2515">
        <v>0</v>
      </c>
      <c r="AS2515">
        <v>0</v>
      </c>
      <c r="AT2515" t="s">
        <v>90</v>
      </c>
      <c r="AU2515" s="1">
        <v>44221.686967592592</v>
      </c>
      <c r="AV2515">
        <v>20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4</v>
      </c>
      <c r="BC2515">
        <v>0</v>
      </c>
      <c r="BD2515">
        <v>0</v>
      </c>
      <c r="BE2515">
        <v>0</v>
      </c>
    </row>
    <row r="2516" spans="1:57" x14ac:dyDescent="0.45">
      <c r="A2516" t="s">
        <v>6034</v>
      </c>
      <c r="B2516" t="s">
        <v>79</v>
      </c>
      <c r="C2516" t="s">
        <v>3265</v>
      </c>
      <c r="D2516" t="s">
        <v>81</v>
      </c>
      <c r="E2516" s="2" t="str">
        <f>HYPERLINK("capsilon://?command=openfolder&amp;siteaddress=FAM.docvelocity-na8.net&amp;folderid=FX6C2D813C-29AF-0753-E01C-AD802C6B09F4","FX21017909")</f>
        <v>FX21017909</v>
      </c>
      <c r="F2516" t="s">
        <v>19</v>
      </c>
      <c r="G2516" t="s">
        <v>19</v>
      </c>
      <c r="H2516" t="s">
        <v>82</v>
      </c>
      <c r="I2516" t="s">
        <v>6035</v>
      </c>
      <c r="J2516">
        <v>52</v>
      </c>
      <c r="K2516" t="s">
        <v>84</v>
      </c>
      <c r="L2516" t="s">
        <v>85</v>
      </c>
      <c r="M2516" t="s">
        <v>86</v>
      </c>
      <c r="N2516">
        <v>3</v>
      </c>
      <c r="O2516" s="1">
        <v>44221.639930555553</v>
      </c>
      <c r="P2516" s="1">
        <v>44221.687037037038</v>
      </c>
      <c r="Q2516">
        <v>2842</v>
      </c>
      <c r="R2516">
        <v>1228</v>
      </c>
      <c r="S2516" t="b">
        <v>0</v>
      </c>
      <c r="T2516" t="s">
        <v>87</v>
      </c>
      <c r="U2516" t="b">
        <v>0</v>
      </c>
      <c r="V2516" t="s">
        <v>146</v>
      </c>
      <c r="W2516" s="1">
        <v>44221.654872685183</v>
      </c>
      <c r="X2516">
        <v>1051</v>
      </c>
      <c r="Y2516">
        <v>51</v>
      </c>
      <c r="Z2516">
        <v>0</v>
      </c>
      <c r="AA2516">
        <v>51</v>
      </c>
      <c r="AB2516">
        <v>0</v>
      </c>
      <c r="AC2516">
        <v>30</v>
      </c>
      <c r="AD2516">
        <v>1</v>
      </c>
      <c r="AE2516">
        <v>0</v>
      </c>
      <c r="AF2516">
        <v>0</v>
      </c>
      <c r="AG2516">
        <v>0</v>
      </c>
      <c r="AH2516" t="s">
        <v>147</v>
      </c>
      <c r="AI2516" s="1">
        <v>44221.658634259256</v>
      </c>
      <c r="AJ2516">
        <v>171</v>
      </c>
      <c r="AK2516">
        <v>2</v>
      </c>
      <c r="AL2516">
        <v>0</v>
      </c>
      <c r="AM2516">
        <v>2</v>
      </c>
      <c r="AN2516">
        <v>0</v>
      </c>
      <c r="AO2516">
        <v>6</v>
      </c>
      <c r="AP2516">
        <v>-1</v>
      </c>
      <c r="AQ2516">
        <v>0</v>
      </c>
      <c r="AR2516">
        <v>0</v>
      </c>
      <c r="AS2516">
        <v>0</v>
      </c>
      <c r="AT2516" t="s">
        <v>90</v>
      </c>
      <c r="AU2516" s="1">
        <v>44221.687037037038</v>
      </c>
      <c r="AV2516">
        <v>6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-1</v>
      </c>
      <c r="BC2516">
        <v>0</v>
      </c>
      <c r="BD2516">
        <v>0</v>
      </c>
      <c r="BE2516">
        <v>0</v>
      </c>
    </row>
    <row r="2517" spans="1:57" x14ac:dyDescent="0.45">
      <c r="A2517" t="s">
        <v>6036</v>
      </c>
      <c r="B2517" t="s">
        <v>79</v>
      </c>
      <c r="C2517" t="s">
        <v>2089</v>
      </c>
      <c r="D2517" t="s">
        <v>81</v>
      </c>
      <c r="E2517" s="2" t="str">
        <f>HYPERLINK("capsilon://?command=openfolder&amp;siteaddress=FAM.docvelocity-na8.net&amp;folderid=FX76B3561E-9B67-9F1D-54DE-D55854B33678","FX20123251")</f>
        <v>FX20123251</v>
      </c>
      <c r="F2517" t="s">
        <v>19</v>
      </c>
      <c r="G2517" t="s">
        <v>19</v>
      </c>
      <c r="H2517" t="s">
        <v>82</v>
      </c>
      <c r="I2517" t="s">
        <v>6037</v>
      </c>
      <c r="J2517">
        <v>66</v>
      </c>
      <c r="K2517" t="s">
        <v>84</v>
      </c>
      <c r="L2517" t="s">
        <v>85</v>
      </c>
      <c r="M2517" t="s">
        <v>86</v>
      </c>
      <c r="N2517">
        <v>3</v>
      </c>
      <c r="O2517" s="1">
        <v>44221.643182870372</v>
      </c>
      <c r="P2517" s="1">
        <v>44221.687141203707</v>
      </c>
      <c r="Q2517">
        <v>3150</v>
      </c>
      <c r="R2517">
        <v>648</v>
      </c>
      <c r="S2517" t="b">
        <v>0</v>
      </c>
      <c r="T2517" t="s">
        <v>87</v>
      </c>
      <c r="U2517" t="b">
        <v>0</v>
      </c>
      <c r="V2517" t="s">
        <v>242</v>
      </c>
      <c r="W2517" s="1">
        <v>44221.648472222223</v>
      </c>
      <c r="X2517">
        <v>448</v>
      </c>
      <c r="Y2517">
        <v>52</v>
      </c>
      <c r="Z2517">
        <v>0</v>
      </c>
      <c r="AA2517">
        <v>52</v>
      </c>
      <c r="AB2517">
        <v>0</v>
      </c>
      <c r="AC2517">
        <v>40</v>
      </c>
      <c r="AD2517">
        <v>14</v>
      </c>
      <c r="AE2517">
        <v>0</v>
      </c>
      <c r="AF2517">
        <v>0</v>
      </c>
      <c r="AG2517">
        <v>0</v>
      </c>
      <c r="AH2517" t="s">
        <v>132</v>
      </c>
      <c r="AI2517" s="1">
        <v>44221.662395833337</v>
      </c>
      <c r="AJ2517">
        <v>178</v>
      </c>
      <c r="AK2517">
        <v>3</v>
      </c>
      <c r="AL2517">
        <v>0</v>
      </c>
      <c r="AM2517">
        <v>3</v>
      </c>
      <c r="AN2517">
        <v>0</v>
      </c>
      <c r="AO2517">
        <v>2</v>
      </c>
      <c r="AP2517">
        <v>11</v>
      </c>
      <c r="AQ2517">
        <v>0</v>
      </c>
      <c r="AR2517">
        <v>0</v>
      </c>
      <c r="AS2517">
        <v>0</v>
      </c>
      <c r="AT2517" t="s">
        <v>90</v>
      </c>
      <c r="AU2517" s="1">
        <v>44221.687141203707</v>
      </c>
      <c r="AV2517">
        <v>9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11</v>
      </c>
      <c r="BC2517">
        <v>0</v>
      </c>
      <c r="BD2517">
        <v>0</v>
      </c>
      <c r="BE2517">
        <v>0</v>
      </c>
    </row>
    <row r="2518" spans="1:57" x14ac:dyDescent="0.45">
      <c r="A2518" t="s">
        <v>6038</v>
      </c>
      <c r="B2518" t="s">
        <v>79</v>
      </c>
      <c r="C2518" t="s">
        <v>6039</v>
      </c>
      <c r="D2518" t="s">
        <v>81</v>
      </c>
      <c r="E2518" s="2" t="str">
        <f>HYPERLINK("capsilon://?command=openfolder&amp;siteaddress=FAM.docvelocity-na8.net&amp;folderid=FX30916849-A430-1358-5E90-1FDE3D72A173","FX201222019")</f>
        <v>FX201222019</v>
      </c>
      <c r="F2518" t="s">
        <v>19</v>
      </c>
      <c r="G2518" t="s">
        <v>19</v>
      </c>
      <c r="H2518" t="s">
        <v>82</v>
      </c>
      <c r="I2518" t="s">
        <v>6040</v>
      </c>
      <c r="J2518">
        <v>66</v>
      </c>
      <c r="K2518" t="s">
        <v>84</v>
      </c>
      <c r="L2518" t="s">
        <v>85</v>
      </c>
      <c r="M2518" t="s">
        <v>86</v>
      </c>
      <c r="N2518">
        <v>3</v>
      </c>
      <c r="O2518" s="1">
        <v>44221.643518518518</v>
      </c>
      <c r="P2518" s="1">
        <v>44221.688032407408</v>
      </c>
      <c r="Q2518">
        <v>3231</v>
      </c>
      <c r="R2518">
        <v>615</v>
      </c>
      <c r="S2518" t="b">
        <v>0</v>
      </c>
      <c r="T2518" t="s">
        <v>87</v>
      </c>
      <c r="U2518" t="b">
        <v>0</v>
      </c>
      <c r="V2518" t="s">
        <v>242</v>
      </c>
      <c r="W2518" s="1">
        <v>44221.653703703705</v>
      </c>
      <c r="X2518">
        <v>451</v>
      </c>
      <c r="Y2518">
        <v>52</v>
      </c>
      <c r="Z2518">
        <v>0</v>
      </c>
      <c r="AA2518">
        <v>52</v>
      </c>
      <c r="AB2518">
        <v>0</v>
      </c>
      <c r="AC2518">
        <v>25</v>
      </c>
      <c r="AD2518">
        <v>14</v>
      </c>
      <c r="AE2518">
        <v>0</v>
      </c>
      <c r="AF2518">
        <v>0</v>
      </c>
      <c r="AG2518">
        <v>0</v>
      </c>
      <c r="AH2518" t="s">
        <v>132</v>
      </c>
      <c r="AI2518" s="1">
        <v>44221.668113425927</v>
      </c>
      <c r="AJ2518">
        <v>88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14</v>
      </c>
      <c r="AQ2518">
        <v>0</v>
      </c>
      <c r="AR2518">
        <v>0</v>
      </c>
      <c r="AS2518">
        <v>0</v>
      </c>
      <c r="AT2518" t="s">
        <v>90</v>
      </c>
      <c r="AU2518" s="1">
        <v>44221.688032407408</v>
      </c>
      <c r="AV2518">
        <v>76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14</v>
      </c>
      <c r="BC2518">
        <v>0</v>
      </c>
      <c r="BD2518">
        <v>0</v>
      </c>
      <c r="BE2518">
        <v>0</v>
      </c>
    </row>
    <row r="2519" spans="1:57" x14ac:dyDescent="0.45">
      <c r="A2519" t="s">
        <v>6041</v>
      </c>
      <c r="B2519" t="s">
        <v>79</v>
      </c>
      <c r="C2519" t="s">
        <v>6042</v>
      </c>
      <c r="D2519" t="s">
        <v>81</v>
      </c>
      <c r="E2519" s="2" t="str">
        <f>HYPERLINK("capsilon://?command=openfolder&amp;siteaddress=FAM.docvelocity-na8.net&amp;folderid=FX01E924B2-A1B1-FCCE-58FE-B98D4B5A9B12","FX210110774")</f>
        <v>FX210110774</v>
      </c>
      <c r="F2519" t="s">
        <v>19</v>
      </c>
      <c r="G2519" t="s">
        <v>19</v>
      </c>
      <c r="H2519" t="s">
        <v>82</v>
      </c>
      <c r="I2519" t="s">
        <v>6043</v>
      </c>
      <c r="J2519">
        <v>144</v>
      </c>
      <c r="K2519" t="s">
        <v>84</v>
      </c>
      <c r="L2519" t="s">
        <v>85</v>
      </c>
      <c r="M2519" t="s">
        <v>86</v>
      </c>
      <c r="N2519">
        <v>3</v>
      </c>
      <c r="O2519" s="1">
        <v>44221.644004629627</v>
      </c>
      <c r="P2519" s="1">
        <v>44221.688321759262</v>
      </c>
      <c r="Q2519">
        <v>1584</v>
      </c>
      <c r="R2519">
        <v>2245</v>
      </c>
      <c r="S2519" t="b">
        <v>0</v>
      </c>
      <c r="T2519" t="s">
        <v>87</v>
      </c>
      <c r="U2519" t="b">
        <v>0</v>
      </c>
      <c r="V2519" t="s">
        <v>160</v>
      </c>
      <c r="W2519" s="1">
        <v>44221.670694444445</v>
      </c>
      <c r="X2519">
        <v>1909</v>
      </c>
      <c r="Y2519">
        <v>92</v>
      </c>
      <c r="Z2519">
        <v>0</v>
      </c>
      <c r="AA2519">
        <v>92</v>
      </c>
      <c r="AB2519">
        <v>74</v>
      </c>
      <c r="AC2519">
        <v>73</v>
      </c>
      <c r="AD2519">
        <v>52</v>
      </c>
      <c r="AE2519">
        <v>0</v>
      </c>
      <c r="AF2519">
        <v>0</v>
      </c>
      <c r="AG2519">
        <v>0</v>
      </c>
      <c r="AH2519" t="s">
        <v>128</v>
      </c>
      <c r="AI2519" s="1">
        <v>44221.676076388889</v>
      </c>
      <c r="AJ2519">
        <v>312</v>
      </c>
      <c r="AK2519">
        <v>0</v>
      </c>
      <c r="AL2519">
        <v>0</v>
      </c>
      <c r="AM2519">
        <v>0</v>
      </c>
      <c r="AN2519">
        <v>74</v>
      </c>
      <c r="AO2519">
        <v>0</v>
      </c>
      <c r="AP2519">
        <v>52</v>
      </c>
      <c r="AQ2519">
        <v>0</v>
      </c>
      <c r="AR2519">
        <v>0</v>
      </c>
      <c r="AS2519">
        <v>0</v>
      </c>
      <c r="AT2519" t="s">
        <v>90</v>
      </c>
      <c r="AU2519" s="1">
        <v>44221.688321759262</v>
      </c>
      <c r="AV2519">
        <v>24</v>
      </c>
      <c r="AW2519">
        <v>0</v>
      </c>
      <c r="AX2519">
        <v>0</v>
      </c>
      <c r="AY2519">
        <v>0</v>
      </c>
      <c r="AZ2519">
        <v>74</v>
      </c>
      <c r="BA2519">
        <v>0</v>
      </c>
      <c r="BB2519">
        <v>52</v>
      </c>
      <c r="BC2519">
        <v>0</v>
      </c>
      <c r="BD2519">
        <v>0</v>
      </c>
      <c r="BE2519">
        <v>0</v>
      </c>
    </row>
    <row r="2520" spans="1:57" x14ac:dyDescent="0.45">
      <c r="A2520" t="s">
        <v>6044</v>
      </c>
      <c r="B2520" t="s">
        <v>79</v>
      </c>
      <c r="C2520" t="s">
        <v>6039</v>
      </c>
      <c r="D2520" t="s">
        <v>81</v>
      </c>
      <c r="E2520" s="2" t="str">
        <f>HYPERLINK("capsilon://?command=openfolder&amp;siteaddress=FAM.docvelocity-na8.net&amp;folderid=FX30916849-A430-1358-5E90-1FDE3D72A173","FX201222019")</f>
        <v>FX201222019</v>
      </c>
      <c r="F2520" t="s">
        <v>19</v>
      </c>
      <c r="G2520" t="s">
        <v>19</v>
      </c>
      <c r="H2520" t="s">
        <v>82</v>
      </c>
      <c r="I2520" t="s">
        <v>6045</v>
      </c>
      <c r="J2520">
        <v>66</v>
      </c>
      <c r="K2520" t="s">
        <v>84</v>
      </c>
      <c r="L2520" t="s">
        <v>85</v>
      </c>
      <c r="M2520" t="s">
        <v>86</v>
      </c>
      <c r="N2520">
        <v>3</v>
      </c>
      <c r="O2520" s="1">
        <v>44221.644201388888</v>
      </c>
      <c r="P2520" s="1">
        <v>44221.688437500001</v>
      </c>
      <c r="Q2520">
        <v>2101</v>
      </c>
      <c r="R2520">
        <v>1721</v>
      </c>
      <c r="S2520" t="b">
        <v>0</v>
      </c>
      <c r="T2520" t="s">
        <v>87</v>
      </c>
      <c r="U2520" t="b">
        <v>0</v>
      </c>
      <c r="V2520" t="s">
        <v>168</v>
      </c>
      <c r="W2520" s="1">
        <v>44221.667905092596</v>
      </c>
      <c r="X2520">
        <v>1531</v>
      </c>
      <c r="Y2520">
        <v>52</v>
      </c>
      <c r="Z2520">
        <v>0</v>
      </c>
      <c r="AA2520">
        <v>52</v>
      </c>
      <c r="AB2520">
        <v>0</v>
      </c>
      <c r="AC2520">
        <v>24</v>
      </c>
      <c r="AD2520">
        <v>14</v>
      </c>
      <c r="AE2520">
        <v>0</v>
      </c>
      <c r="AF2520">
        <v>0</v>
      </c>
      <c r="AG2520">
        <v>0</v>
      </c>
      <c r="AH2520" t="s">
        <v>132</v>
      </c>
      <c r="AI2520" s="1">
        <v>44221.670219907406</v>
      </c>
      <c r="AJ2520">
        <v>181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14</v>
      </c>
      <c r="AQ2520">
        <v>0</v>
      </c>
      <c r="AR2520">
        <v>0</v>
      </c>
      <c r="AS2520">
        <v>0</v>
      </c>
      <c r="AT2520" t="s">
        <v>90</v>
      </c>
      <c r="AU2520" s="1">
        <v>44221.688437500001</v>
      </c>
      <c r="AV2520">
        <v>9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14</v>
      </c>
      <c r="BC2520">
        <v>0</v>
      </c>
      <c r="BD2520">
        <v>0</v>
      </c>
      <c r="BE2520">
        <v>0</v>
      </c>
    </row>
    <row r="2521" spans="1:57" x14ac:dyDescent="0.45">
      <c r="A2521" t="s">
        <v>6046</v>
      </c>
      <c r="B2521" t="s">
        <v>79</v>
      </c>
      <c r="C2521" t="s">
        <v>6047</v>
      </c>
      <c r="D2521" t="s">
        <v>81</v>
      </c>
      <c r="E2521" s="2" t="str">
        <f>HYPERLINK("capsilon://?command=openfolder&amp;siteaddress=FAM.docvelocity-na8.net&amp;folderid=FX4EE89194-2A49-CE78-BF88-01D3EADBAA47","FX210112569")</f>
        <v>FX210112569</v>
      </c>
      <c r="F2521" t="s">
        <v>19</v>
      </c>
      <c r="G2521" t="s">
        <v>19</v>
      </c>
      <c r="H2521" t="s">
        <v>82</v>
      </c>
      <c r="I2521" t="s">
        <v>6048</v>
      </c>
      <c r="J2521">
        <v>334</v>
      </c>
      <c r="K2521" t="s">
        <v>84</v>
      </c>
      <c r="L2521" t="s">
        <v>85</v>
      </c>
      <c r="M2521" t="s">
        <v>86</v>
      </c>
      <c r="N2521">
        <v>3</v>
      </c>
      <c r="O2521" s="1">
        <v>44221.645787037036</v>
      </c>
      <c r="P2521" s="1">
        <v>44221.711180555554</v>
      </c>
      <c r="Q2521">
        <v>1911</v>
      </c>
      <c r="R2521">
        <v>3739</v>
      </c>
      <c r="S2521" t="b">
        <v>0</v>
      </c>
      <c r="T2521" t="s">
        <v>87</v>
      </c>
      <c r="U2521" t="b">
        <v>0</v>
      </c>
      <c r="V2521" t="s">
        <v>179</v>
      </c>
      <c r="W2521" s="1">
        <v>44221.692314814813</v>
      </c>
      <c r="X2521">
        <v>3419</v>
      </c>
      <c r="Y2521">
        <v>219</v>
      </c>
      <c r="Z2521">
        <v>0</v>
      </c>
      <c r="AA2521">
        <v>219</v>
      </c>
      <c r="AB2521">
        <v>128</v>
      </c>
      <c r="AC2521">
        <v>126</v>
      </c>
      <c r="AD2521">
        <v>115</v>
      </c>
      <c r="AE2521">
        <v>0</v>
      </c>
      <c r="AF2521">
        <v>0</v>
      </c>
      <c r="AG2521">
        <v>0</v>
      </c>
      <c r="AH2521" t="s">
        <v>132</v>
      </c>
      <c r="AI2521" s="1">
        <v>44221.697488425925</v>
      </c>
      <c r="AJ2521">
        <v>247</v>
      </c>
      <c r="AK2521">
        <v>0</v>
      </c>
      <c r="AL2521">
        <v>0</v>
      </c>
      <c r="AM2521">
        <v>0</v>
      </c>
      <c r="AN2521">
        <v>128</v>
      </c>
      <c r="AO2521">
        <v>0</v>
      </c>
      <c r="AP2521">
        <v>115</v>
      </c>
      <c r="AQ2521">
        <v>0</v>
      </c>
      <c r="AR2521">
        <v>0</v>
      </c>
      <c r="AS2521">
        <v>0</v>
      </c>
      <c r="AT2521" t="s">
        <v>90</v>
      </c>
      <c r="AU2521" s="1">
        <v>44221.711180555554</v>
      </c>
      <c r="AV2521">
        <v>73</v>
      </c>
      <c r="AW2521">
        <v>0</v>
      </c>
      <c r="AX2521">
        <v>0</v>
      </c>
      <c r="AY2521">
        <v>0</v>
      </c>
      <c r="AZ2521">
        <v>128</v>
      </c>
      <c r="BA2521">
        <v>0</v>
      </c>
      <c r="BB2521">
        <v>115</v>
      </c>
      <c r="BC2521">
        <v>0</v>
      </c>
      <c r="BD2521">
        <v>0</v>
      </c>
      <c r="BE2521">
        <v>0</v>
      </c>
    </row>
    <row r="2522" spans="1:57" x14ac:dyDescent="0.45">
      <c r="A2522" t="s">
        <v>6049</v>
      </c>
      <c r="B2522" t="s">
        <v>79</v>
      </c>
      <c r="C2522" t="s">
        <v>5705</v>
      </c>
      <c r="D2522" t="s">
        <v>81</v>
      </c>
      <c r="E2522" s="2" t="str">
        <f>HYPERLINK("capsilon://?command=openfolder&amp;siteaddress=FAM.docvelocity-na8.net&amp;folderid=FX07B1E123-F3E4-4C84-2048-12CC1CFF1D47","FX21019149")</f>
        <v>FX21019149</v>
      </c>
      <c r="F2522" t="s">
        <v>19</v>
      </c>
      <c r="G2522" t="s">
        <v>19</v>
      </c>
      <c r="H2522" t="s">
        <v>82</v>
      </c>
      <c r="I2522" t="s">
        <v>6050</v>
      </c>
      <c r="J2522">
        <v>66</v>
      </c>
      <c r="K2522" t="s">
        <v>84</v>
      </c>
      <c r="L2522" t="s">
        <v>85</v>
      </c>
      <c r="M2522" t="s">
        <v>86</v>
      </c>
      <c r="N2522">
        <v>3</v>
      </c>
      <c r="O2522" s="1">
        <v>44221.646516203706</v>
      </c>
      <c r="P2522" s="1">
        <v>44221.689039351855</v>
      </c>
      <c r="Q2522">
        <v>2787</v>
      </c>
      <c r="R2522">
        <v>887</v>
      </c>
      <c r="S2522" t="b">
        <v>0</v>
      </c>
      <c r="T2522" t="s">
        <v>87</v>
      </c>
      <c r="U2522" t="b">
        <v>0</v>
      </c>
      <c r="V2522" t="s">
        <v>242</v>
      </c>
      <c r="W2522" s="1">
        <v>44221.658460648148</v>
      </c>
      <c r="X2522">
        <v>410</v>
      </c>
      <c r="Y2522">
        <v>52</v>
      </c>
      <c r="Z2522">
        <v>0</v>
      </c>
      <c r="AA2522">
        <v>52</v>
      </c>
      <c r="AB2522">
        <v>0</v>
      </c>
      <c r="AC2522">
        <v>36</v>
      </c>
      <c r="AD2522">
        <v>14</v>
      </c>
      <c r="AE2522">
        <v>0</v>
      </c>
      <c r="AF2522">
        <v>0</v>
      </c>
      <c r="AG2522">
        <v>0</v>
      </c>
      <c r="AH2522" t="s">
        <v>128</v>
      </c>
      <c r="AI2522" s="1">
        <v>44221.672453703701</v>
      </c>
      <c r="AJ2522">
        <v>425</v>
      </c>
      <c r="AK2522">
        <v>2</v>
      </c>
      <c r="AL2522">
        <v>0</v>
      </c>
      <c r="AM2522">
        <v>2</v>
      </c>
      <c r="AN2522">
        <v>0</v>
      </c>
      <c r="AO2522">
        <v>2</v>
      </c>
      <c r="AP2522">
        <v>12</v>
      </c>
      <c r="AQ2522">
        <v>0</v>
      </c>
      <c r="AR2522">
        <v>0</v>
      </c>
      <c r="AS2522">
        <v>0</v>
      </c>
      <c r="AT2522" t="s">
        <v>90</v>
      </c>
      <c r="AU2522" s="1">
        <v>44221.689039351855</v>
      </c>
      <c r="AV2522">
        <v>52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12</v>
      </c>
      <c r="BC2522">
        <v>0</v>
      </c>
      <c r="BD2522">
        <v>0</v>
      </c>
      <c r="BE2522">
        <v>0</v>
      </c>
    </row>
    <row r="2523" spans="1:57" x14ac:dyDescent="0.45">
      <c r="A2523" t="s">
        <v>6051</v>
      </c>
      <c r="B2523" t="s">
        <v>79</v>
      </c>
      <c r="C2523" t="s">
        <v>6052</v>
      </c>
      <c r="D2523" t="s">
        <v>81</v>
      </c>
      <c r="E2523" s="2" t="str">
        <f>HYPERLINK("capsilon://?command=openfolder&amp;siteaddress=FAM.docvelocity-na8.net&amp;folderid=FX47799D29-E685-EED1-702D-770309E9668C","FX20111146")</f>
        <v>FX20111146</v>
      </c>
      <c r="F2523" t="s">
        <v>19</v>
      </c>
      <c r="G2523" t="s">
        <v>19</v>
      </c>
      <c r="H2523" t="s">
        <v>82</v>
      </c>
      <c r="I2523" t="s">
        <v>6053</v>
      </c>
      <c r="J2523">
        <v>75</v>
      </c>
      <c r="K2523" t="s">
        <v>84</v>
      </c>
      <c r="L2523" t="s">
        <v>85</v>
      </c>
      <c r="M2523" t="s">
        <v>86</v>
      </c>
      <c r="N2523">
        <v>3</v>
      </c>
      <c r="O2523" s="1">
        <v>44201.585636574076</v>
      </c>
      <c r="P2523" s="1">
        <v>44201.614861111113</v>
      </c>
      <c r="Q2523">
        <v>434</v>
      </c>
      <c r="R2523">
        <v>2091</v>
      </c>
      <c r="S2523" t="b">
        <v>0</v>
      </c>
      <c r="T2523" t="s">
        <v>87</v>
      </c>
      <c r="U2523" t="b">
        <v>0</v>
      </c>
      <c r="V2523" t="s">
        <v>146</v>
      </c>
      <c r="W2523" s="1">
        <v>44201.606956018521</v>
      </c>
      <c r="X2523">
        <v>1837</v>
      </c>
      <c r="Y2523">
        <v>71</v>
      </c>
      <c r="Z2523">
        <v>0</v>
      </c>
      <c r="AA2523">
        <v>71</v>
      </c>
      <c r="AB2523">
        <v>0</v>
      </c>
      <c r="AC2523">
        <v>44</v>
      </c>
      <c r="AD2523">
        <v>4</v>
      </c>
      <c r="AE2523">
        <v>0</v>
      </c>
      <c r="AF2523">
        <v>0</v>
      </c>
      <c r="AG2523">
        <v>0</v>
      </c>
      <c r="AH2523" t="s">
        <v>94</v>
      </c>
      <c r="AI2523" s="1">
        <v>44201.609016203707</v>
      </c>
      <c r="AJ2523">
        <v>161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4</v>
      </c>
      <c r="AQ2523">
        <v>0</v>
      </c>
      <c r="AR2523">
        <v>0</v>
      </c>
      <c r="AS2523">
        <v>0</v>
      </c>
      <c r="AT2523" t="s">
        <v>90</v>
      </c>
      <c r="AU2523" s="1">
        <v>44201.614861111113</v>
      </c>
      <c r="AV2523">
        <v>93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4</v>
      </c>
      <c r="BC2523">
        <v>0</v>
      </c>
      <c r="BD2523">
        <v>0</v>
      </c>
      <c r="BE2523">
        <v>0</v>
      </c>
    </row>
    <row r="2524" spans="1:57" x14ac:dyDescent="0.45">
      <c r="A2524" t="s">
        <v>6054</v>
      </c>
      <c r="B2524" t="s">
        <v>79</v>
      </c>
      <c r="C2524" t="s">
        <v>3642</v>
      </c>
      <c r="D2524" t="s">
        <v>81</v>
      </c>
      <c r="E2524" s="2" t="str">
        <f>HYPERLINK("capsilon://?command=openfolder&amp;siteaddress=FAM.docvelocity-na8.net&amp;folderid=FX34A4D7A0-6FEA-FD8A-98DA-AA65781181CD","FX21018813")</f>
        <v>FX21018813</v>
      </c>
      <c r="F2524" t="s">
        <v>19</v>
      </c>
      <c r="G2524" t="s">
        <v>19</v>
      </c>
      <c r="H2524" t="s">
        <v>82</v>
      </c>
      <c r="I2524" t="s">
        <v>6055</v>
      </c>
      <c r="J2524">
        <v>66</v>
      </c>
      <c r="K2524" t="s">
        <v>84</v>
      </c>
      <c r="L2524" t="s">
        <v>85</v>
      </c>
      <c r="M2524" t="s">
        <v>86</v>
      </c>
      <c r="N2524">
        <v>3</v>
      </c>
      <c r="O2524" s="1">
        <v>44221.6487037037</v>
      </c>
      <c r="P2524" s="1">
        <v>44221.689293981479</v>
      </c>
      <c r="Q2524">
        <v>2376</v>
      </c>
      <c r="R2524">
        <v>1131</v>
      </c>
      <c r="S2524" t="b">
        <v>0</v>
      </c>
      <c r="T2524" t="s">
        <v>87</v>
      </c>
      <c r="U2524" t="b">
        <v>0</v>
      </c>
      <c r="V2524" t="s">
        <v>259</v>
      </c>
      <c r="W2524" s="1">
        <v>44221.665462962963</v>
      </c>
      <c r="X2524">
        <v>989</v>
      </c>
      <c r="Y2524">
        <v>52</v>
      </c>
      <c r="Z2524">
        <v>0</v>
      </c>
      <c r="AA2524">
        <v>52</v>
      </c>
      <c r="AB2524">
        <v>0</v>
      </c>
      <c r="AC2524">
        <v>30</v>
      </c>
      <c r="AD2524">
        <v>14</v>
      </c>
      <c r="AE2524">
        <v>0</v>
      </c>
      <c r="AF2524">
        <v>0</v>
      </c>
      <c r="AG2524">
        <v>0</v>
      </c>
      <c r="AH2524" t="s">
        <v>132</v>
      </c>
      <c r="AI2524" s="1">
        <v>44221.674016203702</v>
      </c>
      <c r="AJ2524">
        <v>121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14</v>
      </c>
      <c r="AQ2524">
        <v>0</v>
      </c>
      <c r="AR2524">
        <v>0</v>
      </c>
      <c r="AS2524">
        <v>0</v>
      </c>
      <c r="AT2524" t="s">
        <v>90</v>
      </c>
      <c r="AU2524" s="1">
        <v>44221.689293981479</v>
      </c>
      <c r="AV2524">
        <v>21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14</v>
      </c>
      <c r="BC2524">
        <v>0</v>
      </c>
      <c r="BD2524">
        <v>0</v>
      </c>
      <c r="BE2524">
        <v>0</v>
      </c>
    </row>
    <row r="2525" spans="1:57" hidden="1" x14ac:dyDescent="0.45">
      <c r="A2525" t="s">
        <v>6056</v>
      </c>
      <c r="B2525" t="s">
        <v>79</v>
      </c>
      <c r="C2525" t="s">
        <v>5208</v>
      </c>
      <c r="D2525" t="s">
        <v>81</v>
      </c>
      <c r="E2525" s="2" t="str">
        <f>HYPERLINK("capsilon://?command=openfolder&amp;siteaddress=FAM.docvelocity-na8.net&amp;folderid=FX949B1133-5258-8D0E-9F99-D0ECD9AC5B6E","FX2101209")</f>
        <v>FX2101209</v>
      </c>
      <c r="F2525" t="s">
        <v>19</v>
      </c>
      <c r="G2525" t="s">
        <v>19</v>
      </c>
      <c r="H2525" t="s">
        <v>82</v>
      </c>
      <c r="I2525" t="s">
        <v>6057</v>
      </c>
      <c r="J2525">
        <v>48</v>
      </c>
      <c r="K2525" t="s">
        <v>84</v>
      </c>
      <c r="L2525" t="s">
        <v>85</v>
      </c>
      <c r="M2525" t="s">
        <v>86</v>
      </c>
      <c r="N2525">
        <v>1</v>
      </c>
      <c r="O2525" s="1">
        <v>44221.64980324074</v>
      </c>
      <c r="P2525" s="1">
        <v>44221.657071759262</v>
      </c>
      <c r="Q2525">
        <v>439</v>
      </c>
      <c r="R2525">
        <v>189</v>
      </c>
      <c r="S2525" t="b">
        <v>0</v>
      </c>
      <c r="T2525" t="s">
        <v>87</v>
      </c>
      <c r="U2525" t="b">
        <v>0</v>
      </c>
      <c r="V2525" t="s">
        <v>146</v>
      </c>
      <c r="W2525" s="1">
        <v>44221.657071759262</v>
      </c>
      <c r="X2525">
        <v>189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48</v>
      </c>
      <c r="AE2525">
        <v>44</v>
      </c>
      <c r="AF2525">
        <v>0</v>
      </c>
      <c r="AG2525">
        <v>2</v>
      </c>
      <c r="AH2525" t="s">
        <v>87</v>
      </c>
      <c r="AI2525" t="s">
        <v>87</v>
      </c>
      <c r="AJ2525" t="s">
        <v>87</v>
      </c>
      <c r="AK2525" t="s">
        <v>87</v>
      </c>
      <c r="AL2525" t="s">
        <v>87</v>
      </c>
      <c r="AM2525" t="s">
        <v>87</v>
      </c>
      <c r="AN2525" t="s">
        <v>87</v>
      </c>
      <c r="AO2525" t="s">
        <v>87</v>
      </c>
      <c r="AP2525" t="s">
        <v>87</v>
      </c>
      <c r="AQ2525" t="s">
        <v>87</v>
      </c>
      <c r="AR2525" t="s">
        <v>87</v>
      </c>
      <c r="AS2525" t="s">
        <v>87</v>
      </c>
      <c r="AT2525" t="s">
        <v>87</v>
      </c>
      <c r="AU2525" t="s">
        <v>87</v>
      </c>
      <c r="AV2525" t="s">
        <v>87</v>
      </c>
      <c r="AW2525" t="s">
        <v>87</v>
      </c>
      <c r="AX2525" t="s">
        <v>87</v>
      </c>
      <c r="AY2525" t="s">
        <v>87</v>
      </c>
      <c r="AZ2525" t="s">
        <v>87</v>
      </c>
      <c r="BA2525" t="s">
        <v>87</v>
      </c>
      <c r="BB2525" t="s">
        <v>87</v>
      </c>
      <c r="BC2525" t="s">
        <v>87</v>
      </c>
      <c r="BD2525" t="s">
        <v>87</v>
      </c>
      <c r="BE2525" t="s">
        <v>87</v>
      </c>
    </row>
    <row r="2526" spans="1:57" x14ac:dyDescent="0.45">
      <c r="A2526" t="s">
        <v>6058</v>
      </c>
      <c r="B2526" t="s">
        <v>79</v>
      </c>
      <c r="C2526" t="s">
        <v>6059</v>
      </c>
      <c r="D2526" t="s">
        <v>81</v>
      </c>
      <c r="E2526" s="2" t="str">
        <f>HYPERLINK("capsilon://?command=openfolder&amp;siteaddress=FAM.docvelocity-na8.net&amp;folderid=FX67FEA1FF-1342-2CCC-89D8-B4D5F02D8BA7","FX210114693")</f>
        <v>FX210114693</v>
      </c>
      <c r="F2526" t="s">
        <v>19</v>
      </c>
      <c r="G2526" t="s">
        <v>19</v>
      </c>
      <c r="H2526" t="s">
        <v>82</v>
      </c>
      <c r="I2526" t="s">
        <v>6060</v>
      </c>
      <c r="J2526">
        <v>94</v>
      </c>
      <c r="K2526" t="s">
        <v>84</v>
      </c>
      <c r="L2526" t="s">
        <v>85</v>
      </c>
      <c r="M2526" t="s">
        <v>86</v>
      </c>
      <c r="N2526">
        <v>3</v>
      </c>
      <c r="O2526" s="1">
        <v>44221.650034722225</v>
      </c>
      <c r="P2526" s="1">
        <v>44221.689884259256</v>
      </c>
      <c r="Q2526">
        <v>2756</v>
      </c>
      <c r="R2526">
        <v>687</v>
      </c>
      <c r="S2526" t="b">
        <v>0</v>
      </c>
      <c r="T2526" t="s">
        <v>87</v>
      </c>
      <c r="U2526" t="b">
        <v>0</v>
      </c>
      <c r="V2526" t="s">
        <v>255</v>
      </c>
      <c r="W2526" s="1">
        <v>44221.66</v>
      </c>
      <c r="X2526">
        <v>430</v>
      </c>
      <c r="Y2526">
        <v>99</v>
      </c>
      <c r="Z2526">
        <v>0</v>
      </c>
      <c r="AA2526">
        <v>99</v>
      </c>
      <c r="AB2526">
        <v>0</v>
      </c>
      <c r="AC2526">
        <v>51</v>
      </c>
      <c r="AD2526">
        <v>-5</v>
      </c>
      <c r="AE2526">
        <v>0</v>
      </c>
      <c r="AF2526">
        <v>0</v>
      </c>
      <c r="AG2526">
        <v>0</v>
      </c>
      <c r="AH2526" t="s">
        <v>132</v>
      </c>
      <c r="AI2526" s="1">
        <v>44221.676412037035</v>
      </c>
      <c r="AJ2526">
        <v>206</v>
      </c>
      <c r="AK2526">
        <v>2</v>
      </c>
      <c r="AL2526">
        <v>0</v>
      </c>
      <c r="AM2526">
        <v>2</v>
      </c>
      <c r="AN2526">
        <v>0</v>
      </c>
      <c r="AO2526">
        <v>1</v>
      </c>
      <c r="AP2526">
        <v>-7</v>
      </c>
      <c r="AQ2526">
        <v>0</v>
      </c>
      <c r="AR2526">
        <v>0</v>
      </c>
      <c r="AS2526">
        <v>0</v>
      </c>
      <c r="AT2526" t="s">
        <v>90</v>
      </c>
      <c r="AU2526" s="1">
        <v>44221.689884259256</v>
      </c>
      <c r="AV2526">
        <v>51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-7</v>
      </c>
      <c r="BC2526">
        <v>0</v>
      </c>
      <c r="BD2526">
        <v>0</v>
      </c>
      <c r="BE2526">
        <v>0</v>
      </c>
    </row>
    <row r="2527" spans="1:57" hidden="1" x14ac:dyDescent="0.45">
      <c r="A2527" t="s">
        <v>6061</v>
      </c>
      <c r="B2527" t="s">
        <v>79</v>
      </c>
      <c r="C2527" t="s">
        <v>6059</v>
      </c>
      <c r="D2527" t="s">
        <v>81</v>
      </c>
      <c r="E2527" s="2" t="str">
        <f>HYPERLINK("capsilon://?command=openfolder&amp;siteaddress=FAM.docvelocity-na8.net&amp;folderid=FX67FEA1FF-1342-2CCC-89D8-B4D5F02D8BA7","FX210114693")</f>
        <v>FX210114693</v>
      </c>
      <c r="F2527" t="s">
        <v>19</v>
      </c>
      <c r="G2527" t="s">
        <v>19</v>
      </c>
      <c r="H2527" t="s">
        <v>82</v>
      </c>
      <c r="I2527" t="s">
        <v>6062</v>
      </c>
      <c r="J2527">
        <v>66</v>
      </c>
      <c r="K2527" t="s">
        <v>84</v>
      </c>
      <c r="L2527" t="s">
        <v>85</v>
      </c>
      <c r="M2527" t="s">
        <v>86</v>
      </c>
      <c r="N2527">
        <v>3</v>
      </c>
      <c r="O2527" s="1">
        <v>44221.651504629626</v>
      </c>
      <c r="P2527" s="1">
        <v>44221.689930555556</v>
      </c>
      <c r="Q2527">
        <v>3246</v>
      </c>
      <c r="R2527">
        <v>74</v>
      </c>
      <c r="S2527" t="b">
        <v>0</v>
      </c>
      <c r="T2527" t="s">
        <v>87</v>
      </c>
      <c r="U2527" t="b">
        <v>0</v>
      </c>
      <c r="V2527" t="s">
        <v>146</v>
      </c>
      <c r="W2527" s="1">
        <v>44221.657789351855</v>
      </c>
      <c r="X2527">
        <v>61</v>
      </c>
      <c r="Y2527">
        <v>0</v>
      </c>
      <c r="Z2527">
        <v>0</v>
      </c>
      <c r="AA2527">
        <v>0</v>
      </c>
      <c r="AB2527">
        <v>52</v>
      </c>
      <c r="AC2527">
        <v>0</v>
      </c>
      <c r="AD2527">
        <v>66</v>
      </c>
      <c r="AE2527">
        <v>0</v>
      </c>
      <c r="AF2527">
        <v>0</v>
      </c>
      <c r="AG2527">
        <v>0</v>
      </c>
      <c r="AH2527" t="s">
        <v>128</v>
      </c>
      <c r="AI2527" s="1">
        <v>44221.676203703704</v>
      </c>
      <c r="AJ2527">
        <v>10</v>
      </c>
      <c r="AK2527">
        <v>0</v>
      </c>
      <c r="AL2527">
        <v>0</v>
      </c>
      <c r="AM2527">
        <v>0</v>
      </c>
      <c r="AN2527">
        <v>52</v>
      </c>
      <c r="AO2527">
        <v>0</v>
      </c>
      <c r="AP2527">
        <v>66</v>
      </c>
      <c r="AQ2527">
        <v>0</v>
      </c>
      <c r="AR2527">
        <v>0</v>
      </c>
      <c r="AS2527">
        <v>0</v>
      </c>
      <c r="AT2527" t="s">
        <v>90</v>
      </c>
      <c r="AU2527" s="1">
        <v>44221.689930555556</v>
      </c>
      <c r="AV2527">
        <v>3</v>
      </c>
      <c r="AW2527">
        <v>0</v>
      </c>
      <c r="AX2527">
        <v>0</v>
      </c>
      <c r="AY2527">
        <v>0</v>
      </c>
      <c r="AZ2527">
        <v>52</v>
      </c>
      <c r="BA2527">
        <v>0</v>
      </c>
      <c r="BB2527">
        <v>66</v>
      </c>
      <c r="BC2527">
        <v>0</v>
      </c>
      <c r="BD2527">
        <v>0</v>
      </c>
      <c r="BE2527">
        <v>0</v>
      </c>
    </row>
    <row r="2528" spans="1:57" x14ac:dyDescent="0.45">
      <c r="A2528" t="s">
        <v>6063</v>
      </c>
      <c r="B2528" t="s">
        <v>79</v>
      </c>
      <c r="C2528" t="s">
        <v>6052</v>
      </c>
      <c r="D2528" t="s">
        <v>81</v>
      </c>
      <c r="E2528" s="2" t="str">
        <f>HYPERLINK("capsilon://?command=openfolder&amp;siteaddress=FAM.docvelocity-na8.net&amp;folderid=FX47799D29-E685-EED1-702D-770309E9668C","FX20111146")</f>
        <v>FX20111146</v>
      </c>
      <c r="F2528" t="s">
        <v>19</v>
      </c>
      <c r="G2528" t="s">
        <v>19</v>
      </c>
      <c r="H2528" t="s">
        <v>82</v>
      </c>
      <c r="I2528" t="s">
        <v>6064</v>
      </c>
      <c r="J2528">
        <v>75</v>
      </c>
      <c r="K2528" t="s">
        <v>84</v>
      </c>
      <c r="L2528" t="s">
        <v>85</v>
      </c>
      <c r="M2528" t="s">
        <v>86</v>
      </c>
      <c r="N2528">
        <v>3</v>
      </c>
      <c r="O2528" s="1">
        <v>44201.586180555554</v>
      </c>
      <c r="P2528" s="1">
        <v>44201.615034722221</v>
      </c>
      <c r="Q2528">
        <v>1372</v>
      </c>
      <c r="R2528">
        <v>1121</v>
      </c>
      <c r="S2528" t="b">
        <v>0</v>
      </c>
      <c r="T2528" t="s">
        <v>87</v>
      </c>
      <c r="U2528" t="b">
        <v>0</v>
      </c>
      <c r="V2528" t="s">
        <v>255</v>
      </c>
      <c r="W2528" s="1">
        <v>44201.591504629629</v>
      </c>
      <c r="X2528">
        <v>446</v>
      </c>
      <c r="Y2528">
        <v>68</v>
      </c>
      <c r="Z2528">
        <v>0</v>
      </c>
      <c r="AA2528">
        <v>68</v>
      </c>
      <c r="AB2528">
        <v>0</v>
      </c>
      <c r="AC2528">
        <v>22</v>
      </c>
      <c r="AD2528">
        <v>7</v>
      </c>
      <c r="AE2528">
        <v>0</v>
      </c>
      <c r="AF2528">
        <v>0</v>
      </c>
      <c r="AG2528">
        <v>0</v>
      </c>
      <c r="AH2528" t="s">
        <v>267</v>
      </c>
      <c r="AI2528" s="1">
        <v>44201.605567129627</v>
      </c>
      <c r="AJ2528">
        <v>664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7</v>
      </c>
      <c r="AQ2528">
        <v>0</v>
      </c>
      <c r="AR2528">
        <v>0</v>
      </c>
      <c r="AS2528">
        <v>0</v>
      </c>
      <c r="AT2528" t="s">
        <v>90</v>
      </c>
      <c r="AU2528" s="1">
        <v>44201.615034722221</v>
      </c>
      <c r="AV2528">
        <v>11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7</v>
      </c>
      <c r="BC2528">
        <v>0</v>
      </c>
      <c r="BD2528">
        <v>0</v>
      </c>
      <c r="BE2528">
        <v>0</v>
      </c>
    </row>
    <row r="2529" spans="1:57" hidden="1" x14ac:dyDescent="0.45">
      <c r="A2529" t="s">
        <v>6065</v>
      </c>
      <c r="B2529" t="s">
        <v>79</v>
      </c>
      <c r="C2529" t="s">
        <v>5208</v>
      </c>
      <c r="D2529" t="s">
        <v>81</v>
      </c>
      <c r="E2529" s="2" t="str">
        <f>HYPERLINK("capsilon://?command=openfolder&amp;siteaddress=FAM.docvelocity-na8.net&amp;folderid=FX949B1133-5258-8D0E-9F99-D0ECD9AC5B6E","FX2101209")</f>
        <v>FX2101209</v>
      </c>
      <c r="F2529" t="s">
        <v>19</v>
      </c>
      <c r="G2529" t="s">
        <v>19</v>
      </c>
      <c r="H2529" t="s">
        <v>82</v>
      </c>
      <c r="I2529" t="s">
        <v>6066</v>
      </c>
      <c r="J2529">
        <v>36</v>
      </c>
      <c r="K2529" t="s">
        <v>84</v>
      </c>
      <c r="L2529" t="s">
        <v>85</v>
      </c>
      <c r="M2529" t="s">
        <v>86</v>
      </c>
      <c r="N2529">
        <v>1</v>
      </c>
      <c r="O2529" s="1">
        <v>44221.652349537035</v>
      </c>
      <c r="P2529" s="1">
        <v>44221.660162037035</v>
      </c>
      <c r="Q2529">
        <v>471</v>
      </c>
      <c r="R2529">
        <v>204</v>
      </c>
      <c r="S2529" t="b">
        <v>0</v>
      </c>
      <c r="T2529" t="s">
        <v>87</v>
      </c>
      <c r="U2529" t="b">
        <v>0</v>
      </c>
      <c r="V2529" t="s">
        <v>146</v>
      </c>
      <c r="W2529" s="1">
        <v>44221.660162037035</v>
      </c>
      <c r="X2529">
        <v>204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36</v>
      </c>
      <c r="AE2529">
        <v>32</v>
      </c>
      <c r="AF2529">
        <v>0</v>
      </c>
      <c r="AG2529">
        <v>2</v>
      </c>
      <c r="AH2529" t="s">
        <v>87</v>
      </c>
      <c r="AI2529" t="s">
        <v>87</v>
      </c>
      <c r="AJ2529" t="s">
        <v>87</v>
      </c>
      <c r="AK2529" t="s">
        <v>87</v>
      </c>
      <c r="AL2529" t="s">
        <v>87</v>
      </c>
      <c r="AM2529" t="s">
        <v>87</v>
      </c>
      <c r="AN2529" t="s">
        <v>87</v>
      </c>
      <c r="AO2529" t="s">
        <v>87</v>
      </c>
      <c r="AP2529" t="s">
        <v>87</v>
      </c>
      <c r="AQ2529" t="s">
        <v>87</v>
      </c>
      <c r="AR2529" t="s">
        <v>87</v>
      </c>
      <c r="AS2529" t="s">
        <v>87</v>
      </c>
      <c r="AT2529" t="s">
        <v>87</v>
      </c>
      <c r="AU2529" t="s">
        <v>87</v>
      </c>
      <c r="AV2529" t="s">
        <v>87</v>
      </c>
      <c r="AW2529" t="s">
        <v>87</v>
      </c>
      <c r="AX2529" t="s">
        <v>87</v>
      </c>
      <c r="AY2529" t="s">
        <v>87</v>
      </c>
      <c r="AZ2529" t="s">
        <v>87</v>
      </c>
      <c r="BA2529" t="s">
        <v>87</v>
      </c>
      <c r="BB2529" t="s">
        <v>87</v>
      </c>
      <c r="BC2529" t="s">
        <v>87</v>
      </c>
      <c r="BD2529" t="s">
        <v>87</v>
      </c>
      <c r="BE2529" t="s">
        <v>87</v>
      </c>
    </row>
    <row r="2530" spans="1:57" x14ac:dyDescent="0.45">
      <c r="A2530" t="s">
        <v>6067</v>
      </c>
      <c r="B2530" t="s">
        <v>79</v>
      </c>
      <c r="C2530" t="s">
        <v>4359</v>
      </c>
      <c r="D2530" t="s">
        <v>81</v>
      </c>
      <c r="E2530" s="2" t="str">
        <f>HYPERLINK("capsilon://?command=openfolder&amp;siteaddress=FAM.docvelocity-na8.net&amp;folderid=FX31F2B96A-DCC0-9312-7666-8DB924C81019","FX210111160")</f>
        <v>FX210111160</v>
      </c>
      <c r="F2530" t="s">
        <v>19</v>
      </c>
      <c r="G2530" t="s">
        <v>19</v>
      </c>
      <c r="H2530" t="s">
        <v>82</v>
      </c>
      <c r="I2530" t="s">
        <v>6068</v>
      </c>
      <c r="J2530">
        <v>66</v>
      </c>
      <c r="K2530" t="s">
        <v>84</v>
      </c>
      <c r="L2530" t="s">
        <v>85</v>
      </c>
      <c r="M2530" t="s">
        <v>86</v>
      </c>
      <c r="N2530">
        <v>3</v>
      </c>
      <c r="O2530" s="1">
        <v>44221.654594907406</v>
      </c>
      <c r="P2530" s="1">
        <v>44221.690057870372</v>
      </c>
      <c r="Q2530">
        <v>2294</v>
      </c>
      <c r="R2530">
        <v>770</v>
      </c>
      <c r="S2530" t="b">
        <v>0</v>
      </c>
      <c r="T2530" t="s">
        <v>87</v>
      </c>
      <c r="U2530" t="b">
        <v>0</v>
      </c>
      <c r="V2530" t="s">
        <v>242</v>
      </c>
      <c r="W2530" s="1">
        <v>44221.66510416667</v>
      </c>
      <c r="X2530">
        <v>573</v>
      </c>
      <c r="Y2530">
        <v>52</v>
      </c>
      <c r="Z2530">
        <v>0</v>
      </c>
      <c r="AA2530">
        <v>52</v>
      </c>
      <c r="AB2530">
        <v>0</v>
      </c>
      <c r="AC2530">
        <v>45</v>
      </c>
      <c r="AD2530">
        <v>14</v>
      </c>
      <c r="AE2530">
        <v>0</v>
      </c>
      <c r="AF2530">
        <v>0</v>
      </c>
      <c r="AG2530">
        <v>0</v>
      </c>
      <c r="AH2530" t="s">
        <v>128</v>
      </c>
      <c r="AI2530" s="1">
        <v>44221.678379629629</v>
      </c>
      <c r="AJ2530">
        <v>187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14</v>
      </c>
      <c r="AQ2530">
        <v>0</v>
      </c>
      <c r="AR2530">
        <v>0</v>
      </c>
      <c r="AS2530">
        <v>0</v>
      </c>
      <c r="AT2530" t="s">
        <v>90</v>
      </c>
      <c r="AU2530" s="1">
        <v>44221.690057870372</v>
      </c>
      <c r="AV2530">
        <v>10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14</v>
      </c>
      <c r="BC2530">
        <v>0</v>
      </c>
      <c r="BD2530">
        <v>0</v>
      </c>
      <c r="BE2530">
        <v>0</v>
      </c>
    </row>
    <row r="2531" spans="1:57" x14ac:dyDescent="0.45">
      <c r="A2531" t="s">
        <v>6069</v>
      </c>
      <c r="B2531" t="s">
        <v>79</v>
      </c>
      <c r="C2531" t="s">
        <v>6070</v>
      </c>
      <c r="D2531" t="s">
        <v>81</v>
      </c>
      <c r="E2531" s="2" t="str">
        <f>HYPERLINK("capsilon://?command=openfolder&amp;siteaddress=FAM.docvelocity-na8.net&amp;folderid=FXF955D848-E3A2-3DCE-B2A1-1CD90C816014","FX20126846")</f>
        <v>FX20126846</v>
      </c>
      <c r="F2531" t="s">
        <v>19</v>
      </c>
      <c r="G2531" t="s">
        <v>19</v>
      </c>
      <c r="H2531" t="s">
        <v>82</v>
      </c>
      <c r="I2531" t="s">
        <v>6071</v>
      </c>
      <c r="J2531">
        <v>107</v>
      </c>
      <c r="K2531" t="s">
        <v>84</v>
      </c>
      <c r="L2531" t="s">
        <v>85</v>
      </c>
      <c r="M2531" t="s">
        <v>86</v>
      </c>
      <c r="N2531">
        <v>3</v>
      </c>
      <c r="O2531" s="1">
        <v>44221.656226851854</v>
      </c>
      <c r="P2531" s="1">
        <v>44221.711365740739</v>
      </c>
      <c r="Q2531">
        <v>2368</v>
      </c>
      <c r="R2531">
        <v>2396</v>
      </c>
      <c r="S2531" t="b">
        <v>0</v>
      </c>
      <c r="T2531" t="s">
        <v>87</v>
      </c>
      <c r="U2531" t="b">
        <v>0</v>
      </c>
      <c r="V2531" t="s">
        <v>146</v>
      </c>
      <c r="W2531" s="1">
        <v>44221.684930555559</v>
      </c>
      <c r="X2531">
        <v>2140</v>
      </c>
      <c r="Y2531">
        <v>114</v>
      </c>
      <c r="Z2531">
        <v>0</v>
      </c>
      <c r="AA2531">
        <v>114</v>
      </c>
      <c r="AB2531">
        <v>0</v>
      </c>
      <c r="AC2531">
        <v>76</v>
      </c>
      <c r="AD2531">
        <v>-7</v>
      </c>
      <c r="AE2531">
        <v>0</v>
      </c>
      <c r="AF2531">
        <v>0</v>
      </c>
      <c r="AG2531">
        <v>0</v>
      </c>
      <c r="AH2531" t="s">
        <v>128</v>
      </c>
      <c r="AI2531" s="1">
        <v>44221.69494212963</v>
      </c>
      <c r="AJ2531">
        <v>240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-7</v>
      </c>
      <c r="AQ2531">
        <v>0</v>
      </c>
      <c r="AR2531">
        <v>0</v>
      </c>
      <c r="AS2531">
        <v>0</v>
      </c>
      <c r="AT2531" t="s">
        <v>90</v>
      </c>
      <c r="AU2531" s="1">
        <v>44221.711365740739</v>
      </c>
      <c r="AV2531">
        <v>16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-7</v>
      </c>
      <c r="BC2531">
        <v>0</v>
      </c>
      <c r="BD2531">
        <v>0</v>
      </c>
      <c r="BE2531">
        <v>0</v>
      </c>
    </row>
    <row r="2532" spans="1:57" x14ac:dyDescent="0.45">
      <c r="A2532" t="s">
        <v>6072</v>
      </c>
      <c r="B2532" t="s">
        <v>79</v>
      </c>
      <c r="C2532" t="s">
        <v>5208</v>
      </c>
      <c r="D2532" t="s">
        <v>81</v>
      </c>
      <c r="E2532" s="2" t="str">
        <f>HYPERLINK("capsilon://?command=openfolder&amp;siteaddress=FAM.docvelocity-na8.net&amp;folderid=FX949B1133-5258-8D0E-9F99-D0ECD9AC5B6E","FX2101209")</f>
        <v>FX2101209</v>
      </c>
      <c r="F2532" t="s">
        <v>19</v>
      </c>
      <c r="G2532" t="s">
        <v>19</v>
      </c>
      <c r="H2532" t="s">
        <v>82</v>
      </c>
      <c r="I2532" t="s">
        <v>6057</v>
      </c>
      <c r="J2532">
        <v>79</v>
      </c>
      <c r="K2532" t="s">
        <v>84</v>
      </c>
      <c r="L2532" t="s">
        <v>85</v>
      </c>
      <c r="M2532" t="s">
        <v>86</v>
      </c>
      <c r="N2532">
        <v>3</v>
      </c>
      <c r="O2532" s="1">
        <v>44221.658692129633</v>
      </c>
      <c r="P2532" s="1">
        <v>44221.682893518519</v>
      </c>
      <c r="Q2532">
        <v>1463</v>
      </c>
      <c r="R2532">
        <v>628</v>
      </c>
      <c r="S2532" t="b">
        <v>0</v>
      </c>
      <c r="T2532" t="s">
        <v>87</v>
      </c>
      <c r="U2532" t="b">
        <v>1</v>
      </c>
      <c r="V2532" t="s">
        <v>255</v>
      </c>
      <c r="W2532" s="1">
        <v>44221.664050925923</v>
      </c>
      <c r="X2532">
        <v>349</v>
      </c>
      <c r="Y2532">
        <v>103</v>
      </c>
      <c r="Z2532">
        <v>0</v>
      </c>
      <c r="AA2532">
        <v>103</v>
      </c>
      <c r="AB2532">
        <v>0</v>
      </c>
      <c r="AC2532">
        <v>44</v>
      </c>
      <c r="AD2532">
        <v>-24</v>
      </c>
      <c r="AE2532">
        <v>0</v>
      </c>
      <c r="AF2532">
        <v>0</v>
      </c>
      <c r="AG2532">
        <v>0</v>
      </c>
      <c r="AH2532" t="s">
        <v>128</v>
      </c>
      <c r="AI2532" s="1">
        <v>44221.667523148149</v>
      </c>
      <c r="AJ2532">
        <v>264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-24</v>
      </c>
      <c r="AQ2532">
        <v>0</v>
      </c>
      <c r="AR2532">
        <v>0</v>
      </c>
      <c r="AS2532">
        <v>0</v>
      </c>
      <c r="AT2532" t="s">
        <v>90</v>
      </c>
      <c r="AU2532" s="1">
        <v>44221.682893518519</v>
      </c>
      <c r="AV2532">
        <v>15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-24</v>
      </c>
      <c r="BC2532">
        <v>0</v>
      </c>
      <c r="BD2532">
        <v>0</v>
      </c>
      <c r="BE2532">
        <v>0</v>
      </c>
    </row>
    <row r="2533" spans="1:57" x14ac:dyDescent="0.45">
      <c r="A2533" t="s">
        <v>6073</v>
      </c>
      <c r="B2533" t="s">
        <v>79</v>
      </c>
      <c r="C2533" t="s">
        <v>3451</v>
      </c>
      <c r="D2533" t="s">
        <v>81</v>
      </c>
      <c r="E2533" s="2" t="str">
        <f>HYPERLINK("capsilon://?command=openfolder&amp;siteaddress=FAM.docvelocity-na8.net&amp;folderid=FXC38983E1-4B1A-FD5E-CF9E-A8D02E884564","FX21018504")</f>
        <v>FX21018504</v>
      </c>
      <c r="F2533" t="s">
        <v>19</v>
      </c>
      <c r="G2533" t="s">
        <v>19</v>
      </c>
      <c r="H2533" t="s">
        <v>82</v>
      </c>
      <c r="I2533" t="s">
        <v>6074</v>
      </c>
      <c r="J2533">
        <v>66</v>
      </c>
      <c r="K2533" t="s">
        <v>84</v>
      </c>
      <c r="L2533" t="s">
        <v>85</v>
      </c>
      <c r="M2533" t="s">
        <v>86</v>
      </c>
      <c r="N2533">
        <v>3</v>
      </c>
      <c r="O2533" s="1">
        <v>44221.658831018518</v>
      </c>
      <c r="P2533" s="1">
        <v>44221.711562500001</v>
      </c>
      <c r="Q2533">
        <v>2755</v>
      </c>
      <c r="R2533">
        <v>1801</v>
      </c>
      <c r="S2533" t="b">
        <v>0</v>
      </c>
      <c r="T2533" t="s">
        <v>87</v>
      </c>
      <c r="U2533" t="b">
        <v>0</v>
      </c>
      <c r="V2533" t="s">
        <v>160</v>
      </c>
      <c r="W2533" s="1">
        <v>44221.689814814818</v>
      </c>
      <c r="X2533">
        <v>1610</v>
      </c>
      <c r="Y2533">
        <v>52</v>
      </c>
      <c r="Z2533">
        <v>0</v>
      </c>
      <c r="AA2533">
        <v>52</v>
      </c>
      <c r="AB2533">
        <v>0</v>
      </c>
      <c r="AC2533">
        <v>49</v>
      </c>
      <c r="AD2533">
        <v>14</v>
      </c>
      <c r="AE2533">
        <v>0</v>
      </c>
      <c r="AF2533">
        <v>0</v>
      </c>
      <c r="AG2533">
        <v>0</v>
      </c>
      <c r="AH2533" t="s">
        <v>128</v>
      </c>
      <c r="AI2533" s="1">
        <v>44221.696967592594</v>
      </c>
      <c r="AJ2533">
        <v>174</v>
      </c>
      <c r="AK2533">
        <v>1</v>
      </c>
      <c r="AL2533">
        <v>0</v>
      </c>
      <c r="AM2533">
        <v>1</v>
      </c>
      <c r="AN2533">
        <v>0</v>
      </c>
      <c r="AO2533">
        <v>1</v>
      </c>
      <c r="AP2533">
        <v>13</v>
      </c>
      <c r="AQ2533">
        <v>0</v>
      </c>
      <c r="AR2533">
        <v>0</v>
      </c>
      <c r="AS2533">
        <v>0</v>
      </c>
      <c r="AT2533" t="s">
        <v>90</v>
      </c>
      <c r="AU2533" s="1">
        <v>44221.711562500001</v>
      </c>
      <c r="AV2533">
        <v>17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13</v>
      </c>
      <c r="BC2533">
        <v>0</v>
      </c>
      <c r="BD2533">
        <v>0</v>
      </c>
      <c r="BE2533">
        <v>0</v>
      </c>
    </row>
    <row r="2534" spans="1:57" x14ac:dyDescent="0.45">
      <c r="A2534" t="s">
        <v>6075</v>
      </c>
      <c r="B2534" t="s">
        <v>79</v>
      </c>
      <c r="C2534" t="s">
        <v>4374</v>
      </c>
      <c r="D2534" t="s">
        <v>81</v>
      </c>
      <c r="E2534" s="2" t="str">
        <f>HYPERLINK("capsilon://?command=openfolder&amp;siteaddress=FAM.docvelocity-na8.net&amp;folderid=FXFDD65535-4811-F47E-339D-F10F3E00BDC2","FX21012924")</f>
        <v>FX21012924</v>
      </c>
      <c r="F2534" t="s">
        <v>19</v>
      </c>
      <c r="G2534" t="s">
        <v>19</v>
      </c>
      <c r="H2534" t="s">
        <v>82</v>
      </c>
      <c r="I2534" t="s">
        <v>6076</v>
      </c>
      <c r="J2534">
        <v>66</v>
      </c>
      <c r="K2534" t="s">
        <v>84</v>
      </c>
      <c r="L2534" t="s">
        <v>85</v>
      </c>
      <c r="M2534" t="s">
        <v>86</v>
      </c>
      <c r="N2534">
        <v>3</v>
      </c>
      <c r="O2534" s="1">
        <v>44221.659872685188</v>
      </c>
      <c r="P2534" s="1">
        <v>44221.690138888887</v>
      </c>
      <c r="Q2534">
        <v>1890</v>
      </c>
      <c r="R2534">
        <v>725</v>
      </c>
      <c r="S2534" t="b">
        <v>0</v>
      </c>
      <c r="T2534" t="s">
        <v>87</v>
      </c>
      <c r="U2534" t="b">
        <v>0</v>
      </c>
      <c r="V2534" t="s">
        <v>259</v>
      </c>
      <c r="W2534" s="1">
        <v>44221.672662037039</v>
      </c>
      <c r="X2534">
        <v>509</v>
      </c>
      <c r="Y2534">
        <v>52</v>
      </c>
      <c r="Z2534">
        <v>0</v>
      </c>
      <c r="AA2534">
        <v>52</v>
      </c>
      <c r="AB2534">
        <v>0</v>
      </c>
      <c r="AC2534">
        <v>38</v>
      </c>
      <c r="AD2534">
        <v>14</v>
      </c>
      <c r="AE2534">
        <v>0</v>
      </c>
      <c r="AF2534">
        <v>0</v>
      </c>
      <c r="AG2534">
        <v>0</v>
      </c>
      <c r="AH2534" t="s">
        <v>132</v>
      </c>
      <c r="AI2534" s="1">
        <v>44221.677557870367</v>
      </c>
      <c r="AJ2534">
        <v>98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14</v>
      </c>
      <c r="AQ2534">
        <v>0</v>
      </c>
      <c r="AR2534">
        <v>0</v>
      </c>
      <c r="AS2534">
        <v>0</v>
      </c>
      <c r="AT2534" t="s">
        <v>90</v>
      </c>
      <c r="AU2534" s="1">
        <v>44221.690138888887</v>
      </c>
      <c r="AV2534">
        <v>6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14</v>
      </c>
      <c r="BC2534">
        <v>0</v>
      </c>
      <c r="BD2534">
        <v>0</v>
      </c>
      <c r="BE2534">
        <v>0</v>
      </c>
    </row>
    <row r="2535" spans="1:57" x14ac:dyDescent="0.45">
      <c r="A2535" t="s">
        <v>6077</v>
      </c>
      <c r="B2535" t="s">
        <v>79</v>
      </c>
      <c r="C2535" t="s">
        <v>5208</v>
      </c>
      <c r="D2535" t="s">
        <v>81</v>
      </c>
      <c r="E2535" s="2" t="str">
        <f>HYPERLINK("capsilon://?command=openfolder&amp;siteaddress=FAM.docvelocity-na8.net&amp;folderid=FX949B1133-5258-8D0E-9F99-D0ECD9AC5B6E","FX2101209")</f>
        <v>FX2101209</v>
      </c>
      <c r="F2535" t="s">
        <v>19</v>
      </c>
      <c r="G2535" t="s">
        <v>19</v>
      </c>
      <c r="H2535" t="s">
        <v>82</v>
      </c>
      <c r="I2535" t="s">
        <v>6066</v>
      </c>
      <c r="J2535">
        <v>62</v>
      </c>
      <c r="K2535" t="s">
        <v>84</v>
      </c>
      <c r="L2535" t="s">
        <v>85</v>
      </c>
      <c r="M2535" t="s">
        <v>86</v>
      </c>
      <c r="N2535">
        <v>3</v>
      </c>
      <c r="O2535" s="1">
        <v>44221.661990740744</v>
      </c>
      <c r="P2535" s="1">
        <v>44221.683807870373</v>
      </c>
      <c r="Q2535">
        <v>1089</v>
      </c>
      <c r="R2535">
        <v>796</v>
      </c>
      <c r="S2535" t="b">
        <v>0</v>
      </c>
      <c r="T2535" t="s">
        <v>87</v>
      </c>
      <c r="U2535" t="b">
        <v>1</v>
      </c>
      <c r="V2535" t="s">
        <v>255</v>
      </c>
      <c r="W2535" s="1">
        <v>44221.669988425929</v>
      </c>
      <c r="X2535">
        <v>512</v>
      </c>
      <c r="Y2535">
        <v>78</v>
      </c>
      <c r="Z2535">
        <v>0</v>
      </c>
      <c r="AA2535">
        <v>78</v>
      </c>
      <c r="AB2535">
        <v>0</v>
      </c>
      <c r="AC2535">
        <v>49</v>
      </c>
      <c r="AD2535">
        <v>-16</v>
      </c>
      <c r="AE2535">
        <v>0</v>
      </c>
      <c r="AF2535">
        <v>0</v>
      </c>
      <c r="AG2535">
        <v>0</v>
      </c>
      <c r="AH2535" t="s">
        <v>132</v>
      </c>
      <c r="AI2535" s="1">
        <v>44221.67260416667</v>
      </c>
      <c r="AJ2535">
        <v>206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-16</v>
      </c>
      <c r="AQ2535">
        <v>0</v>
      </c>
      <c r="AR2535">
        <v>0</v>
      </c>
      <c r="AS2535">
        <v>0</v>
      </c>
      <c r="AT2535" t="s">
        <v>90</v>
      </c>
      <c r="AU2535" s="1">
        <v>44221.683807870373</v>
      </c>
      <c r="AV2535">
        <v>78</v>
      </c>
      <c r="AW2535">
        <v>2</v>
      </c>
      <c r="AX2535">
        <v>0</v>
      </c>
      <c r="AY2535">
        <v>2</v>
      </c>
      <c r="AZ2535">
        <v>0</v>
      </c>
      <c r="BA2535">
        <v>2</v>
      </c>
      <c r="BB2535">
        <v>-18</v>
      </c>
      <c r="BC2535">
        <v>0</v>
      </c>
      <c r="BD2535">
        <v>0</v>
      </c>
      <c r="BE2535">
        <v>0</v>
      </c>
    </row>
    <row r="2536" spans="1:57" x14ac:dyDescent="0.45">
      <c r="A2536" t="s">
        <v>6078</v>
      </c>
      <c r="B2536" t="s">
        <v>79</v>
      </c>
      <c r="C2536" t="s">
        <v>6079</v>
      </c>
      <c r="D2536" t="s">
        <v>81</v>
      </c>
      <c r="E2536" s="2" t="str">
        <f>HYPERLINK("capsilon://?command=openfolder&amp;siteaddress=FAM.docvelocity-na8.net&amp;folderid=FX5ACFE110-045A-91FD-E687-94370DEB43B7","FX21017873")</f>
        <v>FX21017873</v>
      </c>
      <c r="F2536" t="s">
        <v>19</v>
      </c>
      <c r="G2536" t="s">
        <v>19</v>
      </c>
      <c r="H2536" t="s">
        <v>82</v>
      </c>
      <c r="I2536" t="s">
        <v>6080</v>
      </c>
      <c r="J2536">
        <v>633</v>
      </c>
      <c r="K2536" t="s">
        <v>84</v>
      </c>
      <c r="L2536" t="s">
        <v>85</v>
      </c>
      <c r="M2536" t="s">
        <v>86</v>
      </c>
      <c r="N2536">
        <v>3</v>
      </c>
      <c r="O2536" s="1">
        <v>44221.662407407406</v>
      </c>
      <c r="P2536" s="1">
        <v>44222.348634259259</v>
      </c>
      <c r="Q2536">
        <v>52735</v>
      </c>
      <c r="R2536">
        <v>6555</v>
      </c>
      <c r="S2536" t="b">
        <v>0</v>
      </c>
      <c r="T2536" t="s">
        <v>87</v>
      </c>
      <c r="U2536" t="b">
        <v>0</v>
      </c>
      <c r="V2536" t="s">
        <v>259</v>
      </c>
      <c r="W2536" s="1">
        <v>44221.736261574071</v>
      </c>
      <c r="X2536">
        <v>5606</v>
      </c>
      <c r="Y2536">
        <v>344</v>
      </c>
      <c r="Z2536">
        <v>0</v>
      </c>
      <c r="AA2536">
        <v>344</v>
      </c>
      <c r="AB2536">
        <v>211</v>
      </c>
      <c r="AC2536">
        <v>220</v>
      </c>
      <c r="AD2536">
        <v>289</v>
      </c>
      <c r="AE2536">
        <v>0</v>
      </c>
      <c r="AF2536">
        <v>0</v>
      </c>
      <c r="AG2536">
        <v>0</v>
      </c>
      <c r="AH2536" t="s">
        <v>132</v>
      </c>
      <c r="AI2536" s="1">
        <v>44221.743807870371</v>
      </c>
      <c r="AJ2536">
        <v>639</v>
      </c>
      <c r="AK2536">
        <v>2</v>
      </c>
      <c r="AL2536">
        <v>0</v>
      </c>
      <c r="AM2536">
        <v>2</v>
      </c>
      <c r="AN2536">
        <v>211</v>
      </c>
      <c r="AO2536">
        <v>1</v>
      </c>
      <c r="AP2536">
        <v>287</v>
      </c>
      <c r="AQ2536">
        <v>0</v>
      </c>
      <c r="AR2536">
        <v>0</v>
      </c>
      <c r="AS2536">
        <v>0</v>
      </c>
      <c r="AT2536" t="s">
        <v>90</v>
      </c>
      <c r="AU2536" s="1">
        <v>44222.348634259259</v>
      </c>
      <c r="AV2536">
        <v>87</v>
      </c>
      <c r="AW2536">
        <v>0</v>
      </c>
      <c r="AX2536">
        <v>0</v>
      </c>
      <c r="AY2536">
        <v>0</v>
      </c>
      <c r="AZ2536">
        <v>211</v>
      </c>
      <c r="BA2536">
        <v>0</v>
      </c>
      <c r="BB2536">
        <v>287</v>
      </c>
      <c r="BC2536">
        <v>0</v>
      </c>
      <c r="BD2536">
        <v>0</v>
      </c>
      <c r="BE2536">
        <v>0</v>
      </c>
    </row>
    <row r="2537" spans="1:57" x14ac:dyDescent="0.45">
      <c r="A2537" t="s">
        <v>6081</v>
      </c>
      <c r="B2537" t="s">
        <v>79</v>
      </c>
      <c r="C2537" t="s">
        <v>1807</v>
      </c>
      <c r="D2537" t="s">
        <v>81</v>
      </c>
      <c r="E2537" s="2" t="str">
        <f>HYPERLINK("capsilon://?command=openfolder&amp;siteaddress=FAM.docvelocity-na8.net&amp;folderid=FXBC5B85A4-60BC-18B7-C50E-83AEAC80491C","FX201227108")</f>
        <v>FX201227108</v>
      </c>
      <c r="F2537" t="s">
        <v>19</v>
      </c>
      <c r="G2537" t="s">
        <v>19</v>
      </c>
      <c r="H2537" t="s">
        <v>82</v>
      </c>
      <c r="I2537" t="s">
        <v>6082</v>
      </c>
      <c r="J2537">
        <v>54</v>
      </c>
      <c r="K2537" t="s">
        <v>84</v>
      </c>
      <c r="L2537" t="s">
        <v>85</v>
      </c>
      <c r="M2537" t="s">
        <v>86</v>
      </c>
      <c r="N2537">
        <v>3</v>
      </c>
      <c r="O2537" s="1">
        <v>44221.668576388889</v>
      </c>
      <c r="P2537" s="1">
        <v>44221.690416666665</v>
      </c>
      <c r="Q2537">
        <v>1113</v>
      </c>
      <c r="R2537">
        <v>774</v>
      </c>
      <c r="S2537" t="b">
        <v>0</v>
      </c>
      <c r="T2537" t="s">
        <v>87</v>
      </c>
      <c r="U2537" t="b">
        <v>0</v>
      </c>
      <c r="V2537" t="s">
        <v>255</v>
      </c>
      <c r="W2537" s="1">
        <v>44221.676157407404</v>
      </c>
      <c r="X2537">
        <v>532</v>
      </c>
      <c r="Y2537">
        <v>50</v>
      </c>
      <c r="Z2537">
        <v>0</v>
      </c>
      <c r="AA2537">
        <v>50</v>
      </c>
      <c r="AB2537">
        <v>0</v>
      </c>
      <c r="AC2537">
        <v>6</v>
      </c>
      <c r="AD2537">
        <v>4</v>
      </c>
      <c r="AE2537">
        <v>0</v>
      </c>
      <c r="AF2537">
        <v>0</v>
      </c>
      <c r="AG2537">
        <v>0</v>
      </c>
      <c r="AH2537" t="s">
        <v>132</v>
      </c>
      <c r="AI2537" s="1">
        <v>44221.680104166669</v>
      </c>
      <c r="AJ2537">
        <v>219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4</v>
      </c>
      <c r="AQ2537">
        <v>0</v>
      </c>
      <c r="AR2537">
        <v>0</v>
      </c>
      <c r="AS2537">
        <v>0</v>
      </c>
      <c r="AT2537" t="s">
        <v>90</v>
      </c>
      <c r="AU2537" s="1">
        <v>44221.690416666665</v>
      </c>
      <c r="AV2537">
        <v>23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4</v>
      </c>
      <c r="BC2537">
        <v>0</v>
      </c>
      <c r="BD2537">
        <v>0</v>
      </c>
      <c r="BE2537">
        <v>0</v>
      </c>
    </row>
    <row r="2538" spans="1:57" hidden="1" x14ac:dyDescent="0.45">
      <c r="A2538" t="s">
        <v>6083</v>
      </c>
      <c r="B2538" t="s">
        <v>79</v>
      </c>
      <c r="C2538" t="s">
        <v>4331</v>
      </c>
      <c r="D2538" t="s">
        <v>81</v>
      </c>
      <c r="E2538" s="2" t="str">
        <f>HYPERLINK("capsilon://?command=openfolder&amp;siteaddress=FAM.docvelocity-na8.net&amp;folderid=FXD8471E80-8EA6-47D7-F4C4-AA4742CA2A89","FX20123276")</f>
        <v>FX20123276</v>
      </c>
      <c r="F2538" t="s">
        <v>19</v>
      </c>
      <c r="G2538" t="s">
        <v>19</v>
      </c>
      <c r="H2538" t="s">
        <v>82</v>
      </c>
      <c r="I2538" t="s">
        <v>6084</v>
      </c>
      <c r="J2538">
        <v>76</v>
      </c>
      <c r="K2538" t="s">
        <v>84</v>
      </c>
      <c r="L2538" t="s">
        <v>85</v>
      </c>
      <c r="M2538" t="s">
        <v>86</v>
      </c>
      <c r="N2538">
        <v>1</v>
      </c>
      <c r="O2538" s="1">
        <v>44221.671967592592</v>
      </c>
      <c r="P2538" s="1">
        <v>44221.674884259257</v>
      </c>
      <c r="Q2538">
        <v>66</v>
      </c>
      <c r="R2538">
        <v>186</v>
      </c>
      <c r="S2538" t="b">
        <v>0</v>
      </c>
      <c r="T2538" t="s">
        <v>87</v>
      </c>
      <c r="U2538" t="b">
        <v>0</v>
      </c>
      <c r="V2538" t="s">
        <v>242</v>
      </c>
      <c r="W2538" s="1">
        <v>44221.674884259257</v>
      </c>
      <c r="X2538">
        <v>186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76</v>
      </c>
      <c r="AE2538">
        <v>72</v>
      </c>
      <c r="AF2538">
        <v>0</v>
      </c>
      <c r="AG2538">
        <v>3</v>
      </c>
      <c r="AH2538" t="s">
        <v>87</v>
      </c>
      <c r="AI2538" t="s">
        <v>87</v>
      </c>
      <c r="AJ2538" t="s">
        <v>87</v>
      </c>
      <c r="AK2538" t="s">
        <v>87</v>
      </c>
      <c r="AL2538" t="s">
        <v>87</v>
      </c>
      <c r="AM2538" t="s">
        <v>87</v>
      </c>
      <c r="AN2538" t="s">
        <v>87</v>
      </c>
      <c r="AO2538" t="s">
        <v>87</v>
      </c>
      <c r="AP2538" t="s">
        <v>87</v>
      </c>
      <c r="AQ2538" t="s">
        <v>87</v>
      </c>
      <c r="AR2538" t="s">
        <v>87</v>
      </c>
      <c r="AS2538" t="s">
        <v>87</v>
      </c>
      <c r="AT2538" t="s">
        <v>87</v>
      </c>
      <c r="AU2538" t="s">
        <v>87</v>
      </c>
      <c r="AV2538" t="s">
        <v>87</v>
      </c>
      <c r="AW2538" t="s">
        <v>87</v>
      </c>
      <c r="AX2538" t="s">
        <v>87</v>
      </c>
      <c r="AY2538" t="s">
        <v>87</v>
      </c>
      <c r="AZ2538" t="s">
        <v>87</v>
      </c>
      <c r="BA2538" t="s">
        <v>87</v>
      </c>
      <c r="BB2538" t="s">
        <v>87</v>
      </c>
      <c r="BC2538" t="s">
        <v>87</v>
      </c>
      <c r="BD2538" t="s">
        <v>87</v>
      </c>
      <c r="BE2538" t="s">
        <v>87</v>
      </c>
    </row>
    <row r="2539" spans="1:57" x14ac:dyDescent="0.45">
      <c r="A2539" t="s">
        <v>6085</v>
      </c>
      <c r="B2539" t="s">
        <v>79</v>
      </c>
      <c r="C2539" t="s">
        <v>6086</v>
      </c>
      <c r="D2539" t="s">
        <v>81</v>
      </c>
      <c r="E2539" s="2" t="str">
        <f>HYPERLINK("capsilon://?command=openfolder&amp;siteaddress=FAM.docvelocity-na8.net&amp;folderid=FX7F312898-6D0B-9C37-FF64-5F924B09CBE0","FX210112956")</f>
        <v>FX210112956</v>
      </c>
      <c r="F2539" t="s">
        <v>19</v>
      </c>
      <c r="G2539" t="s">
        <v>19</v>
      </c>
      <c r="H2539" t="s">
        <v>82</v>
      </c>
      <c r="I2539" t="s">
        <v>6087</v>
      </c>
      <c r="J2539">
        <v>76</v>
      </c>
      <c r="K2539" t="s">
        <v>84</v>
      </c>
      <c r="L2539" t="s">
        <v>85</v>
      </c>
      <c r="M2539" t="s">
        <v>86</v>
      </c>
      <c r="N2539">
        <v>3</v>
      </c>
      <c r="O2539" s="1">
        <v>44221.674212962964</v>
      </c>
      <c r="P2539" s="1">
        <v>44221.711643518516</v>
      </c>
      <c r="Q2539">
        <v>2248</v>
      </c>
      <c r="R2539">
        <v>986</v>
      </c>
      <c r="S2539" t="b">
        <v>0</v>
      </c>
      <c r="T2539" t="s">
        <v>87</v>
      </c>
      <c r="U2539" t="b">
        <v>0</v>
      </c>
      <c r="V2539" t="s">
        <v>168</v>
      </c>
      <c r="W2539" s="1">
        <v>44221.684548611112</v>
      </c>
      <c r="X2539">
        <v>887</v>
      </c>
      <c r="Y2539">
        <v>74</v>
      </c>
      <c r="Z2539">
        <v>0</v>
      </c>
      <c r="AA2539">
        <v>74</v>
      </c>
      <c r="AB2539">
        <v>37</v>
      </c>
      <c r="AC2539">
        <v>36</v>
      </c>
      <c r="AD2539">
        <v>2</v>
      </c>
      <c r="AE2539">
        <v>0</v>
      </c>
      <c r="AF2539">
        <v>0</v>
      </c>
      <c r="AG2539">
        <v>0</v>
      </c>
      <c r="AH2539" t="s">
        <v>128</v>
      </c>
      <c r="AI2539" s="1">
        <v>44221.69804398148</v>
      </c>
      <c r="AJ2539">
        <v>92</v>
      </c>
      <c r="AK2539">
        <v>0</v>
      </c>
      <c r="AL2539">
        <v>0</v>
      </c>
      <c r="AM2539">
        <v>0</v>
      </c>
      <c r="AN2539">
        <v>37</v>
      </c>
      <c r="AO2539">
        <v>0</v>
      </c>
      <c r="AP2539">
        <v>2</v>
      </c>
      <c r="AQ2539">
        <v>0</v>
      </c>
      <c r="AR2539">
        <v>0</v>
      </c>
      <c r="AS2539">
        <v>0</v>
      </c>
      <c r="AT2539" t="s">
        <v>90</v>
      </c>
      <c r="AU2539" s="1">
        <v>44221.711643518516</v>
      </c>
      <c r="AV2539">
        <v>7</v>
      </c>
      <c r="AW2539">
        <v>0</v>
      </c>
      <c r="AX2539">
        <v>0</v>
      </c>
      <c r="AY2539">
        <v>0</v>
      </c>
      <c r="AZ2539">
        <v>37</v>
      </c>
      <c r="BA2539">
        <v>0</v>
      </c>
      <c r="BB2539">
        <v>2</v>
      </c>
      <c r="BC2539">
        <v>0</v>
      </c>
      <c r="BD2539">
        <v>0</v>
      </c>
      <c r="BE2539">
        <v>0</v>
      </c>
    </row>
    <row r="2540" spans="1:57" x14ac:dyDescent="0.45">
      <c r="A2540" t="s">
        <v>6088</v>
      </c>
      <c r="B2540" t="s">
        <v>79</v>
      </c>
      <c r="C2540" t="s">
        <v>4331</v>
      </c>
      <c r="D2540" t="s">
        <v>81</v>
      </c>
      <c r="E2540" s="2" t="str">
        <f>HYPERLINK("capsilon://?command=openfolder&amp;siteaddress=FAM.docvelocity-na8.net&amp;folderid=FXD8471E80-8EA6-47D7-F4C4-AA4742CA2A89","FX20123276")</f>
        <v>FX20123276</v>
      </c>
      <c r="F2540" t="s">
        <v>19</v>
      </c>
      <c r="G2540" t="s">
        <v>19</v>
      </c>
      <c r="H2540" t="s">
        <v>82</v>
      </c>
      <c r="I2540" t="s">
        <v>6084</v>
      </c>
      <c r="J2540">
        <v>218</v>
      </c>
      <c r="K2540" t="s">
        <v>84</v>
      </c>
      <c r="L2540" t="s">
        <v>85</v>
      </c>
      <c r="M2540" t="s">
        <v>86</v>
      </c>
      <c r="N2540">
        <v>3</v>
      </c>
      <c r="O2540" s="1">
        <v>44221.676446759258</v>
      </c>
      <c r="P2540" s="1">
        <v>44221.710138888891</v>
      </c>
      <c r="Q2540">
        <v>1742</v>
      </c>
      <c r="R2540">
        <v>1169</v>
      </c>
      <c r="S2540" t="b">
        <v>0</v>
      </c>
      <c r="T2540" t="s">
        <v>87</v>
      </c>
      <c r="U2540" t="b">
        <v>1</v>
      </c>
      <c r="V2540" t="s">
        <v>242</v>
      </c>
      <c r="W2540" s="1">
        <v>44221.68545138889</v>
      </c>
      <c r="X2540">
        <v>773</v>
      </c>
      <c r="Y2540">
        <v>197</v>
      </c>
      <c r="Z2540">
        <v>0</v>
      </c>
      <c r="AA2540">
        <v>197</v>
      </c>
      <c r="AB2540">
        <v>0</v>
      </c>
      <c r="AC2540">
        <v>93</v>
      </c>
      <c r="AD2540">
        <v>21</v>
      </c>
      <c r="AE2540">
        <v>0</v>
      </c>
      <c r="AF2540">
        <v>0</v>
      </c>
      <c r="AG2540">
        <v>0</v>
      </c>
      <c r="AH2540" t="s">
        <v>132</v>
      </c>
      <c r="AI2540" s="1">
        <v>44221.694618055553</v>
      </c>
      <c r="AJ2540">
        <v>376</v>
      </c>
      <c r="AK2540">
        <v>4</v>
      </c>
      <c r="AL2540">
        <v>0</v>
      </c>
      <c r="AM2540">
        <v>4</v>
      </c>
      <c r="AN2540">
        <v>0</v>
      </c>
      <c r="AO2540">
        <v>3</v>
      </c>
      <c r="AP2540">
        <v>17</v>
      </c>
      <c r="AQ2540">
        <v>0</v>
      </c>
      <c r="AR2540">
        <v>0</v>
      </c>
      <c r="AS2540">
        <v>0</v>
      </c>
      <c r="AT2540" t="s">
        <v>90</v>
      </c>
      <c r="AU2540" s="1">
        <v>44221.710138888891</v>
      </c>
      <c r="AV2540">
        <v>20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17</v>
      </c>
      <c r="BC2540">
        <v>0</v>
      </c>
      <c r="BD2540">
        <v>0</v>
      </c>
      <c r="BE2540">
        <v>0</v>
      </c>
    </row>
    <row r="2541" spans="1:57" x14ac:dyDescent="0.45">
      <c r="A2541" t="s">
        <v>6089</v>
      </c>
      <c r="B2541" t="s">
        <v>79</v>
      </c>
      <c r="C2541" t="s">
        <v>6090</v>
      </c>
      <c r="D2541" t="s">
        <v>81</v>
      </c>
      <c r="E2541" s="2" t="str">
        <f>HYPERLINK("capsilon://?command=openfolder&amp;siteaddress=FAM.docvelocity-na8.net&amp;folderid=FX5E6FEC25-1FE3-B923-36B1-925C5CD3DB32","FX210114738")</f>
        <v>FX210114738</v>
      </c>
      <c r="F2541" t="s">
        <v>19</v>
      </c>
      <c r="G2541" t="s">
        <v>19</v>
      </c>
      <c r="H2541" t="s">
        <v>82</v>
      </c>
      <c r="I2541" t="s">
        <v>6091</v>
      </c>
      <c r="J2541">
        <v>314</v>
      </c>
      <c r="K2541" t="s">
        <v>84</v>
      </c>
      <c r="L2541" t="s">
        <v>85</v>
      </c>
      <c r="M2541" t="s">
        <v>86</v>
      </c>
      <c r="N2541">
        <v>3</v>
      </c>
      <c r="O2541" s="1">
        <v>44221.682199074072</v>
      </c>
      <c r="P2541" s="1">
        <v>44221.712407407409</v>
      </c>
      <c r="Q2541">
        <v>904</v>
      </c>
      <c r="R2541">
        <v>1706</v>
      </c>
      <c r="S2541" t="b">
        <v>0</v>
      </c>
      <c r="T2541" t="s">
        <v>87</v>
      </c>
      <c r="U2541" t="b">
        <v>0</v>
      </c>
      <c r="V2541" t="s">
        <v>255</v>
      </c>
      <c r="W2541" s="1">
        <v>44221.692824074074</v>
      </c>
      <c r="X2541">
        <v>856</v>
      </c>
      <c r="Y2541">
        <v>238</v>
      </c>
      <c r="Z2541">
        <v>0</v>
      </c>
      <c r="AA2541">
        <v>238</v>
      </c>
      <c r="AB2541">
        <v>0</v>
      </c>
      <c r="AC2541">
        <v>98</v>
      </c>
      <c r="AD2541">
        <v>76</v>
      </c>
      <c r="AE2541">
        <v>0</v>
      </c>
      <c r="AF2541">
        <v>0</v>
      </c>
      <c r="AG2541">
        <v>0</v>
      </c>
      <c r="AH2541" t="s">
        <v>132</v>
      </c>
      <c r="AI2541" s="1">
        <v>44221.706585648149</v>
      </c>
      <c r="AJ2541">
        <v>785</v>
      </c>
      <c r="AK2541">
        <v>6</v>
      </c>
      <c r="AL2541">
        <v>0</v>
      </c>
      <c r="AM2541">
        <v>6</v>
      </c>
      <c r="AN2541">
        <v>0</v>
      </c>
      <c r="AO2541">
        <v>5</v>
      </c>
      <c r="AP2541">
        <v>70</v>
      </c>
      <c r="AQ2541">
        <v>0</v>
      </c>
      <c r="AR2541">
        <v>0</v>
      </c>
      <c r="AS2541">
        <v>0</v>
      </c>
      <c r="AT2541" t="s">
        <v>90</v>
      </c>
      <c r="AU2541" s="1">
        <v>44221.712407407409</v>
      </c>
      <c r="AV2541">
        <v>65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70</v>
      </c>
      <c r="BC2541">
        <v>0</v>
      </c>
      <c r="BD2541">
        <v>0</v>
      </c>
      <c r="BE2541">
        <v>0</v>
      </c>
    </row>
    <row r="2542" spans="1:57" x14ac:dyDescent="0.45">
      <c r="A2542" t="s">
        <v>6092</v>
      </c>
      <c r="B2542" t="s">
        <v>79</v>
      </c>
      <c r="C2542" t="s">
        <v>6090</v>
      </c>
      <c r="D2542" t="s">
        <v>81</v>
      </c>
      <c r="E2542" s="2" t="str">
        <f>HYPERLINK("capsilon://?command=openfolder&amp;siteaddress=FAM.docvelocity-na8.net&amp;folderid=FX5E6FEC25-1FE3-B923-36B1-925C5CD3DB32","FX210114738")</f>
        <v>FX210114738</v>
      </c>
      <c r="F2542" t="s">
        <v>19</v>
      </c>
      <c r="G2542" t="s">
        <v>19</v>
      </c>
      <c r="H2542" t="s">
        <v>82</v>
      </c>
      <c r="I2542" t="s">
        <v>6093</v>
      </c>
      <c r="J2542">
        <v>36</v>
      </c>
      <c r="K2542" t="s">
        <v>84</v>
      </c>
      <c r="L2542" t="s">
        <v>85</v>
      </c>
      <c r="M2542" t="s">
        <v>86</v>
      </c>
      <c r="N2542">
        <v>3</v>
      </c>
      <c r="O2542" s="1">
        <v>44221.683125000003</v>
      </c>
      <c r="P2542" s="1">
        <v>44221.712638888886</v>
      </c>
      <c r="Q2542">
        <v>1206</v>
      </c>
      <c r="R2542">
        <v>1344</v>
      </c>
      <c r="S2542" t="b">
        <v>0</v>
      </c>
      <c r="T2542" t="s">
        <v>87</v>
      </c>
      <c r="U2542" t="b">
        <v>0</v>
      </c>
      <c r="V2542" t="s">
        <v>168</v>
      </c>
      <c r="W2542" s="1">
        <v>44221.695717592593</v>
      </c>
      <c r="X2542">
        <v>964</v>
      </c>
      <c r="Y2542">
        <v>41</v>
      </c>
      <c r="Z2542">
        <v>0</v>
      </c>
      <c r="AA2542">
        <v>41</v>
      </c>
      <c r="AB2542">
        <v>0</v>
      </c>
      <c r="AC2542">
        <v>28</v>
      </c>
      <c r="AD2542">
        <v>-5</v>
      </c>
      <c r="AE2542">
        <v>0</v>
      </c>
      <c r="AF2542">
        <v>0</v>
      </c>
      <c r="AG2542">
        <v>0</v>
      </c>
      <c r="AH2542" t="s">
        <v>147</v>
      </c>
      <c r="AI2542" s="1">
        <v>44221.701562499999</v>
      </c>
      <c r="AJ2542">
        <v>348</v>
      </c>
      <c r="AK2542">
        <v>3</v>
      </c>
      <c r="AL2542">
        <v>0</v>
      </c>
      <c r="AM2542">
        <v>3</v>
      </c>
      <c r="AN2542">
        <v>0</v>
      </c>
      <c r="AO2542">
        <v>5</v>
      </c>
      <c r="AP2542">
        <v>-8</v>
      </c>
      <c r="AQ2542">
        <v>0</v>
      </c>
      <c r="AR2542">
        <v>0</v>
      </c>
      <c r="AS2542">
        <v>0</v>
      </c>
      <c r="AT2542" t="s">
        <v>90</v>
      </c>
      <c r="AU2542" s="1">
        <v>44221.712638888886</v>
      </c>
      <c r="AV2542">
        <v>20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-8</v>
      </c>
      <c r="BC2542">
        <v>0</v>
      </c>
      <c r="BD2542">
        <v>0</v>
      </c>
      <c r="BE2542">
        <v>0</v>
      </c>
    </row>
    <row r="2543" spans="1:57" x14ac:dyDescent="0.45">
      <c r="A2543" t="s">
        <v>6094</v>
      </c>
      <c r="B2543" t="s">
        <v>79</v>
      </c>
      <c r="C2543" t="s">
        <v>6090</v>
      </c>
      <c r="D2543" t="s">
        <v>81</v>
      </c>
      <c r="E2543" s="2" t="str">
        <f>HYPERLINK("capsilon://?command=openfolder&amp;siteaddress=FAM.docvelocity-na8.net&amp;folderid=FX5E6FEC25-1FE3-B923-36B1-925C5CD3DB32","FX210114738")</f>
        <v>FX210114738</v>
      </c>
      <c r="F2543" t="s">
        <v>19</v>
      </c>
      <c r="G2543" t="s">
        <v>19</v>
      </c>
      <c r="H2543" t="s">
        <v>82</v>
      </c>
      <c r="I2543" t="s">
        <v>6095</v>
      </c>
      <c r="J2543">
        <v>66</v>
      </c>
      <c r="K2543" t="s">
        <v>84</v>
      </c>
      <c r="L2543" t="s">
        <v>85</v>
      </c>
      <c r="M2543" t="s">
        <v>86</v>
      </c>
      <c r="N2543">
        <v>3</v>
      </c>
      <c r="O2543" s="1">
        <v>44221.683946759258</v>
      </c>
      <c r="P2543" s="1">
        <v>44221.712719907409</v>
      </c>
      <c r="Q2543">
        <v>1036</v>
      </c>
      <c r="R2543">
        <v>1450</v>
      </c>
      <c r="S2543" t="b">
        <v>0</v>
      </c>
      <c r="T2543" t="s">
        <v>87</v>
      </c>
      <c r="U2543" t="b">
        <v>0</v>
      </c>
      <c r="V2543" t="s">
        <v>146</v>
      </c>
      <c r="W2543" s="1">
        <v>44221.697881944441</v>
      </c>
      <c r="X2543">
        <v>1118</v>
      </c>
      <c r="Y2543">
        <v>36</v>
      </c>
      <c r="Z2543">
        <v>0</v>
      </c>
      <c r="AA2543">
        <v>36</v>
      </c>
      <c r="AB2543">
        <v>0</v>
      </c>
      <c r="AC2543">
        <v>24</v>
      </c>
      <c r="AD2543">
        <v>30</v>
      </c>
      <c r="AE2543">
        <v>0</v>
      </c>
      <c r="AF2543">
        <v>0</v>
      </c>
      <c r="AG2543">
        <v>0</v>
      </c>
      <c r="AH2543" t="s">
        <v>128</v>
      </c>
      <c r="AI2543" s="1">
        <v>44221.701643518521</v>
      </c>
      <c r="AJ2543">
        <v>310</v>
      </c>
      <c r="AK2543">
        <v>1</v>
      </c>
      <c r="AL2543">
        <v>0</v>
      </c>
      <c r="AM2543">
        <v>1</v>
      </c>
      <c r="AN2543">
        <v>0</v>
      </c>
      <c r="AO2543">
        <v>1</v>
      </c>
      <c r="AP2543">
        <v>29</v>
      </c>
      <c r="AQ2543">
        <v>0</v>
      </c>
      <c r="AR2543">
        <v>0</v>
      </c>
      <c r="AS2543">
        <v>0</v>
      </c>
      <c r="AT2543" t="s">
        <v>90</v>
      </c>
      <c r="AU2543" s="1">
        <v>44221.712719907409</v>
      </c>
      <c r="AV2543">
        <v>6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29</v>
      </c>
      <c r="BC2543">
        <v>0</v>
      </c>
      <c r="BD2543">
        <v>0</v>
      </c>
      <c r="BE2543">
        <v>0</v>
      </c>
    </row>
    <row r="2544" spans="1:57" x14ac:dyDescent="0.45">
      <c r="A2544" t="s">
        <v>6096</v>
      </c>
      <c r="B2544" t="s">
        <v>79</v>
      </c>
      <c r="C2544" t="s">
        <v>6090</v>
      </c>
      <c r="D2544" t="s">
        <v>81</v>
      </c>
      <c r="E2544" s="2" t="str">
        <f>HYPERLINK("capsilon://?command=openfolder&amp;siteaddress=FAM.docvelocity-na8.net&amp;folderid=FX5E6FEC25-1FE3-B923-36B1-925C5CD3DB32","FX210114738")</f>
        <v>FX210114738</v>
      </c>
      <c r="F2544" t="s">
        <v>19</v>
      </c>
      <c r="G2544" t="s">
        <v>19</v>
      </c>
      <c r="H2544" t="s">
        <v>82</v>
      </c>
      <c r="I2544" t="s">
        <v>6097</v>
      </c>
      <c r="J2544">
        <v>51</v>
      </c>
      <c r="K2544" t="s">
        <v>84</v>
      </c>
      <c r="L2544" t="s">
        <v>85</v>
      </c>
      <c r="M2544" t="s">
        <v>86</v>
      </c>
      <c r="N2544">
        <v>3</v>
      </c>
      <c r="O2544" s="1">
        <v>44221.684606481482</v>
      </c>
      <c r="P2544" s="1">
        <v>44221.712800925925</v>
      </c>
      <c r="Q2544">
        <v>1313</v>
      </c>
      <c r="R2544">
        <v>1123</v>
      </c>
      <c r="S2544" t="b">
        <v>0</v>
      </c>
      <c r="T2544" t="s">
        <v>87</v>
      </c>
      <c r="U2544" t="b">
        <v>0</v>
      </c>
      <c r="V2544" t="s">
        <v>171</v>
      </c>
      <c r="W2544" s="1">
        <v>44221.694201388891</v>
      </c>
      <c r="X2544">
        <v>758</v>
      </c>
      <c r="Y2544">
        <v>41</v>
      </c>
      <c r="Z2544">
        <v>0</v>
      </c>
      <c r="AA2544">
        <v>41</v>
      </c>
      <c r="AB2544">
        <v>0</v>
      </c>
      <c r="AC2544">
        <v>30</v>
      </c>
      <c r="AD2544">
        <v>10</v>
      </c>
      <c r="AE2544">
        <v>0</v>
      </c>
      <c r="AF2544">
        <v>0</v>
      </c>
      <c r="AG2544">
        <v>0</v>
      </c>
      <c r="AH2544" t="s">
        <v>128</v>
      </c>
      <c r="AI2544" s="1">
        <v>44221.70579861111</v>
      </c>
      <c r="AJ2544">
        <v>358</v>
      </c>
      <c r="AK2544">
        <v>1</v>
      </c>
      <c r="AL2544">
        <v>0</v>
      </c>
      <c r="AM2544">
        <v>1</v>
      </c>
      <c r="AN2544">
        <v>0</v>
      </c>
      <c r="AO2544">
        <v>1</v>
      </c>
      <c r="AP2544">
        <v>9</v>
      </c>
      <c r="AQ2544">
        <v>0</v>
      </c>
      <c r="AR2544">
        <v>0</v>
      </c>
      <c r="AS2544">
        <v>0</v>
      </c>
      <c r="AT2544" t="s">
        <v>90</v>
      </c>
      <c r="AU2544" s="1">
        <v>44221.712800925925</v>
      </c>
      <c r="AV2544">
        <v>7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9</v>
      </c>
      <c r="BC2544">
        <v>0</v>
      </c>
      <c r="BD2544">
        <v>0</v>
      </c>
      <c r="BE2544">
        <v>0</v>
      </c>
    </row>
    <row r="2545" spans="1:57" x14ac:dyDescent="0.45">
      <c r="A2545" t="s">
        <v>6098</v>
      </c>
      <c r="B2545" t="s">
        <v>79</v>
      </c>
      <c r="C2545" t="s">
        <v>6090</v>
      </c>
      <c r="D2545" t="s">
        <v>81</v>
      </c>
      <c r="E2545" s="2" t="str">
        <f>HYPERLINK("capsilon://?command=openfolder&amp;siteaddress=FAM.docvelocity-na8.net&amp;folderid=FX5E6FEC25-1FE3-B923-36B1-925C5CD3DB32","FX210114738")</f>
        <v>FX210114738</v>
      </c>
      <c r="F2545" t="s">
        <v>19</v>
      </c>
      <c r="G2545" t="s">
        <v>19</v>
      </c>
      <c r="H2545" t="s">
        <v>82</v>
      </c>
      <c r="I2545" t="s">
        <v>6099</v>
      </c>
      <c r="J2545">
        <v>26</v>
      </c>
      <c r="K2545" t="s">
        <v>84</v>
      </c>
      <c r="L2545" t="s">
        <v>85</v>
      </c>
      <c r="M2545" t="s">
        <v>86</v>
      </c>
      <c r="N2545">
        <v>3</v>
      </c>
      <c r="O2545" s="1">
        <v>44221.685127314813</v>
      </c>
      <c r="P2545" s="1">
        <v>44221.712870370371</v>
      </c>
      <c r="Q2545">
        <v>2006</v>
      </c>
      <c r="R2545">
        <v>391</v>
      </c>
      <c r="S2545" t="b">
        <v>0</v>
      </c>
      <c r="T2545" t="s">
        <v>87</v>
      </c>
      <c r="U2545" t="b">
        <v>0</v>
      </c>
      <c r="V2545" t="s">
        <v>242</v>
      </c>
      <c r="W2545" s="1">
        <v>44221.687175925923</v>
      </c>
      <c r="X2545">
        <v>148</v>
      </c>
      <c r="Y2545">
        <v>21</v>
      </c>
      <c r="Z2545">
        <v>0</v>
      </c>
      <c r="AA2545">
        <v>21</v>
      </c>
      <c r="AB2545">
        <v>0</v>
      </c>
      <c r="AC2545">
        <v>3</v>
      </c>
      <c r="AD2545">
        <v>5</v>
      </c>
      <c r="AE2545">
        <v>0</v>
      </c>
      <c r="AF2545">
        <v>0</v>
      </c>
      <c r="AG2545">
        <v>0</v>
      </c>
      <c r="AH2545" t="s">
        <v>147</v>
      </c>
      <c r="AI2545" s="1">
        <v>44221.707071759258</v>
      </c>
      <c r="AJ2545">
        <v>238</v>
      </c>
      <c r="AK2545">
        <v>3</v>
      </c>
      <c r="AL2545">
        <v>0</v>
      </c>
      <c r="AM2545">
        <v>3</v>
      </c>
      <c r="AN2545">
        <v>0</v>
      </c>
      <c r="AO2545">
        <v>4</v>
      </c>
      <c r="AP2545">
        <v>2</v>
      </c>
      <c r="AQ2545">
        <v>0</v>
      </c>
      <c r="AR2545">
        <v>0</v>
      </c>
      <c r="AS2545">
        <v>0</v>
      </c>
      <c r="AT2545" t="s">
        <v>90</v>
      </c>
      <c r="AU2545" s="1">
        <v>44221.712870370371</v>
      </c>
      <c r="AV2545">
        <v>5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2</v>
      </c>
      <c r="BC2545">
        <v>0</v>
      </c>
      <c r="BD2545">
        <v>0</v>
      </c>
      <c r="BE2545">
        <v>0</v>
      </c>
    </row>
    <row r="2546" spans="1:57" hidden="1" x14ac:dyDescent="0.45">
      <c r="A2546" t="s">
        <v>6100</v>
      </c>
      <c r="B2546" t="s">
        <v>79</v>
      </c>
      <c r="C2546" t="s">
        <v>2375</v>
      </c>
      <c r="D2546" t="s">
        <v>81</v>
      </c>
      <c r="E2546" s="2" t="str">
        <f>HYPERLINK("capsilon://?command=openfolder&amp;siteaddress=FAM.docvelocity-na8.net&amp;folderid=FXBD9E2A42-4FC0-6C33-0968-62724F269A30","FX20127789")</f>
        <v>FX20127789</v>
      </c>
      <c r="F2546" t="s">
        <v>19</v>
      </c>
      <c r="G2546" t="s">
        <v>19</v>
      </c>
      <c r="H2546" t="s">
        <v>82</v>
      </c>
      <c r="I2546" t="s">
        <v>6101</v>
      </c>
      <c r="J2546">
        <v>66</v>
      </c>
      <c r="K2546" t="s">
        <v>84</v>
      </c>
      <c r="L2546" t="s">
        <v>85</v>
      </c>
      <c r="M2546" t="s">
        <v>86</v>
      </c>
      <c r="N2546">
        <v>1</v>
      </c>
      <c r="O2546" s="1">
        <v>44221.685636574075</v>
      </c>
      <c r="P2546" s="1">
        <v>44221.68822916667</v>
      </c>
      <c r="Q2546">
        <v>134</v>
      </c>
      <c r="R2546">
        <v>90</v>
      </c>
      <c r="S2546" t="b">
        <v>0</v>
      </c>
      <c r="T2546" t="s">
        <v>87</v>
      </c>
      <c r="U2546" t="b">
        <v>0</v>
      </c>
      <c r="V2546" t="s">
        <v>242</v>
      </c>
      <c r="W2546" s="1">
        <v>44221.68822916667</v>
      </c>
      <c r="X2546">
        <v>90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66</v>
      </c>
      <c r="AE2546">
        <v>52</v>
      </c>
      <c r="AF2546">
        <v>1</v>
      </c>
      <c r="AG2546">
        <v>2</v>
      </c>
      <c r="AH2546" t="s">
        <v>87</v>
      </c>
      <c r="AI2546" t="s">
        <v>87</v>
      </c>
      <c r="AJ2546" t="s">
        <v>87</v>
      </c>
      <c r="AK2546" t="s">
        <v>87</v>
      </c>
      <c r="AL2546" t="s">
        <v>87</v>
      </c>
      <c r="AM2546" t="s">
        <v>87</v>
      </c>
      <c r="AN2546" t="s">
        <v>87</v>
      </c>
      <c r="AO2546" t="s">
        <v>87</v>
      </c>
      <c r="AP2546" t="s">
        <v>87</v>
      </c>
      <c r="AQ2546" t="s">
        <v>87</v>
      </c>
      <c r="AR2546" t="s">
        <v>87</v>
      </c>
      <c r="AS2546" t="s">
        <v>87</v>
      </c>
      <c r="AT2546" t="s">
        <v>87</v>
      </c>
      <c r="AU2546" t="s">
        <v>87</v>
      </c>
      <c r="AV2546" t="s">
        <v>87</v>
      </c>
      <c r="AW2546" t="s">
        <v>87</v>
      </c>
      <c r="AX2546" t="s">
        <v>87</v>
      </c>
      <c r="AY2546" t="s">
        <v>87</v>
      </c>
      <c r="AZ2546" t="s">
        <v>87</v>
      </c>
      <c r="BA2546" t="s">
        <v>87</v>
      </c>
      <c r="BB2546" t="s">
        <v>87</v>
      </c>
      <c r="BC2546" t="s">
        <v>87</v>
      </c>
      <c r="BD2546" t="s">
        <v>87</v>
      </c>
      <c r="BE2546" t="s">
        <v>87</v>
      </c>
    </row>
    <row r="2547" spans="1:57" x14ac:dyDescent="0.45">
      <c r="A2547" t="s">
        <v>6102</v>
      </c>
      <c r="B2547" t="s">
        <v>79</v>
      </c>
      <c r="C2547" t="s">
        <v>6090</v>
      </c>
      <c r="D2547" t="s">
        <v>81</v>
      </c>
      <c r="E2547" s="2" t="str">
        <f>HYPERLINK("capsilon://?command=openfolder&amp;siteaddress=FAM.docvelocity-na8.net&amp;folderid=FX5E6FEC25-1FE3-B923-36B1-925C5CD3DB32","FX210114738")</f>
        <v>FX210114738</v>
      </c>
      <c r="F2547" t="s">
        <v>19</v>
      </c>
      <c r="G2547" t="s">
        <v>19</v>
      </c>
      <c r="H2547" t="s">
        <v>82</v>
      </c>
      <c r="I2547" t="s">
        <v>6103</v>
      </c>
      <c r="J2547">
        <v>36</v>
      </c>
      <c r="K2547" t="s">
        <v>84</v>
      </c>
      <c r="L2547" t="s">
        <v>85</v>
      </c>
      <c r="M2547" t="s">
        <v>86</v>
      </c>
      <c r="N2547">
        <v>3</v>
      </c>
      <c r="O2547" s="1">
        <v>44221.688206018516</v>
      </c>
      <c r="P2547" s="1">
        <v>44221.71292824074</v>
      </c>
      <c r="Q2547">
        <v>1542</v>
      </c>
      <c r="R2547">
        <v>594</v>
      </c>
      <c r="S2547" t="b">
        <v>0</v>
      </c>
      <c r="T2547" t="s">
        <v>87</v>
      </c>
      <c r="U2547" t="b">
        <v>0</v>
      </c>
      <c r="V2547" t="s">
        <v>242</v>
      </c>
      <c r="W2547" s="1">
        <v>44221.692916666667</v>
      </c>
      <c r="X2547">
        <v>404</v>
      </c>
      <c r="Y2547">
        <v>41</v>
      </c>
      <c r="Z2547">
        <v>0</v>
      </c>
      <c r="AA2547">
        <v>41</v>
      </c>
      <c r="AB2547">
        <v>0</v>
      </c>
      <c r="AC2547">
        <v>25</v>
      </c>
      <c r="AD2547">
        <v>-5</v>
      </c>
      <c r="AE2547">
        <v>0</v>
      </c>
      <c r="AF2547">
        <v>0</v>
      </c>
      <c r="AG2547">
        <v>0</v>
      </c>
      <c r="AH2547" t="s">
        <v>128</v>
      </c>
      <c r="AI2547" s="1">
        <v>44221.707962962966</v>
      </c>
      <c r="AJ2547">
        <v>186</v>
      </c>
      <c r="AK2547">
        <v>1</v>
      </c>
      <c r="AL2547">
        <v>0</v>
      </c>
      <c r="AM2547">
        <v>1</v>
      </c>
      <c r="AN2547">
        <v>0</v>
      </c>
      <c r="AO2547">
        <v>1</v>
      </c>
      <c r="AP2547">
        <v>-6</v>
      </c>
      <c r="AQ2547">
        <v>0</v>
      </c>
      <c r="AR2547">
        <v>0</v>
      </c>
      <c r="AS2547">
        <v>0</v>
      </c>
      <c r="AT2547" t="s">
        <v>90</v>
      </c>
      <c r="AU2547" s="1">
        <v>44221.71292824074</v>
      </c>
      <c r="AV2547">
        <v>4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-6</v>
      </c>
      <c r="BC2547">
        <v>0</v>
      </c>
      <c r="BD2547">
        <v>0</v>
      </c>
      <c r="BE2547">
        <v>0</v>
      </c>
    </row>
    <row r="2548" spans="1:57" x14ac:dyDescent="0.45">
      <c r="A2548" t="s">
        <v>6104</v>
      </c>
      <c r="B2548" t="s">
        <v>79</v>
      </c>
      <c r="C2548" t="s">
        <v>6090</v>
      </c>
      <c r="D2548" t="s">
        <v>81</v>
      </c>
      <c r="E2548" s="2" t="str">
        <f>HYPERLINK("capsilon://?command=openfolder&amp;siteaddress=FAM.docvelocity-na8.net&amp;folderid=FX5E6FEC25-1FE3-B923-36B1-925C5CD3DB32","FX210114738")</f>
        <v>FX210114738</v>
      </c>
      <c r="F2548" t="s">
        <v>19</v>
      </c>
      <c r="G2548" t="s">
        <v>19</v>
      </c>
      <c r="H2548" t="s">
        <v>82</v>
      </c>
      <c r="I2548" t="s">
        <v>6105</v>
      </c>
      <c r="J2548">
        <v>26</v>
      </c>
      <c r="K2548" t="s">
        <v>84</v>
      </c>
      <c r="L2548" t="s">
        <v>85</v>
      </c>
      <c r="M2548" t="s">
        <v>86</v>
      </c>
      <c r="N2548">
        <v>3</v>
      </c>
      <c r="O2548" s="1">
        <v>44221.688483796293</v>
      </c>
      <c r="P2548" s="1">
        <v>44221.713009259256</v>
      </c>
      <c r="Q2548">
        <v>1709</v>
      </c>
      <c r="R2548">
        <v>410</v>
      </c>
      <c r="S2548" t="b">
        <v>0</v>
      </c>
      <c r="T2548" t="s">
        <v>87</v>
      </c>
      <c r="U2548" t="b">
        <v>0</v>
      </c>
      <c r="V2548" t="s">
        <v>179</v>
      </c>
      <c r="W2548" s="1">
        <v>44221.695960648147</v>
      </c>
      <c r="X2548">
        <v>314</v>
      </c>
      <c r="Y2548">
        <v>21</v>
      </c>
      <c r="Z2548">
        <v>0</v>
      </c>
      <c r="AA2548">
        <v>21</v>
      </c>
      <c r="AB2548">
        <v>0</v>
      </c>
      <c r="AC2548">
        <v>8</v>
      </c>
      <c r="AD2548">
        <v>5</v>
      </c>
      <c r="AE2548">
        <v>0</v>
      </c>
      <c r="AF2548">
        <v>0</v>
      </c>
      <c r="AG2548">
        <v>0</v>
      </c>
      <c r="AH2548" t="s">
        <v>132</v>
      </c>
      <c r="AI2548" s="1">
        <v>44221.707638888889</v>
      </c>
      <c r="AJ2548">
        <v>90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5</v>
      </c>
      <c r="AQ2548">
        <v>0</v>
      </c>
      <c r="AR2548">
        <v>0</v>
      </c>
      <c r="AS2548">
        <v>0</v>
      </c>
      <c r="AT2548" t="s">
        <v>90</v>
      </c>
      <c r="AU2548" s="1">
        <v>44221.713009259256</v>
      </c>
      <c r="AV2548">
        <v>6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5</v>
      </c>
      <c r="BC2548">
        <v>0</v>
      </c>
      <c r="BD2548">
        <v>0</v>
      </c>
      <c r="BE2548">
        <v>0</v>
      </c>
    </row>
    <row r="2549" spans="1:57" x14ac:dyDescent="0.45">
      <c r="A2549" s="4" t="s">
        <v>6106</v>
      </c>
      <c r="B2549" t="s">
        <v>79</v>
      </c>
      <c r="C2549" t="s">
        <v>2375</v>
      </c>
      <c r="D2549" t="s">
        <v>81</v>
      </c>
      <c r="E2549" s="2" t="str">
        <f>HYPERLINK("capsilon://?command=openfolder&amp;siteaddress=FAM.docvelocity-na8.net&amp;folderid=FXBD9E2A42-4FC0-6C33-0968-62724F269A30","FX20127789")</f>
        <v>FX20127789</v>
      </c>
      <c r="F2549" t="s">
        <v>19</v>
      </c>
      <c r="G2549" t="s">
        <v>19</v>
      </c>
      <c r="H2549" t="s">
        <v>82</v>
      </c>
      <c r="I2549" t="s">
        <v>6101</v>
      </c>
      <c r="J2549">
        <v>55</v>
      </c>
      <c r="K2549" t="s">
        <v>84</v>
      </c>
      <c r="L2549" t="s">
        <v>85</v>
      </c>
      <c r="M2549" t="s">
        <v>86</v>
      </c>
      <c r="N2549">
        <v>3</v>
      </c>
      <c r="O2549" s="1">
        <v>44221.689409722225</v>
      </c>
      <c r="P2549" s="1">
        <v>44221.710324074076</v>
      </c>
      <c r="Q2549">
        <v>831</v>
      </c>
      <c r="R2549">
        <v>976</v>
      </c>
      <c r="S2549" t="b">
        <v>0</v>
      </c>
      <c r="T2549" t="s">
        <v>87</v>
      </c>
      <c r="U2549" t="b">
        <v>1</v>
      </c>
      <c r="V2549" t="s">
        <v>160</v>
      </c>
      <c r="W2549" s="1">
        <v>44221.698206018518</v>
      </c>
      <c r="X2549">
        <v>724</v>
      </c>
      <c r="Y2549">
        <v>51</v>
      </c>
      <c r="Z2549">
        <v>0</v>
      </c>
      <c r="AA2549">
        <v>51</v>
      </c>
      <c r="AB2549">
        <v>0</v>
      </c>
      <c r="AC2549">
        <v>44</v>
      </c>
      <c r="AD2549">
        <v>4</v>
      </c>
      <c r="AE2549">
        <v>0</v>
      </c>
      <c r="AF2549">
        <v>0</v>
      </c>
      <c r="AG2549">
        <v>0</v>
      </c>
      <c r="AH2549" t="s">
        <v>147</v>
      </c>
      <c r="AI2549" s="1">
        <v>44221.704317129632</v>
      </c>
      <c r="AJ2549">
        <v>237</v>
      </c>
      <c r="AK2549">
        <v>0</v>
      </c>
      <c r="AL2549">
        <v>0</v>
      </c>
      <c r="AM2549">
        <v>0</v>
      </c>
      <c r="AN2549">
        <v>0</v>
      </c>
      <c r="AO2549">
        <v>3</v>
      </c>
      <c r="AP2549">
        <v>4</v>
      </c>
      <c r="AQ2549">
        <v>0</v>
      </c>
      <c r="AR2549">
        <v>0</v>
      </c>
      <c r="AS2549">
        <v>0</v>
      </c>
      <c r="AT2549" t="s">
        <v>90</v>
      </c>
      <c r="AU2549" s="1">
        <v>44221.710324074076</v>
      </c>
      <c r="AV2549">
        <v>15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4</v>
      </c>
      <c r="BC2549">
        <v>0</v>
      </c>
      <c r="BD2549">
        <v>0</v>
      </c>
      <c r="BE2549">
        <v>0</v>
      </c>
    </row>
    <row r="2550" spans="1:57" x14ac:dyDescent="0.45">
      <c r="A2550" t="s">
        <v>6107</v>
      </c>
      <c r="B2550" t="s">
        <v>79</v>
      </c>
      <c r="C2550" t="s">
        <v>6108</v>
      </c>
      <c r="D2550" t="s">
        <v>81</v>
      </c>
      <c r="E2550" s="2" t="str">
        <f>HYPERLINK("capsilon://?command=openfolder&amp;siteaddress=FAM.docvelocity-na8.net&amp;folderid=FXE0CF56B9-2E60-B2CA-36A5-18C7616A0B01","FX210114683")</f>
        <v>FX210114683</v>
      </c>
      <c r="F2550" t="s">
        <v>19</v>
      </c>
      <c r="G2550" t="s">
        <v>19</v>
      </c>
      <c r="H2550" t="s">
        <v>82</v>
      </c>
      <c r="I2550" t="s">
        <v>6109</v>
      </c>
      <c r="J2550">
        <v>38</v>
      </c>
      <c r="K2550" t="s">
        <v>84</v>
      </c>
      <c r="L2550" t="s">
        <v>85</v>
      </c>
      <c r="M2550" t="s">
        <v>86</v>
      </c>
      <c r="N2550">
        <v>3</v>
      </c>
      <c r="O2550" s="1">
        <v>44221.691550925927</v>
      </c>
      <c r="P2550" s="1">
        <v>44221.713055555556</v>
      </c>
      <c r="Q2550">
        <v>1568</v>
      </c>
      <c r="R2550">
        <v>290</v>
      </c>
      <c r="S2550" t="b">
        <v>0</v>
      </c>
      <c r="T2550" t="s">
        <v>87</v>
      </c>
      <c r="U2550" t="b">
        <v>0</v>
      </c>
      <c r="V2550" t="s">
        <v>255</v>
      </c>
      <c r="W2550" s="1">
        <v>44221.694201388891</v>
      </c>
      <c r="X2550">
        <v>118</v>
      </c>
      <c r="Y2550">
        <v>37</v>
      </c>
      <c r="Z2550">
        <v>0</v>
      </c>
      <c r="AA2550">
        <v>37</v>
      </c>
      <c r="AB2550">
        <v>0</v>
      </c>
      <c r="AC2550">
        <v>4</v>
      </c>
      <c r="AD2550">
        <v>1</v>
      </c>
      <c r="AE2550">
        <v>0</v>
      </c>
      <c r="AF2550">
        <v>0</v>
      </c>
      <c r="AG2550">
        <v>0</v>
      </c>
      <c r="AH2550" t="s">
        <v>147</v>
      </c>
      <c r="AI2550" s="1">
        <v>44221.709016203706</v>
      </c>
      <c r="AJ2550">
        <v>168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0</v>
      </c>
      <c r="AS2550">
        <v>0</v>
      </c>
      <c r="AT2550" t="s">
        <v>90</v>
      </c>
      <c r="AU2550" s="1">
        <v>44221.713055555556</v>
      </c>
      <c r="AV2550">
        <v>4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</v>
      </c>
      <c r="BC2550">
        <v>0</v>
      </c>
      <c r="BD2550">
        <v>0</v>
      </c>
      <c r="BE2550">
        <v>0</v>
      </c>
    </row>
    <row r="2551" spans="1:57" x14ac:dyDescent="0.45">
      <c r="A2551" s="4" t="s">
        <v>6106</v>
      </c>
      <c r="B2551" t="s">
        <v>79</v>
      </c>
      <c r="C2551" t="s">
        <v>6110</v>
      </c>
      <c r="D2551" t="s">
        <v>81</v>
      </c>
      <c r="E2551" s="2" t="str">
        <f>HYPERLINK("capsilon://?command=openfolder&amp;siteaddress=FAM.docvelocity-na8.net&amp;folderid=FX7542272E-5CC2-6E8B-AE39-4A8028C6276F","FX20126761")</f>
        <v>FX20126761</v>
      </c>
      <c r="F2551" t="s">
        <v>19</v>
      </c>
      <c r="G2551" t="s">
        <v>19</v>
      </c>
      <c r="H2551" t="s">
        <v>82</v>
      </c>
      <c r="I2551" t="s">
        <v>6111</v>
      </c>
      <c r="J2551">
        <v>117</v>
      </c>
      <c r="K2551" t="s">
        <v>84</v>
      </c>
      <c r="L2551" t="s">
        <v>85</v>
      </c>
      <c r="M2551" t="s">
        <v>86</v>
      </c>
      <c r="N2551">
        <v>3</v>
      </c>
      <c r="O2551" s="1">
        <v>44221.696238425924</v>
      </c>
      <c r="P2551" s="1">
        <v>44221.713275462964</v>
      </c>
      <c r="Q2551">
        <v>91</v>
      </c>
      <c r="R2551">
        <v>1381</v>
      </c>
      <c r="S2551" t="b">
        <v>0</v>
      </c>
      <c r="T2551" t="s">
        <v>87</v>
      </c>
      <c r="U2551" t="b">
        <v>0</v>
      </c>
      <c r="V2551" t="s">
        <v>171</v>
      </c>
      <c r="W2551" s="1">
        <v>44221.710219907407</v>
      </c>
      <c r="X2551">
        <v>1203</v>
      </c>
      <c r="Y2551">
        <v>91</v>
      </c>
      <c r="Z2551">
        <v>0</v>
      </c>
      <c r="AA2551">
        <v>91</v>
      </c>
      <c r="AB2551">
        <v>0</v>
      </c>
      <c r="AC2551">
        <v>36</v>
      </c>
      <c r="AD2551">
        <v>26</v>
      </c>
      <c r="AE2551">
        <v>0</v>
      </c>
      <c r="AF2551">
        <v>0</v>
      </c>
      <c r="AG2551">
        <v>0</v>
      </c>
      <c r="AH2551" t="s">
        <v>132</v>
      </c>
      <c r="AI2551" s="1">
        <v>44221.712222222224</v>
      </c>
      <c r="AJ2551">
        <v>160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26</v>
      </c>
      <c r="AQ2551">
        <v>0</v>
      </c>
      <c r="AR2551">
        <v>0</v>
      </c>
      <c r="AS2551">
        <v>0</v>
      </c>
      <c r="AT2551" t="s">
        <v>90</v>
      </c>
      <c r="AU2551" s="1">
        <v>44221.713275462964</v>
      </c>
      <c r="AV2551">
        <v>18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26</v>
      </c>
      <c r="BC2551">
        <v>0</v>
      </c>
      <c r="BD2551">
        <v>0</v>
      </c>
      <c r="BE2551">
        <v>0</v>
      </c>
    </row>
    <row r="2552" spans="1:57" x14ac:dyDescent="0.45">
      <c r="A2552" t="s">
        <v>6112</v>
      </c>
      <c r="B2552" t="s">
        <v>79</v>
      </c>
      <c r="C2552" t="s">
        <v>6113</v>
      </c>
      <c r="D2552" t="s">
        <v>81</v>
      </c>
      <c r="E2552" s="2" t="str">
        <f>HYPERLINK("capsilon://?command=openfolder&amp;siteaddress=FAM.docvelocity-na8.net&amp;folderid=FX947750FC-64FB-5124-4ACD-983BD5DA2C3C","FX201221810")</f>
        <v>FX201221810</v>
      </c>
      <c r="F2552" t="s">
        <v>19</v>
      </c>
      <c r="G2552" t="s">
        <v>19</v>
      </c>
      <c r="H2552" t="s">
        <v>82</v>
      </c>
      <c r="I2552" t="s">
        <v>6114</v>
      </c>
      <c r="J2552">
        <v>61</v>
      </c>
      <c r="K2552" t="s">
        <v>84</v>
      </c>
      <c r="L2552" t="s">
        <v>85</v>
      </c>
      <c r="M2552" t="s">
        <v>86</v>
      </c>
      <c r="N2552">
        <v>3</v>
      </c>
      <c r="O2552" s="1">
        <v>44221.69630787037</v>
      </c>
      <c r="P2552" s="1">
        <v>44221.713738425926</v>
      </c>
      <c r="Q2552">
        <v>276</v>
      </c>
      <c r="R2552">
        <v>1230</v>
      </c>
      <c r="S2552" t="b">
        <v>0</v>
      </c>
      <c r="T2552" t="s">
        <v>87</v>
      </c>
      <c r="U2552" t="b">
        <v>0</v>
      </c>
      <c r="V2552" t="s">
        <v>179</v>
      </c>
      <c r="W2552" s="1">
        <v>44221.708460648151</v>
      </c>
      <c r="X2552">
        <v>1049</v>
      </c>
      <c r="Y2552">
        <v>57</v>
      </c>
      <c r="Z2552">
        <v>0</v>
      </c>
      <c r="AA2552">
        <v>57</v>
      </c>
      <c r="AB2552">
        <v>0</v>
      </c>
      <c r="AC2552">
        <v>28</v>
      </c>
      <c r="AD2552">
        <v>4</v>
      </c>
      <c r="AE2552">
        <v>0</v>
      </c>
      <c r="AF2552">
        <v>0</v>
      </c>
      <c r="AG2552">
        <v>0</v>
      </c>
      <c r="AH2552" t="s">
        <v>132</v>
      </c>
      <c r="AI2552" s="1">
        <v>44221.71020833333</v>
      </c>
      <c r="AJ2552">
        <v>142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4</v>
      </c>
      <c r="AQ2552">
        <v>0</v>
      </c>
      <c r="AR2552">
        <v>0</v>
      </c>
      <c r="AS2552">
        <v>0</v>
      </c>
      <c r="AT2552" t="s">
        <v>90</v>
      </c>
      <c r="AU2552" s="1">
        <v>44221.713738425926</v>
      </c>
      <c r="AV2552">
        <v>39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4</v>
      </c>
      <c r="BC2552">
        <v>0</v>
      </c>
      <c r="BD2552">
        <v>0</v>
      </c>
      <c r="BE2552">
        <v>0</v>
      </c>
    </row>
    <row r="2553" spans="1:57" x14ac:dyDescent="0.45">
      <c r="A2553" t="s">
        <v>6115</v>
      </c>
      <c r="B2553" t="s">
        <v>79</v>
      </c>
      <c r="C2553" t="s">
        <v>4964</v>
      </c>
      <c r="D2553" t="s">
        <v>81</v>
      </c>
      <c r="E2553" s="2" t="str">
        <f>HYPERLINK("capsilon://?command=openfolder&amp;siteaddress=FAM.docvelocity-na8.net&amp;folderid=FXBE8A74A7-F028-6F87-9586-3C79CDBDD065","FX210111348")</f>
        <v>FX210111348</v>
      </c>
      <c r="F2553" t="s">
        <v>19</v>
      </c>
      <c r="G2553" t="s">
        <v>19</v>
      </c>
      <c r="H2553" t="s">
        <v>82</v>
      </c>
      <c r="I2553" t="s">
        <v>6116</v>
      </c>
      <c r="J2553">
        <v>66</v>
      </c>
      <c r="K2553" t="s">
        <v>84</v>
      </c>
      <c r="L2553" t="s">
        <v>85</v>
      </c>
      <c r="M2553" t="s">
        <v>86</v>
      </c>
      <c r="N2553">
        <v>3</v>
      </c>
      <c r="O2553" s="1">
        <v>44221.696932870371</v>
      </c>
      <c r="P2553" s="1">
        <v>44221.713865740741</v>
      </c>
      <c r="Q2553">
        <v>1078</v>
      </c>
      <c r="R2553">
        <v>385</v>
      </c>
      <c r="S2553" t="b">
        <v>0</v>
      </c>
      <c r="T2553" t="s">
        <v>87</v>
      </c>
      <c r="U2553" t="b">
        <v>0</v>
      </c>
      <c r="V2553" t="s">
        <v>242</v>
      </c>
      <c r="W2553" s="1">
        <v>44221.70076388889</v>
      </c>
      <c r="X2553">
        <v>296</v>
      </c>
      <c r="Y2553">
        <v>52</v>
      </c>
      <c r="Z2553">
        <v>0</v>
      </c>
      <c r="AA2553">
        <v>52</v>
      </c>
      <c r="AB2553">
        <v>0</v>
      </c>
      <c r="AC2553">
        <v>30</v>
      </c>
      <c r="AD2553">
        <v>14</v>
      </c>
      <c r="AE2553">
        <v>0</v>
      </c>
      <c r="AF2553">
        <v>0</v>
      </c>
      <c r="AG2553">
        <v>0</v>
      </c>
      <c r="AH2553" t="s">
        <v>132</v>
      </c>
      <c r="AI2553" s="1">
        <v>44221.708553240744</v>
      </c>
      <c r="AJ2553">
        <v>78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14</v>
      </c>
      <c r="AQ2553">
        <v>0</v>
      </c>
      <c r="AR2553">
        <v>0</v>
      </c>
      <c r="AS2553">
        <v>0</v>
      </c>
      <c r="AT2553" t="s">
        <v>90</v>
      </c>
      <c r="AU2553" s="1">
        <v>44221.713865740741</v>
      </c>
      <c r="AV2553">
        <v>11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14</v>
      </c>
      <c r="BC2553">
        <v>0</v>
      </c>
      <c r="BD2553">
        <v>0</v>
      </c>
      <c r="BE2553">
        <v>0</v>
      </c>
    </row>
    <row r="2554" spans="1:57" x14ac:dyDescent="0.45">
      <c r="A2554" t="s">
        <v>6117</v>
      </c>
      <c r="B2554" t="s">
        <v>79</v>
      </c>
      <c r="C2554" t="s">
        <v>6113</v>
      </c>
      <c r="D2554" t="s">
        <v>81</v>
      </c>
      <c r="E2554" s="2" t="str">
        <f>HYPERLINK("capsilon://?command=openfolder&amp;siteaddress=FAM.docvelocity-na8.net&amp;folderid=FX947750FC-64FB-5124-4ACD-983BD5DA2C3C","FX201221810")</f>
        <v>FX201221810</v>
      </c>
      <c r="F2554" t="s">
        <v>19</v>
      </c>
      <c r="G2554" t="s">
        <v>19</v>
      </c>
      <c r="H2554" t="s">
        <v>82</v>
      </c>
      <c r="I2554" t="s">
        <v>6118</v>
      </c>
      <c r="J2554">
        <v>71</v>
      </c>
      <c r="K2554" t="s">
        <v>84</v>
      </c>
      <c r="L2554" t="s">
        <v>85</v>
      </c>
      <c r="M2554" t="s">
        <v>86</v>
      </c>
      <c r="N2554">
        <v>3</v>
      </c>
      <c r="O2554" s="1">
        <v>44221.697314814817</v>
      </c>
      <c r="P2554" s="1">
        <v>44222.34915509259</v>
      </c>
      <c r="Q2554">
        <v>54718</v>
      </c>
      <c r="R2554">
        <v>1601</v>
      </c>
      <c r="S2554" t="b">
        <v>0</v>
      </c>
      <c r="T2554" t="s">
        <v>87</v>
      </c>
      <c r="U2554" t="b">
        <v>0</v>
      </c>
      <c r="V2554" t="s">
        <v>146</v>
      </c>
      <c r="W2554" s="1">
        <v>44221.71366898148</v>
      </c>
      <c r="X2554">
        <v>1364</v>
      </c>
      <c r="Y2554">
        <v>67</v>
      </c>
      <c r="Z2554">
        <v>0</v>
      </c>
      <c r="AA2554">
        <v>67</v>
      </c>
      <c r="AB2554">
        <v>0</v>
      </c>
      <c r="AC2554">
        <v>33</v>
      </c>
      <c r="AD2554">
        <v>4</v>
      </c>
      <c r="AE2554">
        <v>0</v>
      </c>
      <c r="AF2554">
        <v>0</v>
      </c>
      <c r="AG2554">
        <v>0</v>
      </c>
      <c r="AH2554" t="s">
        <v>132</v>
      </c>
      <c r="AI2554" s="1">
        <v>44221.716168981482</v>
      </c>
      <c r="AJ2554">
        <v>193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4</v>
      </c>
      <c r="AQ2554">
        <v>0</v>
      </c>
      <c r="AR2554">
        <v>0</v>
      </c>
      <c r="AS2554">
        <v>0</v>
      </c>
      <c r="AT2554" t="s">
        <v>90</v>
      </c>
      <c r="AU2554" s="1">
        <v>44222.34915509259</v>
      </c>
      <c r="AV2554">
        <v>44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4</v>
      </c>
      <c r="BC2554">
        <v>0</v>
      </c>
      <c r="BD2554">
        <v>0</v>
      </c>
      <c r="BE2554">
        <v>0</v>
      </c>
    </row>
    <row r="2555" spans="1:57" hidden="1" x14ac:dyDescent="0.45">
      <c r="A2555" t="s">
        <v>6119</v>
      </c>
      <c r="B2555" t="s">
        <v>79</v>
      </c>
      <c r="C2555" t="s">
        <v>3682</v>
      </c>
      <c r="D2555" t="s">
        <v>81</v>
      </c>
      <c r="E2555" s="2" t="str">
        <f>HYPERLINK("capsilon://?command=openfolder&amp;siteaddress=FAM.docvelocity-na8.net&amp;folderid=FXFC96FBBA-BDEC-9F7C-6772-318E713E588C","FX20123139")</f>
        <v>FX20123139</v>
      </c>
      <c r="F2555" t="s">
        <v>19</v>
      </c>
      <c r="G2555" t="s">
        <v>19</v>
      </c>
      <c r="H2555" t="s">
        <v>82</v>
      </c>
      <c r="I2555" t="s">
        <v>6120</v>
      </c>
      <c r="J2555">
        <v>66</v>
      </c>
      <c r="K2555" t="s">
        <v>84</v>
      </c>
      <c r="L2555" t="s">
        <v>85</v>
      </c>
      <c r="M2555" t="s">
        <v>86</v>
      </c>
      <c r="N2555">
        <v>3</v>
      </c>
      <c r="O2555" s="1">
        <v>44221.700891203705</v>
      </c>
      <c r="P2555" s="1">
        <v>44221.713900462964</v>
      </c>
      <c r="Q2555">
        <v>1026</v>
      </c>
      <c r="R2555">
        <v>98</v>
      </c>
      <c r="S2555" t="b">
        <v>0</v>
      </c>
      <c r="T2555" t="s">
        <v>87</v>
      </c>
      <c r="U2555" t="b">
        <v>0</v>
      </c>
      <c r="V2555" t="s">
        <v>255</v>
      </c>
      <c r="W2555" s="1">
        <v>44221.704444444447</v>
      </c>
      <c r="X2555">
        <v>77</v>
      </c>
      <c r="Y2555">
        <v>0</v>
      </c>
      <c r="Z2555">
        <v>0</v>
      </c>
      <c r="AA2555">
        <v>0</v>
      </c>
      <c r="AB2555">
        <v>52</v>
      </c>
      <c r="AC2555">
        <v>0</v>
      </c>
      <c r="AD2555">
        <v>66</v>
      </c>
      <c r="AE2555">
        <v>0</v>
      </c>
      <c r="AF2555">
        <v>0</v>
      </c>
      <c r="AG2555">
        <v>0</v>
      </c>
      <c r="AH2555" t="s">
        <v>128</v>
      </c>
      <c r="AI2555" s="1">
        <v>44221.708067129628</v>
      </c>
      <c r="AJ2555">
        <v>8</v>
      </c>
      <c r="AK2555">
        <v>0</v>
      </c>
      <c r="AL2555">
        <v>0</v>
      </c>
      <c r="AM2555">
        <v>0</v>
      </c>
      <c r="AN2555">
        <v>52</v>
      </c>
      <c r="AO2555">
        <v>0</v>
      </c>
      <c r="AP2555">
        <v>66</v>
      </c>
      <c r="AQ2555">
        <v>0</v>
      </c>
      <c r="AR2555">
        <v>0</v>
      </c>
      <c r="AS2555">
        <v>0</v>
      </c>
      <c r="AT2555" t="s">
        <v>90</v>
      </c>
      <c r="AU2555" s="1">
        <v>44221.713900462964</v>
      </c>
      <c r="AV2555">
        <v>2</v>
      </c>
      <c r="AW2555">
        <v>0</v>
      </c>
      <c r="AX2555">
        <v>0</v>
      </c>
      <c r="AY2555">
        <v>0</v>
      </c>
      <c r="AZ2555">
        <v>52</v>
      </c>
      <c r="BA2555">
        <v>0</v>
      </c>
      <c r="BB2555">
        <v>66</v>
      </c>
      <c r="BC2555">
        <v>0</v>
      </c>
      <c r="BD2555">
        <v>0</v>
      </c>
      <c r="BE2555">
        <v>0</v>
      </c>
    </row>
    <row r="2556" spans="1:57" x14ac:dyDescent="0.45">
      <c r="A2556" t="s">
        <v>6121</v>
      </c>
      <c r="B2556" t="s">
        <v>79</v>
      </c>
      <c r="C2556" t="s">
        <v>5380</v>
      </c>
      <c r="D2556" t="s">
        <v>81</v>
      </c>
      <c r="E2556" s="2" t="str">
        <f>HYPERLINK("capsilon://?command=openfolder&amp;siteaddress=FAM.docvelocity-na8.net&amp;folderid=FXC4E94AC7-EE66-9E3A-8746-6AAA12F43DC0","FX210113798")</f>
        <v>FX210113798</v>
      </c>
      <c r="F2556" t="s">
        <v>19</v>
      </c>
      <c r="G2556" t="s">
        <v>19</v>
      </c>
      <c r="H2556" t="s">
        <v>82</v>
      </c>
      <c r="I2556" t="s">
        <v>6122</v>
      </c>
      <c r="J2556">
        <v>66</v>
      </c>
      <c r="K2556" t="s">
        <v>84</v>
      </c>
      <c r="L2556" t="s">
        <v>85</v>
      </c>
      <c r="M2556" t="s">
        <v>86</v>
      </c>
      <c r="N2556">
        <v>3</v>
      </c>
      <c r="O2556" s="1">
        <v>44221.704039351855</v>
      </c>
      <c r="P2556" s="1">
        <v>44221.714131944442</v>
      </c>
      <c r="Q2556">
        <v>380</v>
      </c>
      <c r="R2556">
        <v>492</v>
      </c>
      <c r="S2556" t="b">
        <v>0</v>
      </c>
      <c r="T2556" t="s">
        <v>87</v>
      </c>
      <c r="U2556" t="b">
        <v>0</v>
      </c>
      <c r="V2556" t="s">
        <v>255</v>
      </c>
      <c r="W2556" s="1">
        <v>44221.70789351852</v>
      </c>
      <c r="X2556">
        <v>297</v>
      </c>
      <c r="Y2556">
        <v>52</v>
      </c>
      <c r="Z2556">
        <v>0</v>
      </c>
      <c r="AA2556">
        <v>52</v>
      </c>
      <c r="AB2556">
        <v>0</v>
      </c>
      <c r="AC2556">
        <v>38</v>
      </c>
      <c r="AD2556">
        <v>14</v>
      </c>
      <c r="AE2556">
        <v>0</v>
      </c>
      <c r="AF2556">
        <v>0</v>
      </c>
      <c r="AG2556">
        <v>0</v>
      </c>
      <c r="AH2556" t="s">
        <v>128</v>
      </c>
      <c r="AI2556" s="1">
        <v>44221.710115740738</v>
      </c>
      <c r="AJ2556">
        <v>176</v>
      </c>
      <c r="AK2556">
        <v>1</v>
      </c>
      <c r="AL2556">
        <v>0</v>
      </c>
      <c r="AM2556">
        <v>1</v>
      </c>
      <c r="AN2556">
        <v>0</v>
      </c>
      <c r="AO2556">
        <v>1</v>
      </c>
      <c r="AP2556">
        <v>13</v>
      </c>
      <c r="AQ2556">
        <v>0</v>
      </c>
      <c r="AR2556">
        <v>0</v>
      </c>
      <c r="AS2556">
        <v>0</v>
      </c>
      <c r="AT2556" t="s">
        <v>90</v>
      </c>
      <c r="AU2556" s="1">
        <v>44221.714131944442</v>
      </c>
      <c r="AV2556">
        <v>19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13</v>
      </c>
      <c r="BC2556">
        <v>0</v>
      </c>
      <c r="BD2556">
        <v>0</v>
      </c>
      <c r="BE2556">
        <v>0</v>
      </c>
    </row>
    <row r="2557" spans="1:57" hidden="1" x14ac:dyDescent="0.45">
      <c r="A2557" t="s">
        <v>6123</v>
      </c>
      <c r="B2557" t="s">
        <v>79</v>
      </c>
      <c r="C2557" t="s">
        <v>6124</v>
      </c>
      <c r="D2557" t="s">
        <v>81</v>
      </c>
      <c r="E2557" s="2" t="str">
        <f>HYPERLINK("capsilon://?command=openfolder&amp;siteaddress=FAM.docvelocity-na8.net&amp;folderid=FXF1181C4B-F313-8D2E-6955-C66C4B7D4BE0","FX20123663")</f>
        <v>FX20123663</v>
      </c>
      <c r="F2557" t="s">
        <v>19</v>
      </c>
      <c r="G2557" t="s">
        <v>19</v>
      </c>
      <c r="H2557" t="s">
        <v>82</v>
      </c>
      <c r="I2557" t="s">
        <v>6125</v>
      </c>
      <c r="J2557">
        <v>37</v>
      </c>
      <c r="K2557" t="s">
        <v>84</v>
      </c>
      <c r="L2557" t="s">
        <v>85</v>
      </c>
      <c r="M2557" t="s">
        <v>86</v>
      </c>
      <c r="N2557">
        <v>3</v>
      </c>
      <c r="O2557" s="1">
        <v>44221.707199074073</v>
      </c>
      <c r="P2557" s="1">
        <v>44221.714166666665</v>
      </c>
      <c r="Q2557">
        <v>483</v>
      </c>
      <c r="R2557">
        <v>119</v>
      </c>
      <c r="S2557" t="b">
        <v>0</v>
      </c>
      <c r="T2557" t="s">
        <v>87</v>
      </c>
      <c r="U2557" t="b">
        <v>0</v>
      </c>
      <c r="V2557" t="s">
        <v>255</v>
      </c>
      <c r="W2557" s="1">
        <v>44221.709085648145</v>
      </c>
      <c r="X2557">
        <v>102</v>
      </c>
      <c r="Y2557">
        <v>0</v>
      </c>
      <c r="Z2557">
        <v>0</v>
      </c>
      <c r="AA2557">
        <v>0</v>
      </c>
      <c r="AB2557">
        <v>33</v>
      </c>
      <c r="AC2557">
        <v>0</v>
      </c>
      <c r="AD2557">
        <v>37</v>
      </c>
      <c r="AE2557">
        <v>0</v>
      </c>
      <c r="AF2557">
        <v>0</v>
      </c>
      <c r="AG2557">
        <v>0</v>
      </c>
      <c r="AH2557" t="s">
        <v>147</v>
      </c>
      <c r="AI2557" s="1">
        <v>44221.709722222222</v>
      </c>
      <c r="AJ2557">
        <v>15</v>
      </c>
      <c r="AK2557">
        <v>0</v>
      </c>
      <c r="AL2557">
        <v>0</v>
      </c>
      <c r="AM2557">
        <v>0</v>
      </c>
      <c r="AN2557">
        <v>33</v>
      </c>
      <c r="AO2557">
        <v>0</v>
      </c>
      <c r="AP2557">
        <v>37</v>
      </c>
      <c r="AQ2557">
        <v>0</v>
      </c>
      <c r="AR2557">
        <v>0</v>
      </c>
      <c r="AS2557">
        <v>0</v>
      </c>
      <c r="AT2557" t="s">
        <v>90</v>
      </c>
      <c r="AU2557" s="1">
        <v>44221.714166666665</v>
      </c>
      <c r="AV2557">
        <v>2</v>
      </c>
      <c r="AW2557">
        <v>0</v>
      </c>
      <c r="AX2557">
        <v>0</v>
      </c>
      <c r="AY2557">
        <v>0</v>
      </c>
      <c r="AZ2557">
        <v>33</v>
      </c>
      <c r="BA2557">
        <v>0</v>
      </c>
      <c r="BB2557">
        <v>37</v>
      </c>
      <c r="BC2557">
        <v>0</v>
      </c>
      <c r="BD2557">
        <v>0</v>
      </c>
      <c r="BE2557">
        <v>0</v>
      </c>
    </row>
    <row r="2558" spans="1:57" x14ac:dyDescent="0.45">
      <c r="A2558" t="s">
        <v>6126</v>
      </c>
      <c r="B2558" t="s">
        <v>79</v>
      </c>
      <c r="C2558" t="s">
        <v>4244</v>
      </c>
      <c r="D2558" t="s">
        <v>81</v>
      </c>
      <c r="E2558" s="2" t="str">
        <f>HYPERLINK("capsilon://?command=openfolder&amp;siteaddress=FAM.docvelocity-na8.net&amp;folderid=FXFC5D7CA9-429B-833C-B1E6-5FAED238F5C0","FX210110137")</f>
        <v>FX210110137</v>
      </c>
      <c r="F2558" t="s">
        <v>19</v>
      </c>
      <c r="G2558" t="s">
        <v>19</v>
      </c>
      <c r="H2558" t="s">
        <v>82</v>
      </c>
      <c r="I2558" t="s">
        <v>6127</v>
      </c>
      <c r="J2558">
        <v>66</v>
      </c>
      <c r="K2558" t="s">
        <v>84</v>
      </c>
      <c r="L2558" t="s">
        <v>85</v>
      </c>
      <c r="M2558" t="s">
        <v>86</v>
      </c>
      <c r="N2558">
        <v>3</v>
      </c>
      <c r="O2558" s="1">
        <v>44221.707442129627</v>
      </c>
      <c r="P2558" s="1">
        <v>44221.714375000003</v>
      </c>
      <c r="Q2558">
        <v>193</v>
      </c>
      <c r="R2558">
        <v>406</v>
      </c>
      <c r="S2558" t="b">
        <v>0</v>
      </c>
      <c r="T2558" t="s">
        <v>87</v>
      </c>
      <c r="U2558" t="b">
        <v>0</v>
      </c>
      <c r="V2558" t="s">
        <v>242</v>
      </c>
      <c r="W2558" s="1">
        <v>44221.711377314816</v>
      </c>
      <c r="X2558">
        <v>292</v>
      </c>
      <c r="Y2558">
        <v>52</v>
      </c>
      <c r="Z2558">
        <v>0</v>
      </c>
      <c r="AA2558">
        <v>52</v>
      </c>
      <c r="AB2558">
        <v>0</v>
      </c>
      <c r="AC2558">
        <v>34</v>
      </c>
      <c r="AD2558">
        <v>14</v>
      </c>
      <c r="AE2558">
        <v>0</v>
      </c>
      <c r="AF2558">
        <v>0</v>
      </c>
      <c r="AG2558">
        <v>0</v>
      </c>
      <c r="AH2558" t="s">
        <v>132</v>
      </c>
      <c r="AI2558" s="1">
        <v>44221.713356481479</v>
      </c>
      <c r="AJ2558">
        <v>97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14</v>
      </c>
      <c r="AQ2558">
        <v>0</v>
      </c>
      <c r="AR2558">
        <v>0</v>
      </c>
      <c r="AS2558">
        <v>0</v>
      </c>
      <c r="AT2558" t="s">
        <v>90</v>
      </c>
      <c r="AU2558" s="1">
        <v>44221.714375000003</v>
      </c>
      <c r="AV2558">
        <v>17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14</v>
      </c>
      <c r="BC2558">
        <v>0</v>
      </c>
      <c r="BD2558">
        <v>0</v>
      </c>
      <c r="BE2558">
        <v>0</v>
      </c>
    </row>
    <row r="2559" spans="1:57" x14ac:dyDescent="0.45">
      <c r="A2559" t="s">
        <v>6128</v>
      </c>
      <c r="B2559" t="s">
        <v>79</v>
      </c>
      <c r="C2559" t="s">
        <v>4603</v>
      </c>
      <c r="D2559" t="s">
        <v>81</v>
      </c>
      <c r="E2559" s="2" t="str">
        <f>HYPERLINK("capsilon://?command=openfolder&amp;siteaddress=FAM.docvelocity-na8.net&amp;folderid=FX81C9A955-138E-BCEE-B1EC-925A0EC17279","FX201229196")</f>
        <v>FX201229196</v>
      </c>
      <c r="F2559" t="s">
        <v>19</v>
      </c>
      <c r="G2559" t="s">
        <v>19</v>
      </c>
      <c r="H2559" t="s">
        <v>82</v>
      </c>
      <c r="I2559" t="s">
        <v>6129</v>
      </c>
      <c r="J2559">
        <v>66</v>
      </c>
      <c r="K2559" t="s">
        <v>84</v>
      </c>
      <c r="L2559" t="s">
        <v>85</v>
      </c>
      <c r="M2559" t="s">
        <v>86</v>
      </c>
      <c r="N2559">
        <v>3</v>
      </c>
      <c r="O2559" s="1">
        <v>44221.711631944447</v>
      </c>
      <c r="P2559" s="1">
        <v>44222.349293981482</v>
      </c>
      <c r="Q2559">
        <v>54171</v>
      </c>
      <c r="R2559">
        <v>923</v>
      </c>
      <c r="S2559" t="b">
        <v>0</v>
      </c>
      <c r="T2559" t="s">
        <v>87</v>
      </c>
      <c r="U2559" t="b">
        <v>0</v>
      </c>
      <c r="V2559" t="s">
        <v>255</v>
      </c>
      <c r="W2559" s="1">
        <v>44221.729583333334</v>
      </c>
      <c r="X2559">
        <v>639</v>
      </c>
      <c r="Y2559">
        <v>52</v>
      </c>
      <c r="Z2559">
        <v>0</v>
      </c>
      <c r="AA2559">
        <v>52</v>
      </c>
      <c r="AB2559">
        <v>0</v>
      </c>
      <c r="AC2559">
        <v>42</v>
      </c>
      <c r="AD2559">
        <v>14</v>
      </c>
      <c r="AE2559">
        <v>0</v>
      </c>
      <c r="AF2559">
        <v>0</v>
      </c>
      <c r="AG2559">
        <v>0</v>
      </c>
      <c r="AH2559" t="s">
        <v>132</v>
      </c>
      <c r="AI2559" s="1">
        <v>44221.733090277776</v>
      </c>
      <c r="AJ2559">
        <v>243</v>
      </c>
      <c r="AK2559">
        <v>2</v>
      </c>
      <c r="AL2559">
        <v>0</v>
      </c>
      <c r="AM2559">
        <v>2</v>
      </c>
      <c r="AN2559">
        <v>0</v>
      </c>
      <c r="AO2559">
        <v>1</v>
      </c>
      <c r="AP2559">
        <v>12</v>
      </c>
      <c r="AQ2559">
        <v>0</v>
      </c>
      <c r="AR2559">
        <v>0</v>
      </c>
      <c r="AS2559">
        <v>0</v>
      </c>
      <c r="AT2559" t="s">
        <v>90</v>
      </c>
      <c r="AU2559" s="1">
        <v>44222.349293981482</v>
      </c>
      <c r="AV2559">
        <v>12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12</v>
      </c>
      <c r="BC2559">
        <v>0</v>
      </c>
      <c r="BD2559">
        <v>0</v>
      </c>
      <c r="BE2559">
        <v>0</v>
      </c>
    </row>
    <row r="2560" spans="1:57" x14ac:dyDescent="0.45">
      <c r="A2560" t="s">
        <v>6130</v>
      </c>
      <c r="B2560" t="s">
        <v>79</v>
      </c>
      <c r="C2560" t="s">
        <v>6131</v>
      </c>
      <c r="D2560" t="s">
        <v>81</v>
      </c>
      <c r="E2560" s="2" t="str">
        <f>HYPERLINK("capsilon://?command=openfolder&amp;siteaddress=FAM.docvelocity-na8.net&amp;folderid=FXAE9AD533-2AC3-1BA3-550D-16753958B52C","FX20128424")</f>
        <v>FX20128424</v>
      </c>
      <c r="F2560" t="s">
        <v>19</v>
      </c>
      <c r="G2560" t="s">
        <v>19</v>
      </c>
      <c r="H2560" t="s">
        <v>82</v>
      </c>
      <c r="I2560" t="s">
        <v>6132</v>
      </c>
      <c r="J2560">
        <v>113</v>
      </c>
      <c r="K2560" t="s">
        <v>84</v>
      </c>
      <c r="L2560" t="s">
        <v>85</v>
      </c>
      <c r="M2560" t="s">
        <v>86</v>
      </c>
      <c r="N2560">
        <v>3</v>
      </c>
      <c r="O2560" s="1">
        <v>44221.717245370368</v>
      </c>
      <c r="P2560" s="1">
        <v>44222.350023148145</v>
      </c>
      <c r="Q2560">
        <v>53603</v>
      </c>
      <c r="R2560">
        <v>1069</v>
      </c>
      <c r="S2560" t="b">
        <v>0</v>
      </c>
      <c r="T2560" t="s">
        <v>87</v>
      </c>
      <c r="U2560" t="b">
        <v>0</v>
      </c>
      <c r="V2560" t="s">
        <v>255</v>
      </c>
      <c r="W2560" s="1">
        <v>44221.737754629627</v>
      </c>
      <c r="X2560">
        <v>705</v>
      </c>
      <c r="Y2560">
        <v>207</v>
      </c>
      <c r="Z2560">
        <v>0</v>
      </c>
      <c r="AA2560">
        <v>207</v>
      </c>
      <c r="AB2560">
        <v>0</v>
      </c>
      <c r="AC2560">
        <v>169</v>
      </c>
      <c r="AD2560">
        <v>-94</v>
      </c>
      <c r="AE2560">
        <v>0</v>
      </c>
      <c r="AF2560">
        <v>0</v>
      </c>
      <c r="AG2560">
        <v>0</v>
      </c>
      <c r="AH2560" t="s">
        <v>132</v>
      </c>
      <c r="AI2560" s="1">
        <v>44221.747303240743</v>
      </c>
      <c r="AJ2560">
        <v>301</v>
      </c>
      <c r="AK2560">
        <v>3</v>
      </c>
      <c r="AL2560">
        <v>0</v>
      </c>
      <c r="AM2560">
        <v>3</v>
      </c>
      <c r="AN2560">
        <v>0</v>
      </c>
      <c r="AO2560">
        <v>2</v>
      </c>
      <c r="AP2560">
        <v>-97</v>
      </c>
      <c r="AQ2560">
        <v>0</v>
      </c>
      <c r="AR2560">
        <v>0</v>
      </c>
      <c r="AS2560">
        <v>0</v>
      </c>
      <c r="AT2560" t="s">
        <v>90</v>
      </c>
      <c r="AU2560" s="1">
        <v>44222.350023148145</v>
      </c>
      <c r="AV2560">
        <v>63</v>
      </c>
      <c r="AW2560">
        <v>2</v>
      </c>
      <c r="AX2560">
        <v>0</v>
      </c>
      <c r="AY2560">
        <v>2</v>
      </c>
      <c r="AZ2560">
        <v>0</v>
      </c>
      <c r="BA2560">
        <v>2</v>
      </c>
      <c r="BB2560">
        <v>-99</v>
      </c>
      <c r="BC2560">
        <v>0</v>
      </c>
      <c r="BD2560">
        <v>0</v>
      </c>
      <c r="BE2560">
        <v>0</v>
      </c>
    </row>
    <row r="2561" spans="1:57" x14ac:dyDescent="0.45">
      <c r="A2561" t="s">
        <v>6133</v>
      </c>
      <c r="B2561" t="s">
        <v>79</v>
      </c>
      <c r="C2561" t="s">
        <v>6131</v>
      </c>
      <c r="D2561" t="s">
        <v>81</v>
      </c>
      <c r="E2561" s="2" t="str">
        <f>HYPERLINK("capsilon://?command=openfolder&amp;siteaddress=FAM.docvelocity-na8.net&amp;folderid=FXAE9AD533-2AC3-1BA3-550D-16753958B52C","FX20128424")</f>
        <v>FX20128424</v>
      </c>
      <c r="F2561" t="s">
        <v>19</v>
      </c>
      <c r="G2561" t="s">
        <v>19</v>
      </c>
      <c r="H2561" t="s">
        <v>82</v>
      </c>
      <c r="I2561" t="s">
        <v>6134</v>
      </c>
      <c r="J2561">
        <v>38</v>
      </c>
      <c r="K2561" t="s">
        <v>84</v>
      </c>
      <c r="L2561" t="s">
        <v>85</v>
      </c>
      <c r="M2561" t="s">
        <v>86</v>
      </c>
      <c r="N2561">
        <v>3</v>
      </c>
      <c r="O2561" s="1">
        <v>44221.719942129632</v>
      </c>
      <c r="P2561" s="1">
        <v>44222.350092592591</v>
      </c>
      <c r="Q2561">
        <v>53380</v>
      </c>
      <c r="R2561">
        <v>1065</v>
      </c>
      <c r="S2561" t="b">
        <v>0</v>
      </c>
      <c r="T2561" t="s">
        <v>87</v>
      </c>
      <c r="U2561" t="b">
        <v>0</v>
      </c>
      <c r="V2561" t="s">
        <v>179</v>
      </c>
      <c r="W2561" s="1">
        <v>44221.742997685185</v>
      </c>
      <c r="X2561">
        <v>993</v>
      </c>
      <c r="Y2561">
        <v>37</v>
      </c>
      <c r="Z2561">
        <v>0</v>
      </c>
      <c r="AA2561">
        <v>37</v>
      </c>
      <c r="AB2561">
        <v>0</v>
      </c>
      <c r="AC2561">
        <v>34</v>
      </c>
      <c r="AD2561">
        <v>1</v>
      </c>
      <c r="AE2561">
        <v>0</v>
      </c>
      <c r="AF2561">
        <v>0</v>
      </c>
      <c r="AG2561">
        <v>0</v>
      </c>
      <c r="AH2561" t="s">
        <v>132</v>
      </c>
      <c r="AI2561" s="1">
        <v>44221.748090277775</v>
      </c>
      <c r="AJ2561">
        <v>67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 t="s">
        <v>90</v>
      </c>
      <c r="AU2561" s="1">
        <v>44222.350092592591</v>
      </c>
      <c r="AV2561">
        <v>5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1</v>
      </c>
      <c r="BC2561">
        <v>0</v>
      </c>
      <c r="BD2561">
        <v>0</v>
      </c>
      <c r="BE2561">
        <v>0</v>
      </c>
    </row>
    <row r="2562" spans="1:57" x14ac:dyDescent="0.45">
      <c r="A2562" t="s">
        <v>6135</v>
      </c>
      <c r="B2562" t="s">
        <v>79</v>
      </c>
      <c r="C2562" t="s">
        <v>6136</v>
      </c>
      <c r="D2562" t="s">
        <v>81</v>
      </c>
      <c r="E2562" s="2" t="str">
        <f>HYPERLINK("capsilon://?command=openfolder&amp;siteaddress=FAM.docvelocity-na8.net&amp;folderid=FX4BE60542-6B8A-1BE5-D187-034EE087F836","FX210111074")</f>
        <v>FX210111074</v>
      </c>
      <c r="F2562" t="s">
        <v>19</v>
      </c>
      <c r="G2562" t="s">
        <v>19</v>
      </c>
      <c r="H2562" t="s">
        <v>82</v>
      </c>
      <c r="I2562" t="s">
        <v>6137</v>
      </c>
      <c r="J2562">
        <v>577</v>
      </c>
      <c r="K2562" t="s">
        <v>84</v>
      </c>
      <c r="L2562" t="s">
        <v>85</v>
      </c>
      <c r="M2562" t="s">
        <v>86</v>
      </c>
      <c r="N2562">
        <v>3</v>
      </c>
      <c r="O2562" s="1">
        <v>44221.725011574075</v>
      </c>
      <c r="P2562" s="1">
        <v>44222.350543981483</v>
      </c>
      <c r="Q2562">
        <v>47442</v>
      </c>
      <c r="R2562">
        <v>6604</v>
      </c>
      <c r="S2562" t="b">
        <v>0</v>
      </c>
      <c r="T2562" t="s">
        <v>87</v>
      </c>
      <c r="U2562" t="b">
        <v>0</v>
      </c>
      <c r="V2562" t="s">
        <v>146</v>
      </c>
      <c r="W2562" s="1">
        <v>44221.800937499997</v>
      </c>
      <c r="X2562">
        <v>5973</v>
      </c>
      <c r="Y2562">
        <v>415</v>
      </c>
      <c r="Z2562">
        <v>0</v>
      </c>
      <c r="AA2562">
        <v>415</v>
      </c>
      <c r="AB2562">
        <v>141</v>
      </c>
      <c r="AC2562">
        <v>259</v>
      </c>
      <c r="AD2562">
        <v>162</v>
      </c>
      <c r="AE2562">
        <v>0</v>
      </c>
      <c r="AF2562">
        <v>0</v>
      </c>
      <c r="AG2562">
        <v>0</v>
      </c>
      <c r="AH2562" t="s">
        <v>132</v>
      </c>
      <c r="AI2562" s="1">
        <v>44221.808599537035</v>
      </c>
      <c r="AJ2562">
        <v>593</v>
      </c>
      <c r="AK2562">
        <v>0</v>
      </c>
      <c r="AL2562">
        <v>0</v>
      </c>
      <c r="AM2562">
        <v>0</v>
      </c>
      <c r="AN2562">
        <v>141</v>
      </c>
      <c r="AO2562">
        <v>0</v>
      </c>
      <c r="AP2562">
        <v>162</v>
      </c>
      <c r="AQ2562">
        <v>0</v>
      </c>
      <c r="AR2562">
        <v>0</v>
      </c>
      <c r="AS2562">
        <v>0</v>
      </c>
      <c r="AT2562" t="s">
        <v>90</v>
      </c>
      <c r="AU2562" s="1">
        <v>44222.350543981483</v>
      </c>
      <c r="AV2562">
        <v>38</v>
      </c>
      <c r="AW2562">
        <v>0</v>
      </c>
      <c r="AX2562">
        <v>0</v>
      </c>
      <c r="AY2562">
        <v>0</v>
      </c>
      <c r="AZ2562">
        <v>141</v>
      </c>
      <c r="BA2562">
        <v>0</v>
      </c>
      <c r="BB2562">
        <v>162</v>
      </c>
      <c r="BC2562">
        <v>0</v>
      </c>
      <c r="BD2562">
        <v>0</v>
      </c>
      <c r="BE2562">
        <v>0</v>
      </c>
    </row>
    <row r="2563" spans="1:57" x14ac:dyDescent="0.45">
      <c r="A2563" t="s">
        <v>6138</v>
      </c>
      <c r="B2563" t="s">
        <v>79</v>
      </c>
      <c r="C2563" t="s">
        <v>6124</v>
      </c>
      <c r="D2563" t="s">
        <v>81</v>
      </c>
      <c r="E2563" s="2" t="str">
        <f>HYPERLINK("capsilon://?command=openfolder&amp;siteaddress=FAM.docvelocity-na8.net&amp;folderid=FXF1181C4B-F313-8D2E-6955-C66C4B7D4BE0","FX20123663")</f>
        <v>FX20123663</v>
      </c>
      <c r="F2563" t="s">
        <v>19</v>
      </c>
      <c r="G2563" t="s">
        <v>19</v>
      </c>
      <c r="H2563" t="s">
        <v>82</v>
      </c>
      <c r="I2563" t="s">
        <v>6139</v>
      </c>
      <c r="J2563">
        <v>86</v>
      </c>
      <c r="K2563" t="s">
        <v>84</v>
      </c>
      <c r="L2563" t="s">
        <v>85</v>
      </c>
      <c r="M2563" t="s">
        <v>86</v>
      </c>
      <c r="N2563">
        <v>3</v>
      </c>
      <c r="O2563" s="1">
        <v>44221.733275462961</v>
      </c>
      <c r="P2563" s="1">
        <v>44222.351770833331</v>
      </c>
      <c r="Q2563">
        <v>52133</v>
      </c>
      <c r="R2563">
        <v>1305</v>
      </c>
      <c r="S2563" t="b">
        <v>0</v>
      </c>
      <c r="T2563" t="s">
        <v>87</v>
      </c>
      <c r="U2563" t="b">
        <v>0</v>
      </c>
      <c r="V2563" t="s">
        <v>171</v>
      </c>
      <c r="W2563" s="1">
        <v>44221.745462962965</v>
      </c>
      <c r="X2563">
        <v>1053</v>
      </c>
      <c r="Y2563">
        <v>86</v>
      </c>
      <c r="Z2563">
        <v>0</v>
      </c>
      <c r="AA2563">
        <v>86</v>
      </c>
      <c r="AB2563">
        <v>0</v>
      </c>
      <c r="AC2563">
        <v>59</v>
      </c>
      <c r="AD2563">
        <v>0</v>
      </c>
      <c r="AE2563">
        <v>0</v>
      </c>
      <c r="AF2563">
        <v>0</v>
      </c>
      <c r="AG2563">
        <v>0</v>
      </c>
      <c r="AH2563" t="s">
        <v>132</v>
      </c>
      <c r="AI2563" s="1">
        <v>44221.749791666669</v>
      </c>
      <c r="AJ2563">
        <v>146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 t="s">
        <v>90</v>
      </c>
      <c r="AU2563" s="1">
        <v>44222.351770833331</v>
      </c>
      <c r="AV2563">
        <v>106</v>
      </c>
      <c r="AW2563">
        <v>2</v>
      </c>
      <c r="AX2563">
        <v>0</v>
      </c>
      <c r="AY2563">
        <v>2</v>
      </c>
      <c r="AZ2563">
        <v>0</v>
      </c>
      <c r="BA2563">
        <v>2</v>
      </c>
      <c r="BB2563">
        <v>-2</v>
      </c>
      <c r="BC2563">
        <v>0</v>
      </c>
      <c r="BD2563">
        <v>0</v>
      </c>
      <c r="BE2563">
        <v>0</v>
      </c>
    </row>
    <row r="2564" spans="1:57" x14ac:dyDescent="0.45">
      <c r="A2564" t="s">
        <v>6140</v>
      </c>
      <c r="B2564" t="s">
        <v>79</v>
      </c>
      <c r="C2564" t="s">
        <v>3842</v>
      </c>
      <c r="D2564" t="s">
        <v>81</v>
      </c>
      <c r="E2564" s="2" t="str">
        <f>HYPERLINK("capsilon://?command=openfolder&amp;siteaddress=FAM.docvelocity-na8.net&amp;folderid=FX79FF3FCC-B436-693F-B594-C6DE45E07BE0","FX2101662")</f>
        <v>FX2101662</v>
      </c>
      <c r="F2564" t="s">
        <v>19</v>
      </c>
      <c r="G2564" t="s">
        <v>19</v>
      </c>
      <c r="H2564" t="s">
        <v>82</v>
      </c>
      <c r="I2564" t="s">
        <v>6141</v>
      </c>
      <c r="J2564">
        <v>270</v>
      </c>
      <c r="K2564" t="s">
        <v>84</v>
      </c>
      <c r="L2564" t="s">
        <v>85</v>
      </c>
      <c r="M2564" t="s">
        <v>86</v>
      </c>
      <c r="N2564">
        <v>3</v>
      </c>
      <c r="O2564" s="1">
        <v>44201.594386574077</v>
      </c>
      <c r="P2564" s="1">
        <v>44201.627349537041</v>
      </c>
      <c r="Q2564">
        <v>423</v>
      </c>
      <c r="R2564">
        <v>2425</v>
      </c>
      <c r="S2564" t="b">
        <v>0</v>
      </c>
      <c r="T2564" t="s">
        <v>87</v>
      </c>
      <c r="U2564" t="b">
        <v>0</v>
      </c>
      <c r="V2564" t="s">
        <v>255</v>
      </c>
      <c r="W2564" s="1">
        <v>44201.611759259256</v>
      </c>
      <c r="X2564">
        <v>1493</v>
      </c>
      <c r="Y2564">
        <v>180</v>
      </c>
      <c r="Z2564">
        <v>0</v>
      </c>
      <c r="AA2564">
        <v>180</v>
      </c>
      <c r="AB2564">
        <v>37</v>
      </c>
      <c r="AC2564">
        <v>81</v>
      </c>
      <c r="AD2564">
        <v>90</v>
      </c>
      <c r="AE2564">
        <v>0</v>
      </c>
      <c r="AF2564">
        <v>0</v>
      </c>
      <c r="AG2564">
        <v>0</v>
      </c>
      <c r="AH2564" t="s">
        <v>267</v>
      </c>
      <c r="AI2564" s="1">
        <v>44201.616550925923</v>
      </c>
      <c r="AJ2564">
        <v>318</v>
      </c>
      <c r="AK2564">
        <v>0</v>
      </c>
      <c r="AL2564">
        <v>0</v>
      </c>
      <c r="AM2564">
        <v>0</v>
      </c>
      <c r="AN2564">
        <v>37</v>
      </c>
      <c r="AO2564">
        <v>0</v>
      </c>
      <c r="AP2564">
        <v>90</v>
      </c>
      <c r="AQ2564">
        <v>0</v>
      </c>
      <c r="AR2564">
        <v>0</v>
      </c>
      <c r="AS2564">
        <v>0</v>
      </c>
      <c r="AT2564" t="s">
        <v>90</v>
      </c>
      <c r="AU2564" s="1">
        <v>44201.627349537041</v>
      </c>
      <c r="AV2564">
        <v>614</v>
      </c>
      <c r="AW2564">
        <v>0</v>
      </c>
      <c r="AX2564">
        <v>0</v>
      </c>
      <c r="AY2564">
        <v>0</v>
      </c>
      <c r="AZ2564">
        <v>37</v>
      </c>
      <c r="BA2564">
        <v>0</v>
      </c>
      <c r="BB2564">
        <v>90</v>
      </c>
      <c r="BC2564">
        <v>0</v>
      </c>
      <c r="BD2564">
        <v>0</v>
      </c>
      <c r="BE2564">
        <v>0</v>
      </c>
    </row>
    <row r="2565" spans="1:57" x14ac:dyDescent="0.45">
      <c r="A2565" t="s">
        <v>6142</v>
      </c>
      <c r="B2565" t="s">
        <v>79</v>
      </c>
      <c r="C2565" t="s">
        <v>2447</v>
      </c>
      <c r="D2565" t="s">
        <v>81</v>
      </c>
      <c r="E2565" s="2" t="str">
        <f>HYPERLINK("capsilon://?command=openfolder&amp;siteaddress=FAM.docvelocity-na8.net&amp;folderid=FX3F8FD789-1804-4CAB-F318-6DE32798B6DB","FX20123698")</f>
        <v>FX20123698</v>
      </c>
      <c r="F2565" t="s">
        <v>19</v>
      </c>
      <c r="G2565" t="s">
        <v>19</v>
      </c>
      <c r="H2565" t="s">
        <v>82</v>
      </c>
      <c r="I2565" t="s">
        <v>6143</v>
      </c>
      <c r="J2565">
        <v>38</v>
      </c>
      <c r="K2565" t="s">
        <v>84</v>
      </c>
      <c r="L2565" t="s">
        <v>85</v>
      </c>
      <c r="M2565" t="s">
        <v>86</v>
      </c>
      <c r="N2565">
        <v>3</v>
      </c>
      <c r="O2565" s="1">
        <v>44221.759594907409</v>
      </c>
      <c r="P2565" s="1">
        <v>44222.351875</v>
      </c>
      <c r="Q2565">
        <v>50138</v>
      </c>
      <c r="R2565">
        <v>1035</v>
      </c>
      <c r="S2565" t="b">
        <v>0</v>
      </c>
      <c r="T2565" t="s">
        <v>87</v>
      </c>
      <c r="U2565" t="b">
        <v>0</v>
      </c>
      <c r="V2565" t="s">
        <v>171</v>
      </c>
      <c r="W2565" s="1">
        <v>44221.770624999997</v>
      </c>
      <c r="X2565">
        <v>952</v>
      </c>
      <c r="Y2565">
        <v>37</v>
      </c>
      <c r="Z2565">
        <v>0</v>
      </c>
      <c r="AA2565">
        <v>37</v>
      </c>
      <c r="AB2565">
        <v>0</v>
      </c>
      <c r="AC2565">
        <v>34</v>
      </c>
      <c r="AD2565">
        <v>1</v>
      </c>
      <c r="AE2565">
        <v>0</v>
      </c>
      <c r="AF2565">
        <v>0</v>
      </c>
      <c r="AG2565">
        <v>0</v>
      </c>
      <c r="AH2565" t="s">
        <v>132</v>
      </c>
      <c r="AI2565" s="1">
        <v>44221.775567129633</v>
      </c>
      <c r="AJ2565">
        <v>75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</v>
      </c>
      <c r="AQ2565">
        <v>0</v>
      </c>
      <c r="AR2565">
        <v>0</v>
      </c>
      <c r="AS2565">
        <v>0</v>
      </c>
      <c r="AT2565" t="s">
        <v>90</v>
      </c>
      <c r="AU2565" s="1">
        <v>44222.351875</v>
      </c>
      <c r="AV2565">
        <v>8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1</v>
      </c>
      <c r="BC2565">
        <v>0</v>
      </c>
      <c r="BD2565">
        <v>0</v>
      </c>
      <c r="BE2565">
        <v>0</v>
      </c>
    </row>
    <row r="2566" spans="1:57" x14ac:dyDescent="0.45">
      <c r="A2566" t="s">
        <v>6144</v>
      </c>
      <c r="B2566" t="s">
        <v>79</v>
      </c>
      <c r="C2566" t="s">
        <v>6145</v>
      </c>
      <c r="D2566" t="s">
        <v>81</v>
      </c>
      <c r="E2566" s="2" t="str">
        <f>HYPERLINK("capsilon://?command=openfolder&amp;siteaddress=FAM.docvelocity-na8.net&amp;folderid=FX49A295F4-4DF8-F8F1-CE2D-8EC3DB42392B","FX210113408")</f>
        <v>FX210113408</v>
      </c>
      <c r="F2566" t="s">
        <v>19</v>
      </c>
      <c r="G2566" t="s">
        <v>19</v>
      </c>
      <c r="H2566" t="s">
        <v>82</v>
      </c>
      <c r="I2566" t="s">
        <v>6146</v>
      </c>
      <c r="J2566">
        <v>31</v>
      </c>
      <c r="K2566" t="s">
        <v>84</v>
      </c>
      <c r="L2566" t="s">
        <v>85</v>
      </c>
      <c r="M2566" t="s">
        <v>86</v>
      </c>
      <c r="N2566">
        <v>3</v>
      </c>
      <c r="O2566" s="1">
        <v>44221.763865740744</v>
      </c>
      <c r="P2566" s="1">
        <v>44222.361435185187</v>
      </c>
      <c r="Q2566">
        <v>49485</v>
      </c>
      <c r="R2566">
        <v>2145</v>
      </c>
      <c r="S2566" t="b">
        <v>0</v>
      </c>
      <c r="T2566" t="s">
        <v>87</v>
      </c>
      <c r="U2566" t="b">
        <v>0</v>
      </c>
      <c r="V2566" t="s">
        <v>179</v>
      </c>
      <c r="W2566" s="1">
        <v>44221.776643518519</v>
      </c>
      <c r="X2566">
        <v>1104</v>
      </c>
      <c r="Y2566">
        <v>59</v>
      </c>
      <c r="Z2566">
        <v>0</v>
      </c>
      <c r="AA2566">
        <v>59</v>
      </c>
      <c r="AB2566">
        <v>0</v>
      </c>
      <c r="AC2566">
        <v>47</v>
      </c>
      <c r="AD2566">
        <v>-28</v>
      </c>
      <c r="AE2566">
        <v>0</v>
      </c>
      <c r="AF2566">
        <v>0</v>
      </c>
      <c r="AG2566">
        <v>0</v>
      </c>
      <c r="AH2566" t="s">
        <v>147</v>
      </c>
      <c r="AI2566" s="1">
        <v>44221.780138888891</v>
      </c>
      <c r="AJ2566">
        <v>215</v>
      </c>
      <c r="AK2566">
        <v>1</v>
      </c>
      <c r="AL2566">
        <v>0</v>
      </c>
      <c r="AM2566">
        <v>1</v>
      </c>
      <c r="AN2566">
        <v>0</v>
      </c>
      <c r="AO2566">
        <v>0</v>
      </c>
      <c r="AP2566">
        <v>-29</v>
      </c>
      <c r="AQ2566">
        <v>0</v>
      </c>
      <c r="AR2566">
        <v>0</v>
      </c>
      <c r="AS2566">
        <v>0</v>
      </c>
      <c r="AT2566" t="s">
        <v>90</v>
      </c>
      <c r="AU2566" s="1">
        <v>44222.361435185187</v>
      </c>
      <c r="AV2566">
        <v>826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-29</v>
      </c>
      <c r="BC2566">
        <v>0</v>
      </c>
      <c r="BD2566">
        <v>0</v>
      </c>
      <c r="BE2566">
        <v>0</v>
      </c>
    </row>
    <row r="2567" spans="1:57" x14ac:dyDescent="0.45">
      <c r="A2567" t="s">
        <v>6147</v>
      </c>
      <c r="B2567" t="s">
        <v>79</v>
      </c>
      <c r="C2567" t="s">
        <v>5791</v>
      </c>
      <c r="D2567" t="s">
        <v>81</v>
      </c>
      <c r="E2567" s="2" t="str">
        <f>HYPERLINK("capsilon://?command=openfolder&amp;siteaddress=FAM.docvelocity-na8.net&amp;folderid=FX4185AD5D-3A40-BC9E-3786-2B54F49D4C0C","FX210115440")</f>
        <v>FX210115440</v>
      </c>
      <c r="F2567" t="s">
        <v>19</v>
      </c>
      <c r="G2567" t="s">
        <v>19</v>
      </c>
      <c r="H2567" t="s">
        <v>82</v>
      </c>
      <c r="I2567" t="s">
        <v>6148</v>
      </c>
      <c r="J2567">
        <v>66</v>
      </c>
      <c r="K2567" t="s">
        <v>84</v>
      </c>
      <c r="L2567" t="s">
        <v>85</v>
      </c>
      <c r="M2567" t="s">
        <v>86</v>
      </c>
      <c r="N2567">
        <v>3</v>
      </c>
      <c r="O2567" s="1">
        <v>44221.767743055556</v>
      </c>
      <c r="P2567" s="1">
        <v>44222.361712962964</v>
      </c>
      <c r="Q2567">
        <v>50189</v>
      </c>
      <c r="R2567">
        <v>1130</v>
      </c>
      <c r="S2567" t="b">
        <v>0</v>
      </c>
      <c r="T2567" t="s">
        <v>87</v>
      </c>
      <c r="U2567" t="b">
        <v>0</v>
      </c>
      <c r="V2567" t="s">
        <v>168</v>
      </c>
      <c r="W2567" s="1">
        <v>44221.77853009259</v>
      </c>
      <c r="X2567">
        <v>931</v>
      </c>
      <c r="Y2567">
        <v>52</v>
      </c>
      <c r="Z2567">
        <v>0</v>
      </c>
      <c r="AA2567">
        <v>52</v>
      </c>
      <c r="AB2567">
        <v>0</v>
      </c>
      <c r="AC2567">
        <v>32</v>
      </c>
      <c r="AD2567">
        <v>14</v>
      </c>
      <c r="AE2567">
        <v>0</v>
      </c>
      <c r="AF2567">
        <v>0</v>
      </c>
      <c r="AG2567">
        <v>0</v>
      </c>
      <c r="AH2567" t="s">
        <v>147</v>
      </c>
      <c r="AI2567" s="1">
        <v>44221.782187500001</v>
      </c>
      <c r="AJ2567">
        <v>176</v>
      </c>
      <c r="AK2567">
        <v>2</v>
      </c>
      <c r="AL2567">
        <v>0</v>
      </c>
      <c r="AM2567">
        <v>2</v>
      </c>
      <c r="AN2567">
        <v>0</v>
      </c>
      <c r="AO2567">
        <v>1</v>
      </c>
      <c r="AP2567">
        <v>12</v>
      </c>
      <c r="AQ2567">
        <v>0</v>
      </c>
      <c r="AR2567">
        <v>0</v>
      </c>
      <c r="AS2567">
        <v>0</v>
      </c>
      <c r="AT2567" t="s">
        <v>90</v>
      </c>
      <c r="AU2567" s="1">
        <v>44222.361712962964</v>
      </c>
      <c r="AV2567">
        <v>23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12</v>
      </c>
      <c r="BC2567">
        <v>0</v>
      </c>
      <c r="BD2567">
        <v>0</v>
      </c>
      <c r="BE2567">
        <v>0</v>
      </c>
    </row>
    <row r="2568" spans="1:57" x14ac:dyDescent="0.45">
      <c r="A2568" t="s">
        <v>6149</v>
      </c>
      <c r="B2568" t="s">
        <v>79</v>
      </c>
      <c r="C2568" t="s">
        <v>6145</v>
      </c>
      <c r="D2568" t="s">
        <v>81</v>
      </c>
      <c r="E2568" s="2" t="str">
        <f>HYPERLINK("capsilon://?command=openfolder&amp;siteaddress=FAM.docvelocity-na8.net&amp;folderid=FX49A295F4-4DF8-F8F1-CE2D-8EC3DB42392B","FX210113408")</f>
        <v>FX210113408</v>
      </c>
      <c r="F2568" t="s">
        <v>19</v>
      </c>
      <c r="G2568" t="s">
        <v>19</v>
      </c>
      <c r="H2568" t="s">
        <v>82</v>
      </c>
      <c r="I2568" t="s">
        <v>6150</v>
      </c>
      <c r="J2568">
        <v>37</v>
      </c>
      <c r="K2568" t="s">
        <v>84</v>
      </c>
      <c r="L2568" t="s">
        <v>85</v>
      </c>
      <c r="M2568" t="s">
        <v>86</v>
      </c>
      <c r="N2568">
        <v>3</v>
      </c>
      <c r="O2568" s="1">
        <v>44221.768645833334</v>
      </c>
      <c r="P2568" s="1">
        <v>44222.361828703702</v>
      </c>
      <c r="Q2568">
        <v>49863</v>
      </c>
      <c r="R2568">
        <v>1388</v>
      </c>
      <c r="S2568" t="b">
        <v>0</v>
      </c>
      <c r="T2568" t="s">
        <v>87</v>
      </c>
      <c r="U2568" t="b">
        <v>0</v>
      </c>
      <c r="V2568" t="s">
        <v>160</v>
      </c>
      <c r="W2568" s="1">
        <v>44221.782384259262</v>
      </c>
      <c r="X2568">
        <v>1186</v>
      </c>
      <c r="Y2568">
        <v>59</v>
      </c>
      <c r="Z2568">
        <v>0</v>
      </c>
      <c r="AA2568">
        <v>59</v>
      </c>
      <c r="AB2568">
        <v>0</v>
      </c>
      <c r="AC2568">
        <v>56</v>
      </c>
      <c r="AD2568">
        <v>-22</v>
      </c>
      <c r="AE2568">
        <v>0</v>
      </c>
      <c r="AF2568">
        <v>0</v>
      </c>
      <c r="AG2568">
        <v>0</v>
      </c>
      <c r="AH2568" t="s">
        <v>147</v>
      </c>
      <c r="AI2568" s="1">
        <v>44221.784629629627</v>
      </c>
      <c r="AJ2568">
        <v>193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-22</v>
      </c>
      <c r="AQ2568">
        <v>0</v>
      </c>
      <c r="AR2568">
        <v>0</v>
      </c>
      <c r="AS2568">
        <v>0</v>
      </c>
      <c r="AT2568" t="s">
        <v>90</v>
      </c>
      <c r="AU2568" s="1">
        <v>44222.361828703702</v>
      </c>
      <c r="AV2568">
        <v>9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-22</v>
      </c>
      <c r="BC2568">
        <v>0</v>
      </c>
      <c r="BD2568">
        <v>0</v>
      </c>
      <c r="BE2568">
        <v>0</v>
      </c>
    </row>
    <row r="2569" spans="1:57" hidden="1" x14ac:dyDescent="0.45">
      <c r="A2569" t="s">
        <v>6151</v>
      </c>
      <c r="B2569" t="s">
        <v>79</v>
      </c>
      <c r="C2569" t="s">
        <v>358</v>
      </c>
      <c r="D2569" t="s">
        <v>81</v>
      </c>
      <c r="E2569" s="2" t="str">
        <f>HYPERLINK("capsilon://?command=openfolder&amp;siteaddress=FAM.docvelocity-na8.net&amp;folderid=FX7015030B-92AD-1FD5-ECEA-50796840F6C0","FX201010020")</f>
        <v>FX201010020</v>
      </c>
      <c r="F2569" t="s">
        <v>19</v>
      </c>
      <c r="G2569" t="s">
        <v>19</v>
      </c>
      <c r="H2569" t="s">
        <v>82</v>
      </c>
      <c r="I2569" t="s">
        <v>6152</v>
      </c>
      <c r="J2569">
        <v>66</v>
      </c>
      <c r="K2569" t="s">
        <v>84</v>
      </c>
      <c r="L2569" t="s">
        <v>85</v>
      </c>
      <c r="M2569" t="s">
        <v>86</v>
      </c>
      <c r="N2569">
        <v>3</v>
      </c>
      <c r="O2569" s="1">
        <v>44221.773680555554</v>
      </c>
      <c r="P2569" s="1">
        <v>44222.362800925926</v>
      </c>
      <c r="Q2569">
        <v>50694</v>
      </c>
      <c r="R2569">
        <v>206</v>
      </c>
      <c r="S2569" t="b">
        <v>0</v>
      </c>
      <c r="T2569" t="s">
        <v>87</v>
      </c>
      <c r="U2569" t="b">
        <v>0</v>
      </c>
      <c r="V2569" t="s">
        <v>171</v>
      </c>
      <c r="W2569" s="1">
        <v>44221.774965277778</v>
      </c>
      <c r="X2569">
        <v>110</v>
      </c>
      <c r="Y2569">
        <v>0</v>
      </c>
      <c r="Z2569">
        <v>0</v>
      </c>
      <c r="AA2569">
        <v>0</v>
      </c>
      <c r="AB2569">
        <v>52</v>
      </c>
      <c r="AC2569">
        <v>0</v>
      </c>
      <c r="AD2569">
        <v>66</v>
      </c>
      <c r="AE2569">
        <v>0</v>
      </c>
      <c r="AF2569">
        <v>0</v>
      </c>
      <c r="AG2569">
        <v>0</v>
      </c>
      <c r="AH2569" t="s">
        <v>132</v>
      </c>
      <c r="AI2569" s="1">
        <v>44221.775729166664</v>
      </c>
      <c r="AJ2569">
        <v>13</v>
      </c>
      <c r="AK2569">
        <v>0</v>
      </c>
      <c r="AL2569">
        <v>0</v>
      </c>
      <c r="AM2569">
        <v>0</v>
      </c>
      <c r="AN2569">
        <v>52</v>
      </c>
      <c r="AO2569">
        <v>0</v>
      </c>
      <c r="AP2569">
        <v>66</v>
      </c>
      <c r="AQ2569">
        <v>0</v>
      </c>
      <c r="AR2569">
        <v>0</v>
      </c>
      <c r="AS2569">
        <v>0</v>
      </c>
      <c r="AT2569" t="s">
        <v>90</v>
      </c>
      <c r="AU2569" s="1">
        <v>44222.362800925926</v>
      </c>
      <c r="AV2569">
        <v>83</v>
      </c>
      <c r="AW2569">
        <v>0</v>
      </c>
      <c r="AX2569">
        <v>0</v>
      </c>
      <c r="AY2569">
        <v>0</v>
      </c>
      <c r="AZ2569">
        <v>52</v>
      </c>
      <c r="BA2569">
        <v>0</v>
      </c>
      <c r="BB2569">
        <v>66</v>
      </c>
      <c r="BC2569">
        <v>0</v>
      </c>
      <c r="BD2569">
        <v>0</v>
      </c>
      <c r="BE2569">
        <v>0</v>
      </c>
    </row>
    <row r="2570" spans="1:57" x14ac:dyDescent="0.45">
      <c r="A2570" t="s">
        <v>6153</v>
      </c>
      <c r="B2570" t="s">
        <v>79</v>
      </c>
      <c r="C2570" t="s">
        <v>6145</v>
      </c>
      <c r="D2570" t="s">
        <v>81</v>
      </c>
      <c r="E2570" s="2" t="str">
        <f>HYPERLINK("capsilon://?command=openfolder&amp;siteaddress=FAM.docvelocity-na8.net&amp;folderid=FX49A295F4-4DF8-F8F1-CE2D-8EC3DB42392B","FX210113408")</f>
        <v>FX210113408</v>
      </c>
      <c r="F2570" t="s">
        <v>19</v>
      </c>
      <c r="G2570" t="s">
        <v>19</v>
      </c>
      <c r="H2570" t="s">
        <v>82</v>
      </c>
      <c r="I2570" t="s">
        <v>6154</v>
      </c>
      <c r="J2570">
        <v>89</v>
      </c>
      <c r="K2570" t="s">
        <v>84</v>
      </c>
      <c r="L2570" t="s">
        <v>85</v>
      </c>
      <c r="M2570" t="s">
        <v>86</v>
      </c>
      <c r="N2570">
        <v>3</v>
      </c>
      <c r="O2570" s="1">
        <v>44221.778113425928</v>
      </c>
      <c r="P2570" s="1">
        <v>44222.362893518519</v>
      </c>
      <c r="Q2570">
        <v>49681</v>
      </c>
      <c r="R2570">
        <v>844</v>
      </c>
      <c r="S2570" t="b">
        <v>0</v>
      </c>
      <c r="T2570" t="s">
        <v>87</v>
      </c>
      <c r="U2570" t="b">
        <v>0</v>
      </c>
      <c r="V2570" t="s">
        <v>179</v>
      </c>
      <c r="W2570" s="1">
        <v>44221.785312499997</v>
      </c>
      <c r="X2570">
        <v>621</v>
      </c>
      <c r="Y2570">
        <v>69</v>
      </c>
      <c r="Z2570">
        <v>0</v>
      </c>
      <c r="AA2570">
        <v>69</v>
      </c>
      <c r="AB2570">
        <v>0</v>
      </c>
      <c r="AC2570">
        <v>11</v>
      </c>
      <c r="AD2570">
        <v>20</v>
      </c>
      <c r="AE2570">
        <v>0</v>
      </c>
      <c r="AF2570">
        <v>0</v>
      </c>
      <c r="AG2570">
        <v>0</v>
      </c>
      <c r="AH2570" t="s">
        <v>147</v>
      </c>
      <c r="AI2570" s="1">
        <v>44221.787824074076</v>
      </c>
      <c r="AJ2570">
        <v>216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20</v>
      </c>
      <c r="AQ2570">
        <v>0</v>
      </c>
      <c r="AR2570">
        <v>0</v>
      </c>
      <c r="AS2570">
        <v>0</v>
      </c>
      <c r="AT2570" t="s">
        <v>90</v>
      </c>
      <c r="AU2570" s="1">
        <v>44222.362893518519</v>
      </c>
      <c r="AV2570">
        <v>7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20</v>
      </c>
      <c r="BC2570">
        <v>0</v>
      </c>
      <c r="BD2570">
        <v>0</v>
      </c>
      <c r="BE2570">
        <v>0</v>
      </c>
    </row>
    <row r="2571" spans="1:57" x14ac:dyDescent="0.45">
      <c r="A2571" t="s">
        <v>6155</v>
      </c>
      <c r="B2571" t="s">
        <v>79</v>
      </c>
      <c r="C2571" t="s">
        <v>6145</v>
      </c>
      <c r="D2571" t="s">
        <v>81</v>
      </c>
      <c r="E2571" s="2" t="str">
        <f>HYPERLINK("capsilon://?command=openfolder&amp;siteaddress=FAM.docvelocity-na8.net&amp;folderid=FX49A295F4-4DF8-F8F1-CE2D-8EC3DB42392B","FX210113408")</f>
        <v>FX210113408</v>
      </c>
      <c r="F2571" t="s">
        <v>19</v>
      </c>
      <c r="G2571" t="s">
        <v>19</v>
      </c>
      <c r="H2571" t="s">
        <v>82</v>
      </c>
      <c r="I2571" t="s">
        <v>6156</v>
      </c>
      <c r="J2571">
        <v>31</v>
      </c>
      <c r="K2571" t="s">
        <v>84</v>
      </c>
      <c r="L2571" t="s">
        <v>85</v>
      </c>
      <c r="M2571" t="s">
        <v>86</v>
      </c>
      <c r="N2571">
        <v>3</v>
      </c>
      <c r="O2571" s="1">
        <v>44221.780995370369</v>
      </c>
      <c r="P2571" s="1">
        <v>44222.362939814811</v>
      </c>
      <c r="Q2571">
        <v>49481</v>
      </c>
      <c r="R2571">
        <v>799</v>
      </c>
      <c r="S2571" t="b">
        <v>0</v>
      </c>
      <c r="T2571" t="s">
        <v>87</v>
      </c>
      <c r="U2571" t="b">
        <v>0</v>
      </c>
      <c r="V2571" t="s">
        <v>171</v>
      </c>
      <c r="W2571" s="1">
        <v>44221.788043981483</v>
      </c>
      <c r="X2571">
        <v>609</v>
      </c>
      <c r="Y2571">
        <v>54</v>
      </c>
      <c r="Z2571">
        <v>0</v>
      </c>
      <c r="AA2571">
        <v>54</v>
      </c>
      <c r="AB2571">
        <v>0</v>
      </c>
      <c r="AC2571">
        <v>45</v>
      </c>
      <c r="AD2571">
        <v>-23</v>
      </c>
      <c r="AE2571">
        <v>0</v>
      </c>
      <c r="AF2571">
        <v>0</v>
      </c>
      <c r="AG2571">
        <v>0</v>
      </c>
      <c r="AH2571" t="s">
        <v>147</v>
      </c>
      <c r="AI2571" s="1">
        <v>44221.790219907409</v>
      </c>
      <c r="AJ2571">
        <v>187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-23</v>
      </c>
      <c r="AQ2571">
        <v>0</v>
      </c>
      <c r="AR2571">
        <v>0</v>
      </c>
      <c r="AS2571">
        <v>0</v>
      </c>
      <c r="AT2571" t="s">
        <v>90</v>
      </c>
      <c r="AU2571" s="1">
        <v>44222.362939814811</v>
      </c>
      <c r="AV2571">
        <v>3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-23</v>
      </c>
      <c r="BC2571">
        <v>0</v>
      </c>
      <c r="BD2571">
        <v>0</v>
      </c>
      <c r="BE2571">
        <v>0</v>
      </c>
    </row>
    <row r="2572" spans="1:57" x14ac:dyDescent="0.45">
      <c r="A2572" t="s">
        <v>6157</v>
      </c>
      <c r="B2572" t="s">
        <v>79</v>
      </c>
      <c r="C2572" t="s">
        <v>6145</v>
      </c>
      <c r="D2572" t="s">
        <v>81</v>
      </c>
      <c r="E2572" s="2" t="str">
        <f>HYPERLINK("capsilon://?command=openfolder&amp;siteaddress=FAM.docvelocity-na8.net&amp;folderid=FX49A295F4-4DF8-F8F1-CE2D-8EC3DB42392B","FX210113408")</f>
        <v>FX210113408</v>
      </c>
      <c r="F2572" t="s">
        <v>19</v>
      </c>
      <c r="G2572" t="s">
        <v>19</v>
      </c>
      <c r="H2572" t="s">
        <v>82</v>
      </c>
      <c r="I2572" t="s">
        <v>6158</v>
      </c>
      <c r="J2572">
        <v>31</v>
      </c>
      <c r="K2572" t="s">
        <v>84</v>
      </c>
      <c r="L2572" t="s">
        <v>85</v>
      </c>
      <c r="M2572" t="s">
        <v>86</v>
      </c>
      <c r="N2572">
        <v>3</v>
      </c>
      <c r="O2572" s="1">
        <v>44221.78197916667</v>
      </c>
      <c r="P2572" s="1">
        <v>44222.363009259258</v>
      </c>
      <c r="Q2572">
        <v>49199</v>
      </c>
      <c r="R2572">
        <v>1002</v>
      </c>
      <c r="S2572" t="b">
        <v>0</v>
      </c>
      <c r="T2572" t="s">
        <v>87</v>
      </c>
      <c r="U2572" t="b">
        <v>0</v>
      </c>
      <c r="V2572" t="s">
        <v>168</v>
      </c>
      <c r="W2572" s="1">
        <v>44221.791539351849</v>
      </c>
      <c r="X2572">
        <v>806</v>
      </c>
      <c r="Y2572">
        <v>59</v>
      </c>
      <c r="Z2572">
        <v>0</v>
      </c>
      <c r="AA2572">
        <v>59</v>
      </c>
      <c r="AB2572">
        <v>0</v>
      </c>
      <c r="AC2572">
        <v>47</v>
      </c>
      <c r="AD2572">
        <v>-28</v>
      </c>
      <c r="AE2572">
        <v>0</v>
      </c>
      <c r="AF2572">
        <v>0</v>
      </c>
      <c r="AG2572">
        <v>0</v>
      </c>
      <c r="AH2572" t="s">
        <v>147</v>
      </c>
      <c r="AI2572" s="1">
        <v>44221.793749999997</v>
      </c>
      <c r="AJ2572">
        <v>191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-28</v>
      </c>
      <c r="AQ2572">
        <v>0</v>
      </c>
      <c r="AR2572">
        <v>0</v>
      </c>
      <c r="AS2572">
        <v>0</v>
      </c>
      <c r="AT2572" t="s">
        <v>90</v>
      </c>
      <c r="AU2572" s="1">
        <v>44222.363009259258</v>
      </c>
      <c r="AV2572">
        <v>5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-28</v>
      </c>
      <c r="BC2572">
        <v>0</v>
      </c>
      <c r="BD2572">
        <v>0</v>
      </c>
      <c r="BE2572">
        <v>0</v>
      </c>
    </row>
    <row r="2573" spans="1:57" hidden="1" x14ac:dyDescent="0.45">
      <c r="A2573" t="s">
        <v>6159</v>
      </c>
      <c r="B2573" t="s">
        <v>79</v>
      </c>
      <c r="C2573" t="s">
        <v>2800</v>
      </c>
      <c r="D2573" t="s">
        <v>81</v>
      </c>
      <c r="E2573" s="2" t="str">
        <f>HYPERLINK("capsilon://?command=openfolder&amp;siteaddress=FAM.docvelocity-na8.net&amp;folderid=FXE4708F6F-2EC4-AC47-3475-FE458A762C62","FX201018495")</f>
        <v>FX201018495</v>
      </c>
      <c r="F2573" t="s">
        <v>19</v>
      </c>
      <c r="G2573" t="s">
        <v>19</v>
      </c>
      <c r="H2573" t="s">
        <v>82</v>
      </c>
      <c r="I2573" t="s">
        <v>6160</v>
      </c>
      <c r="J2573">
        <v>66</v>
      </c>
      <c r="K2573" t="s">
        <v>84</v>
      </c>
      <c r="L2573" t="s">
        <v>85</v>
      </c>
      <c r="M2573" t="s">
        <v>86</v>
      </c>
      <c r="N2573">
        <v>3</v>
      </c>
      <c r="O2573" s="1">
        <v>44221.791342592594</v>
      </c>
      <c r="P2573" s="1">
        <v>44222.364085648151</v>
      </c>
      <c r="Q2573">
        <v>49310</v>
      </c>
      <c r="R2573">
        <v>175</v>
      </c>
      <c r="S2573" t="b">
        <v>0</v>
      </c>
      <c r="T2573" t="s">
        <v>87</v>
      </c>
      <c r="U2573" t="b">
        <v>0</v>
      </c>
      <c r="V2573" t="s">
        <v>179</v>
      </c>
      <c r="W2573" s="1">
        <v>44221.792118055557</v>
      </c>
      <c r="X2573">
        <v>66</v>
      </c>
      <c r="Y2573">
        <v>0</v>
      </c>
      <c r="Z2573">
        <v>0</v>
      </c>
      <c r="AA2573">
        <v>0</v>
      </c>
      <c r="AB2573">
        <v>52</v>
      </c>
      <c r="AC2573">
        <v>0</v>
      </c>
      <c r="AD2573">
        <v>66</v>
      </c>
      <c r="AE2573">
        <v>0</v>
      </c>
      <c r="AF2573">
        <v>0</v>
      </c>
      <c r="AG2573">
        <v>0</v>
      </c>
      <c r="AH2573" t="s">
        <v>132</v>
      </c>
      <c r="AI2573" s="1">
        <v>44221.793252314812</v>
      </c>
      <c r="AJ2573">
        <v>17</v>
      </c>
      <c r="AK2573">
        <v>0</v>
      </c>
      <c r="AL2573">
        <v>0</v>
      </c>
      <c r="AM2573">
        <v>0</v>
      </c>
      <c r="AN2573">
        <v>52</v>
      </c>
      <c r="AO2573">
        <v>0</v>
      </c>
      <c r="AP2573">
        <v>66</v>
      </c>
      <c r="AQ2573">
        <v>0</v>
      </c>
      <c r="AR2573">
        <v>0</v>
      </c>
      <c r="AS2573">
        <v>0</v>
      </c>
      <c r="AT2573" t="s">
        <v>90</v>
      </c>
      <c r="AU2573" s="1">
        <v>44222.364085648151</v>
      </c>
      <c r="AV2573">
        <v>92</v>
      </c>
      <c r="AW2573">
        <v>0</v>
      </c>
      <c r="AX2573">
        <v>0</v>
      </c>
      <c r="AY2573">
        <v>0</v>
      </c>
      <c r="AZ2573">
        <v>52</v>
      </c>
      <c r="BA2573">
        <v>0</v>
      </c>
      <c r="BB2573">
        <v>66</v>
      </c>
      <c r="BC2573">
        <v>0</v>
      </c>
      <c r="BD2573">
        <v>0</v>
      </c>
      <c r="BE2573">
        <v>0</v>
      </c>
    </row>
    <row r="2574" spans="1:57" x14ac:dyDescent="0.45">
      <c r="A2574" t="s">
        <v>6161</v>
      </c>
      <c r="B2574" t="s">
        <v>79</v>
      </c>
      <c r="C2574" t="s">
        <v>6145</v>
      </c>
      <c r="D2574" t="s">
        <v>81</v>
      </c>
      <c r="E2574" s="2" t="str">
        <f>HYPERLINK("capsilon://?command=openfolder&amp;siteaddress=FAM.docvelocity-na8.net&amp;folderid=FX49A295F4-4DF8-F8F1-CE2D-8EC3DB42392B","FX210113408")</f>
        <v>FX210113408</v>
      </c>
      <c r="F2574" t="s">
        <v>19</v>
      </c>
      <c r="G2574" t="s">
        <v>19</v>
      </c>
      <c r="H2574" t="s">
        <v>82</v>
      </c>
      <c r="I2574" t="s">
        <v>6162</v>
      </c>
      <c r="J2574">
        <v>31</v>
      </c>
      <c r="K2574" t="s">
        <v>84</v>
      </c>
      <c r="L2574" t="s">
        <v>85</v>
      </c>
      <c r="M2574" t="s">
        <v>86</v>
      </c>
      <c r="N2574">
        <v>3</v>
      </c>
      <c r="O2574" s="1">
        <v>44221.792592592596</v>
      </c>
      <c r="P2574" s="1">
        <v>44222.36414351852</v>
      </c>
      <c r="Q2574">
        <v>48235</v>
      </c>
      <c r="R2574">
        <v>1147</v>
      </c>
      <c r="S2574" t="b">
        <v>0</v>
      </c>
      <c r="T2574" t="s">
        <v>87</v>
      </c>
      <c r="U2574" t="b">
        <v>0</v>
      </c>
      <c r="V2574" t="s">
        <v>171</v>
      </c>
      <c r="W2574" s="1">
        <v>44221.803877314815</v>
      </c>
      <c r="X2574">
        <v>975</v>
      </c>
      <c r="Y2574">
        <v>59</v>
      </c>
      <c r="Z2574">
        <v>0</v>
      </c>
      <c r="AA2574">
        <v>59</v>
      </c>
      <c r="AB2574">
        <v>0</v>
      </c>
      <c r="AC2574">
        <v>49</v>
      </c>
      <c r="AD2574">
        <v>-28</v>
      </c>
      <c r="AE2574">
        <v>0</v>
      </c>
      <c r="AF2574">
        <v>0</v>
      </c>
      <c r="AG2574">
        <v>0</v>
      </c>
      <c r="AH2574" t="s">
        <v>147</v>
      </c>
      <c r="AI2574" s="1">
        <v>44221.805844907409</v>
      </c>
      <c r="AJ2574">
        <v>168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-28</v>
      </c>
      <c r="AQ2574">
        <v>0</v>
      </c>
      <c r="AR2574">
        <v>0</v>
      </c>
      <c r="AS2574">
        <v>0</v>
      </c>
      <c r="AT2574" t="s">
        <v>90</v>
      </c>
      <c r="AU2574" s="1">
        <v>44222.36414351852</v>
      </c>
      <c r="AV2574">
        <v>4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-28</v>
      </c>
      <c r="BC2574">
        <v>0</v>
      </c>
      <c r="BD2574">
        <v>0</v>
      </c>
      <c r="BE2574">
        <v>0</v>
      </c>
    </row>
    <row r="2575" spans="1:57" x14ac:dyDescent="0.45">
      <c r="A2575" t="s">
        <v>6163</v>
      </c>
      <c r="B2575" t="s">
        <v>79</v>
      </c>
      <c r="C2575" t="s">
        <v>6145</v>
      </c>
      <c r="D2575" t="s">
        <v>81</v>
      </c>
      <c r="E2575" s="2" t="str">
        <f>HYPERLINK("capsilon://?command=openfolder&amp;siteaddress=FAM.docvelocity-na8.net&amp;folderid=FX49A295F4-4DF8-F8F1-CE2D-8EC3DB42392B","FX210113408")</f>
        <v>FX210113408</v>
      </c>
      <c r="F2575" t="s">
        <v>19</v>
      </c>
      <c r="G2575" t="s">
        <v>19</v>
      </c>
      <c r="H2575" t="s">
        <v>82</v>
      </c>
      <c r="I2575" t="s">
        <v>6164</v>
      </c>
      <c r="J2575">
        <v>51</v>
      </c>
      <c r="K2575" t="s">
        <v>84</v>
      </c>
      <c r="L2575" t="s">
        <v>85</v>
      </c>
      <c r="M2575" t="s">
        <v>86</v>
      </c>
      <c r="N2575">
        <v>3</v>
      </c>
      <c r="O2575" s="1">
        <v>44221.792997685188</v>
      </c>
      <c r="P2575" s="1">
        <v>44222.364212962966</v>
      </c>
      <c r="Q2575">
        <v>48417</v>
      </c>
      <c r="R2575">
        <v>936</v>
      </c>
      <c r="S2575" t="b">
        <v>0</v>
      </c>
      <c r="T2575" t="s">
        <v>87</v>
      </c>
      <c r="U2575" t="b">
        <v>0</v>
      </c>
      <c r="V2575" t="s">
        <v>179</v>
      </c>
      <c r="W2575" s="1">
        <v>44221.802048611113</v>
      </c>
      <c r="X2575">
        <v>782</v>
      </c>
      <c r="Y2575">
        <v>59</v>
      </c>
      <c r="Z2575">
        <v>0</v>
      </c>
      <c r="AA2575">
        <v>59</v>
      </c>
      <c r="AB2575">
        <v>0</v>
      </c>
      <c r="AC2575">
        <v>29</v>
      </c>
      <c r="AD2575">
        <v>-8</v>
      </c>
      <c r="AE2575">
        <v>0</v>
      </c>
      <c r="AF2575">
        <v>0</v>
      </c>
      <c r="AG2575">
        <v>0</v>
      </c>
      <c r="AH2575" t="s">
        <v>147</v>
      </c>
      <c r="AI2575" s="1">
        <v>44221.803900462961</v>
      </c>
      <c r="AJ2575">
        <v>148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-8</v>
      </c>
      <c r="AQ2575">
        <v>0</v>
      </c>
      <c r="AR2575">
        <v>0</v>
      </c>
      <c r="AS2575">
        <v>0</v>
      </c>
      <c r="AT2575" t="s">
        <v>90</v>
      </c>
      <c r="AU2575" s="1">
        <v>44222.364212962966</v>
      </c>
      <c r="AV2575">
        <v>6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-8</v>
      </c>
      <c r="BC2575">
        <v>0</v>
      </c>
      <c r="BD2575">
        <v>0</v>
      </c>
      <c r="BE2575">
        <v>0</v>
      </c>
    </row>
    <row r="2576" spans="1:57" x14ac:dyDescent="0.45">
      <c r="A2576" t="s">
        <v>6165</v>
      </c>
      <c r="B2576" t="s">
        <v>79</v>
      </c>
      <c r="C2576" t="s">
        <v>6145</v>
      </c>
      <c r="D2576" t="s">
        <v>81</v>
      </c>
      <c r="E2576" s="2" t="str">
        <f>HYPERLINK("capsilon://?command=openfolder&amp;siteaddress=FAM.docvelocity-na8.net&amp;folderid=FX49A295F4-4DF8-F8F1-CE2D-8EC3DB42392B","FX210113408")</f>
        <v>FX210113408</v>
      </c>
      <c r="F2576" t="s">
        <v>19</v>
      </c>
      <c r="G2576" t="s">
        <v>19</v>
      </c>
      <c r="H2576" t="s">
        <v>82</v>
      </c>
      <c r="I2576" t="s">
        <v>6166</v>
      </c>
      <c r="J2576">
        <v>89</v>
      </c>
      <c r="K2576" t="s">
        <v>84</v>
      </c>
      <c r="L2576" t="s">
        <v>85</v>
      </c>
      <c r="M2576" t="s">
        <v>86</v>
      </c>
      <c r="N2576">
        <v>3</v>
      </c>
      <c r="O2576" s="1">
        <v>44221.793703703705</v>
      </c>
      <c r="P2576" s="1">
        <v>44222.364293981482</v>
      </c>
      <c r="Q2576">
        <v>48151</v>
      </c>
      <c r="R2576">
        <v>1148</v>
      </c>
      <c r="S2576" t="b">
        <v>0</v>
      </c>
      <c r="T2576" t="s">
        <v>87</v>
      </c>
      <c r="U2576" t="b">
        <v>0</v>
      </c>
      <c r="V2576" t="s">
        <v>168</v>
      </c>
      <c r="W2576" s="1">
        <v>44221.806319444448</v>
      </c>
      <c r="X2576">
        <v>956</v>
      </c>
      <c r="Y2576">
        <v>69</v>
      </c>
      <c r="Z2576">
        <v>0</v>
      </c>
      <c r="AA2576">
        <v>69</v>
      </c>
      <c r="AB2576">
        <v>0</v>
      </c>
      <c r="AC2576">
        <v>30</v>
      </c>
      <c r="AD2576">
        <v>20</v>
      </c>
      <c r="AE2576">
        <v>0</v>
      </c>
      <c r="AF2576">
        <v>0</v>
      </c>
      <c r="AG2576">
        <v>0</v>
      </c>
      <c r="AH2576" t="s">
        <v>147</v>
      </c>
      <c r="AI2576" s="1">
        <v>44221.808472222219</v>
      </c>
      <c r="AJ2576">
        <v>185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20</v>
      </c>
      <c r="AQ2576">
        <v>0</v>
      </c>
      <c r="AR2576">
        <v>0</v>
      </c>
      <c r="AS2576">
        <v>0</v>
      </c>
      <c r="AT2576" t="s">
        <v>90</v>
      </c>
      <c r="AU2576" s="1">
        <v>44222.364293981482</v>
      </c>
      <c r="AV2576">
        <v>7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20</v>
      </c>
      <c r="BC2576">
        <v>0</v>
      </c>
      <c r="BD2576">
        <v>0</v>
      </c>
      <c r="BE2576">
        <v>0</v>
      </c>
    </row>
    <row r="2577" spans="1:57" x14ac:dyDescent="0.45">
      <c r="A2577" t="s">
        <v>6167</v>
      </c>
      <c r="B2577" t="s">
        <v>79</v>
      </c>
      <c r="C2577" t="s">
        <v>6145</v>
      </c>
      <c r="D2577" t="s">
        <v>81</v>
      </c>
      <c r="E2577" s="2" t="str">
        <f>HYPERLINK("capsilon://?command=openfolder&amp;siteaddress=FAM.docvelocity-na8.net&amp;folderid=FX49A295F4-4DF8-F8F1-CE2D-8EC3DB42392B","FX210113408")</f>
        <v>FX210113408</v>
      </c>
      <c r="F2577" t="s">
        <v>19</v>
      </c>
      <c r="G2577" t="s">
        <v>19</v>
      </c>
      <c r="H2577" t="s">
        <v>82</v>
      </c>
      <c r="I2577" t="s">
        <v>6168</v>
      </c>
      <c r="J2577">
        <v>31</v>
      </c>
      <c r="K2577" t="s">
        <v>84</v>
      </c>
      <c r="L2577" t="s">
        <v>85</v>
      </c>
      <c r="M2577" t="s">
        <v>86</v>
      </c>
      <c r="N2577">
        <v>3</v>
      </c>
      <c r="O2577" s="1">
        <v>44221.796793981484</v>
      </c>
      <c r="P2577" s="1">
        <v>44222.364479166667</v>
      </c>
      <c r="Q2577">
        <v>48182</v>
      </c>
      <c r="R2577">
        <v>866</v>
      </c>
      <c r="S2577" t="b">
        <v>0</v>
      </c>
      <c r="T2577" t="s">
        <v>87</v>
      </c>
      <c r="U2577" t="b">
        <v>0</v>
      </c>
      <c r="V2577" t="s">
        <v>179</v>
      </c>
      <c r="W2577" s="1">
        <v>44221.809953703705</v>
      </c>
      <c r="X2577">
        <v>682</v>
      </c>
      <c r="Y2577">
        <v>59</v>
      </c>
      <c r="Z2577">
        <v>0</v>
      </c>
      <c r="AA2577">
        <v>59</v>
      </c>
      <c r="AB2577">
        <v>0</v>
      </c>
      <c r="AC2577">
        <v>50</v>
      </c>
      <c r="AD2577">
        <v>-28</v>
      </c>
      <c r="AE2577">
        <v>0</v>
      </c>
      <c r="AF2577">
        <v>0</v>
      </c>
      <c r="AG2577">
        <v>0</v>
      </c>
      <c r="AH2577" t="s">
        <v>132</v>
      </c>
      <c r="AI2577" s="1">
        <v>44221.815937500003</v>
      </c>
      <c r="AJ2577">
        <v>109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-28</v>
      </c>
      <c r="AQ2577">
        <v>0</v>
      </c>
      <c r="AR2577">
        <v>0</v>
      </c>
      <c r="AS2577">
        <v>0</v>
      </c>
      <c r="AT2577" t="s">
        <v>90</v>
      </c>
      <c r="AU2577" s="1">
        <v>44222.364479166667</v>
      </c>
      <c r="AV2577">
        <v>16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-28</v>
      </c>
      <c r="BC2577">
        <v>0</v>
      </c>
      <c r="BD2577">
        <v>0</v>
      </c>
      <c r="BE2577">
        <v>0</v>
      </c>
    </row>
    <row r="2578" spans="1:57" hidden="1" x14ac:dyDescent="0.45">
      <c r="A2578" t="s">
        <v>6169</v>
      </c>
      <c r="B2578" t="s">
        <v>79</v>
      </c>
      <c r="C2578" t="s">
        <v>6170</v>
      </c>
      <c r="D2578" t="s">
        <v>81</v>
      </c>
      <c r="E2578" s="2" t="str">
        <f>HYPERLINK("capsilon://?command=openfolder&amp;siteaddress=FAM.docvelocity-na8.net&amp;folderid=FXA47D561E-46A4-C4DD-17C1-82BE95A82AD3","FX20121795")</f>
        <v>FX20121795</v>
      </c>
      <c r="F2578" t="s">
        <v>19</v>
      </c>
      <c r="G2578" t="s">
        <v>19</v>
      </c>
      <c r="H2578" t="s">
        <v>82</v>
      </c>
      <c r="I2578" t="s">
        <v>6171</v>
      </c>
      <c r="J2578">
        <v>66</v>
      </c>
      <c r="K2578" t="s">
        <v>84</v>
      </c>
      <c r="L2578" t="s">
        <v>85</v>
      </c>
      <c r="M2578" t="s">
        <v>86</v>
      </c>
      <c r="N2578">
        <v>3</v>
      </c>
      <c r="O2578" s="1">
        <v>44221.802916666667</v>
      </c>
      <c r="P2578" s="1">
        <v>44222.365486111114</v>
      </c>
      <c r="Q2578">
        <v>48464</v>
      </c>
      <c r="R2578">
        <v>142</v>
      </c>
      <c r="S2578" t="b">
        <v>0</v>
      </c>
      <c r="T2578" t="s">
        <v>87</v>
      </c>
      <c r="U2578" t="b">
        <v>0</v>
      </c>
      <c r="V2578" t="s">
        <v>171</v>
      </c>
      <c r="W2578" s="1">
        <v>44221.804375</v>
      </c>
      <c r="X2578">
        <v>42</v>
      </c>
      <c r="Y2578">
        <v>0</v>
      </c>
      <c r="Z2578">
        <v>0</v>
      </c>
      <c r="AA2578">
        <v>0</v>
      </c>
      <c r="AB2578">
        <v>52</v>
      </c>
      <c r="AC2578">
        <v>0</v>
      </c>
      <c r="AD2578">
        <v>66</v>
      </c>
      <c r="AE2578">
        <v>0</v>
      </c>
      <c r="AF2578">
        <v>0</v>
      </c>
      <c r="AG2578">
        <v>0</v>
      </c>
      <c r="AH2578" t="s">
        <v>147</v>
      </c>
      <c r="AI2578" s="1">
        <v>44221.806018518517</v>
      </c>
      <c r="AJ2578">
        <v>14</v>
      </c>
      <c r="AK2578">
        <v>0</v>
      </c>
      <c r="AL2578">
        <v>0</v>
      </c>
      <c r="AM2578">
        <v>0</v>
      </c>
      <c r="AN2578">
        <v>52</v>
      </c>
      <c r="AO2578">
        <v>0</v>
      </c>
      <c r="AP2578">
        <v>66</v>
      </c>
      <c r="AQ2578">
        <v>0</v>
      </c>
      <c r="AR2578">
        <v>0</v>
      </c>
      <c r="AS2578">
        <v>0</v>
      </c>
      <c r="AT2578" t="s">
        <v>90</v>
      </c>
      <c r="AU2578" s="1">
        <v>44222.365486111114</v>
      </c>
      <c r="AV2578">
        <v>86</v>
      </c>
      <c r="AW2578">
        <v>0</v>
      </c>
      <c r="AX2578">
        <v>0</v>
      </c>
      <c r="AY2578">
        <v>0</v>
      </c>
      <c r="AZ2578">
        <v>52</v>
      </c>
      <c r="BA2578">
        <v>0</v>
      </c>
      <c r="BB2578">
        <v>66</v>
      </c>
      <c r="BC2578">
        <v>0</v>
      </c>
      <c r="BD2578">
        <v>0</v>
      </c>
      <c r="BE2578">
        <v>0</v>
      </c>
    </row>
    <row r="2579" spans="1:57" x14ac:dyDescent="0.45">
      <c r="A2579" t="s">
        <v>6172</v>
      </c>
      <c r="B2579" t="s">
        <v>79</v>
      </c>
      <c r="C2579" t="s">
        <v>3081</v>
      </c>
      <c r="D2579" t="s">
        <v>81</v>
      </c>
      <c r="E2579" s="2" t="str">
        <f>HYPERLINK("capsilon://?command=openfolder&amp;siteaddress=FAM.docvelocity-na8.net&amp;folderid=FX35C86FCC-EB8D-6DFC-77C9-98A51939CD1F","FX21011034")</f>
        <v>FX21011034</v>
      </c>
      <c r="F2579" t="s">
        <v>19</v>
      </c>
      <c r="G2579" t="s">
        <v>19</v>
      </c>
      <c r="H2579" t="s">
        <v>82</v>
      </c>
      <c r="I2579" t="s">
        <v>6173</v>
      </c>
      <c r="J2579">
        <v>38</v>
      </c>
      <c r="K2579" t="s">
        <v>84</v>
      </c>
      <c r="L2579" t="s">
        <v>85</v>
      </c>
      <c r="M2579" t="s">
        <v>86</v>
      </c>
      <c r="N2579">
        <v>3</v>
      </c>
      <c r="O2579" s="1">
        <v>44201.600590277776</v>
      </c>
      <c r="P2579" s="1">
        <v>44201.615127314813</v>
      </c>
      <c r="Q2579">
        <v>857</v>
      </c>
      <c r="R2579">
        <v>399</v>
      </c>
      <c r="S2579" t="b">
        <v>0</v>
      </c>
      <c r="T2579" t="s">
        <v>87</v>
      </c>
      <c r="U2579" t="b">
        <v>0</v>
      </c>
      <c r="V2579" t="s">
        <v>266</v>
      </c>
      <c r="W2579" s="1">
        <v>44201.604942129627</v>
      </c>
      <c r="X2579">
        <v>294</v>
      </c>
      <c r="Y2579">
        <v>37</v>
      </c>
      <c r="Z2579">
        <v>0</v>
      </c>
      <c r="AA2579">
        <v>37</v>
      </c>
      <c r="AB2579">
        <v>0</v>
      </c>
      <c r="AC2579">
        <v>14</v>
      </c>
      <c r="AD2579">
        <v>1</v>
      </c>
      <c r="AE2579">
        <v>0</v>
      </c>
      <c r="AF2579">
        <v>0</v>
      </c>
      <c r="AG2579">
        <v>0</v>
      </c>
      <c r="AH2579" t="s">
        <v>267</v>
      </c>
      <c r="AI2579" s="1">
        <v>44201.606712962966</v>
      </c>
      <c r="AJ2579">
        <v>98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0</v>
      </c>
      <c r="AS2579">
        <v>0</v>
      </c>
      <c r="AT2579" t="s">
        <v>90</v>
      </c>
      <c r="AU2579" s="1">
        <v>44201.615127314813</v>
      </c>
      <c r="AV2579">
        <v>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1</v>
      </c>
      <c r="BC2579">
        <v>0</v>
      </c>
      <c r="BD2579">
        <v>0</v>
      </c>
      <c r="BE2579">
        <v>0</v>
      </c>
    </row>
    <row r="2580" spans="1:57" x14ac:dyDescent="0.45">
      <c r="A2580" t="s">
        <v>6174</v>
      </c>
      <c r="B2580" t="s">
        <v>79</v>
      </c>
      <c r="C2580" t="s">
        <v>6145</v>
      </c>
      <c r="D2580" t="s">
        <v>81</v>
      </c>
      <c r="E2580" s="2" t="str">
        <f>HYPERLINK("capsilon://?command=openfolder&amp;siteaddress=FAM.docvelocity-na8.net&amp;folderid=FX49A295F4-4DF8-F8F1-CE2D-8EC3DB42392B","FX210113408")</f>
        <v>FX210113408</v>
      </c>
      <c r="F2580" t="s">
        <v>19</v>
      </c>
      <c r="G2580" t="s">
        <v>19</v>
      </c>
      <c r="H2580" t="s">
        <v>82</v>
      </c>
      <c r="I2580" t="s">
        <v>6175</v>
      </c>
      <c r="J2580">
        <v>71</v>
      </c>
      <c r="K2580" t="s">
        <v>84</v>
      </c>
      <c r="L2580" t="s">
        <v>85</v>
      </c>
      <c r="M2580" t="s">
        <v>86</v>
      </c>
      <c r="N2580">
        <v>3</v>
      </c>
      <c r="O2580" s="1">
        <v>44221.804085648146</v>
      </c>
      <c r="P2580" s="1">
        <v>44222.365543981483</v>
      </c>
      <c r="Q2580">
        <v>47696</v>
      </c>
      <c r="R2580">
        <v>814</v>
      </c>
      <c r="S2580" t="b">
        <v>0</v>
      </c>
      <c r="T2580" t="s">
        <v>87</v>
      </c>
      <c r="U2580" t="b">
        <v>0</v>
      </c>
      <c r="V2580" t="s">
        <v>171</v>
      </c>
      <c r="W2580" s="1">
        <v>44221.811493055553</v>
      </c>
      <c r="X2580">
        <v>615</v>
      </c>
      <c r="Y2580">
        <v>49</v>
      </c>
      <c r="Z2580">
        <v>0</v>
      </c>
      <c r="AA2580">
        <v>49</v>
      </c>
      <c r="AB2580">
        <v>0</v>
      </c>
      <c r="AC2580">
        <v>2</v>
      </c>
      <c r="AD2580">
        <v>22</v>
      </c>
      <c r="AE2580">
        <v>0</v>
      </c>
      <c r="AF2580">
        <v>0</v>
      </c>
      <c r="AG2580">
        <v>0</v>
      </c>
      <c r="AH2580" t="s">
        <v>147</v>
      </c>
      <c r="AI2580" s="1">
        <v>44221.813738425924</v>
      </c>
      <c r="AJ2580">
        <v>194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22</v>
      </c>
      <c r="AQ2580">
        <v>0</v>
      </c>
      <c r="AR2580">
        <v>0</v>
      </c>
      <c r="AS2580">
        <v>0</v>
      </c>
      <c r="AT2580" t="s">
        <v>90</v>
      </c>
      <c r="AU2580" s="1">
        <v>44222.365543981483</v>
      </c>
      <c r="AV2580">
        <v>5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22</v>
      </c>
      <c r="BC2580">
        <v>0</v>
      </c>
      <c r="BD2580">
        <v>0</v>
      </c>
      <c r="BE2580">
        <v>0</v>
      </c>
    </row>
    <row r="2581" spans="1:57" x14ac:dyDescent="0.45">
      <c r="A2581" t="s">
        <v>6176</v>
      </c>
      <c r="B2581" t="s">
        <v>79</v>
      </c>
      <c r="C2581" t="s">
        <v>6145</v>
      </c>
      <c r="D2581" t="s">
        <v>81</v>
      </c>
      <c r="E2581" s="2" t="str">
        <f>HYPERLINK("capsilon://?command=openfolder&amp;siteaddress=FAM.docvelocity-na8.net&amp;folderid=FX49A295F4-4DF8-F8F1-CE2D-8EC3DB42392B","FX210113408")</f>
        <v>FX210113408</v>
      </c>
      <c r="F2581" t="s">
        <v>19</v>
      </c>
      <c r="G2581" t="s">
        <v>19</v>
      </c>
      <c r="H2581" t="s">
        <v>82</v>
      </c>
      <c r="I2581" t="s">
        <v>6177</v>
      </c>
      <c r="J2581">
        <v>31</v>
      </c>
      <c r="K2581" t="s">
        <v>84</v>
      </c>
      <c r="L2581" t="s">
        <v>85</v>
      </c>
      <c r="M2581" t="s">
        <v>86</v>
      </c>
      <c r="N2581">
        <v>3</v>
      </c>
      <c r="O2581" s="1">
        <v>44221.804594907408</v>
      </c>
      <c r="P2581" s="1">
        <v>44222.365671296298</v>
      </c>
      <c r="Q2581">
        <v>47953</v>
      </c>
      <c r="R2581">
        <v>524</v>
      </c>
      <c r="S2581" t="b">
        <v>0</v>
      </c>
      <c r="T2581" t="s">
        <v>87</v>
      </c>
      <c r="U2581" t="b">
        <v>0</v>
      </c>
      <c r="V2581" t="s">
        <v>255</v>
      </c>
      <c r="W2581" s="1">
        <v>44221.813009259262</v>
      </c>
      <c r="X2581">
        <v>422</v>
      </c>
      <c r="Y2581">
        <v>59</v>
      </c>
      <c r="Z2581">
        <v>0</v>
      </c>
      <c r="AA2581">
        <v>59</v>
      </c>
      <c r="AB2581">
        <v>0</v>
      </c>
      <c r="AC2581">
        <v>48</v>
      </c>
      <c r="AD2581">
        <v>-28</v>
      </c>
      <c r="AE2581">
        <v>0</v>
      </c>
      <c r="AF2581">
        <v>0</v>
      </c>
      <c r="AG2581">
        <v>0</v>
      </c>
      <c r="AH2581" t="s">
        <v>132</v>
      </c>
      <c r="AI2581" s="1">
        <v>44221.816874999997</v>
      </c>
      <c r="AJ2581">
        <v>80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-28</v>
      </c>
      <c r="AQ2581">
        <v>0</v>
      </c>
      <c r="AR2581">
        <v>0</v>
      </c>
      <c r="AS2581">
        <v>0</v>
      </c>
      <c r="AT2581" t="s">
        <v>90</v>
      </c>
      <c r="AU2581" s="1">
        <v>44222.365671296298</v>
      </c>
      <c r="AV2581">
        <v>10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-28</v>
      </c>
      <c r="BC2581">
        <v>0</v>
      </c>
      <c r="BD2581">
        <v>0</v>
      </c>
      <c r="BE2581">
        <v>0</v>
      </c>
    </row>
    <row r="2582" spans="1:57" hidden="1" x14ac:dyDescent="0.45">
      <c r="A2582" t="s">
        <v>6178</v>
      </c>
      <c r="B2582" t="s">
        <v>79</v>
      </c>
      <c r="C2582" t="s">
        <v>6179</v>
      </c>
      <c r="D2582" t="s">
        <v>81</v>
      </c>
      <c r="E2582" s="2" t="str">
        <f>HYPERLINK("capsilon://?command=openfolder&amp;siteaddress=FAM.docvelocity-na8.net&amp;folderid=FXC36A907C-5747-82F4-8ACB-829A5348C846","FX201222976")</f>
        <v>FX201222976</v>
      </c>
      <c r="F2582" t="s">
        <v>19</v>
      </c>
      <c r="G2582" t="s">
        <v>19</v>
      </c>
      <c r="H2582" t="s">
        <v>82</v>
      </c>
      <c r="I2582" t="s">
        <v>6180</v>
      </c>
      <c r="J2582">
        <v>66</v>
      </c>
      <c r="K2582" t="s">
        <v>84</v>
      </c>
      <c r="L2582" t="s">
        <v>85</v>
      </c>
      <c r="M2582" t="s">
        <v>86</v>
      </c>
      <c r="N2582">
        <v>3</v>
      </c>
      <c r="O2582" s="1">
        <v>44201.600694444445</v>
      </c>
      <c r="P2582" s="1">
        <v>44201.615162037036</v>
      </c>
      <c r="Q2582">
        <v>934</v>
      </c>
      <c r="R2582">
        <v>316</v>
      </c>
      <c r="S2582" t="b">
        <v>0</v>
      </c>
      <c r="T2582" t="s">
        <v>87</v>
      </c>
      <c r="U2582" t="b">
        <v>0</v>
      </c>
      <c r="V2582" t="s">
        <v>266</v>
      </c>
      <c r="W2582" s="1">
        <v>44201.606990740744</v>
      </c>
      <c r="X2582">
        <v>176</v>
      </c>
      <c r="Y2582">
        <v>0</v>
      </c>
      <c r="Z2582">
        <v>0</v>
      </c>
      <c r="AA2582">
        <v>0</v>
      </c>
      <c r="AB2582">
        <v>52</v>
      </c>
      <c r="AC2582">
        <v>0</v>
      </c>
      <c r="AD2582">
        <v>66</v>
      </c>
      <c r="AE2582">
        <v>0</v>
      </c>
      <c r="AF2582">
        <v>0</v>
      </c>
      <c r="AG2582">
        <v>0</v>
      </c>
      <c r="AH2582" t="s">
        <v>128</v>
      </c>
      <c r="AI2582" s="1">
        <v>44201.60900462963</v>
      </c>
      <c r="AJ2582">
        <v>78</v>
      </c>
      <c r="AK2582">
        <v>0</v>
      </c>
      <c r="AL2582">
        <v>0</v>
      </c>
      <c r="AM2582">
        <v>0</v>
      </c>
      <c r="AN2582">
        <v>52</v>
      </c>
      <c r="AO2582">
        <v>0</v>
      </c>
      <c r="AP2582">
        <v>66</v>
      </c>
      <c r="AQ2582">
        <v>0</v>
      </c>
      <c r="AR2582">
        <v>0</v>
      </c>
      <c r="AS2582">
        <v>0</v>
      </c>
      <c r="AT2582" t="s">
        <v>90</v>
      </c>
      <c r="AU2582" s="1">
        <v>44201.615162037036</v>
      </c>
      <c r="AV2582">
        <v>3</v>
      </c>
      <c r="AW2582">
        <v>0</v>
      </c>
      <c r="AX2582">
        <v>0</v>
      </c>
      <c r="AY2582">
        <v>0</v>
      </c>
      <c r="AZ2582">
        <v>52</v>
      </c>
      <c r="BA2582">
        <v>0</v>
      </c>
      <c r="BB2582">
        <v>66</v>
      </c>
      <c r="BC2582">
        <v>0</v>
      </c>
      <c r="BD2582">
        <v>0</v>
      </c>
      <c r="BE2582">
        <v>0</v>
      </c>
    </row>
    <row r="2583" spans="1:57" x14ac:dyDescent="0.45">
      <c r="A2583" t="s">
        <v>6181</v>
      </c>
      <c r="B2583" t="s">
        <v>79</v>
      </c>
      <c r="C2583" t="s">
        <v>6145</v>
      </c>
      <c r="D2583" t="s">
        <v>81</v>
      </c>
      <c r="E2583" s="2" t="str">
        <f>HYPERLINK("capsilon://?command=openfolder&amp;siteaddress=FAM.docvelocity-na8.net&amp;folderid=FX49A295F4-4DF8-F8F1-CE2D-8EC3DB42392B","FX210113408")</f>
        <v>FX210113408</v>
      </c>
      <c r="F2583" t="s">
        <v>19</v>
      </c>
      <c r="G2583" t="s">
        <v>19</v>
      </c>
      <c r="H2583" t="s">
        <v>82</v>
      </c>
      <c r="I2583" t="s">
        <v>6182</v>
      </c>
      <c r="J2583">
        <v>31</v>
      </c>
      <c r="K2583" t="s">
        <v>84</v>
      </c>
      <c r="L2583" t="s">
        <v>85</v>
      </c>
      <c r="M2583" t="s">
        <v>86</v>
      </c>
      <c r="N2583">
        <v>3</v>
      </c>
      <c r="O2583" s="1">
        <v>44221.809201388889</v>
      </c>
      <c r="P2583" s="1">
        <v>44222.365717592591</v>
      </c>
      <c r="Q2583">
        <v>47533</v>
      </c>
      <c r="R2583">
        <v>550</v>
      </c>
      <c r="S2583" t="b">
        <v>0</v>
      </c>
      <c r="T2583" t="s">
        <v>87</v>
      </c>
      <c r="U2583" t="b">
        <v>0</v>
      </c>
      <c r="V2583" t="s">
        <v>259</v>
      </c>
      <c r="W2583" s="1">
        <v>44221.816793981481</v>
      </c>
      <c r="X2583">
        <v>425</v>
      </c>
      <c r="Y2583">
        <v>59</v>
      </c>
      <c r="Z2583">
        <v>0</v>
      </c>
      <c r="AA2583">
        <v>59</v>
      </c>
      <c r="AB2583">
        <v>0</v>
      </c>
      <c r="AC2583">
        <v>47</v>
      </c>
      <c r="AD2583">
        <v>-28</v>
      </c>
      <c r="AE2583">
        <v>0</v>
      </c>
      <c r="AF2583">
        <v>0</v>
      </c>
      <c r="AG2583">
        <v>0</v>
      </c>
      <c r="AH2583" t="s">
        <v>132</v>
      </c>
      <c r="AI2583" s="1">
        <v>44221.818148148152</v>
      </c>
      <c r="AJ2583">
        <v>109</v>
      </c>
      <c r="AK2583">
        <v>2</v>
      </c>
      <c r="AL2583">
        <v>0</v>
      </c>
      <c r="AM2583">
        <v>2</v>
      </c>
      <c r="AN2583">
        <v>0</v>
      </c>
      <c r="AO2583">
        <v>1</v>
      </c>
      <c r="AP2583">
        <v>-30</v>
      </c>
      <c r="AQ2583">
        <v>0</v>
      </c>
      <c r="AR2583">
        <v>0</v>
      </c>
      <c r="AS2583">
        <v>0</v>
      </c>
      <c r="AT2583" t="s">
        <v>90</v>
      </c>
      <c r="AU2583" s="1">
        <v>44222.365717592591</v>
      </c>
      <c r="AV2583">
        <v>4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-30</v>
      </c>
      <c r="BC2583">
        <v>0</v>
      </c>
      <c r="BD2583">
        <v>0</v>
      </c>
      <c r="BE2583">
        <v>0</v>
      </c>
    </row>
    <row r="2584" spans="1:57" x14ac:dyDescent="0.45">
      <c r="A2584" t="s">
        <v>6183</v>
      </c>
      <c r="B2584" t="s">
        <v>79</v>
      </c>
      <c r="C2584" t="s">
        <v>6145</v>
      </c>
      <c r="D2584" t="s">
        <v>81</v>
      </c>
      <c r="E2584" s="2" t="str">
        <f>HYPERLINK("capsilon://?command=openfolder&amp;siteaddress=FAM.docvelocity-na8.net&amp;folderid=FX49A295F4-4DF8-F8F1-CE2D-8EC3DB42392B","FX210113408")</f>
        <v>FX210113408</v>
      </c>
      <c r="F2584" t="s">
        <v>19</v>
      </c>
      <c r="G2584" t="s">
        <v>19</v>
      </c>
      <c r="H2584" t="s">
        <v>82</v>
      </c>
      <c r="I2584" t="s">
        <v>6184</v>
      </c>
      <c r="J2584">
        <v>31</v>
      </c>
      <c r="K2584" t="s">
        <v>84</v>
      </c>
      <c r="L2584" t="s">
        <v>85</v>
      </c>
      <c r="M2584" t="s">
        <v>86</v>
      </c>
      <c r="N2584">
        <v>3</v>
      </c>
      <c r="O2584" s="1">
        <v>44221.811793981484</v>
      </c>
      <c r="P2584" s="1">
        <v>44222.365787037037</v>
      </c>
      <c r="Q2584">
        <v>47367</v>
      </c>
      <c r="R2584">
        <v>498</v>
      </c>
      <c r="S2584" t="b">
        <v>0</v>
      </c>
      <c r="T2584" t="s">
        <v>87</v>
      </c>
      <c r="U2584" t="b">
        <v>0</v>
      </c>
      <c r="V2584" t="s">
        <v>259</v>
      </c>
      <c r="W2584" s="1">
        <v>44221.821388888886</v>
      </c>
      <c r="X2584">
        <v>396</v>
      </c>
      <c r="Y2584">
        <v>59</v>
      </c>
      <c r="Z2584">
        <v>0</v>
      </c>
      <c r="AA2584">
        <v>59</v>
      </c>
      <c r="AB2584">
        <v>0</v>
      </c>
      <c r="AC2584">
        <v>48</v>
      </c>
      <c r="AD2584">
        <v>-28</v>
      </c>
      <c r="AE2584">
        <v>0</v>
      </c>
      <c r="AF2584">
        <v>0</v>
      </c>
      <c r="AG2584">
        <v>0</v>
      </c>
      <c r="AH2584" t="s">
        <v>132</v>
      </c>
      <c r="AI2584" s="1">
        <v>44221.822453703702</v>
      </c>
      <c r="AJ2584">
        <v>88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-28</v>
      </c>
      <c r="AQ2584">
        <v>0</v>
      </c>
      <c r="AR2584">
        <v>0</v>
      </c>
      <c r="AS2584">
        <v>0</v>
      </c>
      <c r="AT2584" t="s">
        <v>90</v>
      </c>
      <c r="AU2584" s="1">
        <v>44222.365787037037</v>
      </c>
      <c r="AV2584">
        <v>5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-28</v>
      </c>
      <c r="BC2584">
        <v>0</v>
      </c>
      <c r="BD2584">
        <v>0</v>
      </c>
      <c r="BE2584">
        <v>0</v>
      </c>
    </row>
    <row r="2585" spans="1:57" hidden="1" x14ac:dyDescent="0.45">
      <c r="A2585" t="s">
        <v>6185</v>
      </c>
      <c r="B2585" t="s">
        <v>79</v>
      </c>
      <c r="C2585" t="s">
        <v>5685</v>
      </c>
      <c r="D2585" t="s">
        <v>81</v>
      </c>
      <c r="E2585" s="2" t="str">
        <f>HYPERLINK("capsilon://?command=openfolder&amp;siteaddress=FAM.docvelocity-na8.net&amp;folderid=FX4A7F3810-0E26-C2C1-9EFE-DC231C1D7B70","FX20121050")</f>
        <v>FX20121050</v>
      </c>
      <c r="F2585" t="s">
        <v>19</v>
      </c>
      <c r="G2585" t="s">
        <v>19</v>
      </c>
      <c r="H2585" t="s">
        <v>82</v>
      </c>
      <c r="I2585" t="s">
        <v>6186</v>
      </c>
      <c r="J2585">
        <v>80</v>
      </c>
      <c r="K2585" t="s">
        <v>84</v>
      </c>
      <c r="L2585" t="s">
        <v>85</v>
      </c>
      <c r="M2585" t="s">
        <v>86</v>
      </c>
      <c r="N2585">
        <v>1</v>
      </c>
      <c r="O2585" s="1">
        <v>44221.813854166663</v>
      </c>
      <c r="P2585" s="1">
        <v>44222.148321759261</v>
      </c>
      <c r="Q2585">
        <v>28410</v>
      </c>
      <c r="R2585">
        <v>488</v>
      </c>
      <c r="S2585" t="b">
        <v>0</v>
      </c>
      <c r="T2585" t="s">
        <v>87</v>
      </c>
      <c r="U2585" t="b">
        <v>0</v>
      </c>
      <c r="V2585" t="s">
        <v>88</v>
      </c>
      <c r="W2585" s="1">
        <v>44222.148321759261</v>
      </c>
      <c r="X2585">
        <v>457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80</v>
      </c>
      <c r="AE2585">
        <v>76</v>
      </c>
      <c r="AF2585">
        <v>0</v>
      </c>
      <c r="AG2585">
        <v>2</v>
      </c>
      <c r="AH2585" t="s">
        <v>87</v>
      </c>
      <c r="AI2585" t="s">
        <v>87</v>
      </c>
      <c r="AJ2585" t="s">
        <v>87</v>
      </c>
      <c r="AK2585" t="s">
        <v>87</v>
      </c>
      <c r="AL2585" t="s">
        <v>87</v>
      </c>
      <c r="AM2585" t="s">
        <v>87</v>
      </c>
      <c r="AN2585" t="s">
        <v>87</v>
      </c>
      <c r="AO2585" t="s">
        <v>87</v>
      </c>
      <c r="AP2585" t="s">
        <v>87</v>
      </c>
      <c r="AQ2585" t="s">
        <v>87</v>
      </c>
      <c r="AR2585" t="s">
        <v>87</v>
      </c>
      <c r="AS2585" t="s">
        <v>87</v>
      </c>
      <c r="AT2585" t="s">
        <v>87</v>
      </c>
      <c r="AU2585" t="s">
        <v>87</v>
      </c>
      <c r="AV2585" t="s">
        <v>87</v>
      </c>
      <c r="AW2585" t="s">
        <v>87</v>
      </c>
      <c r="AX2585" t="s">
        <v>87</v>
      </c>
      <c r="AY2585" t="s">
        <v>87</v>
      </c>
      <c r="AZ2585" t="s">
        <v>87</v>
      </c>
      <c r="BA2585" t="s">
        <v>87</v>
      </c>
      <c r="BB2585" t="s">
        <v>87</v>
      </c>
      <c r="BC2585" t="s">
        <v>87</v>
      </c>
      <c r="BD2585" t="s">
        <v>87</v>
      </c>
      <c r="BE2585" t="s">
        <v>87</v>
      </c>
    </row>
    <row r="2586" spans="1:57" x14ac:dyDescent="0.45">
      <c r="A2586" t="s">
        <v>6187</v>
      </c>
      <c r="B2586" t="s">
        <v>79</v>
      </c>
      <c r="C2586" t="s">
        <v>5193</v>
      </c>
      <c r="D2586" t="s">
        <v>81</v>
      </c>
      <c r="E2586" s="2" t="str">
        <f>HYPERLINK("capsilon://?command=openfolder&amp;siteaddress=FAM.docvelocity-na8.net&amp;folderid=FX8C2100EE-EBD0-8FA6-1E08-74355EACF6F0","FX201229390")</f>
        <v>FX201229390</v>
      </c>
      <c r="F2586" t="s">
        <v>19</v>
      </c>
      <c r="G2586" t="s">
        <v>19</v>
      </c>
      <c r="H2586" t="s">
        <v>82</v>
      </c>
      <c r="I2586" t="s">
        <v>6188</v>
      </c>
      <c r="J2586">
        <v>76</v>
      </c>
      <c r="K2586" t="s">
        <v>84</v>
      </c>
      <c r="L2586" t="s">
        <v>85</v>
      </c>
      <c r="M2586" t="s">
        <v>86</v>
      </c>
      <c r="N2586">
        <v>3</v>
      </c>
      <c r="O2586" s="1">
        <v>44201.601006944446</v>
      </c>
      <c r="P2586" s="1">
        <v>44201.627418981479</v>
      </c>
      <c r="Q2586">
        <v>1296</v>
      </c>
      <c r="R2586">
        <v>986</v>
      </c>
      <c r="S2586" t="b">
        <v>0</v>
      </c>
      <c r="T2586" t="s">
        <v>87</v>
      </c>
      <c r="U2586" t="b">
        <v>0</v>
      </c>
      <c r="V2586" t="s">
        <v>242</v>
      </c>
      <c r="W2586" s="1">
        <v>44201.611250000002</v>
      </c>
      <c r="X2586">
        <v>804</v>
      </c>
      <c r="Y2586">
        <v>74</v>
      </c>
      <c r="Z2586">
        <v>0</v>
      </c>
      <c r="AA2586">
        <v>74</v>
      </c>
      <c r="AB2586">
        <v>0</v>
      </c>
      <c r="AC2586">
        <v>29</v>
      </c>
      <c r="AD2586">
        <v>2</v>
      </c>
      <c r="AE2586">
        <v>0</v>
      </c>
      <c r="AF2586">
        <v>0</v>
      </c>
      <c r="AG2586">
        <v>0</v>
      </c>
      <c r="AH2586" t="s">
        <v>267</v>
      </c>
      <c r="AI2586" s="1">
        <v>44201.61859953704</v>
      </c>
      <c r="AJ2586">
        <v>176</v>
      </c>
      <c r="AK2586">
        <v>4</v>
      </c>
      <c r="AL2586">
        <v>0</v>
      </c>
      <c r="AM2586">
        <v>4</v>
      </c>
      <c r="AN2586">
        <v>0</v>
      </c>
      <c r="AO2586">
        <v>3</v>
      </c>
      <c r="AP2586">
        <v>-2</v>
      </c>
      <c r="AQ2586">
        <v>0</v>
      </c>
      <c r="AR2586">
        <v>0</v>
      </c>
      <c r="AS2586">
        <v>0</v>
      </c>
      <c r="AT2586" t="s">
        <v>90</v>
      </c>
      <c r="AU2586" s="1">
        <v>44201.627418981479</v>
      </c>
      <c r="AV2586">
        <v>6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-2</v>
      </c>
      <c r="BC2586">
        <v>0</v>
      </c>
      <c r="BD2586">
        <v>0</v>
      </c>
      <c r="BE2586">
        <v>0</v>
      </c>
    </row>
    <row r="2587" spans="1:57" x14ac:dyDescent="0.45">
      <c r="A2587" t="s">
        <v>6189</v>
      </c>
      <c r="B2587" t="s">
        <v>79</v>
      </c>
      <c r="C2587" t="s">
        <v>6145</v>
      </c>
      <c r="D2587" t="s">
        <v>81</v>
      </c>
      <c r="E2587" s="2" t="str">
        <f>HYPERLINK("capsilon://?command=openfolder&amp;siteaddress=FAM.docvelocity-na8.net&amp;folderid=FX49A295F4-4DF8-F8F1-CE2D-8EC3DB42392B","FX210113408")</f>
        <v>FX210113408</v>
      </c>
      <c r="F2587" t="s">
        <v>19</v>
      </c>
      <c r="G2587" t="s">
        <v>19</v>
      </c>
      <c r="H2587" t="s">
        <v>82</v>
      </c>
      <c r="I2587" t="s">
        <v>6190</v>
      </c>
      <c r="J2587">
        <v>31</v>
      </c>
      <c r="K2587" t="s">
        <v>84</v>
      </c>
      <c r="L2587" t="s">
        <v>85</v>
      </c>
      <c r="M2587" t="s">
        <v>86</v>
      </c>
      <c r="N2587">
        <v>3</v>
      </c>
      <c r="O2587" s="1">
        <v>44221.814340277779</v>
      </c>
      <c r="P2587" s="1">
        <v>44222.365833333337</v>
      </c>
      <c r="Q2587">
        <v>45520</v>
      </c>
      <c r="R2587">
        <v>2129</v>
      </c>
      <c r="S2587" t="b">
        <v>0</v>
      </c>
      <c r="T2587" t="s">
        <v>87</v>
      </c>
      <c r="U2587" t="b">
        <v>0</v>
      </c>
      <c r="V2587" t="s">
        <v>105</v>
      </c>
      <c r="W2587" s="1">
        <v>44222.161817129629</v>
      </c>
      <c r="X2587">
        <v>1429</v>
      </c>
      <c r="Y2587">
        <v>59</v>
      </c>
      <c r="Z2587">
        <v>0</v>
      </c>
      <c r="AA2587">
        <v>59</v>
      </c>
      <c r="AB2587">
        <v>0</v>
      </c>
      <c r="AC2587">
        <v>46</v>
      </c>
      <c r="AD2587">
        <v>-28</v>
      </c>
      <c r="AE2587">
        <v>0</v>
      </c>
      <c r="AF2587">
        <v>0</v>
      </c>
      <c r="AG2587">
        <v>0</v>
      </c>
      <c r="AH2587" t="s">
        <v>89</v>
      </c>
      <c r="AI2587" s="1">
        <v>44222.171041666668</v>
      </c>
      <c r="AJ2587">
        <v>666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-28</v>
      </c>
      <c r="AQ2587">
        <v>0</v>
      </c>
      <c r="AR2587">
        <v>0</v>
      </c>
      <c r="AS2587">
        <v>0</v>
      </c>
      <c r="AT2587" t="s">
        <v>90</v>
      </c>
      <c r="AU2587" s="1">
        <v>44222.365833333337</v>
      </c>
      <c r="AV2587">
        <v>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-28</v>
      </c>
      <c r="BC2587">
        <v>0</v>
      </c>
      <c r="BD2587">
        <v>0</v>
      </c>
      <c r="BE2587">
        <v>0</v>
      </c>
    </row>
    <row r="2588" spans="1:57" x14ac:dyDescent="0.45">
      <c r="A2588" t="s">
        <v>6191</v>
      </c>
      <c r="B2588" t="s">
        <v>79</v>
      </c>
      <c r="C2588" t="s">
        <v>6192</v>
      </c>
      <c r="D2588" t="s">
        <v>81</v>
      </c>
      <c r="E2588" s="2" t="str">
        <f>HYPERLINK("capsilon://?command=openfolder&amp;siteaddress=FAM.docvelocity-na8.net&amp;folderid=FXAB54198B-6B7A-F95F-8D17-6C30793A9230","FX201225124")</f>
        <v>FX201225124</v>
      </c>
      <c r="F2588" t="s">
        <v>19</v>
      </c>
      <c r="G2588" t="s">
        <v>19</v>
      </c>
      <c r="H2588" t="s">
        <v>82</v>
      </c>
      <c r="I2588" t="s">
        <v>6193</v>
      </c>
      <c r="J2588">
        <v>31</v>
      </c>
      <c r="K2588" t="s">
        <v>84</v>
      </c>
      <c r="L2588" t="s">
        <v>85</v>
      </c>
      <c r="M2588" t="s">
        <v>86</v>
      </c>
      <c r="N2588">
        <v>3</v>
      </c>
      <c r="O2588" s="1">
        <v>44221.815254629626</v>
      </c>
      <c r="P2588" s="1">
        <v>44222.371354166666</v>
      </c>
      <c r="Q2588">
        <v>46100</v>
      </c>
      <c r="R2588">
        <v>1947</v>
      </c>
      <c r="S2588" t="b">
        <v>0</v>
      </c>
      <c r="T2588" t="s">
        <v>87</v>
      </c>
      <c r="U2588" t="b">
        <v>0</v>
      </c>
      <c r="V2588" t="s">
        <v>88</v>
      </c>
      <c r="W2588" s="1">
        <v>44222.158067129632</v>
      </c>
      <c r="X2588">
        <v>841</v>
      </c>
      <c r="Y2588">
        <v>66</v>
      </c>
      <c r="Z2588">
        <v>0</v>
      </c>
      <c r="AA2588">
        <v>66</v>
      </c>
      <c r="AB2588">
        <v>0</v>
      </c>
      <c r="AC2588">
        <v>52</v>
      </c>
      <c r="AD2588">
        <v>-35</v>
      </c>
      <c r="AE2588">
        <v>0</v>
      </c>
      <c r="AF2588">
        <v>0</v>
      </c>
      <c r="AG2588">
        <v>0</v>
      </c>
      <c r="AH2588" t="s">
        <v>108</v>
      </c>
      <c r="AI2588" s="1">
        <v>44222.168738425928</v>
      </c>
      <c r="AJ2588">
        <v>630</v>
      </c>
      <c r="AK2588">
        <v>2</v>
      </c>
      <c r="AL2588">
        <v>0</v>
      </c>
      <c r="AM2588">
        <v>2</v>
      </c>
      <c r="AN2588">
        <v>0</v>
      </c>
      <c r="AO2588">
        <v>0</v>
      </c>
      <c r="AP2588">
        <v>-37</v>
      </c>
      <c r="AQ2588">
        <v>0</v>
      </c>
      <c r="AR2588">
        <v>0</v>
      </c>
      <c r="AS2588">
        <v>0</v>
      </c>
      <c r="AT2588" t="s">
        <v>90</v>
      </c>
      <c r="AU2588" s="1">
        <v>44222.371354166666</v>
      </c>
      <c r="AV2588">
        <v>476</v>
      </c>
      <c r="AW2588">
        <v>1</v>
      </c>
      <c r="AX2588">
        <v>0</v>
      </c>
      <c r="AY2588">
        <v>1</v>
      </c>
      <c r="AZ2588">
        <v>0</v>
      </c>
      <c r="BA2588">
        <v>1</v>
      </c>
      <c r="BB2588">
        <v>-38</v>
      </c>
      <c r="BC2588">
        <v>0</v>
      </c>
      <c r="BD2588">
        <v>0</v>
      </c>
      <c r="BE2588">
        <v>0</v>
      </c>
    </row>
    <row r="2589" spans="1:57" x14ac:dyDescent="0.45">
      <c r="A2589" t="s">
        <v>6194</v>
      </c>
      <c r="B2589" t="s">
        <v>79</v>
      </c>
      <c r="C2589" t="s">
        <v>6192</v>
      </c>
      <c r="D2589" t="s">
        <v>81</v>
      </c>
      <c r="E2589" s="2" t="str">
        <f>HYPERLINK("capsilon://?command=openfolder&amp;siteaddress=FAM.docvelocity-na8.net&amp;folderid=FXAB54198B-6B7A-F95F-8D17-6C30793A9230","FX201225124")</f>
        <v>FX201225124</v>
      </c>
      <c r="F2589" t="s">
        <v>19</v>
      </c>
      <c r="G2589" t="s">
        <v>19</v>
      </c>
      <c r="H2589" t="s">
        <v>82</v>
      </c>
      <c r="I2589" t="s">
        <v>6195</v>
      </c>
      <c r="J2589">
        <v>31</v>
      </c>
      <c r="K2589" t="s">
        <v>84</v>
      </c>
      <c r="L2589" t="s">
        <v>85</v>
      </c>
      <c r="M2589" t="s">
        <v>86</v>
      </c>
      <c r="N2589">
        <v>3</v>
      </c>
      <c r="O2589" s="1">
        <v>44221.815497685187</v>
      </c>
      <c r="P2589" s="1">
        <v>44222.371469907404</v>
      </c>
      <c r="Q2589">
        <v>46483</v>
      </c>
      <c r="R2589">
        <v>1553</v>
      </c>
      <c r="S2589" t="b">
        <v>0</v>
      </c>
      <c r="T2589" t="s">
        <v>87</v>
      </c>
      <c r="U2589" t="b">
        <v>0</v>
      </c>
      <c r="V2589" t="s">
        <v>112</v>
      </c>
      <c r="W2589" s="1">
        <v>44222.159618055557</v>
      </c>
      <c r="X2589">
        <v>855</v>
      </c>
      <c r="Y2589">
        <v>66</v>
      </c>
      <c r="Z2589">
        <v>0</v>
      </c>
      <c r="AA2589">
        <v>66</v>
      </c>
      <c r="AB2589">
        <v>0</v>
      </c>
      <c r="AC2589">
        <v>51</v>
      </c>
      <c r="AD2589">
        <v>-35</v>
      </c>
      <c r="AE2589">
        <v>0</v>
      </c>
      <c r="AF2589">
        <v>0</v>
      </c>
      <c r="AG2589">
        <v>0</v>
      </c>
      <c r="AH2589" t="s">
        <v>108</v>
      </c>
      <c r="AI2589" s="1">
        <v>44222.175173611111</v>
      </c>
      <c r="AJ2589">
        <v>555</v>
      </c>
      <c r="AK2589">
        <v>3</v>
      </c>
      <c r="AL2589">
        <v>0</v>
      </c>
      <c r="AM2589">
        <v>3</v>
      </c>
      <c r="AN2589">
        <v>0</v>
      </c>
      <c r="AO2589">
        <v>2</v>
      </c>
      <c r="AP2589">
        <v>-38</v>
      </c>
      <c r="AQ2589">
        <v>0</v>
      </c>
      <c r="AR2589">
        <v>0</v>
      </c>
      <c r="AS2589">
        <v>0</v>
      </c>
      <c r="AT2589" t="s">
        <v>90</v>
      </c>
      <c r="AU2589" s="1">
        <v>44222.371469907404</v>
      </c>
      <c r="AV2589">
        <v>9</v>
      </c>
      <c r="AW2589">
        <v>1</v>
      </c>
      <c r="AX2589">
        <v>0</v>
      </c>
      <c r="AY2589">
        <v>1</v>
      </c>
      <c r="AZ2589">
        <v>0</v>
      </c>
      <c r="BA2589">
        <v>1</v>
      </c>
      <c r="BB2589">
        <v>-39</v>
      </c>
      <c r="BC2589">
        <v>0</v>
      </c>
      <c r="BD2589">
        <v>0</v>
      </c>
      <c r="BE2589">
        <v>0</v>
      </c>
    </row>
    <row r="2590" spans="1:57" x14ac:dyDescent="0.45">
      <c r="A2590" t="s">
        <v>6196</v>
      </c>
      <c r="B2590" t="s">
        <v>79</v>
      </c>
      <c r="C2590" t="s">
        <v>6192</v>
      </c>
      <c r="D2590" t="s">
        <v>81</v>
      </c>
      <c r="E2590" s="2" t="str">
        <f>HYPERLINK("capsilon://?command=openfolder&amp;siteaddress=FAM.docvelocity-na8.net&amp;folderid=FXAB54198B-6B7A-F95F-8D17-6C30793A9230","FX201225124")</f>
        <v>FX201225124</v>
      </c>
      <c r="F2590" t="s">
        <v>19</v>
      </c>
      <c r="G2590" t="s">
        <v>19</v>
      </c>
      <c r="H2590" t="s">
        <v>82</v>
      </c>
      <c r="I2590" t="s">
        <v>6197</v>
      </c>
      <c r="J2590">
        <v>31</v>
      </c>
      <c r="K2590" t="s">
        <v>84</v>
      </c>
      <c r="L2590" t="s">
        <v>85</v>
      </c>
      <c r="M2590" t="s">
        <v>86</v>
      </c>
      <c r="N2590">
        <v>3</v>
      </c>
      <c r="O2590" s="1">
        <v>44221.816689814812</v>
      </c>
      <c r="P2590" s="1">
        <v>44222.371574074074</v>
      </c>
      <c r="Q2590">
        <v>46663</v>
      </c>
      <c r="R2590">
        <v>1279</v>
      </c>
      <c r="S2590" t="b">
        <v>0</v>
      </c>
      <c r="T2590" t="s">
        <v>87</v>
      </c>
      <c r="U2590" t="b">
        <v>0</v>
      </c>
      <c r="V2590" t="s">
        <v>88</v>
      </c>
      <c r="W2590" s="1">
        <v>44222.167962962965</v>
      </c>
      <c r="X2590">
        <v>854</v>
      </c>
      <c r="Y2590">
        <v>66</v>
      </c>
      <c r="Z2590">
        <v>0</v>
      </c>
      <c r="AA2590">
        <v>66</v>
      </c>
      <c r="AB2590">
        <v>0</v>
      </c>
      <c r="AC2590">
        <v>53</v>
      </c>
      <c r="AD2590">
        <v>-35</v>
      </c>
      <c r="AE2590">
        <v>0</v>
      </c>
      <c r="AF2590">
        <v>0</v>
      </c>
      <c r="AG2590">
        <v>0</v>
      </c>
      <c r="AH2590" t="s">
        <v>89</v>
      </c>
      <c r="AI2590" s="1">
        <v>44222.175879629627</v>
      </c>
      <c r="AJ2590">
        <v>417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-35</v>
      </c>
      <c r="AQ2590">
        <v>0</v>
      </c>
      <c r="AR2590">
        <v>0</v>
      </c>
      <c r="AS2590">
        <v>0</v>
      </c>
      <c r="AT2590" t="s">
        <v>90</v>
      </c>
      <c r="AU2590" s="1">
        <v>44222.371574074074</v>
      </c>
      <c r="AV2590">
        <v>8</v>
      </c>
      <c r="AW2590">
        <v>1</v>
      </c>
      <c r="AX2590">
        <v>0</v>
      </c>
      <c r="AY2590">
        <v>1</v>
      </c>
      <c r="AZ2590">
        <v>0</v>
      </c>
      <c r="BA2590">
        <v>1</v>
      </c>
      <c r="BB2590">
        <v>-36</v>
      </c>
      <c r="BC2590">
        <v>0</v>
      </c>
      <c r="BD2590">
        <v>0</v>
      </c>
      <c r="BE2590">
        <v>0</v>
      </c>
    </row>
    <row r="2591" spans="1:57" x14ac:dyDescent="0.45">
      <c r="A2591" t="s">
        <v>6198</v>
      </c>
      <c r="B2591" t="s">
        <v>79</v>
      </c>
      <c r="C2591" t="s">
        <v>6145</v>
      </c>
      <c r="D2591" t="s">
        <v>81</v>
      </c>
      <c r="E2591" s="2" t="str">
        <f>HYPERLINK("capsilon://?command=openfolder&amp;siteaddress=FAM.docvelocity-na8.net&amp;folderid=FX49A295F4-4DF8-F8F1-CE2D-8EC3DB42392B","FX210113408")</f>
        <v>FX210113408</v>
      </c>
      <c r="F2591" t="s">
        <v>19</v>
      </c>
      <c r="G2591" t="s">
        <v>19</v>
      </c>
      <c r="H2591" t="s">
        <v>82</v>
      </c>
      <c r="I2591" t="s">
        <v>6199</v>
      </c>
      <c r="J2591">
        <v>37</v>
      </c>
      <c r="K2591" t="s">
        <v>84</v>
      </c>
      <c r="L2591" t="s">
        <v>85</v>
      </c>
      <c r="M2591" t="s">
        <v>86</v>
      </c>
      <c r="N2591">
        <v>3</v>
      </c>
      <c r="O2591" s="1">
        <v>44221.817002314812</v>
      </c>
      <c r="P2591" s="1">
        <v>44222.371678240743</v>
      </c>
      <c r="Q2591">
        <v>46145</v>
      </c>
      <c r="R2591">
        <v>1779</v>
      </c>
      <c r="S2591" t="b">
        <v>0</v>
      </c>
      <c r="T2591" t="s">
        <v>87</v>
      </c>
      <c r="U2591" t="b">
        <v>0</v>
      </c>
      <c r="V2591" t="s">
        <v>112</v>
      </c>
      <c r="W2591" s="1">
        <v>44222.17523148148</v>
      </c>
      <c r="X2591">
        <v>1348</v>
      </c>
      <c r="Y2591">
        <v>59</v>
      </c>
      <c r="Z2591">
        <v>0</v>
      </c>
      <c r="AA2591">
        <v>59</v>
      </c>
      <c r="AB2591">
        <v>0</v>
      </c>
      <c r="AC2591">
        <v>47</v>
      </c>
      <c r="AD2591">
        <v>-22</v>
      </c>
      <c r="AE2591">
        <v>0</v>
      </c>
      <c r="AF2591">
        <v>0</v>
      </c>
      <c r="AG2591">
        <v>0</v>
      </c>
      <c r="AH2591" t="s">
        <v>89</v>
      </c>
      <c r="AI2591" s="1">
        <v>44222.181342592594</v>
      </c>
      <c r="AJ2591">
        <v>402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-22</v>
      </c>
      <c r="AQ2591">
        <v>0</v>
      </c>
      <c r="AR2591">
        <v>0</v>
      </c>
      <c r="AS2591">
        <v>0</v>
      </c>
      <c r="AT2591" t="s">
        <v>90</v>
      </c>
      <c r="AU2591" s="1">
        <v>44222.371678240743</v>
      </c>
      <c r="AV2591">
        <v>9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-22</v>
      </c>
      <c r="BC2591">
        <v>0</v>
      </c>
      <c r="BD2591">
        <v>0</v>
      </c>
      <c r="BE2591">
        <v>0</v>
      </c>
    </row>
    <row r="2592" spans="1:57" x14ac:dyDescent="0.45">
      <c r="A2592" t="s">
        <v>6200</v>
      </c>
      <c r="B2592" t="s">
        <v>79</v>
      </c>
      <c r="C2592" t="s">
        <v>1444</v>
      </c>
      <c r="D2592" t="s">
        <v>81</v>
      </c>
      <c r="E2592" s="2" t="str">
        <f>HYPERLINK("capsilon://?command=openfolder&amp;siteaddress=FAM.docvelocity-na8.net&amp;folderid=FXCD375171-C161-661C-D49F-7325BC377B46","FX20122717")</f>
        <v>FX20122717</v>
      </c>
      <c r="F2592" t="s">
        <v>19</v>
      </c>
      <c r="G2592" t="s">
        <v>19</v>
      </c>
      <c r="H2592" t="s">
        <v>82</v>
      </c>
      <c r="I2592" t="s">
        <v>6201</v>
      </c>
      <c r="J2592">
        <v>66</v>
      </c>
      <c r="K2592" t="s">
        <v>84</v>
      </c>
      <c r="L2592" t="s">
        <v>85</v>
      </c>
      <c r="M2592" t="s">
        <v>86</v>
      </c>
      <c r="N2592">
        <v>3</v>
      </c>
      <c r="O2592" s="1">
        <v>44221.818472222221</v>
      </c>
      <c r="P2592" s="1">
        <v>44222.372013888889</v>
      </c>
      <c r="Q2592">
        <v>45847</v>
      </c>
      <c r="R2592">
        <v>1979</v>
      </c>
      <c r="S2592" t="b">
        <v>0</v>
      </c>
      <c r="T2592" t="s">
        <v>87</v>
      </c>
      <c r="U2592" t="b">
        <v>0</v>
      </c>
      <c r="V2592" t="s">
        <v>98</v>
      </c>
      <c r="W2592" s="1">
        <v>44222.17597222222</v>
      </c>
      <c r="X2592">
        <v>1304</v>
      </c>
      <c r="Y2592">
        <v>52</v>
      </c>
      <c r="Z2592">
        <v>0</v>
      </c>
      <c r="AA2592">
        <v>52</v>
      </c>
      <c r="AB2592">
        <v>0</v>
      </c>
      <c r="AC2592">
        <v>19</v>
      </c>
      <c r="AD2592">
        <v>14</v>
      </c>
      <c r="AE2592">
        <v>0</v>
      </c>
      <c r="AF2592">
        <v>0</v>
      </c>
      <c r="AG2592">
        <v>0</v>
      </c>
      <c r="AH2592" t="s">
        <v>108</v>
      </c>
      <c r="AI2592" s="1">
        <v>44222.186400462961</v>
      </c>
      <c r="AJ2592">
        <v>646</v>
      </c>
      <c r="AK2592">
        <v>1</v>
      </c>
      <c r="AL2592">
        <v>0</v>
      </c>
      <c r="AM2592">
        <v>1</v>
      </c>
      <c r="AN2592">
        <v>0</v>
      </c>
      <c r="AO2592">
        <v>0</v>
      </c>
      <c r="AP2592">
        <v>13</v>
      </c>
      <c r="AQ2592">
        <v>0</v>
      </c>
      <c r="AR2592">
        <v>0</v>
      </c>
      <c r="AS2592">
        <v>0</v>
      </c>
      <c r="AT2592" t="s">
        <v>90</v>
      </c>
      <c r="AU2592" s="1">
        <v>44222.372013888889</v>
      </c>
      <c r="AV2592">
        <v>29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13</v>
      </c>
      <c r="BC2592">
        <v>0</v>
      </c>
      <c r="BD2592">
        <v>0</v>
      </c>
      <c r="BE2592">
        <v>0</v>
      </c>
    </row>
    <row r="2593" spans="1:57" x14ac:dyDescent="0.45">
      <c r="A2593" t="s">
        <v>6202</v>
      </c>
      <c r="B2593" t="s">
        <v>79</v>
      </c>
      <c r="C2593" t="s">
        <v>6145</v>
      </c>
      <c r="D2593" t="s">
        <v>81</v>
      </c>
      <c r="E2593" s="2" t="str">
        <f>HYPERLINK("capsilon://?command=openfolder&amp;siteaddress=FAM.docvelocity-na8.net&amp;folderid=FX49A295F4-4DF8-F8F1-CE2D-8EC3DB42392B","FX210113408")</f>
        <v>FX210113408</v>
      </c>
      <c r="F2593" t="s">
        <v>19</v>
      </c>
      <c r="G2593" t="s">
        <v>19</v>
      </c>
      <c r="H2593" t="s">
        <v>82</v>
      </c>
      <c r="I2593" t="s">
        <v>6203</v>
      </c>
      <c r="J2593">
        <v>31</v>
      </c>
      <c r="K2593" t="s">
        <v>84</v>
      </c>
      <c r="L2593" t="s">
        <v>85</v>
      </c>
      <c r="M2593" t="s">
        <v>86</v>
      </c>
      <c r="N2593">
        <v>3</v>
      </c>
      <c r="O2593" s="1">
        <v>44221.821793981479</v>
      </c>
      <c r="P2593" s="1">
        <v>44222.372094907405</v>
      </c>
      <c r="Q2593">
        <v>46112</v>
      </c>
      <c r="R2593">
        <v>1434</v>
      </c>
      <c r="S2593" t="b">
        <v>0</v>
      </c>
      <c r="T2593" t="s">
        <v>87</v>
      </c>
      <c r="U2593" t="b">
        <v>0</v>
      </c>
      <c r="V2593" t="s">
        <v>105</v>
      </c>
      <c r="W2593" s="1">
        <v>44222.174618055556</v>
      </c>
      <c r="X2593">
        <v>1105</v>
      </c>
      <c r="Y2593">
        <v>59</v>
      </c>
      <c r="Z2593">
        <v>0</v>
      </c>
      <c r="AA2593">
        <v>59</v>
      </c>
      <c r="AB2593">
        <v>0</v>
      </c>
      <c r="AC2593">
        <v>48</v>
      </c>
      <c r="AD2593">
        <v>-28</v>
      </c>
      <c r="AE2593">
        <v>0</v>
      </c>
      <c r="AF2593">
        <v>0</v>
      </c>
      <c r="AG2593">
        <v>0</v>
      </c>
      <c r="AH2593" t="s">
        <v>108</v>
      </c>
      <c r="AI2593" s="1">
        <v>44222.178912037038</v>
      </c>
      <c r="AJ2593">
        <v>322</v>
      </c>
      <c r="AK2593">
        <v>1</v>
      </c>
      <c r="AL2593">
        <v>0</v>
      </c>
      <c r="AM2593">
        <v>1</v>
      </c>
      <c r="AN2593">
        <v>0</v>
      </c>
      <c r="AO2593">
        <v>0</v>
      </c>
      <c r="AP2593">
        <v>-29</v>
      </c>
      <c r="AQ2593">
        <v>0</v>
      </c>
      <c r="AR2593">
        <v>0</v>
      </c>
      <c r="AS2593">
        <v>0</v>
      </c>
      <c r="AT2593" t="s">
        <v>90</v>
      </c>
      <c r="AU2593" s="1">
        <v>44222.372094907405</v>
      </c>
      <c r="AV2593">
        <v>7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-29</v>
      </c>
      <c r="BC2593">
        <v>0</v>
      </c>
      <c r="BD2593">
        <v>0</v>
      </c>
      <c r="BE2593">
        <v>0</v>
      </c>
    </row>
    <row r="2594" spans="1:57" x14ac:dyDescent="0.45">
      <c r="A2594" t="s">
        <v>6204</v>
      </c>
      <c r="B2594" t="s">
        <v>79</v>
      </c>
      <c r="C2594" t="s">
        <v>6145</v>
      </c>
      <c r="D2594" t="s">
        <v>81</v>
      </c>
      <c r="E2594" s="2" t="str">
        <f>HYPERLINK("capsilon://?command=openfolder&amp;siteaddress=FAM.docvelocity-na8.net&amp;folderid=FX49A295F4-4DF8-F8F1-CE2D-8EC3DB42392B","FX210113408")</f>
        <v>FX210113408</v>
      </c>
      <c r="F2594" t="s">
        <v>19</v>
      </c>
      <c r="G2594" t="s">
        <v>19</v>
      </c>
      <c r="H2594" t="s">
        <v>82</v>
      </c>
      <c r="I2594" t="s">
        <v>6205</v>
      </c>
      <c r="J2594">
        <v>71</v>
      </c>
      <c r="K2594" t="s">
        <v>84</v>
      </c>
      <c r="L2594" t="s">
        <v>85</v>
      </c>
      <c r="M2594" t="s">
        <v>86</v>
      </c>
      <c r="N2594">
        <v>3</v>
      </c>
      <c r="O2594" s="1">
        <v>44221.822627314818</v>
      </c>
      <c r="P2594" s="1">
        <v>44222.372141203705</v>
      </c>
      <c r="Q2594">
        <v>46486</v>
      </c>
      <c r="R2594">
        <v>992</v>
      </c>
      <c r="S2594" t="b">
        <v>0</v>
      </c>
      <c r="T2594" t="s">
        <v>87</v>
      </c>
      <c r="U2594" t="b">
        <v>0</v>
      </c>
      <c r="V2594" t="s">
        <v>88</v>
      </c>
      <c r="W2594" s="1">
        <v>44222.173564814817</v>
      </c>
      <c r="X2594">
        <v>483</v>
      </c>
      <c r="Y2594">
        <v>49</v>
      </c>
      <c r="Z2594">
        <v>0</v>
      </c>
      <c r="AA2594">
        <v>49</v>
      </c>
      <c r="AB2594">
        <v>0</v>
      </c>
      <c r="AC2594">
        <v>2</v>
      </c>
      <c r="AD2594">
        <v>22</v>
      </c>
      <c r="AE2594">
        <v>0</v>
      </c>
      <c r="AF2594">
        <v>0</v>
      </c>
      <c r="AG2594">
        <v>0</v>
      </c>
      <c r="AH2594" t="s">
        <v>94</v>
      </c>
      <c r="AI2594" s="1">
        <v>44222.179791666669</v>
      </c>
      <c r="AJ2594">
        <v>506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22</v>
      </c>
      <c r="AQ2594">
        <v>0</v>
      </c>
      <c r="AR2594">
        <v>0</v>
      </c>
      <c r="AS2594">
        <v>0</v>
      </c>
      <c r="AT2594" t="s">
        <v>90</v>
      </c>
      <c r="AU2594" s="1">
        <v>44222.372141203705</v>
      </c>
      <c r="AV2594">
        <v>3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22</v>
      </c>
      <c r="BC2594">
        <v>0</v>
      </c>
      <c r="BD2594">
        <v>0</v>
      </c>
      <c r="BE2594">
        <v>0</v>
      </c>
    </row>
    <row r="2595" spans="1:57" x14ac:dyDescent="0.45">
      <c r="A2595" t="s">
        <v>6206</v>
      </c>
      <c r="B2595" t="s">
        <v>79</v>
      </c>
      <c r="C2595" t="s">
        <v>6145</v>
      </c>
      <c r="D2595" t="s">
        <v>81</v>
      </c>
      <c r="E2595" s="2" t="str">
        <f>HYPERLINK("capsilon://?command=openfolder&amp;siteaddress=FAM.docvelocity-na8.net&amp;folderid=FX49A295F4-4DF8-F8F1-CE2D-8EC3DB42392B","FX210113408")</f>
        <v>FX210113408</v>
      </c>
      <c r="F2595" t="s">
        <v>19</v>
      </c>
      <c r="G2595" t="s">
        <v>19</v>
      </c>
      <c r="H2595" t="s">
        <v>82</v>
      </c>
      <c r="I2595" t="s">
        <v>6207</v>
      </c>
      <c r="J2595">
        <v>31</v>
      </c>
      <c r="K2595" t="s">
        <v>84</v>
      </c>
      <c r="L2595" t="s">
        <v>85</v>
      </c>
      <c r="M2595" t="s">
        <v>86</v>
      </c>
      <c r="N2595">
        <v>3</v>
      </c>
      <c r="O2595" s="1">
        <v>44221.825462962966</v>
      </c>
      <c r="P2595" s="1">
        <v>44222.372245370374</v>
      </c>
      <c r="Q2595">
        <v>46232</v>
      </c>
      <c r="R2595">
        <v>1010</v>
      </c>
      <c r="S2595" t="b">
        <v>0</v>
      </c>
      <c r="T2595" t="s">
        <v>87</v>
      </c>
      <c r="U2595" t="b">
        <v>0</v>
      </c>
      <c r="V2595" t="s">
        <v>88</v>
      </c>
      <c r="W2595" s="1">
        <v>44222.182581018518</v>
      </c>
      <c r="X2595">
        <v>778</v>
      </c>
      <c r="Y2595">
        <v>44</v>
      </c>
      <c r="Z2595">
        <v>0</v>
      </c>
      <c r="AA2595">
        <v>44</v>
      </c>
      <c r="AB2595">
        <v>0</v>
      </c>
      <c r="AC2595">
        <v>35</v>
      </c>
      <c r="AD2595">
        <v>-13</v>
      </c>
      <c r="AE2595">
        <v>0</v>
      </c>
      <c r="AF2595">
        <v>0</v>
      </c>
      <c r="AG2595">
        <v>0</v>
      </c>
      <c r="AH2595" t="s">
        <v>108</v>
      </c>
      <c r="AI2595" s="1">
        <v>44222.188993055555</v>
      </c>
      <c r="AJ2595">
        <v>224</v>
      </c>
      <c r="AK2595">
        <v>1</v>
      </c>
      <c r="AL2595">
        <v>0</v>
      </c>
      <c r="AM2595">
        <v>1</v>
      </c>
      <c r="AN2595">
        <v>0</v>
      </c>
      <c r="AO2595">
        <v>0</v>
      </c>
      <c r="AP2595">
        <v>-14</v>
      </c>
      <c r="AQ2595">
        <v>0</v>
      </c>
      <c r="AR2595">
        <v>0</v>
      </c>
      <c r="AS2595">
        <v>0</v>
      </c>
      <c r="AT2595" t="s">
        <v>90</v>
      </c>
      <c r="AU2595" s="1">
        <v>44222.372245370374</v>
      </c>
      <c r="AV2595">
        <v>8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-14</v>
      </c>
      <c r="BC2595">
        <v>0</v>
      </c>
      <c r="BD2595">
        <v>0</v>
      </c>
      <c r="BE2595">
        <v>0</v>
      </c>
    </row>
    <row r="2596" spans="1:57" hidden="1" x14ac:dyDescent="0.45">
      <c r="A2596" t="s">
        <v>6208</v>
      </c>
      <c r="B2596" t="s">
        <v>79</v>
      </c>
      <c r="C2596" t="s">
        <v>6209</v>
      </c>
      <c r="D2596" t="s">
        <v>81</v>
      </c>
      <c r="E2596" s="2" t="str">
        <f>HYPERLINK("capsilon://?command=openfolder&amp;siteaddress=FAM.docvelocity-na8.net&amp;folderid=FXBD68940C-B3E7-C276-9725-018217077DB4","FX20121932")</f>
        <v>FX20121932</v>
      </c>
      <c r="F2596" t="s">
        <v>19</v>
      </c>
      <c r="G2596" t="s">
        <v>19</v>
      </c>
      <c r="H2596" t="s">
        <v>82</v>
      </c>
      <c r="I2596" t="s">
        <v>6210</v>
      </c>
      <c r="J2596">
        <v>66</v>
      </c>
      <c r="K2596" t="s">
        <v>84</v>
      </c>
      <c r="L2596" t="s">
        <v>85</v>
      </c>
      <c r="M2596" t="s">
        <v>86</v>
      </c>
      <c r="N2596">
        <v>1</v>
      </c>
      <c r="O2596" s="1">
        <v>44221.830034722225</v>
      </c>
      <c r="P2596" s="1">
        <v>44222.181585648148</v>
      </c>
      <c r="Q2596">
        <v>29773</v>
      </c>
      <c r="R2596">
        <v>601</v>
      </c>
      <c r="S2596" t="b">
        <v>0</v>
      </c>
      <c r="T2596" t="s">
        <v>87</v>
      </c>
      <c r="U2596" t="b">
        <v>0</v>
      </c>
      <c r="V2596" t="s">
        <v>105</v>
      </c>
      <c r="W2596" s="1">
        <v>44222.181585648148</v>
      </c>
      <c r="X2596">
        <v>601</v>
      </c>
      <c r="Y2596">
        <v>0</v>
      </c>
      <c r="Z2596">
        <v>0</v>
      </c>
      <c r="AA2596">
        <v>0</v>
      </c>
      <c r="AB2596">
        <v>0</v>
      </c>
      <c r="AC2596">
        <v>5</v>
      </c>
      <c r="AD2596">
        <v>66</v>
      </c>
      <c r="AE2596">
        <v>52</v>
      </c>
      <c r="AF2596">
        <v>0</v>
      </c>
      <c r="AG2596">
        <v>1</v>
      </c>
      <c r="AH2596" t="s">
        <v>87</v>
      </c>
      <c r="AI2596" t="s">
        <v>87</v>
      </c>
      <c r="AJ2596" t="s">
        <v>87</v>
      </c>
      <c r="AK2596" t="s">
        <v>87</v>
      </c>
      <c r="AL2596" t="s">
        <v>87</v>
      </c>
      <c r="AM2596" t="s">
        <v>87</v>
      </c>
      <c r="AN2596" t="s">
        <v>87</v>
      </c>
      <c r="AO2596" t="s">
        <v>87</v>
      </c>
      <c r="AP2596" t="s">
        <v>87</v>
      </c>
      <c r="AQ2596" t="s">
        <v>87</v>
      </c>
      <c r="AR2596" t="s">
        <v>87</v>
      </c>
      <c r="AS2596" t="s">
        <v>87</v>
      </c>
      <c r="AT2596" t="s">
        <v>87</v>
      </c>
      <c r="AU2596" t="s">
        <v>87</v>
      </c>
      <c r="AV2596" t="s">
        <v>87</v>
      </c>
      <c r="AW2596" t="s">
        <v>87</v>
      </c>
      <c r="AX2596" t="s">
        <v>87</v>
      </c>
      <c r="AY2596" t="s">
        <v>87</v>
      </c>
      <c r="AZ2596" t="s">
        <v>87</v>
      </c>
      <c r="BA2596" t="s">
        <v>87</v>
      </c>
      <c r="BB2596" t="s">
        <v>87</v>
      </c>
      <c r="BC2596" t="s">
        <v>87</v>
      </c>
      <c r="BD2596" t="s">
        <v>87</v>
      </c>
      <c r="BE2596" t="s">
        <v>87</v>
      </c>
    </row>
    <row r="2597" spans="1:57" x14ac:dyDescent="0.45">
      <c r="A2597" t="s">
        <v>6211</v>
      </c>
      <c r="B2597" t="s">
        <v>79</v>
      </c>
      <c r="C2597" t="s">
        <v>5246</v>
      </c>
      <c r="D2597" t="s">
        <v>81</v>
      </c>
      <c r="E2597" s="2" t="str">
        <f>HYPERLINK("capsilon://?command=openfolder&amp;siteaddress=FAM.docvelocity-na8.net&amp;folderid=FX722B18A4-C04B-F05A-54F3-95C1C0BC6CBA","FX210111877")</f>
        <v>FX210111877</v>
      </c>
      <c r="F2597" t="s">
        <v>19</v>
      </c>
      <c r="G2597" t="s">
        <v>19</v>
      </c>
      <c r="H2597" t="s">
        <v>82</v>
      </c>
      <c r="I2597" t="s">
        <v>6212</v>
      </c>
      <c r="J2597">
        <v>38</v>
      </c>
      <c r="K2597" t="s">
        <v>84</v>
      </c>
      <c r="L2597" t="s">
        <v>85</v>
      </c>
      <c r="M2597" t="s">
        <v>86</v>
      </c>
      <c r="N2597">
        <v>3</v>
      </c>
      <c r="O2597" s="1">
        <v>44221.831608796296</v>
      </c>
      <c r="P2597" s="1">
        <v>44222.372372685182</v>
      </c>
      <c r="Q2597">
        <v>44999</v>
      </c>
      <c r="R2597">
        <v>1723</v>
      </c>
      <c r="S2597" t="b">
        <v>0</v>
      </c>
      <c r="T2597" t="s">
        <v>87</v>
      </c>
      <c r="U2597" t="b">
        <v>0</v>
      </c>
      <c r="V2597" t="s">
        <v>112</v>
      </c>
      <c r="W2597" s="1">
        <v>44222.179594907408</v>
      </c>
      <c r="X2597">
        <v>376</v>
      </c>
      <c r="Y2597">
        <v>37</v>
      </c>
      <c r="Z2597">
        <v>0</v>
      </c>
      <c r="AA2597">
        <v>37</v>
      </c>
      <c r="AB2597">
        <v>0</v>
      </c>
      <c r="AC2597">
        <v>6</v>
      </c>
      <c r="AD2597">
        <v>1</v>
      </c>
      <c r="AE2597">
        <v>0</v>
      </c>
      <c r="AF2597">
        <v>0</v>
      </c>
      <c r="AG2597">
        <v>0</v>
      </c>
      <c r="AH2597" t="s">
        <v>108</v>
      </c>
      <c r="AI2597" s="1">
        <v>44222.195428240739</v>
      </c>
      <c r="AJ2597">
        <v>555</v>
      </c>
      <c r="AK2597">
        <v>2</v>
      </c>
      <c r="AL2597">
        <v>0</v>
      </c>
      <c r="AM2597">
        <v>2</v>
      </c>
      <c r="AN2597">
        <v>0</v>
      </c>
      <c r="AO2597">
        <v>0</v>
      </c>
      <c r="AP2597">
        <v>-1</v>
      </c>
      <c r="AQ2597">
        <v>0</v>
      </c>
      <c r="AR2597">
        <v>0</v>
      </c>
      <c r="AS2597">
        <v>0</v>
      </c>
      <c r="AT2597" t="s">
        <v>90</v>
      </c>
      <c r="AU2597" s="1">
        <v>44222.372372685182</v>
      </c>
      <c r="AV2597">
        <v>10</v>
      </c>
      <c r="AW2597">
        <v>1</v>
      </c>
      <c r="AX2597">
        <v>0</v>
      </c>
      <c r="AY2597">
        <v>1</v>
      </c>
      <c r="AZ2597">
        <v>0</v>
      </c>
      <c r="BA2597">
        <v>1</v>
      </c>
      <c r="BB2597">
        <v>-2</v>
      </c>
      <c r="BC2597">
        <v>0</v>
      </c>
      <c r="BD2597">
        <v>0</v>
      </c>
      <c r="BE2597">
        <v>0</v>
      </c>
    </row>
    <row r="2598" spans="1:57" x14ac:dyDescent="0.45">
      <c r="A2598" t="s">
        <v>6213</v>
      </c>
      <c r="B2598" t="s">
        <v>79</v>
      </c>
      <c r="C2598" t="s">
        <v>6145</v>
      </c>
      <c r="D2598" t="s">
        <v>81</v>
      </c>
      <c r="E2598" s="2" t="str">
        <f t="shared" ref="E2598:E2605" si="2">HYPERLINK("capsilon://?command=openfolder&amp;siteaddress=FAM.docvelocity-na8.net&amp;folderid=FX49A295F4-4DF8-F8F1-CE2D-8EC3DB42392B","FX210113408")</f>
        <v>FX210113408</v>
      </c>
      <c r="F2598" t="s">
        <v>19</v>
      </c>
      <c r="G2598" t="s">
        <v>19</v>
      </c>
      <c r="H2598" t="s">
        <v>82</v>
      </c>
      <c r="I2598" t="s">
        <v>6214</v>
      </c>
      <c r="J2598">
        <v>89</v>
      </c>
      <c r="K2598" t="s">
        <v>84</v>
      </c>
      <c r="L2598" t="s">
        <v>85</v>
      </c>
      <c r="M2598" t="s">
        <v>86</v>
      </c>
      <c r="N2598">
        <v>3</v>
      </c>
      <c r="O2598" s="1">
        <v>44221.83315972222</v>
      </c>
      <c r="P2598" s="1">
        <v>44222.372488425928</v>
      </c>
      <c r="Q2598">
        <v>45782</v>
      </c>
      <c r="R2598">
        <v>816</v>
      </c>
      <c r="S2598" t="b">
        <v>0</v>
      </c>
      <c r="T2598" t="s">
        <v>87</v>
      </c>
      <c r="U2598" t="b">
        <v>0</v>
      </c>
      <c r="V2598" t="s">
        <v>98</v>
      </c>
      <c r="W2598" s="1">
        <v>44222.180844907409</v>
      </c>
      <c r="X2598">
        <v>420</v>
      </c>
      <c r="Y2598">
        <v>69</v>
      </c>
      <c r="Z2598">
        <v>0</v>
      </c>
      <c r="AA2598">
        <v>69</v>
      </c>
      <c r="AB2598">
        <v>0</v>
      </c>
      <c r="AC2598">
        <v>8</v>
      </c>
      <c r="AD2598">
        <v>20</v>
      </c>
      <c r="AE2598">
        <v>0</v>
      </c>
      <c r="AF2598">
        <v>0</v>
      </c>
      <c r="AG2598">
        <v>0</v>
      </c>
      <c r="AH2598" t="s">
        <v>94</v>
      </c>
      <c r="AI2598" s="1">
        <v>44222.195659722223</v>
      </c>
      <c r="AJ2598">
        <v>361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20</v>
      </c>
      <c r="AQ2598">
        <v>0</v>
      </c>
      <c r="AR2598">
        <v>0</v>
      </c>
      <c r="AS2598">
        <v>0</v>
      </c>
      <c r="AT2598" t="s">
        <v>90</v>
      </c>
      <c r="AU2598" s="1">
        <v>44222.372488425928</v>
      </c>
      <c r="AV2598">
        <v>9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20</v>
      </c>
      <c r="BC2598">
        <v>0</v>
      </c>
      <c r="BD2598">
        <v>0</v>
      </c>
      <c r="BE2598">
        <v>0</v>
      </c>
    </row>
    <row r="2599" spans="1:57" x14ac:dyDescent="0.45">
      <c r="A2599" t="s">
        <v>6215</v>
      </c>
      <c r="B2599" t="s">
        <v>79</v>
      </c>
      <c r="C2599" t="s">
        <v>6145</v>
      </c>
      <c r="D2599" t="s">
        <v>81</v>
      </c>
      <c r="E2599" s="2" t="str">
        <f t="shared" si="2"/>
        <v>FX210113408</v>
      </c>
      <c r="F2599" t="s">
        <v>19</v>
      </c>
      <c r="G2599" t="s">
        <v>19</v>
      </c>
      <c r="H2599" t="s">
        <v>82</v>
      </c>
      <c r="I2599" t="s">
        <v>6216</v>
      </c>
      <c r="J2599">
        <v>31</v>
      </c>
      <c r="K2599" t="s">
        <v>84</v>
      </c>
      <c r="L2599" t="s">
        <v>85</v>
      </c>
      <c r="M2599" t="s">
        <v>86</v>
      </c>
      <c r="N2599">
        <v>3</v>
      </c>
      <c r="O2599" s="1">
        <v>44221.838113425925</v>
      </c>
      <c r="P2599" s="1">
        <v>44222.372534722221</v>
      </c>
      <c r="Q2599">
        <v>45102</v>
      </c>
      <c r="R2599">
        <v>1072</v>
      </c>
      <c r="S2599" t="b">
        <v>0</v>
      </c>
      <c r="T2599" t="s">
        <v>87</v>
      </c>
      <c r="U2599" t="b">
        <v>0</v>
      </c>
      <c r="V2599" t="s">
        <v>112</v>
      </c>
      <c r="W2599" s="1">
        <v>44222.189328703702</v>
      </c>
      <c r="X2599">
        <v>840</v>
      </c>
      <c r="Y2599">
        <v>54</v>
      </c>
      <c r="Z2599">
        <v>0</v>
      </c>
      <c r="AA2599">
        <v>54</v>
      </c>
      <c r="AB2599">
        <v>0</v>
      </c>
      <c r="AC2599">
        <v>43</v>
      </c>
      <c r="AD2599">
        <v>-23</v>
      </c>
      <c r="AE2599">
        <v>0</v>
      </c>
      <c r="AF2599">
        <v>0</v>
      </c>
      <c r="AG2599">
        <v>0</v>
      </c>
      <c r="AH2599" t="s">
        <v>108</v>
      </c>
      <c r="AI2599" s="1">
        <v>44222.198067129626</v>
      </c>
      <c r="AJ2599">
        <v>228</v>
      </c>
      <c r="AK2599">
        <v>2</v>
      </c>
      <c r="AL2599">
        <v>0</v>
      </c>
      <c r="AM2599">
        <v>2</v>
      </c>
      <c r="AN2599">
        <v>0</v>
      </c>
      <c r="AO2599">
        <v>0</v>
      </c>
      <c r="AP2599">
        <v>-25</v>
      </c>
      <c r="AQ2599">
        <v>0</v>
      </c>
      <c r="AR2599">
        <v>0</v>
      </c>
      <c r="AS2599">
        <v>0</v>
      </c>
      <c r="AT2599" t="s">
        <v>90</v>
      </c>
      <c r="AU2599" s="1">
        <v>44222.372534722221</v>
      </c>
      <c r="AV2599">
        <v>4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-25</v>
      </c>
      <c r="BC2599">
        <v>0</v>
      </c>
      <c r="BD2599">
        <v>0</v>
      </c>
      <c r="BE2599">
        <v>0</v>
      </c>
    </row>
    <row r="2600" spans="1:57" x14ac:dyDescent="0.45">
      <c r="A2600" t="s">
        <v>6217</v>
      </c>
      <c r="B2600" t="s">
        <v>79</v>
      </c>
      <c r="C2600" t="s">
        <v>6145</v>
      </c>
      <c r="D2600" t="s">
        <v>81</v>
      </c>
      <c r="E2600" s="2" t="str">
        <f t="shared" si="2"/>
        <v>FX210113408</v>
      </c>
      <c r="F2600" t="s">
        <v>19</v>
      </c>
      <c r="G2600" t="s">
        <v>19</v>
      </c>
      <c r="H2600" t="s">
        <v>82</v>
      </c>
      <c r="I2600" t="s">
        <v>6218</v>
      </c>
      <c r="J2600">
        <v>31</v>
      </c>
      <c r="K2600" t="s">
        <v>84</v>
      </c>
      <c r="L2600" t="s">
        <v>85</v>
      </c>
      <c r="M2600" t="s">
        <v>86</v>
      </c>
      <c r="N2600">
        <v>3</v>
      </c>
      <c r="O2600" s="1">
        <v>44221.840474537035</v>
      </c>
      <c r="P2600" s="1">
        <v>44222.372581018521</v>
      </c>
      <c r="Q2600">
        <v>44880</v>
      </c>
      <c r="R2600">
        <v>1094</v>
      </c>
      <c r="S2600" t="b">
        <v>0</v>
      </c>
      <c r="T2600" t="s">
        <v>87</v>
      </c>
      <c r="U2600" t="b">
        <v>0</v>
      </c>
      <c r="V2600" t="s">
        <v>98</v>
      </c>
      <c r="W2600" s="1">
        <v>44222.189814814818</v>
      </c>
      <c r="X2600">
        <v>774</v>
      </c>
      <c r="Y2600">
        <v>59</v>
      </c>
      <c r="Z2600">
        <v>0</v>
      </c>
      <c r="AA2600">
        <v>59</v>
      </c>
      <c r="AB2600">
        <v>0</v>
      </c>
      <c r="AC2600">
        <v>48</v>
      </c>
      <c r="AD2600">
        <v>-28</v>
      </c>
      <c r="AE2600">
        <v>0</v>
      </c>
      <c r="AF2600">
        <v>0</v>
      </c>
      <c r="AG2600">
        <v>0</v>
      </c>
      <c r="AH2600" t="s">
        <v>108</v>
      </c>
      <c r="AI2600" s="1">
        <v>44222.201631944445</v>
      </c>
      <c r="AJ2600">
        <v>308</v>
      </c>
      <c r="AK2600">
        <v>1</v>
      </c>
      <c r="AL2600">
        <v>0</v>
      </c>
      <c r="AM2600">
        <v>1</v>
      </c>
      <c r="AN2600">
        <v>0</v>
      </c>
      <c r="AO2600">
        <v>0</v>
      </c>
      <c r="AP2600">
        <v>-29</v>
      </c>
      <c r="AQ2600">
        <v>0</v>
      </c>
      <c r="AR2600">
        <v>0</v>
      </c>
      <c r="AS2600">
        <v>0</v>
      </c>
      <c r="AT2600" t="s">
        <v>90</v>
      </c>
      <c r="AU2600" s="1">
        <v>44222.372581018521</v>
      </c>
      <c r="AV2600">
        <v>4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-29</v>
      </c>
      <c r="BC2600">
        <v>0</v>
      </c>
      <c r="BD2600">
        <v>0</v>
      </c>
      <c r="BE2600">
        <v>0</v>
      </c>
    </row>
    <row r="2601" spans="1:57" x14ac:dyDescent="0.45">
      <c r="A2601" t="s">
        <v>6219</v>
      </c>
      <c r="B2601" t="s">
        <v>79</v>
      </c>
      <c r="C2601" t="s">
        <v>6145</v>
      </c>
      <c r="D2601" t="s">
        <v>81</v>
      </c>
      <c r="E2601" s="2" t="str">
        <f t="shared" si="2"/>
        <v>FX210113408</v>
      </c>
      <c r="F2601" t="s">
        <v>19</v>
      </c>
      <c r="G2601" t="s">
        <v>19</v>
      </c>
      <c r="H2601" t="s">
        <v>82</v>
      </c>
      <c r="I2601" t="s">
        <v>6220</v>
      </c>
      <c r="J2601">
        <v>89</v>
      </c>
      <c r="K2601" t="s">
        <v>84</v>
      </c>
      <c r="L2601" t="s">
        <v>85</v>
      </c>
      <c r="M2601" t="s">
        <v>86</v>
      </c>
      <c r="N2601">
        <v>3</v>
      </c>
      <c r="O2601" s="1">
        <v>44221.845532407409</v>
      </c>
      <c r="P2601" s="1">
        <v>44222.372615740744</v>
      </c>
      <c r="Q2601">
        <v>44192</v>
      </c>
      <c r="R2601">
        <v>1348</v>
      </c>
      <c r="S2601" t="b">
        <v>0</v>
      </c>
      <c r="T2601" t="s">
        <v>87</v>
      </c>
      <c r="U2601" t="b">
        <v>0</v>
      </c>
      <c r="V2601" t="s">
        <v>105</v>
      </c>
      <c r="W2601" s="1">
        <v>44222.188437500001</v>
      </c>
      <c r="X2601">
        <v>564</v>
      </c>
      <c r="Y2601">
        <v>69</v>
      </c>
      <c r="Z2601">
        <v>0</v>
      </c>
      <c r="AA2601">
        <v>69</v>
      </c>
      <c r="AB2601">
        <v>0</v>
      </c>
      <c r="AC2601">
        <v>8</v>
      </c>
      <c r="AD2601">
        <v>20</v>
      </c>
      <c r="AE2601">
        <v>0</v>
      </c>
      <c r="AF2601">
        <v>0</v>
      </c>
      <c r="AG2601">
        <v>0</v>
      </c>
      <c r="AH2601" t="s">
        <v>89</v>
      </c>
      <c r="AI2601" s="1">
        <v>44222.204571759263</v>
      </c>
      <c r="AJ2601">
        <v>768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20</v>
      </c>
      <c r="AQ2601">
        <v>0</v>
      </c>
      <c r="AR2601">
        <v>0</v>
      </c>
      <c r="AS2601">
        <v>0</v>
      </c>
      <c r="AT2601" t="s">
        <v>90</v>
      </c>
      <c r="AU2601" s="1">
        <v>44222.372615740744</v>
      </c>
      <c r="AV2601">
        <v>3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20</v>
      </c>
      <c r="BC2601">
        <v>0</v>
      </c>
      <c r="BD2601">
        <v>0</v>
      </c>
      <c r="BE2601">
        <v>0</v>
      </c>
    </row>
    <row r="2602" spans="1:57" x14ac:dyDescent="0.45">
      <c r="A2602" t="s">
        <v>6221</v>
      </c>
      <c r="B2602" t="s">
        <v>79</v>
      </c>
      <c r="C2602" t="s">
        <v>6145</v>
      </c>
      <c r="D2602" t="s">
        <v>81</v>
      </c>
      <c r="E2602" s="2" t="str">
        <f t="shared" si="2"/>
        <v>FX210113408</v>
      </c>
      <c r="F2602" t="s">
        <v>19</v>
      </c>
      <c r="G2602" t="s">
        <v>19</v>
      </c>
      <c r="H2602" t="s">
        <v>82</v>
      </c>
      <c r="I2602" t="s">
        <v>6222</v>
      </c>
      <c r="J2602">
        <v>31</v>
      </c>
      <c r="K2602" t="s">
        <v>84</v>
      </c>
      <c r="L2602" t="s">
        <v>85</v>
      </c>
      <c r="M2602" t="s">
        <v>86</v>
      </c>
      <c r="N2602">
        <v>3</v>
      </c>
      <c r="O2602" s="1">
        <v>44221.847800925927</v>
      </c>
      <c r="P2602" s="1">
        <v>44222.372881944444</v>
      </c>
      <c r="Q2602">
        <v>43826</v>
      </c>
      <c r="R2602">
        <v>1541</v>
      </c>
      <c r="S2602" t="b">
        <v>0</v>
      </c>
      <c r="T2602" t="s">
        <v>87</v>
      </c>
      <c r="U2602" t="b">
        <v>0</v>
      </c>
      <c r="V2602" t="s">
        <v>105</v>
      </c>
      <c r="W2602" s="1">
        <v>44222.202662037038</v>
      </c>
      <c r="X2602">
        <v>1228</v>
      </c>
      <c r="Y2602">
        <v>59</v>
      </c>
      <c r="Z2602">
        <v>0</v>
      </c>
      <c r="AA2602">
        <v>59</v>
      </c>
      <c r="AB2602">
        <v>0</v>
      </c>
      <c r="AC2602">
        <v>49</v>
      </c>
      <c r="AD2602">
        <v>-28</v>
      </c>
      <c r="AE2602">
        <v>0</v>
      </c>
      <c r="AF2602">
        <v>0</v>
      </c>
      <c r="AG2602">
        <v>0</v>
      </c>
      <c r="AH2602" t="s">
        <v>108</v>
      </c>
      <c r="AI2602" s="1">
        <v>44222.207800925928</v>
      </c>
      <c r="AJ2602">
        <v>291</v>
      </c>
      <c r="AK2602">
        <v>1</v>
      </c>
      <c r="AL2602">
        <v>0</v>
      </c>
      <c r="AM2602">
        <v>1</v>
      </c>
      <c r="AN2602">
        <v>0</v>
      </c>
      <c r="AO2602">
        <v>0</v>
      </c>
      <c r="AP2602">
        <v>-29</v>
      </c>
      <c r="AQ2602">
        <v>0</v>
      </c>
      <c r="AR2602">
        <v>0</v>
      </c>
      <c r="AS2602">
        <v>0</v>
      </c>
      <c r="AT2602" t="s">
        <v>90</v>
      </c>
      <c r="AU2602" s="1">
        <v>44222.372881944444</v>
      </c>
      <c r="AV2602">
        <v>22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-29</v>
      </c>
      <c r="BC2602">
        <v>0</v>
      </c>
      <c r="BD2602">
        <v>0</v>
      </c>
      <c r="BE2602">
        <v>0</v>
      </c>
    </row>
    <row r="2603" spans="1:57" x14ac:dyDescent="0.45">
      <c r="A2603" t="s">
        <v>6223</v>
      </c>
      <c r="B2603" t="s">
        <v>79</v>
      </c>
      <c r="C2603" t="s">
        <v>6145</v>
      </c>
      <c r="D2603" t="s">
        <v>81</v>
      </c>
      <c r="E2603" s="2" t="str">
        <f t="shared" si="2"/>
        <v>FX210113408</v>
      </c>
      <c r="F2603" t="s">
        <v>19</v>
      </c>
      <c r="G2603" t="s">
        <v>19</v>
      </c>
      <c r="H2603" t="s">
        <v>82</v>
      </c>
      <c r="I2603" t="s">
        <v>6224</v>
      </c>
      <c r="J2603">
        <v>51</v>
      </c>
      <c r="K2603" t="s">
        <v>84</v>
      </c>
      <c r="L2603" t="s">
        <v>85</v>
      </c>
      <c r="M2603" t="s">
        <v>86</v>
      </c>
      <c r="N2603">
        <v>3</v>
      </c>
      <c r="O2603" s="1">
        <v>44221.850173611114</v>
      </c>
      <c r="P2603" s="1">
        <v>44222.372928240744</v>
      </c>
      <c r="Q2603">
        <v>44227</v>
      </c>
      <c r="R2603">
        <v>939</v>
      </c>
      <c r="S2603" t="b">
        <v>0</v>
      </c>
      <c r="T2603" t="s">
        <v>87</v>
      </c>
      <c r="U2603" t="b">
        <v>0</v>
      </c>
      <c r="V2603" t="s">
        <v>88</v>
      </c>
      <c r="W2603" s="1">
        <v>44222.195775462962</v>
      </c>
      <c r="X2603">
        <v>627</v>
      </c>
      <c r="Y2603">
        <v>59</v>
      </c>
      <c r="Z2603">
        <v>0</v>
      </c>
      <c r="AA2603">
        <v>59</v>
      </c>
      <c r="AB2603">
        <v>0</v>
      </c>
      <c r="AC2603">
        <v>28</v>
      </c>
      <c r="AD2603">
        <v>-8</v>
      </c>
      <c r="AE2603">
        <v>0</v>
      </c>
      <c r="AF2603">
        <v>0</v>
      </c>
      <c r="AG2603">
        <v>0</v>
      </c>
      <c r="AH2603" t="s">
        <v>108</v>
      </c>
      <c r="AI2603" s="1">
        <v>44222.204421296294</v>
      </c>
      <c r="AJ2603">
        <v>240</v>
      </c>
      <c r="AK2603">
        <v>1</v>
      </c>
      <c r="AL2603">
        <v>0</v>
      </c>
      <c r="AM2603">
        <v>1</v>
      </c>
      <c r="AN2603">
        <v>0</v>
      </c>
      <c r="AO2603">
        <v>0</v>
      </c>
      <c r="AP2603">
        <v>-9</v>
      </c>
      <c r="AQ2603">
        <v>0</v>
      </c>
      <c r="AR2603">
        <v>0</v>
      </c>
      <c r="AS2603">
        <v>0</v>
      </c>
      <c r="AT2603" t="s">
        <v>90</v>
      </c>
      <c r="AU2603" s="1">
        <v>44222.372928240744</v>
      </c>
      <c r="AV2603">
        <v>3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-9</v>
      </c>
      <c r="BC2603">
        <v>0</v>
      </c>
      <c r="BD2603">
        <v>0</v>
      </c>
      <c r="BE2603">
        <v>0</v>
      </c>
    </row>
    <row r="2604" spans="1:57" x14ac:dyDescent="0.45">
      <c r="A2604" t="s">
        <v>6225</v>
      </c>
      <c r="B2604" t="s">
        <v>79</v>
      </c>
      <c r="C2604" t="s">
        <v>6145</v>
      </c>
      <c r="D2604" t="s">
        <v>81</v>
      </c>
      <c r="E2604" s="2" t="str">
        <f t="shared" si="2"/>
        <v>FX210113408</v>
      </c>
      <c r="F2604" t="s">
        <v>19</v>
      </c>
      <c r="G2604" t="s">
        <v>19</v>
      </c>
      <c r="H2604" t="s">
        <v>82</v>
      </c>
      <c r="I2604" t="s">
        <v>6226</v>
      </c>
      <c r="J2604">
        <v>31</v>
      </c>
      <c r="K2604" t="s">
        <v>84</v>
      </c>
      <c r="L2604" t="s">
        <v>85</v>
      </c>
      <c r="M2604" t="s">
        <v>86</v>
      </c>
      <c r="N2604">
        <v>3</v>
      </c>
      <c r="O2604" s="1">
        <v>44221.853680555556</v>
      </c>
      <c r="P2604" s="1">
        <v>44222.372974537036</v>
      </c>
      <c r="Q2604">
        <v>43189</v>
      </c>
      <c r="R2604">
        <v>1678</v>
      </c>
      <c r="S2604" t="b">
        <v>0</v>
      </c>
      <c r="T2604" t="s">
        <v>87</v>
      </c>
      <c r="U2604" t="b">
        <v>0</v>
      </c>
      <c r="V2604" t="s">
        <v>112</v>
      </c>
      <c r="W2604" s="1">
        <v>44222.198773148149</v>
      </c>
      <c r="X2604">
        <v>815</v>
      </c>
      <c r="Y2604">
        <v>59</v>
      </c>
      <c r="Z2604">
        <v>0</v>
      </c>
      <c r="AA2604">
        <v>59</v>
      </c>
      <c r="AB2604">
        <v>0</v>
      </c>
      <c r="AC2604">
        <v>47</v>
      </c>
      <c r="AD2604">
        <v>-28</v>
      </c>
      <c r="AE2604">
        <v>0</v>
      </c>
      <c r="AF2604">
        <v>0</v>
      </c>
      <c r="AG2604">
        <v>0</v>
      </c>
      <c r="AH2604" t="s">
        <v>89</v>
      </c>
      <c r="AI2604" s="1">
        <v>44222.214247685188</v>
      </c>
      <c r="AJ2604">
        <v>835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-28</v>
      </c>
      <c r="AQ2604">
        <v>0</v>
      </c>
      <c r="AR2604">
        <v>0</v>
      </c>
      <c r="AS2604">
        <v>0</v>
      </c>
      <c r="AT2604" t="s">
        <v>90</v>
      </c>
      <c r="AU2604" s="1">
        <v>44222.372974537036</v>
      </c>
      <c r="AV2604">
        <v>3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-28</v>
      </c>
      <c r="BC2604">
        <v>0</v>
      </c>
      <c r="BD2604">
        <v>0</v>
      </c>
      <c r="BE2604">
        <v>0</v>
      </c>
    </row>
    <row r="2605" spans="1:57" x14ac:dyDescent="0.45">
      <c r="A2605" t="s">
        <v>6227</v>
      </c>
      <c r="B2605" t="s">
        <v>79</v>
      </c>
      <c r="C2605" t="s">
        <v>6145</v>
      </c>
      <c r="D2605" t="s">
        <v>81</v>
      </c>
      <c r="E2605" s="2" t="str">
        <f t="shared" si="2"/>
        <v>FX210113408</v>
      </c>
      <c r="F2605" t="s">
        <v>19</v>
      </c>
      <c r="G2605" t="s">
        <v>19</v>
      </c>
      <c r="H2605" t="s">
        <v>82</v>
      </c>
      <c r="I2605" t="s">
        <v>6228</v>
      </c>
      <c r="J2605">
        <v>31</v>
      </c>
      <c r="K2605" t="s">
        <v>84</v>
      </c>
      <c r="L2605" t="s">
        <v>85</v>
      </c>
      <c r="M2605" t="s">
        <v>86</v>
      </c>
      <c r="N2605">
        <v>3</v>
      </c>
      <c r="O2605" s="1">
        <v>44221.854745370372</v>
      </c>
      <c r="P2605" s="1">
        <v>44222.373032407406</v>
      </c>
      <c r="Q2605">
        <v>43669</v>
      </c>
      <c r="R2605">
        <v>1111</v>
      </c>
      <c r="S2605" t="b">
        <v>0</v>
      </c>
      <c r="T2605" t="s">
        <v>87</v>
      </c>
      <c r="U2605" t="b">
        <v>0</v>
      </c>
      <c r="V2605" t="s">
        <v>98</v>
      </c>
      <c r="W2605" s="1">
        <v>44222.199131944442</v>
      </c>
      <c r="X2605">
        <v>804</v>
      </c>
      <c r="Y2605">
        <v>44</v>
      </c>
      <c r="Z2605">
        <v>0</v>
      </c>
      <c r="AA2605">
        <v>44</v>
      </c>
      <c r="AB2605">
        <v>0</v>
      </c>
      <c r="AC2605">
        <v>33</v>
      </c>
      <c r="AD2605">
        <v>-13</v>
      </c>
      <c r="AE2605">
        <v>0</v>
      </c>
      <c r="AF2605">
        <v>0</v>
      </c>
      <c r="AG2605">
        <v>0</v>
      </c>
      <c r="AH2605" t="s">
        <v>108</v>
      </c>
      <c r="AI2605" s="1">
        <v>44222.211319444446</v>
      </c>
      <c r="AJ2605">
        <v>303</v>
      </c>
      <c r="AK2605">
        <v>1</v>
      </c>
      <c r="AL2605">
        <v>0</v>
      </c>
      <c r="AM2605">
        <v>1</v>
      </c>
      <c r="AN2605">
        <v>0</v>
      </c>
      <c r="AO2605">
        <v>0</v>
      </c>
      <c r="AP2605">
        <v>-14</v>
      </c>
      <c r="AQ2605">
        <v>0</v>
      </c>
      <c r="AR2605">
        <v>0</v>
      </c>
      <c r="AS2605">
        <v>0</v>
      </c>
      <c r="AT2605" t="s">
        <v>90</v>
      </c>
      <c r="AU2605" s="1">
        <v>44222.373032407406</v>
      </c>
      <c r="AV2605">
        <v>4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-14</v>
      </c>
      <c r="BC2605">
        <v>0</v>
      </c>
      <c r="BD2605">
        <v>0</v>
      </c>
      <c r="BE2605">
        <v>0</v>
      </c>
    </row>
    <row r="2606" spans="1:57" x14ac:dyDescent="0.45">
      <c r="A2606" t="s">
        <v>6229</v>
      </c>
      <c r="B2606" t="s">
        <v>79</v>
      </c>
      <c r="C2606" t="s">
        <v>6230</v>
      </c>
      <c r="D2606" t="s">
        <v>81</v>
      </c>
      <c r="E2606" s="2" t="str">
        <f>HYPERLINK("capsilon://?command=openfolder&amp;siteaddress=FAM.docvelocity-na8.net&amp;folderid=FX6D1ACF46-449B-1DD3-5CE2-88EFAEC5EDBB","FX21018054")</f>
        <v>FX21018054</v>
      </c>
      <c r="F2606" t="s">
        <v>19</v>
      </c>
      <c r="G2606" t="s">
        <v>19</v>
      </c>
      <c r="H2606" t="s">
        <v>82</v>
      </c>
      <c r="I2606" t="s">
        <v>6231</v>
      </c>
      <c r="J2606">
        <v>198</v>
      </c>
      <c r="K2606" t="s">
        <v>84</v>
      </c>
      <c r="L2606" t="s">
        <v>85</v>
      </c>
      <c r="M2606" t="s">
        <v>86</v>
      </c>
      <c r="N2606">
        <v>3</v>
      </c>
      <c r="O2606" s="1">
        <v>44221.8984375</v>
      </c>
      <c r="P2606" s="1">
        <v>44222.373124999998</v>
      </c>
      <c r="Q2606">
        <v>37191</v>
      </c>
      <c r="R2606">
        <v>3822</v>
      </c>
      <c r="S2606" t="b">
        <v>0</v>
      </c>
      <c r="T2606" t="s">
        <v>87</v>
      </c>
      <c r="U2606" t="b">
        <v>0</v>
      </c>
      <c r="V2606" t="s">
        <v>88</v>
      </c>
      <c r="W2606" s="1">
        <v>44222.226585648146</v>
      </c>
      <c r="X2606">
        <v>2661</v>
      </c>
      <c r="Y2606">
        <v>192</v>
      </c>
      <c r="Z2606">
        <v>0</v>
      </c>
      <c r="AA2606">
        <v>192</v>
      </c>
      <c r="AB2606">
        <v>0</v>
      </c>
      <c r="AC2606">
        <v>116</v>
      </c>
      <c r="AD2606">
        <v>6</v>
      </c>
      <c r="AE2606">
        <v>0</v>
      </c>
      <c r="AF2606">
        <v>0</v>
      </c>
      <c r="AG2606">
        <v>0</v>
      </c>
      <c r="AH2606" t="s">
        <v>108</v>
      </c>
      <c r="AI2606" s="1">
        <v>44222.249085648145</v>
      </c>
      <c r="AJ2606">
        <v>916</v>
      </c>
      <c r="AK2606">
        <v>2</v>
      </c>
      <c r="AL2606">
        <v>0</v>
      </c>
      <c r="AM2606">
        <v>2</v>
      </c>
      <c r="AN2606">
        <v>0</v>
      </c>
      <c r="AO2606">
        <v>0</v>
      </c>
      <c r="AP2606">
        <v>4</v>
      </c>
      <c r="AQ2606">
        <v>0</v>
      </c>
      <c r="AR2606">
        <v>0</v>
      </c>
      <c r="AS2606">
        <v>0</v>
      </c>
      <c r="AT2606" t="s">
        <v>90</v>
      </c>
      <c r="AU2606" s="1">
        <v>44222.373124999998</v>
      </c>
      <c r="AV2606">
        <v>8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4</v>
      </c>
      <c r="BC2606">
        <v>0</v>
      </c>
      <c r="BD2606">
        <v>0</v>
      </c>
      <c r="BE2606">
        <v>0</v>
      </c>
    </row>
    <row r="2607" spans="1:57" hidden="1" x14ac:dyDescent="0.45">
      <c r="A2607" t="s">
        <v>6232</v>
      </c>
      <c r="B2607" t="s">
        <v>79</v>
      </c>
      <c r="C2607" t="s">
        <v>1188</v>
      </c>
      <c r="D2607" t="s">
        <v>81</v>
      </c>
      <c r="E2607" s="2" t="str">
        <f>HYPERLINK("capsilon://?command=openfolder&amp;siteaddress=FAM.docvelocity-na8.net&amp;folderid=FX0E4B5596-A7F9-8AF5-2E21-D87B73D01DD8","FX201220548")</f>
        <v>FX201220548</v>
      </c>
      <c r="F2607" t="s">
        <v>19</v>
      </c>
      <c r="G2607" t="s">
        <v>19</v>
      </c>
      <c r="H2607" t="s">
        <v>82</v>
      </c>
      <c r="I2607" t="s">
        <v>6233</v>
      </c>
      <c r="J2607">
        <v>66</v>
      </c>
      <c r="K2607" t="s">
        <v>84</v>
      </c>
      <c r="L2607" t="s">
        <v>85</v>
      </c>
      <c r="M2607" t="s">
        <v>86</v>
      </c>
      <c r="N2607">
        <v>3</v>
      </c>
      <c r="O2607" s="1">
        <v>44221.899027777778</v>
      </c>
      <c r="P2607" s="1">
        <v>44222.373773148145</v>
      </c>
      <c r="Q2607">
        <v>40762</v>
      </c>
      <c r="R2607">
        <v>256</v>
      </c>
      <c r="S2607" t="b">
        <v>0</v>
      </c>
      <c r="T2607" t="s">
        <v>87</v>
      </c>
      <c r="U2607" t="b">
        <v>0</v>
      </c>
      <c r="V2607" t="s">
        <v>112</v>
      </c>
      <c r="W2607" s="1">
        <v>44222.200289351851</v>
      </c>
      <c r="X2607">
        <v>130</v>
      </c>
      <c r="Y2607">
        <v>0</v>
      </c>
      <c r="Z2607">
        <v>0</v>
      </c>
      <c r="AA2607">
        <v>0</v>
      </c>
      <c r="AB2607">
        <v>52</v>
      </c>
      <c r="AC2607">
        <v>0</v>
      </c>
      <c r="AD2607">
        <v>66</v>
      </c>
      <c r="AE2607">
        <v>0</v>
      </c>
      <c r="AF2607">
        <v>0</v>
      </c>
      <c r="AG2607">
        <v>0</v>
      </c>
      <c r="AH2607" t="s">
        <v>108</v>
      </c>
      <c r="AI2607" s="1">
        <v>44222.212141203701</v>
      </c>
      <c r="AJ2607">
        <v>70</v>
      </c>
      <c r="AK2607">
        <v>0</v>
      </c>
      <c r="AL2607">
        <v>0</v>
      </c>
      <c r="AM2607">
        <v>0</v>
      </c>
      <c r="AN2607">
        <v>52</v>
      </c>
      <c r="AO2607">
        <v>0</v>
      </c>
      <c r="AP2607">
        <v>66</v>
      </c>
      <c r="AQ2607">
        <v>0</v>
      </c>
      <c r="AR2607">
        <v>0</v>
      </c>
      <c r="AS2607">
        <v>0</v>
      </c>
      <c r="AT2607" t="s">
        <v>90</v>
      </c>
      <c r="AU2607" s="1">
        <v>44222.373773148145</v>
      </c>
      <c r="AV2607">
        <v>56</v>
      </c>
      <c r="AW2607">
        <v>0</v>
      </c>
      <c r="AX2607">
        <v>0</v>
      </c>
      <c r="AY2607">
        <v>0</v>
      </c>
      <c r="AZ2607">
        <v>52</v>
      </c>
      <c r="BA2607">
        <v>0</v>
      </c>
      <c r="BB2607">
        <v>66</v>
      </c>
      <c r="BC2607">
        <v>0</v>
      </c>
      <c r="BD2607">
        <v>0</v>
      </c>
      <c r="BE2607">
        <v>0</v>
      </c>
    </row>
    <row r="2608" spans="1:57" hidden="1" x14ac:dyDescent="0.45">
      <c r="A2608" t="s">
        <v>6234</v>
      </c>
      <c r="B2608" t="s">
        <v>79</v>
      </c>
      <c r="C2608" t="s">
        <v>2856</v>
      </c>
      <c r="D2608" t="s">
        <v>81</v>
      </c>
      <c r="E2608" s="2" t="str">
        <f>HYPERLINK("capsilon://?command=openfolder&amp;siteaddress=FAM.docvelocity-na8.net&amp;folderid=FXA4710D95-4176-C587-14E3-235D428F2B0C","FX20125194")</f>
        <v>FX20125194</v>
      </c>
      <c r="F2608" t="s">
        <v>19</v>
      </c>
      <c r="G2608" t="s">
        <v>19</v>
      </c>
      <c r="H2608" t="s">
        <v>82</v>
      </c>
      <c r="I2608" t="s">
        <v>6235</v>
      </c>
      <c r="J2608">
        <v>66</v>
      </c>
      <c r="K2608" t="s">
        <v>84</v>
      </c>
      <c r="L2608" t="s">
        <v>85</v>
      </c>
      <c r="M2608" t="s">
        <v>86</v>
      </c>
      <c r="N2608">
        <v>3</v>
      </c>
      <c r="O2608" s="1">
        <v>44221.900879629633</v>
      </c>
      <c r="P2608" s="1">
        <v>44222.374641203707</v>
      </c>
      <c r="Q2608">
        <v>40515</v>
      </c>
      <c r="R2608">
        <v>418</v>
      </c>
      <c r="S2608" t="b">
        <v>0</v>
      </c>
      <c r="T2608" t="s">
        <v>87</v>
      </c>
      <c r="U2608" t="b">
        <v>0</v>
      </c>
      <c r="V2608" t="s">
        <v>98</v>
      </c>
      <c r="W2608" s="1">
        <v>44222.202465277776</v>
      </c>
      <c r="X2608">
        <v>287</v>
      </c>
      <c r="Y2608">
        <v>0</v>
      </c>
      <c r="Z2608">
        <v>0</v>
      </c>
      <c r="AA2608">
        <v>0</v>
      </c>
      <c r="AB2608">
        <v>52</v>
      </c>
      <c r="AC2608">
        <v>0</v>
      </c>
      <c r="AD2608">
        <v>66</v>
      </c>
      <c r="AE2608">
        <v>0</v>
      </c>
      <c r="AF2608">
        <v>0</v>
      </c>
      <c r="AG2608">
        <v>0</v>
      </c>
      <c r="AH2608" t="s">
        <v>108</v>
      </c>
      <c r="AI2608" s="1">
        <v>44222.212800925925</v>
      </c>
      <c r="AJ2608">
        <v>56</v>
      </c>
      <c r="AK2608">
        <v>0</v>
      </c>
      <c r="AL2608">
        <v>0</v>
      </c>
      <c r="AM2608">
        <v>0</v>
      </c>
      <c r="AN2608">
        <v>52</v>
      </c>
      <c r="AO2608">
        <v>0</v>
      </c>
      <c r="AP2608">
        <v>66</v>
      </c>
      <c r="AQ2608">
        <v>0</v>
      </c>
      <c r="AR2608">
        <v>0</v>
      </c>
      <c r="AS2608">
        <v>0</v>
      </c>
      <c r="AT2608" t="s">
        <v>90</v>
      </c>
      <c r="AU2608" s="1">
        <v>44222.374641203707</v>
      </c>
      <c r="AV2608">
        <v>75</v>
      </c>
      <c r="AW2608">
        <v>0</v>
      </c>
      <c r="AX2608">
        <v>0</v>
      </c>
      <c r="AY2608">
        <v>0</v>
      </c>
      <c r="AZ2608">
        <v>52</v>
      </c>
      <c r="BA2608">
        <v>0</v>
      </c>
      <c r="BB2608">
        <v>66</v>
      </c>
      <c r="BC2608">
        <v>0</v>
      </c>
      <c r="BD2608">
        <v>0</v>
      </c>
      <c r="BE2608">
        <v>0</v>
      </c>
    </row>
    <row r="2609" spans="1:57" x14ac:dyDescent="0.45">
      <c r="A2609" t="s">
        <v>6236</v>
      </c>
      <c r="B2609" t="s">
        <v>79</v>
      </c>
      <c r="C2609" t="s">
        <v>2188</v>
      </c>
      <c r="D2609" t="s">
        <v>81</v>
      </c>
      <c r="E2609" s="2" t="str">
        <f>HYPERLINK("capsilon://?command=openfolder&amp;siteaddress=FAM.docvelocity-na8.net&amp;folderid=FX8CF22139-9F30-00C5-4B2A-90500DB7B948","FX201228198")</f>
        <v>FX201228198</v>
      </c>
      <c r="F2609" t="s">
        <v>19</v>
      </c>
      <c r="G2609" t="s">
        <v>19</v>
      </c>
      <c r="H2609" t="s">
        <v>82</v>
      </c>
      <c r="I2609" t="s">
        <v>6237</v>
      </c>
      <c r="J2609">
        <v>66</v>
      </c>
      <c r="K2609" t="s">
        <v>84</v>
      </c>
      <c r="L2609" t="s">
        <v>85</v>
      </c>
      <c r="M2609" t="s">
        <v>86</v>
      </c>
      <c r="N2609">
        <v>3</v>
      </c>
      <c r="O2609" s="1">
        <v>44201.604097222225</v>
      </c>
      <c r="P2609" s="1">
        <v>44201.628020833334</v>
      </c>
      <c r="Q2609">
        <v>611</v>
      </c>
      <c r="R2609">
        <v>1456</v>
      </c>
      <c r="S2609" t="b">
        <v>0</v>
      </c>
      <c r="T2609" t="s">
        <v>87</v>
      </c>
      <c r="U2609" t="b">
        <v>0</v>
      </c>
      <c r="V2609" t="s">
        <v>343</v>
      </c>
      <c r="W2609" s="1">
        <v>44201.620115740741</v>
      </c>
      <c r="X2609">
        <v>1286</v>
      </c>
      <c r="Y2609">
        <v>52</v>
      </c>
      <c r="Z2609">
        <v>0</v>
      </c>
      <c r="AA2609">
        <v>52</v>
      </c>
      <c r="AB2609">
        <v>0</v>
      </c>
      <c r="AC2609">
        <v>36</v>
      </c>
      <c r="AD2609">
        <v>14</v>
      </c>
      <c r="AE2609">
        <v>0</v>
      </c>
      <c r="AF2609">
        <v>0</v>
      </c>
      <c r="AG2609">
        <v>0</v>
      </c>
      <c r="AH2609" t="s">
        <v>267</v>
      </c>
      <c r="AI2609" s="1">
        <v>44201.62159722222</v>
      </c>
      <c r="AJ2609">
        <v>119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14</v>
      </c>
      <c r="AQ2609">
        <v>0</v>
      </c>
      <c r="AR2609">
        <v>0</v>
      </c>
      <c r="AS2609">
        <v>0</v>
      </c>
      <c r="AT2609" t="s">
        <v>90</v>
      </c>
      <c r="AU2609" s="1">
        <v>44201.628020833334</v>
      </c>
      <c r="AV2609">
        <v>51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14</v>
      </c>
      <c r="BC2609">
        <v>0</v>
      </c>
      <c r="BD2609">
        <v>0</v>
      </c>
      <c r="BE2609">
        <v>0</v>
      </c>
    </row>
    <row r="2610" spans="1:57" x14ac:dyDescent="0.45">
      <c r="A2610" t="s">
        <v>6238</v>
      </c>
      <c r="B2610" t="s">
        <v>79</v>
      </c>
      <c r="C2610" t="s">
        <v>6042</v>
      </c>
      <c r="D2610" t="s">
        <v>81</v>
      </c>
      <c r="E2610" s="2" t="str">
        <f>HYPERLINK("capsilon://?command=openfolder&amp;siteaddress=FAM.docvelocity-na8.net&amp;folderid=FX01E924B2-A1B1-FCCE-58FE-B98D4B5A9B12","FX210110774")</f>
        <v>FX210110774</v>
      </c>
      <c r="F2610" t="s">
        <v>19</v>
      </c>
      <c r="G2610" t="s">
        <v>19</v>
      </c>
      <c r="H2610" t="s">
        <v>82</v>
      </c>
      <c r="I2610" t="s">
        <v>6239</v>
      </c>
      <c r="J2610">
        <v>34</v>
      </c>
      <c r="K2610" t="s">
        <v>84</v>
      </c>
      <c r="L2610" t="s">
        <v>85</v>
      </c>
      <c r="M2610" t="s">
        <v>86</v>
      </c>
      <c r="N2610">
        <v>3</v>
      </c>
      <c r="O2610" s="1">
        <v>44221.969652777778</v>
      </c>
      <c r="P2610" s="1">
        <v>44222.374849537038</v>
      </c>
      <c r="Q2610">
        <v>33243</v>
      </c>
      <c r="R2610">
        <v>1766</v>
      </c>
      <c r="S2610" t="b">
        <v>0</v>
      </c>
      <c r="T2610" t="s">
        <v>87</v>
      </c>
      <c r="U2610" t="b">
        <v>0</v>
      </c>
      <c r="V2610" t="s">
        <v>112</v>
      </c>
      <c r="W2610" s="1">
        <v>44222.216793981483</v>
      </c>
      <c r="X2610">
        <v>1425</v>
      </c>
      <c r="Y2610">
        <v>66</v>
      </c>
      <c r="Z2610">
        <v>0</v>
      </c>
      <c r="AA2610">
        <v>66</v>
      </c>
      <c r="AB2610">
        <v>0</v>
      </c>
      <c r="AC2610">
        <v>56</v>
      </c>
      <c r="AD2610">
        <v>-32</v>
      </c>
      <c r="AE2610">
        <v>0</v>
      </c>
      <c r="AF2610">
        <v>0</v>
      </c>
      <c r="AG2610">
        <v>0</v>
      </c>
      <c r="AH2610" t="s">
        <v>108</v>
      </c>
      <c r="AI2610" s="1">
        <v>44222.221377314818</v>
      </c>
      <c r="AJ2610">
        <v>324</v>
      </c>
      <c r="AK2610">
        <v>1</v>
      </c>
      <c r="AL2610">
        <v>0</v>
      </c>
      <c r="AM2610">
        <v>1</v>
      </c>
      <c r="AN2610">
        <v>0</v>
      </c>
      <c r="AO2610">
        <v>0</v>
      </c>
      <c r="AP2610">
        <v>-33</v>
      </c>
      <c r="AQ2610">
        <v>0</v>
      </c>
      <c r="AR2610">
        <v>0</v>
      </c>
      <c r="AS2610">
        <v>0</v>
      </c>
      <c r="AT2610" t="s">
        <v>90</v>
      </c>
      <c r="AU2610" s="1">
        <v>44222.374849537038</v>
      </c>
      <c r="AV2610">
        <v>17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-33</v>
      </c>
      <c r="BC2610">
        <v>0</v>
      </c>
      <c r="BD2610">
        <v>0</v>
      </c>
      <c r="BE2610">
        <v>0</v>
      </c>
    </row>
    <row r="2611" spans="1:57" x14ac:dyDescent="0.45">
      <c r="A2611" t="s">
        <v>6240</v>
      </c>
      <c r="B2611" t="s">
        <v>79</v>
      </c>
      <c r="C2611" t="s">
        <v>6042</v>
      </c>
      <c r="D2611" t="s">
        <v>81</v>
      </c>
      <c r="E2611" s="2" t="str">
        <f>HYPERLINK("capsilon://?command=openfolder&amp;siteaddress=FAM.docvelocity-na8.net&amp;folderid=FX01E924B2-A1B1-FCCE-58FE-B98D4B5A9B12","FX210110774")</f>
        <v>FX210110774</v>
      </c>
      <c r="F2611" t="s">
        <v>19</v>
      </c>
      <c r="G2611" t="s">
        <v>19</v>
      </c>
      <c r="H2611" t="s">
        <v>82</v>
      </c>
      <c r="I2611" t="s">
        <v>6241</v>
      </c>
      <c r="J2611">
        <v>34</v>
      </c>
      <c r="K2611" t="s">
        <v>84</v>
      </c>
      <c r="L2611" t="s">
        <v>85</v>
      </c>
      <c r="M2611" t="s">
        <v>86</v>
      </c>
      <c r="N2611">
        <v>3</v>
      </c>
      <c r="O2611" s="1">
        <v>44221.971562500003</v>
      </c>
      <c r="P2611" s="1">
        <v>44222.374895833331</v>
      </c>
      <c r="Q2611">
        <v>33474</v>
      </c>
      <c r="R2611">
        <v>1374</v>
      </c>
      <c r="S2611" t="b">
        <v>0</v>
      </c>
      <c r="T2611" t="s">
        <v>87</v>
      </c>
      <c r="U2611" t="b">
        <v>0</v>
      </c>
      <c r="V2611" t="s">
        <v>98</v>
      </c>
      <c r="W2611" s="1">
        <v>44222.215370370373</v>
      </c>
      <c r="X2611">
        <v>1114</v>
      </c>
      <c r="Y2611">
        <v>62</v>
      </c>
      <c r="Z2611">
        <v>0</v>
      </c>
      <c r="AA2611">
        <v>62</v>
      </c>
      <c r="AB2611">
        <v>0</v>
      </c>
      <c r="AC2611">
        <v>53</v>
      </c>
      <c r="AD2611">
        <v>-28</v>
      </c>
      <c r="AE2611">
        <v>0</v>
      </c>
      <c r="AF2611">
        <v>0</v>
      </c>
      <c r="AG2611">
        <v>0</v>
      </c>
      <c r="AH2611" t="s">
        <v>108</v>
      </c>
      <c r="AI2611" s="1">
        <v>44222.251377314817</v>
      </c>
      <c r="AJ2611">
        <v>197</v>
      </c>
      <c r="AK2611">
        <v>1</v>
      </c>
      <c r="AL2611">
        <v>0</v>
      </c>
      <c r="AM2611">
        <v>1</v>
      </c>
      <c r="AN2611">
        <v>0</v>
      </c>
      <c r="AO2611">
        <v>0</v>
      </c>
      <c r="AP2611">
        <v>-29</v>
      </c>
      <c r="AQ2611">
        <v>0</v>
      </c>
      <c r="AR2611">
        <v>0</v>
      </c>
      <c r="AS2611">
        <v>0</v>
      </c>
      <c r="AT2611" t="s">
        <v>90</v>
      </c>
      <c r="AU2611" s="1">
        <v>44222.374895833331</v>
      </c>
      <c r="AV2611">
        <v>3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-29</v>
      </c>
      <c r="BC2611">
        <v>0</v>
      </c>
      <c r="BD2611">
        <v>0</v>
      </c>
      <c r="BE2611">
        <v>0</v>
      </c>
    </row>
    <row r="2612" spans="1:57" x14ac:dyDescent="0.45">
      <c r="A2612" t="s">
        <v>6242</v>
      </c>
      <c r="B2612" t="s">
        <v>79</v>
      </c>
      <c r="C2612" t="s">
        <v>6243</v>
      </c>
      <c r="D2612" t="s">
        <v>81</v>
      </c>
      <c r="E2612" s="2" t="str">
        <f>HYPERLINK("capsilon://?command=openfolder&amp;siteaddress=FAM.docvelocity-na8.net&amp;folderid=FX94455224-C6C3-CADC-C721-BC9E15619FFF","FX201225239")</f>
        <v>FX201225239</v>
      </c>
      <c r="F2612" t="s">
        <v>19</v>
      </c>
      <c r="G2612" t="s">
        <v>19</v>
      </c>
      <c r="H2612" t="s">
        <v>82</v>
      </c>
      <c r="I2612" t="s">
        <v>6244</v>
      </c>
      <c r="J2612">
        <v>66</v>
      </c>
      <c r="K2612" t="s">
        <v>84</v>
      </c>
      <c r="L2612" t="s">
        <v>85</v>
      </c>
      <c r="M2612" t="s">
        <v>86</v>
      </c>
      <c r="N2612">
        <v>3</v>
      </c>
      <c r="O2612" s="1">
        <v>44201.605798611112</v>
      </c>
      <c r="P2612" s="1">
        <v>44201.628819444442</v>
      </c>
      <c r="Q2612">
        <v>1220</v>
      </c>
      <c r="R2612">
        <v>769</v>
      </c>
      <c r="S2612" t="b">
        <v>0</v>
      </c>
      <c r="T2612" t="s">
        <v>87</v>
      </c>
      <c r="U2612" t="b">
        <v>0</v>
      </c>
      <c r="V2612" t="s">
        <v>259</v>
      </c>
      <c r="W2612" s="1">
        <v>44201.610648148147</v>
      </c>
      <c r="X2612">
        <v>409</v>
      </c>
      <c r="Y2612">
        <v>52</v>
      </c>
      <c r="Z2612">
        <v>0</v>
      </c>
      <c r="AA2612">
        <v>52</v>
      </c>
      <c r="AB2612">
        <v>0</v>
      </c>
      <c r="AC2612">
        <v>33</v>
      </c>
      <c r="AD2612">
        <v>14</v>
      </c>
      <c r="AE2612">
        <v>0</v>
      </c>
      <c r="AF2612">
        <v>0</v>
      </c>
      <c r="AG2612">
        <v>0</v>
      </c>
      <c r="AH2612" t="s">
        <v>94</v>
      </c>
      <c r="AI2612" s="1">
        <v>44201.619409722225</v>
      </c>
      <c r="AJ2612">
        <v>124</v>
      </c>
      <c r="AK2612">
        <v>1</v>
      </c>
      <c r="AL2612">
        <v>0</v>
      </c>
      <c r="AM2612">
        <v>1</v>
      </c>
      <c r="AN2612">
        <v>0</v>
      </c>
      <c r="AO2612">
        <v>1</v>
      </c>
      <c r="AP2612">
        <v>13</v>
      </c>
      <c r="AQ2612">
        <v>0</v>
      </c>
      <c r="AR2612">
        <v>0</v>
      </c>
      <c r="AS2612">
        <v>0</v>
      </c>
      <c r="AT2612" t="s">
        <v>90</v>
      </c>
      <c r="AU2612" s="1">
        <v>44201.628819444442</v>
      </c>
      <c r="AV2612">
        <v>69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13</v>
      </c>
      <c r="BC2612">
        <v>0</v>
      </c>
      <c r="BD2612">
        <v>0</v>
      </c>
      <c r="BE2612">
        <v>0</v>
      </c>
    </row>
    <row r="2613" spans="1:57" x14ac:dyDescent="0.45">
      <c r="A2613" t="s">
        <v>6245</v>
      </c>
      <c r="B2613" t="s">
        <v>79</v>
      </c>
      <c r="C2613" t="s">
        <v>5685</v>
      </c>
      <c r="D2613" t="s">
        <v>81</v>
      </c>
      <c r="E2613" s="2" t="str">
        <f>HYPERLINK("capsilon://?command=openfolder&amp;siteaddress=FAM.docvelocity-na8.net&amp;folderid=FX4A7F3810-0E26-C2C1-9EFE-DC231C1D7B70","FX20121050")</f>
        <v>FX20121050</v>
      </c>
      <c r="F2613" t="s">
        <v>19</v>
      </c>
      <c r="G2613" t="s">
        <v>19</v>
      </c>
      <c r="H2613" t="s">
        <v>82</v>
      </c>
      <c r="I2613" t="s">
        <v>6186</v>
      </c>
      <c r="J2613">
        <v>132</v>
      </c>
      <c r="K2613" t="s">
        <v>84</v>
      </c>
      <c r="L2613" t="s">
        <v>85</v>
      </c>
      <c r="M2613" t="s">
        <v>86</v>
      </c>
      <c r="N2613">
        <v>3</v>
      </c>
      <c r="O2613" s="1">
        <v>44222.150613425925</v>
      </c>
      <c r="P2613" s="1">
        <v>44222.34747685185</v>
      </c>
      <c r="Q2613">
        <v>8406</v>
      </c>
      <c r="R2613">
        <v>8603</v>
      </c>
      <c r="S2613" t="b">
        <v>0</v>
      </c>
      <c r="T2613" t="s">
        <v>87</v>
      </c>
      <c r="U2613" t="b">
        <v>1</v>
      </c>
      <c r="V2613" t="s">
        <v>919</v>
      </c>
      <c r="W2613" s="1">
        <v>44222.21837962963</v>
      </c>
      <c r="X2613">
        <v>5674</v>
      </c>
      <c r="Y2613">
        <v>339</v>
      </c>
      <c r="Z2613">
        <v>0</v>
      </c>
      <c r="AA2613">
        <v>339</v>
      </c>
      <c r="AB2613">
        <v>0</v>
      </c>
      <c r="AC2613">
        <v>269</v>
      </c>
      <c r="AD2613">
        <v>-207</v>
      </c>
      <c r="AE2613">
        <v>0</v>
      </c>
      <c r="AF2613">
        <v>0</v>
      </c>
      <c r="AG2613">
        <v>0</v>
      </c>
      <c r="AH2613" t="s">
        <v>89</v>
      </c>
      <c r="AI2613" s="1">
        <v>44222.260520833333</v>
      </c>
      <c r="AJ2613">
        <v>2837</v>
      </c>
      <c r="AK2613">
        <v>2</v>
      </c>
      <c r="AL2613">
        <v>0</v>
      </c>
      <c r="AM2613">
        <v>2</v>
      </c>
      <c r="AN2613">
        <v>0</v>
      </c>
      <c r="AO2613">
        <v>1</v>
      </c>
      <c r="AP2613">
        <v>-209</v>
      </c>
      <c r="AQ2613">
        <v>0</v>
      </c>
      <c r="AR2613">
        <v>0</v>
      </c>
      <c r="AS2613">
        <v>0</v>
      </c>
      <c r="AT2613" t="s">
        <v>90</v>
      </c>
      <c r="AU2613" s="1">
        <v>44222.34747685185</v>
      </c>
      <c r="AV2613">
        <v>74</v>
      </c>
      <c r="AW2613">
        <v>2</v>
      </c>
      <c r="AX2613">
        <v>0</v>
      </c>
      <c r="AY2613">
        <v>2</v>
      </c>
      <c r="AZ2613">
        <v>0</v>
      </c>
      <c r="BA2613">
        <v>2</v>
      </c>
      <c r="BB2613">
        <v>-211</v>
      </c>
      <c r="BC2613">
        <v>0</v>
      </c>
      <c r="BD2613">
        <v>0</v>
      </c>
      <c r="BE2613">
        <v>0</v>
      </c>
    </row>
    <row r="2614" spans="1:57" x14ac:dyDescent="0.45">
      <c r="A2614" t="s">
        <v>6246</v>
      </c>
      <c r="B2614" t="s">
        <v>79</v>
      </c>
      <c r="C2614" t="s">
        <v>6209</v>
      </c>
      <c r="D2614" t="s">
        <v>81</v>
      </c>
      <c r="E2614" s="2" t="str">
        <f>HYPERLINK("capsilon://?command=openfolder&amp;siteaddress=FAM.docvelocity-na8.net&amp;folderid=FXBD68940C-B3E7-C276-9725-018217077DB4","FX20121932")</f>
        <v>FX20121932</v>
      </c>
      <c r="F2614" t="s">
        <v>19</v>
      </c>
      <c r="G2614" t="s">
        <v>19</v>
      </c>
      <c r="H2614" t="s">
        <v>82</v>
      </c>
      <c r="I2614" t="s">
        <v>6210</v>
      </c>
      <c r="J2614">
        <v>38</v>
      </c>
      <c r="K2614" t="s">
        <v>84</v>
      </c>
      <c r="L2614" t="s">
        <v>85</v>
      </c>
      <c r="M2614" t="s">
        <v>86</v>
      </c>
      <c r="N2614">
        <v>3</v>
      </c>
      <c r="O2614" s="1">
        <v>44222.181921296295</v>
      </c>
      <c r="P2614" s="1">
        <v>44222.347615740742</v>
      </c>
      <c r="Q2614">
        <v>13573</v>
      </c>
      <c r="R2614">
        <v>743</v>
      </c>
      <c r="S2614" t="b">
        <v>0</v>
      </c>
      <c r="T2614" t="s">
        <v>87</v>
      </c>
      <c r="U2614" t="b">
        <v>1</v>
      </c>
      <c r="V2614" t="s">
        <v>88</v>
      </c>
      <c r="W2614" s="1">
        <v>44222.188506944447</v>
      </c>
      <c r="X2614">
        <v>511</v>
      </c>
      <c r="Y2614">
        <v>37</v>
      </c>
      <c r="Z2614">
        <v>0</v>
      </c>
      <c r="AA2614">
        <v>37</v>
      </c>
      <c r="AB2614">
        <v>0</v>
      </c>
      <c r="AC2614">
        <v>18</v>
      </c>
      <c r="AD2614">
        <v>1</v>
      </c>
      <c r="AE2614">
        <v>0</v>
      </c>
      <c r="AF2614">
        <v>0</v>
      </c>
      <c r="AG2614">
        <v>0</v>
      </c>
      <c r="AH2614" t="s">
        <v>94</v>
      </c>
      <c r="AI2614" s="1">
        <v>44222.191481481481</v>
      </c>
      <c r="AJ2614">
        <v>221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0</v>
      </c>
      <c r="AS2614">
        <v>0</v>
      </c>
      <c r="AT2614" t="s">
        <v>90</v>
      </c>
      <c r="AU2614" s="1">
        <v>44222.347615740742</v>
      </c>
      <c r="AV2614">
        <v>11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1</v>
      </c>
      <c r="BC2614">
        <v>0</v>
      </c>
      <c r="BD2614">
        <v>0</v>
      </c>
      <c r="BE2614">
        <v>0</v>
      </c>
    </row>
    <row r="2615" spans="1:57" hidden="1" x14ac:dyDescent="0.45">
      <c r="A2615" t="s">
        <v>6247</v>
      </c>
      <c r="B2615" t="s">
        <v>79</v>
      </c>
      <c r="C2615" t="s">
        <v>6248</v>
      </c>
      <c r="D2615" t="s">
        <v>81</v>
      </c>
      <c r="E2615" s="2" t="str">
        <f>HYPERLINK("capsilon://?command=openfolder&amp;siteaddress=FAM.docvelocity-na8.net&amp;folderid=FX7F3E9001-6208-B441-7EA4-0C12D57F1D31","FX20121881")</f>
        <v>FX20121881</v>
      </c>
      <c r="F2615" t="s">
        <v>19</v>
      </c>
      <c r="G2615" t="s">
        <v>19</v>
      </c>
      <c r="H2615" t="s">
        <v>82</v>
      </c>
      <c r="I2615" t="s">
        <v>6249</v>
      </c>
      <c r="J2615">
        <v>500</v>
      </c>
      <c r="K2615" t="s">
        <v>84</v>
      </c>
      <c r="L2615" t="s">
        <v>85</v>
      </c>
      <c r="M2615" t="s">
        <v>81</v>
      </c>
      <c r="N2615">
        <v>2</v>
      </c>
      <c r="O2615" s="1">
        <v>44222.275578703702</v>
      </c>
      <c r="P2615" s="1">
        <v>44222.282060185185</v>
      </c>
      <c r="Q2615">
        <v>404</v>
      </c>
      <c r="R2615">
        <v>156</v>
      </c>
      <c r="S2615" t="b">
        <v>0</v>
      </c>
      <c r="T2615" t="s">
        <v>481</v>
      </c>
      <c r="U2615" t="b">
        <v>0</v>
      </c>
      <c r="V2615" t="s">
        <v>88</v>
      </c>
      <c r="W2615" s="1">
        <v>44222.278692129628</v>
      </c>
      <c r="X2615">
        <v>143</v>
      </c>
      <c r="Y2615">
        <v>0</v>
      </c>
      <c r="Z2615">
        <v>0</v>
      </c>
      <c r="AA2615">
        <v>0</v>
      </c>
      <c r="AB2615">
        <v>98</v>
      </c>
      <c r="AC2615">
        <v>0</v>
      </c>
      <c r="AD2615">
        <v>500</v>
      </c>
      <c r="AE2615">
        <v>0</v>
      </c>
      <c r="AF2615">
        <v>0</v>
      </c>
      <c r="AG2615">
        <v>0</v>
      </c>
      <c r="AH2615" t="s">
        <v>481</v>
      </c>
      <c r="AI2615" s="1">
        <v>44222.282060185185</v>
      </c>
      <c r="AJ2615">
        <v>13</v>
      </c>
      <c r="AK2615">
        <v>0</v>
      </c>
      <c r="AL2615">
        <v>0</v>
      </c>
      <c r="AM2615">
        <v>0</v>
      </c>
      <c r="AN2615">
        <v>98</v>
      </c>
      <c r="AO2615">
        <v>0</v>
      </c>
      <c r="AP2615">
        <v>500</v>
      </c>
      <c r="AQ2615">
        <v>0</v>
      </c>
      <c r="AR2615">
        <v>0</v>
      </c>
      <c r="AS2615">
        <v>0</v>
      </c>
      <c r="AT2615" t="s">
        <v>87</v>
      </c>
      <c r="AU2615" t="s">
        <v>87</v>
      </c>
      <c r="AV2615" t="s">
        <v>87</v>
      </c>
      <c r="AW2615" t="s">
        <v>87</v>
      </c>
      <c r="AX2615" t="s">
        <v>87</v>
      </c>
      <c r="AY2615" t="s">
        <v>87</v>
      </c>
      <c r="AZ2615" t="s">
        <v>87</v>
      </c>
      <c r="BA2615" t="s">
        <v>87</v>
      </c>
      <c r="BB2615" t="s">
        <v>87</v>
      </c>
      <c r="BC2615" t="s">
        <v>87</v>
      </c>
      <c r="BD2615" t="s">
        <v>87</v>
      </c>
      <c r="BE2615" t="s">
        <v>87</v>
      </c>
    </row>
    <row r="2616" spans="1:57" x14ac:dyDescent="0.45">
      <c r="A2616" t="s">
        <v>6250</v>
      </c>
      <c r="B2616" t="s">
        <v>79</v>
      </c>
      <c r="C2616" t="s">
        <v>2549</v>
      </c>
      <c r="D2616" t="s">
        <v>81</v>
      </c>
      <c r="E2616" s="2" t="str">
        <f>HYPERLINK("capsilon://?command=openfolder&amp;siteaddress=FAM.docvelocity-na8.net&amp;folderid=FX5660D5AE-2D6C-F9AF-E567-51BA3F42C7DA","FX21016661")</f>
        <v>FX21016661</v>
      </c>
      <c r="F2616" t="s">
        <v>19</v>
      </c>
      <c r="G2616" t="s">
        <v>19</v>
      </c>
      <c r="H2616" t="s">
        <v>82</v>
      </c>
      <c r="I2616" t="s">
        <v>6251</v>
      </c>
      <c r="J2616">
        <v>66</v>
      </c>
      <c r="K2616" t="s">
        <v>84</v>
      </c>
      <c r="L2616" t="s">
        <v>85</v>
      </c>
      <c r="M2616" t="s">
        <v>86</v>
      </c>
      <c r="N2616">
        <v>3</v>
      </c>
      <c r="O2616" s="1">
        <v>44222.303287037037</v>
      </c>
      <c r="P2616" s="1">
        <v>44222.3750462963</v>
      </c>
      <c r="Q2616">
        <v>4990</v>
      </c>
      <c r="R2616">
        <v>1210</v>
      </c>
      <c r="S2616" t="b">
        <v>0</v>
      </c>
      <c r="T2616" t="s">
        <v>87</v>
      </c>
      <c r="U2616" t="b">
        <v>0</v>
      </c>
      <c r="V2616" t="s">
        <v>88</v>
      </c>
      <c r="W2616" s="1">
        <v>44222.311018518521</v>
      </c>
      <c r="X2616">
        <v>635</v>
      </c>
      <c r="Y2616">
        <v>52</v>
      </c>
      <c r="Z2616">
        <v>0</v>
      </c>
      <c r="AA2616">
        <v>52</v>
      </c>
      <c r="AB2616">
        <v>0</v>
      </c>
      <c r="AC2616">
        <v>37</v>
      </c>
      <c r="AD2616">
        <v>14</v>
      </c>
      <c r="AE2616">
        <v>0</v>
      </c>
      <c r="AF2616">
        <v>0</v>
      </c>
      <c r="AG2616">
        <v>0</v>
      </c>
      <c r="AH2616" t="s">
        <v>89</v>
      </c>
      <c r="AI2616" s="1">
        <v>44222.334328703706</v>
      </c>
      <c r="AJ2616">
        <v>562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14</v>
      </c>
      <c r="AQ2616">
        <v>0</v>
      </c>
      <c r="AR2616">
        <v>0</v>
      </c>
      <c r="AS2616">
        <v>0</v>
      </c>
      <c r="AT2616" t="s">
        <v>90</v>
      </c>
      <c r="AU2616" s="1">
        <v>44222.3750462963</v>
      </c>
      <c r="AV2616">
        <v>13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14</v>
      </c>
      <c r="BC2616">
        <v>0</v>
      </c>
      <c r="BD2616">
        <v>0</v>
      </c>
      <c r="BE2616">
        <v>0</v>
      </c>
    </row>
    <row r="2617" spans="1:57" x14ac:dyDescent="0.45">
      <c r="A2617" t="s">
        <v>6252</v>
      </c>
      <c r="B2617" t="s">
        <v>79</v>
      </c>
      <c r="C2617" t="s">
        <v>6253</v>
      </c>
      <c r="D2617" t="s">
        <v>81</v>
      </c>
      <c r="E2617" s="2" t="str">
        <f>HYPERLINK("capsilon://?command=openfolder&amp;siteaddress=FAM.docvelocity-na8.net&amp;folderid=FXDBC188C1-05FB-EA24-A0ED-3C24A04EFA36","FX210115479")</f>
        <v>FX210115479</v>
      </c>
      <c r="F2617" t="s">
        <v>19</v>
      </c>
      <c r="G2617" t="s">
        <v>19</v>
      </c>
      <c r="H2617" t="s">
        <v>82</v>
      </c>
      <c r="I2617" t="s">
        <v>6254</v>
      </c>
      <c r="J2617">
        <v>38</v>
      </c>
      <c r="K2617" t="s">
        <v>84</v>
      </c>
      <c r="L2617" t="s">
        <v>85</v>
      </c>
      <c r="M2617" t="s">
        <v>86</v>
      </c>
      <c r="N2617">
        <v>3</v>
      </c>
      <c r="O2617" s="1">
        <v>44222.318796296298</v>
      </c>
      <c r="P2617" s="1">
        <v>44222.375324074077</v>
      </c>
      <c r="Q2617">
        <v>3594</v>
      </c>
      <c r="R2617">
        <v>1290</v>
      </c>
      <c r="S2617" t="b">
        <v>0</v>
      </c>
      <c r="T2617" t="s">
        <v>87</v>
      </c>
      <c r="U2617" t="b">
        <v>0</v>
      </c>
      <c r="V2617" t="s">
        <v>88</v>
      </c>
      <c r="W2617" s="1">
        <v>44222.325671296298</v>
      </c>
      <c r="X2617">
        <v>545</v>
      </c>
      <c r="Y2617">
        <v>37</v>
      </c>
      <c r="Z2617">
        <v>0</v>
      </c>
      <c r="AA2617">
        <v>37</v>
      </c>
      <c r="AB2617">
        <v>0</v>
      </c>
      <c r="AC2617">
        <v>21</v>
      </c>
      <c r="AD2617">
        <v>1</v>
      </c>
      <c r="AE2617">
        <v>0</v>
      </c>
      <c r="AF2617">
        <v>0</v>
      </c>
      <c r="AG2617">
        <v>0</v>
      </c>
      <c r="AH2617" t="s">
        <v>89</v>
      </c>
      <c r="AI2617" s="1">
        <v>44222.342673611114</v>
      </c>
      <c r="AJ2617">
        <v>721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</v>
      </c>
      <c r="AQ2617">
        <v>0</v>
      </c>
      <c r="AR2617">
        <v>0</v>
      </c>
      <c r="AS2617">
        <v>0</v>
      </c>
      <c r="AT2617" t="s">
        <v>90</v>
      </c>
      <c r="AU2617" s="1">
        <v>44222.375324074077</v>
      </c>
      <c r="AV2617">
        <v>24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0</v>
      </c>
    </row>
    <row r="2618" spans="1:57" x14ac:dyDescent="0.45">
      <c r="A2618" t="s">
        <v>6255</v>
      </c>
      <c r="B2618" t="s">
        <v>79</v>
      </c>
      <c r="C2618" t="s">
        <v>6256</v>
      </c>
      <c r="D2618" t="s">
        <v>81</v>
      </c>
      <c r="E2618" s="2" t="str">
        <f>HYPERLINK("capsilon://?command=openfolder&amp;siteaddress=FAM.docvelocity-na8.net&amp;folderid=FX3FF75D6D-670F-784B-7149-71A37C83FAC8","FX210115263")</f>
        <v>FX210115263</v>
      </c>
      <c r="F2618" t="s">
        <v>19</v>
      </c>
      <c r="G2618" t="s">
        <v>19</v>
      </c>
      <c r="H2618" t="s">
        <v>82</v>
      </c>
      <c r="I2618" t="s">
        <v>6257</v>
      </c>
      <c r="J2618">
        <v>229</v>
      </c>
      <c r="K2618" t="s">
        <v>84</v>
      </c>
      <c r="L2618" t="s">
        <v>85</v>
      </c>
      <c r="M2618" t="s">
        <v>86</v>
      </c>
      <c r="N2618">
        <v>3</v>
      </c>
      <c r="O2618" s="1">
        <v>44222.334745370368</v>
      </c>
      <c r="P2618" s="1">
        <v>44222.434328703705</v>
      </c>
      <c r="Q2618">
        <v>5115</v>
      </c>
      <c r="R2618">
        <v>3489</v>
      </c>
      <c r="S2618" t="b">
        <v>0</v>
      </c>
      <c r="T2618" t="s">
        <v>87</v>
      </c>
      <c r="U2618" t="b">
        <v>0</v>
      </c>
      <c r="V2618" t="s">
        <v>919</v>
      </c>
      <c r="W2618" s="1">
        <v>44222.357488425929</v>
      </c>
      <c r="X2618">
        <v>1813</v>
      </c>
      <c r="Y2618">
        <v>163</v>
      </c>
      <c r="Z2618">
        <v>0</v>
      </c>
      <c r="AA2618">
        <v>163</v>
      </c>
      <c r="AB2618">
        <v>0</v>
      </c>
      <c r="AC2618">
        <v>43</v>
      </c>
      <c r="AD2618">
        <v>66</v>
      </c>
      <c r="AE2618">
        <v>0</v>
      </c>
      <c r="AF2618">
        <v>0</v>
      </c>
      <c r="AG2618">
        <v>0</v>
      </c>
      <c r="AH2618" t="s">
        <v>89</v>
      </c>
      <c r="AI2618" s="1">
        <v>44222.40283564815</v>
      </c>
      <c r="AJ2618">
        <v>1629</v>
      </c>
      <c r="AK2618">
        <v>1</v>
      </c>
      <c r="AL2618">
        <v>0</v>
      </c>
      <c r="AM2618">
        <v>1</v>
      </c>
      <c r="AN2618">
        <v>0</v>
      </c>
      <c r="AO2618">
        <v>0</v>
      </c>
      <c r="AP2618">
        <v>65</v>
      </c>
      <c r="AQ2618">
        <v>0</v>
      </c>
      <c r="AR2618">
        <v>0</v>
      </c>
      <c r="AS2618">
        <v>0</v>
      </c>
      <c r="AT2618" t="s">
        <v>90</v>
      </c>
      <c r="AU2618" s="1">
        <v>44222.434328703705</v>
      </c>
      <c r="AV2618">
        <v>29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65</v>
      </c>
      <c r="BC2618">
        <v>0</v>
      </c>
      <c r="BD2618">
        <v>0</v>
      </c>
      <c r="BE2618">
        <v>0</v>
      </c>
    </row>
    <row r="2619" spans="1:57" x14ac:dyDescent="0.45">
      <c r="A2619" t="s">
        <v>6258</v>
      </c>
      <c r="B2619" t="s">
        <v>79</v>
      </c>
      <c r="C2619" t="s">
        <v>6259</v>
      </c>
      <c r="D2619" t="s">
        <v>81</v>
      </c>
      <c r="E2619" s="2" t="str">
        <f>HYPERLINK("capsilon://?command=openfolder&amp;siteaddress=FAM.docvelocity-na8.net&amp;folderid=FXB80DC087-2A78-51E4-54EB-924BD57F748E","FX210113744")</f>
        <v>FX210113744</v>
      </c>
      <c r="F2619" t="s">
        <v>19</v>
      </c>
      <c r="G2619" t="s">
        <v>19</v>
      </c>
      <c r="H2619" t="s">
        <v>82</v>
      </c>
      <c r="I2619" t="s">
        <v>6260</v>
      </c>
      <c r="J2619">
        <v>191</v>
      </c>
      <c r="K2619" t="s">
        <v>84</v>
      </c>
      <c r="L2619" t="s">
        <v>85</v>
      </c>
      <c r="M2619" t="s">
        <v>86</v>
      </c>
      <c r="N2619">
        <v>3</v>
      </c>
      <c r="O2619" s="1">
        <v>44222.340682870374</v>
      </c>
      <c r="P2619" s="1">
        <v>44222.400671296295</v>
      </c>
      <c r="Q2619">
        <v>1995</v>
      </c>
      <c r="R2619">
        <v>3188</v>
      </c>
      <c r="S2619" t="b">
        <v>0</v>
      </c>
      <c r="T2619" t="s">
        <v>87</v>
      </c>
      <c r="U2619" t="b">
        <v>0</v>
      </c>
      <c r="V2619" t="s">
        <v>88</v>
      </c>
      <c r="W2619" s="1">
        <v>44222.371365740742</v>
      </c>
      <c r="X2619">
        <v>2583</v>
      </c>
      <c r="Y2619">
        <v>171</v>
      </c>
      <c r="Z2619">
        <v>0</v>
      </c>
      <c r="AA2619">
        <v>171</v>
      </c>
      <c r="AB2619">
        <v>0</v>
      </c>
      <c r="AC2619">
        <v>72</v>
      </c>
      <c r="AD2619">
        <v>20</v>
      </c>
      <c r="AE2619">
        <v>0</v>
      </c>
      <c r="AF2619">
        <v>0</v>
      </c>
      <c r="AG2619">
        <v>0</v>
      </c>
      <c r="AH2619" t="s">
        <v>94</v>
      </c>
      <c r="AI2619" s="1">
        <v>44222.397800925923</v>
      </c>
      <c r="AJ2619">
        <v>574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20</v>
      </c>
      <c r="AQ2619">
        <v>0</v>
      </c>
      <c r="AR2619">
        <v>0</v>
      </c>
      <c r="AS2619">
        <v>0</v>
      </c>
      <c r="AT2619" t="s">
        <v>90</v>
      </c>
      <c r="AU2619" s="1">
        <v>44222.400671296295</v>
      </c>
      <c r="AV2619">
        <v>31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20</v>
      </c>
      <c r="BC2619">
        <v>0</v>
      </c>
      <c r="BD2619">
        <v>0</v>
      </c>
      <c r="BE2619">
        <v>0</v>
      </c>
    </row>
    <row r="2620" spans="1:57" hidden="1" x14ac:dyDescent="0.45">
      <c r="A2620" t="s">
        <v>6261</v>
      </c>
      <c r="B2620" t="s">
        <v>79</v>
      </c>
      <c r="C2620" t="s">
        <v>6262</v>
      </c>
      <c r="D2620" t="s">
        <v>81</v>
      </c>
      <c r="E2620" s="2" t="str">
        <f>HYPERLINK("capsilon://?command=openfolder&amp;siteaddress=FAM.docvelocity-na8.net&amp;folderid=FXB0BEF279-8220-2966-5D2F-7542589355AF","FX201221104")</f>
        <v>FX201221104</v>
      </c>
      <c r="F2620" t="s">
        <v>19</v>
      </c>
      <c r="G2620" t="s">
        <v>19</v>
      </c>
      <c r="H2620" t="s">
        <v>82</v>
      </c>
      <c r="I2620" t="s">
        <v>6263</v>
      </c>
      <c r="J2620">
        <v>441</v>
      </c>
      <c r="K2620" t="s">
        <v>84</v>
      </c>
      <c r="L2620" t="s">
        <v>85</v>
      </c>
      <c r="M2620" t="s">
        <v>81</v>
      </c>
      <c r="N2620">
        <v>2</v>
      </c>
      <c r="O2620" s="1">
        <v>44222.350914351853</v>
      </c>
      <c r="P2620" s="1">
        <v>44222.355486111112</v>
      </c>
      <c r="Q2620">
        <v>87</v>
      </c>
      <c r="R2620">
        <v>308</v>
      </c>
      <c r="S2620" t="b">
        <v>0</v>
      </c>
      <c r="T2620" t="s">
        <v>2541</v>
      </c>
      <c r="U2620" t="b">
        <v>0</v>
      </c>
      <c r="V2620" t="s">
        <v>98</v>
      </c>
      <c r="W2620" s="1">
        <v>44222.354143518518</v>
      </c>
      <c r="X2620">
        <v>278</v>
      </c>
      <c r="Y2620">
        <v>0</v>
      </c>
      <c r="Z2620">
        <v>0</v>
      </c>
      <c r="AA2620">
        <v>0</v>
      </c>
      <c r="AB2620">
        <v>98</v>
      </c>
      <c r="AC2620">
        <v>0</v>
      </c>
      <c r="AD2620">
        <v>441</v>
      </c>
      <c r="AE2620">
        <v>0</v>
      </c>
      <c r="AF2620">
        <v>0</v>
      </c>
      <c r="AG2620">
        <v>0</v>
      </c>
      <c r="AH2620" t="s">
        <v>2541</v>
      </c>
      <c r="AI2620" s="1">
        <v>44222.355486111112</v>
      </c>
      <c r="AJ2620">
        <v>7</v>
      </c>
      <c r="AK2620">
        <v>0</v>
      </c>
      <c r="AL2620">
        <v>0</v>
      </c>
      <c r="AM2620">
        <v>0</v>
      </c>
      <c r="AN2620">
        <v>98</v>
      </c>
      <c r="AO2620">
        <v>0</v>
      </c>
      <c r="AP2620">
        <v>441</v>
      </c>
      <c r="AQ2620">
        <v>0</v>
      </c>
      <c r="AR2620">
        <v>0</v>
      </c>
      <c r="AS2620">
        <v>0</v>
      </c>
      <c r="AT2620" t="s">
        <v>87</v>
      </c>
      <c r="AU2620" t="s">
        <v>87</v>
      </c>
      <c r="AV2620" t="s">
        <v>87</v>
      </c>
      <c r="AW2620" t="s">
        <v>87</v>
      </c>
      <c r="AX2620" t="s">
        <v>87</v>
      </c>
      <c r="AY2620" t="s">
        <v>87</v>
      </c>
      <c r="AZ2620" t="s">
        <v>87</v>
      </c>
      <c r="BA2620" t="s">
        <v>87</v>
      </c>
      <c r="BB2620" t="s">
        <v>87</v>
      </c>
      <c r="BC2620" t="s">
        <v>87</v>
      </c>
      <c r="BD2620" t="s">
        <v>87</v>
      </c>
      <c r="BE2620" t="s">
        <v>87</v>
      </c>
    </row>
    <row r="2621" spans="1:57" hidden="1" x14ac:dyDescent="0.45">
      <c r="A2621" t="s">
        <v>6264</v>
      </c>
      <c r="B2621" t="s">
        <v>79</v>
      </c>
      <c r="C2621" t="s">
        <v>6265</v>
      </c>
      <c r="D2621" t="s">
        <v>81</v>
      </c>
      <c r="E2621" s="2" t="str">
        <f>HYPERLINK("capsilon://?command=openfolder&amp;siteaddress=FAM.docvelocity-na8.net&amp;folderid=FXA3A1BFFB-C254-50F9-DD46-BED335436564","FX201113304")</f>
        <v>FX201113304</v>
      </c>
      <c r="F2621" t="s">
        <v>19</v>
      </c>
      <c r="G2621" t="s">
        <v>19</v>
      </c>
      <c r="H2621" t="s">
        <v>82</v>
      </c>
      <c r="I2621" t="s">
        <v>6266</v>
      </c>
      <c r="J2621">
        <v>38</v>
      </c>
      <c r="K2621" t="s">
        <v>84</v>
      </c>
      <c r="L2621" t="s">
        <v>85</v>
      </c>
      <c r="M2621" t="s">
        <v>86</v>
      </c>
      <c r="N2621">
        <v>3</v>
      </c>
      <c r="O2621" s="1">
        <v>44222.353078703702</v>
      </c>
      <c r="P2621" s="1">
        <v>44222.400717592594</v>
      </c>
      <c r="Q2621">
        <v>3764</v>
      </c>
      <c r="R2621">
        <v>352</v>
      </c>
      <c r="S2621" t="b">
        <v>0</v>
      </c>
      <c r="T2621" t="s">
        <v>87</v>
      </c>
      <c r="U2621" t="b">
        <v>0</v>
      </c>
      <c r="V2621" t="s">
        <v>98</v>
      </c>
      <c r="W2621" s="1">
        <v>44222.356354166666</v>
      </c>
      <c r="X2621">
        <v>190</v>
      </c>
      <c r="Y2621">
        <v>0</v>
      </c>
      <c r="Z2621">
        <v>0</v>
      </c>
      <c r="AA2621">
        <v>0</v>
      </c>
      <c r="AB2621">
        <v>37</v>
      </c>
      <c r="AC2621">
        <v>0</v>
      </c>
      <c r="AD2621">
        <v>38</v>
      </c>
      <c r="AE2621">
        <v>0</v>
      </c>
      <c r="AF2621">
        <v>0</v>
      </c>
      <c r="AG2621">
        <v>0</v>
      </c>
      <c r="AH2621" t="s">
        <v>108</v>
      </c>
      <c r="AI2621" s="1">
        <v>44222.393159722225</v>
      </c>
      <c r="AJ2621">
        <v>159</v>
      </c>
      <c r="AK2621">
        <v>0</v>
      </c>
      <c r="AL2621">
        <v>0</v>
      </c>
      <c r="AM2621">
        <v>0</v>
      </c>
      <c r="AN2621">
        <v>37</v>
      </c>
      <c r="AO2621">
        <v>0</v>
      </c>
      <c r="AP2621">
        <v>38</v>
      </c>
      <c r="AQ2621">
        <v>0</v>
      </c>
      <c r="AR2621">
        <v>0</v>
      </c>
      <c r="AS2621">
        <v>0</v>
      </c>
      <c r="AT2621" t="s">
        <v>90</v>
      </c>
      <c r="AU2621" s="1">
        <v>44222.400717592594</v>
      </c>
      <c r="AV2621">
        <v>3</v>
      </c>
      <c r="AW2621">
        <v>0</v>
      </c>
      <c r="AX2621">
        <v>0</v>
      </c>
      <c r="AY2621">
        <v>0</v>
      </c>
      <c r="AZ2621">
        <v>37</v>
      </c>
      <c r="BA2621">
        <v>0</v>
      </c>
      <c r="BB2621">
        <v>38</v>
      </c>
      <c r="BC2621">
        <v>0</v>
      </c>
      <c r="BD2621">
        <v>0</v>
      </c>
      <c r="BE2621">
        <v>0</v>
      </c>
    </row>
    <row r="2622" spans="1:57" hidden="1" x14ac:dyDescent="0.45">
      <c r="A2622" t="s">
        <v>6267</v>
      </c>
      <c r="B2622" t="s">
        <v>79</v>
      </c>
      <c r="C2622" t="s">
        <v>2340</v>
      </c>
      <c r="D2622" t="s">
        <v>81</v>
      </c>
      <c r="E2622" s="2" t="str">
        <f>HYPERLINK("capsilon://?command=openfolder&amp;siteaddress=FAM.docvelocity-na8.net&amp;folderid=FX2AF0915C-E94A-1865-B21C-D7B39D194C36","FX20122352")</f>
        <v>FX20122352</v>
      </c>
      <c r="F2622" t="s">
        <v>19</v>
      </c>
      <c r="G2622" t="s">
        <v>19</v>
      </c>
      <c r="H2622" t="s">
        <v>82</v>
      </c>
      <c r="I2622" t="s">
        <v>6268</v>
      </c>
      <c r="J2622">
        <v>132</v>
      </c>
      <c r="K2622" t="s">
        <v>84</v>
      </c>
      <c r="L2622" t="s">
        <v>85</v>
      </c>
      <c r="M2622" t="s">
        <v>86</v>
      </c>
      <c r="N2622">
        <v>3</v>
      </c>
      <c r="O2622" s="1">
        <v>44222.353750000002</v>
      </c>
      <c r="P2622" s="1">
        <v>44222.401597222219</v>
      </c>
      <c r="Q2622">
        <v>3755</v>
      </c>
      <c r="R2622">
        <v>379</v>
      </c>
      <c r="S2622" t="b">
        <v>0</v>
      </c>
      <c r="T2622" t="s">
        <v>87</v>
      </c>
      <c r="U2622" t="b">
        <v>0</v>
      </c>
      <c r="V2622" t="s">
        <v>105</v>
      </c>
      <c r="W2622" s="1">
        <v>44222.35800925926</v>
      </c>
      <c r="X2622">
        <v>212</v>
      </c>
      <c r="Y2622">
        <v>0</v>
      </c>
      <c r="Z2622">
        <v>0</v>
      </c>
      <c r="AA2622">
        <v>0</v>
      </c>
      <c r="AB2622">
        <v>104</v>
      </c>
      <c r="AC2622">
        <v>0</v>
      </c>
      <c r="AD2622">
        <v>132</v>
      </c>
      <c r="AE2622">
        <v>0</v>
      </c>
      <c r="AF2622">
        <v>0</v>
      </c>
      <c r="AG2622">
        <v>0</v>
      </c>
      <c r="AH2622" t="s">
        <v>108</v>
      </c>
      <c r="AI2622" s="1">
        <v>44222.394236111111</v>
      </c>
      <c r="AJ2622">
        <v>92</v>
      </c>
      <c r="AK2622">
        <v>0</v>
      </c>
      <c r="AL2622">
        <v>0</v>
      </c>
      <c r="AM2622">
        <v>0</v>
      </c>
      <c r="AN2622">
        <v>104</v>
      </c>
      <c r="AO2622">
        <v>0</v>
      </c>
      <c r="AP2622">
        <v>132</v>
      </c>
      <c r="AQ2622">
        <v>0</v>
      </c>
      <c r="AR2622">
        <v>0</v>
      </c>
      <c r="AS2622">
        <v>0</v>
      </c>
      <c r="AT2622" t="s">
        <v>90</v>
      </c>
      <c r="AU2622" s="1">
        <v>44222.401597222219</v>
      </c>
      <c r="AV2622">
        <v>75</v>
      </c>
      <c r="AW2622">
        <v>0</v>
      </c>
      <c r="AX2622">
        <v>0</v>
      </c>
      <c r="AY2622">
        <v>0</v>
      </c>
      <c r="AZ2622">
        <v>104</v>
      </c>
      <c r="BA2622">
        <v>0</v>
      </c>
      <c r="BB2622">
        <v>132</v>
      </c>
      <c r="BC2622">
        <v>0</v>
      </c>
      <c r="BD2622">
        <v>0</v>
      </c>
      <c r="BE2622">
        <v>0</v>
      </c>
    </row>
    <row r="2623" spans="1:57" hidden="1" x14ac:dyDescent="0.45">
      <c r="A2623" t="s">
        <v>6269</v>
      </c>
      <c r="B2623" t="s">
        <v>79</v>
      </c>
      <c r="C2623" t="s">
        <v>6265</v>
      </c>
      <c r="D2623" t="s">
        <v>81</v>
      </c>
      <c r="E2623" s="2" t="str">
        <f>HYPERLINK("capsilon://?command=openfolder&amp;siteaddress=FAM.docvelocity-na8.net&amp;folderid=FXA3A1BFFB-C254-50F9-DD46-BED335436564","FX201113304")</f>
        <v>FX201113304</v>
      </c>
      <c r="F2623" t="s">
        <v>19</v>
      </c>
      <c r="G2623" t="s">
        <v>19</v>
      </c>
      <c r="H2623" t="s">
        <v>82</v>
      </c>
      <c r="I2623" t="s">
        <v>6270</v>
      </c>
      <c r="J2623">
        <v>38</v>
      </c>
      <c r="K2623" t="s">
        <v>84</v>
      </c>
      <c r="L2623" t="s">
        <v>85</v>
      </c>
      <c r="M2623" t="s">
        <v>86</v>
      </c>
      <c r="N2623">
        <v>1</v>
      </c>
      <c r="O2623" s="1">
        <v>44222.356076388889</v>
      </c>
      <c r="P2623" s="1">
        <v>44222.361747685187</v>
      </c>
      <c r="Q2623">
        <v>25</v>
      </c>
      <c r="R2623">
        <v>465</v>
      </c>
      <c r="S2623" t="b">
        <v>0</v>
      </c>
      <c r="T2623" t="s">
        <v>87</v>
      </c>
      <c r="U2623" t="b">
        <v>0</v>
      </c>
      <c r="V2623" t="s">
        <v>98</v>
      </c>
      <c r="W2623" s="1">
        <v>44222.361747685187</v>
      </c>
      <c r="X2623">
        <v>465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38</v>
      </c>
      <c r="AE2623">
        <v>37</v>
      </c>
      <c r="AF2623">
        <v>0</v>
      </c>
      <c r="AG2623">
        <v>1</v>
      </c>
      <c r="AH2623" t="s">
        <v>87</v>
      </c>
      <c r="AI2623" t="s">
        <v>87</v>
      </c>
      <c r="AJ2623" t="s">
        <v>87</v>
      </c>
      <c r="AK2623" t="s">
        <v>87</v>
      </c>
      <c r="AL2623" t="s">
        <v>87</v>
      </c>
      <c r="AM2623" t="s">
        <v>87</v>
      </c>
      <c r="AN2623" t="s">
        <v>87</v>
      </c>
      <c r="AO2623" t="s">
        <v>87</v>
      </c>
      <c r="AP2623" t="s">
        <v>87</v>
      </c>
      <c r="AQ2623" t="s">
        <v>87</v>
      </c>
      <c r="AR2623" t="s">
        <v>87</v>
      </c>
      <c r="AS2623" t="s">
        <v>87</v>
      </c>
      <c r="AT2623" t="s">
        <v>87</v>
      </c>
      <c r="AU2623" t="s">
        <v>87</v>
      </c>
      <c r="AV2623" t="s">
        <v>87</v>
      </c>
      <c r="AW2623" t="s">
        <v>87</v>
      </c>
      <c r="AX2623" t="s">
        <v>87</v>
      </c>
      <c r="AY2623" t="s">
        <v>87</v>
      </c>
      <c r="AZ2623" t="s">
        <v>87</v>
      </c>
      <c r="BA2623" t="s">
        <v>87</v>
      </c>
      <c r="BB2623" t="s">
        <v>87</v>
      </c>
      <c r="BC2623" t="s">
        <v>87</v>
      </c>
      <c r="BD2623" t="s">
        <v>87</v>
      </c>
      <c r="BE2623" t="s">
        <v>87</v>
      </c>
    </row>
    <row r="2624" spans="1:57" hidden="1" x14ac:dyDescent="0.45">
      <c r="A2624" t="s">
        <v>6271</v>
      </c>
      <c r="B2624" t="s">
        <v>79</v>
      </c>
      <c r="C2624" t="s">
        <v>6272</v>
      </c>
      <c r="D2624" t="s">
        <v>81</v>
      </c>
      <c r="E2624" s="2" t="str">
        <f>HYPERLINK("capsilon://?command=openfolder&amp;siteaddress=FAM.docvelocity-na8.net&amp;folderid=FX0A9488D5-C639-305B-6CEA-B67BA6E5A64F","FX20123318")</f>
        <v>FX20123318</v>
      </c>
      <c r="F2624" t="s">
        <v>19</v>
      </c>
      <c r="G2624" t="s">
        <v>19</v>
      </c>
      <c r="H2624" t="s">
        <v>82</v>
      </c>
      <c r="I2624" t="s">
        <v>6273</v>
      </c>
      <c r="J2624">
        <v>66</v>
      </c>
      <c r="K2624" t="s">
        <v>84</v>
      </c>
      <c r="L2624" t="s">
        <v>85</v>
      </c>
      <c r="M2624" t="s">
        <v>86</v>
      </c>
      <c r="N2624">
        <v>1</v>
      </c>
      <c r="O2624" s="1">
        <v>44222.357233796298</v>
      </c>
      <c r="P2624" s="1">
        <v>44222.364768518521</v>
      </c>
      <c r="Q2624">
        <v>23</v>
      </c>
      <c r="R2624">
        <v>628</v>
      </c>
      <c r="S2624" t="b">
        <v>0</v>
      </c>
      <c r="T2624" t="s">
        <v>87</v>
      </c>
      <c r="U2624" t="b">
        <v>0</v>
      </c>
      <c r="V2624" t="s">
        <v>919</v>
      </c>
      <c r="W2624" s="1">
        <v>44222.364768518521</v>
      </c>
      <c r="X2624">
        <v>628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66</v>
      </c>
      <c r="AE2624">
        <v>52</v>
      </c>
      <c r="AF2624">
        <v>0</v>
      </c>
      <c r="AG2624">
        <v>1</v>
      </c>
      <c r="AH2624" t="s">
        <v>87</v>
      </c>
      <c r="AI2624" t="s">
        <v>87</v>
      </c>
      <c r="AJ2624" t="s">
        <v>87</v>
      </c>
      <c r="AK2624" t="s">
        <v>87</v>
      </c>
      <c r="AL2624" t="s">
        <v>87</v>
      </c>
      <c r="AM2624" t="s">
        <v>87</v>
      </c>
      <c r="AN2624" t="s">
        <v>87</v>
      </c>
      <c r="AO2624" t="s">
        <v>87</v>
      </c>
      <c r="AP2624" t="s">
        <v>87</v>
      </c>
      <c r="AQ2624" t="s">
        <v>87</v>
      </c>
      <c r="AR2624" t="s">
        <v>87</v>
      </c>
      <c r="AS2624" t="s">
        <v>87</v>
      </c>
      <c r="AT2624" t="s">
        <v>87</v>
      </c>
      <c r="AU2624" t="s">
        <v>87</v>
      </c>
      <c r="AV2624" t="s">
        <v>87</v>
      </c>
      <c r="AW2624" t="s">
        <v>87</v>
      </c>
      <c r="AX2624" t="s">
        <v>87</v>
      </c>
      <c r="AY2624" t="s">
        <v>87</v>
      </c>
      <c r="AZ2624" t="s">
        <v>87</v>
      </c>
      <c r="BA2624" t="s">
        <v>87</v>
      </c>
      <c r="BB2624" t="s">
        <v>87</v>
      </c>
      <c r="BC2624" t="s">
        <v>87</v>
      </c>
      <c r="BD2624" t="s">
        <v>87</v>
      </c>
      <c r="BE2624" t="s">
        <v>87</v>
      </c>
    </row>
    <row r="2625" spans="1:57" x14ac:dyDescent="0.45">
      <c r="A2625" t="s">
        <v>6274</v>
      </c>
      <c r="B2625" t="s">
        <v>79</v>
      </c>
      <c r="C2625" t="s">
        <v>1444</v>
      </c>
      <c r="D2625" t="s">
        <v>81</v>
      </c>
      <c r="E2625" s="2" t="str">
        <f>HYPERLINK("capsilon://?command=openfolder&amp;siteaddress=FAM.docvelocity-na8.net&amp;folderid=FXCD375171-C161-661C-D49F-7325BC377B46","FX20122717")</f>
        <v>FX20122717</v>
      </c>
      <c r="F2625" t="s">
        <v>19</v>
      </c>
      <c r="G2625" t="s">
        <v>19</v>
      </c>
      <c r="H2625" t="s">
        <v>82</v>
      </c>
      <c r="I2625" t="s">
        <v>6275</v>
      </c>
      <c r="J2625">
        <v>38</v>
      </c>
      <c r="K2625" t="s">
        <v>84</v>
      </c>
      <c r="L2625" t="s">
        <v>85</v>
      </c>
      <c r="M2625" t="s">
        <v>86</v>
      </c>
      <c r="N2625">
        <v>3</v>
      </c>
      <c r="O2625" s="1">
        <v>44222.359467592592</v>
      </c>
      <c r="P2625" s="1">
        <v>44222.401944444442</v>
      </c>
      <c r="Q2625">
        <v>2623</v>
      </c>
      <c r="R2625">
        <v>1047</v>
      </c>
      <c r="S2625" t="b">
        <v>0</v>
      </c>
      <c r="T2625" t="s">
        <v>87</v>
      </c>
      <c r="U2625" t="b">
        <v>0</v>
      </c>
      <c r="V2625" t="s">
        <v>112</v>
      </c>
      <c r="W2625" s="1">
        <v>44222.368217592593</v>
      </c>
      <c r="X2625">
        <v>713</v>
      </c>
      <c r="Y2625">
        <v>37</v>
      </c>
      <c r="Z2625">
        <v>0</v>
      </c>
      <c r="AA2625">
        <v>37</v>
      </c>
      <c r="AB2625">
        <v>0</v>
      </c>
      <c r="AC2625">
        <v>25</v>
      </c>
      <c r="AD2625">
        <v>1</v>
      </c>
      <c r="AE2625">
        <v>0</v>
      </c>
      <c r="AF2625">
        <v>0</v>
      </c>
      <c r="AG2625">
        <v>0</v>
      </c>
      <c r="AH2625" t="s">
        <v>108</v>
      </c>
      <c r="AI2625" s="1">
        <v>44222.397766203707</v>
      </c>
      <c r="AJ2625">
        <v>304</v>
      </c>
      <c r="AK2625">
        <v>3</v>
      </c>
      <c r="AL2625">
        <v>0</v>
      </c>
      <c r="AM2625">
        <v>3</v>
      </c>
      <c r="AN2625">
        <v>0</v>
      </c>
      <c r="AO2625">
        <v>1</v>
      </c>
      <c r="AP2625">
        <v>-2</v>
      </c>
      <c r="AQ2625">
        <v>0</v>
      </c>
      <c r="AR2625">
        <v>0</v>
      </c>
      <c r="AS2625">
        <v>0</v>
      </c>
      <c r="AT2625" t="s">
        <v>90</v>
      </c>
      <c r="AU2625" s="1">
        <v>44222.401944444442</v>
      </c>
      <c r="AV2625">
        <v>30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-2</v>
      </c>
      <c r="BC2625">
        <v>0</v>
      </c>
      <c r="BD2625">
        <v>0</v>
      </c>
      <c r="BE2625">
        <v>0</v>
      </c>
    </row>
    <row r="2626" spans="1:57" x14ac:dyDescent="0.45">
      <c r="A2626" t="s">
        <v>6276</v>
      </c>
      <c r="B2626" t="s">
        <v>79</v>
      </c>
      <c r="C2626" t="s">
        <v>6265</v>
      </c>
      <c r="D2626" t="s">
        <v>81</v>
      </c>
      <c r="E2626" s="2" t="str">
        <f>HYPERLINK("capsilon://?command=openfolder&amp;siteaddress=FAM.docvelocity-na8.net&amp;folderid=FXA3A1BFFB-C254-50F9-DD46-BED335436564","FX201113304")</f>
        <v>FX201113304</v>
      </c>
      <c r="F2626" t="s">
        <v>19</v>
      </c>
      <c r="G2626" t="s">
        <v>19</v>
      </c>
      <c r="H2626" t="s">
        <v>82</v>
      </c>
      <c r="I2626" t="s">
        <v>6270</v>
      </c>
      <c r="J2626">
        <v>66</v>
      </c>
      <c r="K2626" t="s">
        <v>84</v>
      </c>
      <c r="L2626" t="s">
        <v>85</v>
      </c>
      <c r="M2626" t="s">
        <v>86</v>
      </c>
      <c r="N2626">
        <v>3</v>
      </c>
      <c r="O2626" s="1">
        <v>44222.362002314818</v>
      </c>
      <c r="P2626" s="1">
        <v>44222.381041666667</v>
      </c>
      <c r="Q2626">
        <v>453</v>
      </c>
      <c r="R2626">
        <v>1192</v>
      </c>
      <c r="S2626" t="b">
        <v>0</v>
      </c>
      <c r="T2626" t="s">
        <v>87</v>
      </c>
      <c r="U2626" t="b">
        <v>1</v>
      </c>
      <c r="V2626" t="s">
        <v>98</v>
      </c>
      <c r="W2626" s="1">
        <v>44222.370312500003</v>
      </c>
      <c r="X2626">
        <v>717</v>
      </c>
      <c r="Y2626">
        <v>52</v>
      </c>
      <c r="Z2626">
        <v>0</v>
      </c>
      <c r="AA2626">
        <v>52</v>
      </c>
      <c r="AB2626">
        <v>0</v>
      </c>
      <c r="AC2626">
        <v>31</v>
      </c>
      <c r="AD2626">
        <v>14</v>
      </c>
      <c r="AE2626">
        <v>0</v>
      </c>
      <c r="AF2626">
        <v>0</v>
      </c>
      <c r="AG2626">
        <v>0</v>
      </c>
      <c r="AH2626" t="s">
        <v>89</v>
      </c>
      <c r="AI2626" s="1">
        <v>44222.378182870372</v>
      </c>
      <c r="AJ2626">
        <v>453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14</v>
      </c>
      <c r="AQ2626">
        <v>0</v>
      </c>
      <c r="AR2626">
        <v>0</v>
      </c>
      <c r="AS2626">
        <v>0</v>
      </c>
      <c r="AT2626" t="s">
        <v>90</v>
      </c>
      <c r="AU2626" s="1">
        <v>44222.381041666667</v>
      </c>
      <c r="AV2626">
        <v>22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14</v>
      </c>
      <c r="BC2626">
        <v>0</v>
      </c>
      <c r="BD2626">
        <v>0</v>
      </c>
      <c r="BE2626">
        <v>0</v>
      </c>
    </row>
    <row r="2627" spans="1:57" x14ac:dyDescent="0.45">
      <c r="A2627" t="s">
        <v>6277</v>
      </c>
      <c r="B2627" t="s">
        <v>79</v>
      </c>
      <c r="C2627" t="s">
        <v>6272</v>
      </c>
      <c r="D2627" t="s">
        <v>81</v>
      </c>
      <c r="E2627" s="2" t="str">
        <f>HYPERLINK("capsilon://?command=openfolder&amp;siteaddress=FAM.docvelocity-na8.net&amp;folderid=FX0A9488D5-C639-305B-6CEA-B67BA6E5A64F","FX20123318")</f>
        <v>FX20123318</v>
      </c>
      <c r="F2627" t="s">
        <v>19</v>
      </c>
      <c r="G2627" t="s">
        <v>19</v>
      </c>
      <c r="H2627" t="s">
        <v>82</v>
      </c>
      <c r="I2627" t="s">
        <v>6273</v>
      </c>
      <c r="J2627">
        <v>38</v>
      </c>
      <c r="K2627" t="s">
        <v>84</v>
      </c>
      <c r="L2627" t="s">
        <v>85</v>
      </c>
      <c r="M2627" t="s">
        <v>86</v>
      </c>
      <c r="N2627">
        <v>3</v>
      </c>
      <c r="O2627" s="1">
        <v>44222.364988425928</v>
      </c>
      <c r="P2627" s="1">
        <v>44222.390497685185</v>
      </c>
      <c r="Q2627">
        <v>769</v>
      </c>
      <c r="R2627">
        <v>1435</v>
      </c>
      <c r="S2627" t="b">
        <v>0</v>
      </c>
      <c r="T2627" t="s">
        <v>87</v>
      </c>
      <c r="U2627" t="b">
        <v>1</v>
      </c>
      <c r="V2627" t="s">
        <v>919</v>
      </c>
      <c r="W2627" s="1">
        <v>44222.375532407408</v>
      </c>
      <c r="X2627">
        <v>899</v>
      </c>
      <c r="Y2627">
        <v>37</v>
      </c>
      <c r="Z2627">
        <v>0</v>
      </c>
      <c r="AA2627">
        <v>37</v>
      </c>
      <c r="AB2627">
        <v>0</v>
      </c>
      <c r="AC2627">
        <v>27</v>
      </c>
      <c r="AD2627">
        <v>1</v>
      </c>
      <c r="AE2627">
        <v>0</v>
      </c>
      <c r="AF2627">
        <v>0</v>
      </c>
      <c r="AG2627">
        <v>0</v>
      </c>
      <c r="AH2627" t="s">
        <v>89</v>
      </c>
      <c r="AI2627" s="1">
        <v>44222.383981481478</v>
      </c>
      <c r="AJ2627">
        <v>500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</v>
      </c>
      <c r="AQ2627">
        <v>0</v>
      </c>
      <c r="AR2627">
        <v>0</v>
      </c>
      <c r="AS2627">
        <v>0</v>
      </c>
      <c r="AT2627" t="s">
        <v>90</v>
      </c>
      <c r="AU2627" s="1">
        <v>44222.390497685185</v>
      </c>
      <c r="AV2627">
        <v>36</v>
      </c>
      <c r="AW2627">
        <v>0</v>
      </c>
      <c r="AX2627">
        <v>0</v>
      </c>
      <c r="AY2627">
        <v>0</v>
      </c>
      <c r="AZ2627">
        <v>37</v>
      </c>
      <c r="BA2627">
        <v>0</v>
      </c>
      <c r="BB2627">
        <v>1</v>
      </c>
      <c r="BC2627">
        <v>0</v>
      </c>
      <c r="BD2627">
        <v>0</v>
      </c>
      <c r="BE2627">
        <v>0</v>
      </c>
    </row>
    <row r="2628" spans="1:57" x14ac:dyDescent="0.45">
      <c r="A2628" t="s">
        <v>6278</v>
      </c>
      <c r="B2628" t="s">
        <v>79</v>
      </c>
      <c r="C2628" t="s">
        <v>6279</v>
      </c>
      <c r="D2628" t="s">
        <v>81</v>
      </c>
      <c r="E2628" s="2" t="str">
        <f>HYPERLINK("capsilon://?command=openfolder&amp;siteaddress=FAM.docvelocity-na8.net&amp;folderid=FX929DB9D9-CBFB-F287-31E3-B699C22DD42C","FX20123129")</f>
        <v>FX20123129</v>
      </c>
      <c r="F2628" t="s">
        <v>19</v>
      </c>
      <c r="G2628" t="s">
        <v>19</v>
      </c>
      <c r="H2628" t="s">
        <v>82</v>
      </c>
      <c r="I2628" t="s">
        <v>6280</v>
      </c>
      <c r="J2628">
        <v>87</v>
      </c>
      <c r="K2628" t="s">
        <v>84</v>
      </c>
      <c r="L2628" t="s">
        <v>85</v>
      </c>
      <c r="M2628" t="s">
        <v>86</v>
      </c>
      <c r="N2628">
        <v>3</v>
      </c>
      <c r="O2628" s="1">
        <v>44222.366261574076</v>
      </c>
      <c r="P2628" s="1">
        <v>44222.469236111108</v>
      </c>
      <c r="Q2628">
        <v>2905</v>
      </c>
      <c r="R2628">
        <v>5992</v>
      </c>
      <c r="S2628" t="b">
        <v>0</v>
      </c>
      <c r="T2628" t="s">
        <v>87</v>
      </c>
      <c r="U2628" t="b">
        <v>0</v>
      </c>
      <c r="V2628" t="s">
        <v>112</v>
      </c>
      <c r="W2628" s="1">
        <v>44222.418553240743</v>
      </c>
      <c r="X2628">
        <v>4348</v>
      </c>
      <c r="Y2628">
        <v>116</v>
      </c>
      <c r="Z2628">
        <v>0</v>
      </c>
      <c r="AA2628">
        <v>116</v>
      </c>
      <c r="AB2628">
        <v>0</v>
      </c>
      <c r="AC2628">
        <v>108</v>
      </c>
      <c r="AD2628">
        <v>-29</v>
      </c>
      <c r="AE2628">
        <v>0</v>
      </c>
      <c r="AF2628">
        <v>0</v>
      </c>
      <c r="AG2628">
        <v>0</v>
      </c>
      <c r="AH2628" t="s">
        <v>89</v>
      </c>
      <c r="AI2628" s="1">
        <v>44222.439884259256</v>
      </c>
      <c r="AJ2628">
        <v>1605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-29</v>
      </c>
      <c r="AQ2628">
        <v>0</v>
      </c>
      <c r="AR2628">
        <v>0</v>
      </c>
      <c r="AS2628">
        <v>0</v>
      </c>
      <c r="AT2628" t="s">
        <v>90</v>
      </c>
      <c r="AU2628" s="1">
        <v>44222.469236111108</v>
      </c>
      <c r="AV2628">
        <v>39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-29</v>
      </c>
      <c r="BC2628">
        <v>0</v>
      </c>
      <c r="BD2628">
        <v>0</v>
      </c>
      <c r="BE2628">
        <v>0</v>
      </c>
    </row>
    <row r="2629" spans="1:57" x14ac:dyDescent="0.45">
      <c r="A2629" t="s">
        <v>6281</v>
      </c>
      <c r="B2629" t="s">
        <v>79</v>
      </c>
      <c r="C2629" t="s">
        <v>4644</v>
      </c>
      <c r="D2629" t="s">
        <v>81</v>
      </c>
      <c r="E2629" s="2" t="str">
        <f>HYPERLINK("capsilon://?command=openfolder&amp;siteaddress=FAM.docvelocity-na8.net&amp;folderid=FX88049457-C49E-7550-7543-6472E6EBC03E","FX201223694")</f>
        <v>FX201223694</v>
      </c>
      <c r="F2629" t="s">
        <v>19</v>
      </c>
      <c r="G2629" t="s">
        <v>19</v>
      </c>
      <c r="H2629" t="s">
        <v>82</v>
      </c>
      <c r="I2629" t="s">
        <v>6282</v>
      </c>
      <c r="J2629">
        <v>43</v>
      </c>
      <c r="K2629" t="s">
        <v>84</v>
      </c>
      <c r="L2629" t="s">
        <v>85</v>
      </c>
      <c r="M2629" t="s">
        <v>86</v>
      </c>
      <c r="N2629">
        <v>3</v>
      </c>
      <c r="O2629" s="1">
        <v>44222.368622685186</v>
      </c>
      <c r="P2629" s="1">
        <v>44222.40216435185</v>
      </c>
      <c r="Q2629">
        <v>1805</v>
      </c>
      <c r="R2629">
        <v>1093</v>
      </c>
      <c r="S2629" t="b">
        <v>0</v>
      </c>
      <c r="T2629" t="s">
        <v>87</v>
      </c>
      <c r="U2629" t="b">
        <v>0</v>
      </c>
      <c r="V2629" t="s">
        <v>105</v>
      </c>
      <c r="W2629" s="1">
        <v>44222.378530092596</v>
      </c>
      <c r="X2629">
        <v>833</v>
      </c>
      <c r="Y2629">
        <v>39</v>
      </c>
      <c r="Z2629">
        <v>0</v>
      </c>
      <c r="AA2629">
        <v>39</v>
      </c>
      <c r="AB2629">
        <v>0</v>
      </c>
      <c r="AC2629">
        <v>30</v>
      </c>
      <c r="AD2629">
        <v>4</v>
      </c>
      <c r="AE2629">
        <v>0</v>
      </c>
      <c r="AF2629">
        <v>0</v>
      </c>
      <c r="AG2629">
        <v>0</v>
      </c>
      <c r="AH2629" t="s">
        <v>108</v>
      </c>
      <c r="AI2629" s="1">
        <v>44222.400567129633</v>
      </c>
      <c r="AJ2629">
        <v>241</v>
      </c>
      <c r="AK2629">
        <v>1</v>
      </c>
      <c r="AL2629">
        <v>0</v>
      </c>
      <c r="AM2629">
        <v>1</v>
      </c>
      <c r="AN2629">
        <v>0</v>
      </c>
      <c r="AO2629">
        <v>0</v>
      </c>
      <c r="AP2629">
        <v>3</v>
      </c>
      <c r="AQ2629">
        <v>0</v>
      </c>
      <c r="AR2629">
        <v>0</v>
      </c>
      <c r="AS2629">
        <v>0</v>
      </c>
      <c r="AT2629" t="s">
        <v>90</v>
      </c>
      <c r="AU2629" s="1">
        <v>44222.40216435185</v>
      </c>
      <c r="AV2629">
        <v>19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3</v>
      </c>
      <c r="BC2629">
        <v>0</v>
      </c>
      <c r="BD2629">
        <v>0</v>
      </c>
      <c r="BE2629">
        <v>0</v>
      </c>
    </row>
    <row r="2630" spans="1:57" hidden="1" x14ac:dyDescent="0.45">
      <c r="A2630" t="s">
        <v>6283</v>
      </c>
      <c r="B2630" t="s">
        <v>79</v>
      </c>
      <c r="C2630" t="s">
        <v>6284</v>
      </c>
      <c r="D2630" t="s">
        <v>81</v>
      </c>
      <c r="E2630" s="2" t="str">
        <f>HYPERLINK("capsilon://?command=openfolder&amp;siteaddress=FAM.docvelocity-na8.net&amp;folderid=FX388E267D-3D80-0EC6-C7B9-22F97167B045","FX20126594")</f>
        <v>FX20126594</v>
      </c>
      <c r="F2630" t="s">
        <v>19</v>
      </c>
      <c r="G2630" t="s">
        <v>19</v>
      </c>
      <c r="H2630" t="s">
        <v>82</v>
      </c>
      <c r="I2630" t="s">
        <v>6285</v>
      </c>
      <c r="J2630">
        <v>66</v>
      </c>
      <c r="K2630" t="s">
        <v>84</v>
      </c>
      <c r="L2630" t="s">
        <v>85</v>
      </c>
      <c r="M2630" t="s">
        <v>86</v>
      </c>
      <c r="N2630">
        <v>1</v>
      </c>
      <c r="O2630" s="1">
        <v>44222.370046296295</v>
      </c>
      <c r="P2630" s="1">
        <v>44222.372129629628</v>
      </c>
      <c r="Q2630">
        <v>23</v>
      </c>
      <c r="R2630">
        <v>157</v>
      </c>
      <c r="S2630" t="b">
        <v>0</v>
      </c>
      <c r="T2630" t="s">
        <v>87</v>
      </c>
      <c r="U2630" t="b">
        <v>0</v>
      </c>
      <c r="V2630" t="s">
        <v>98</v>
      </c>
      <c r="W2630" s="1">
        <v>44222.372129629628</v>
      </c>
      <c r="X2630">
        <v>157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66</v>
      </c>
      <c r="AE2630">
        <v>52</v>
      </c>
      <c r="AF2630">
        <v>0</v>
      </c>
      <c r="AG2630">
        <v>1</v>
      </c>
      <c r="AH2630" t="s">
        <v>87</v>
      </c>
      <c r="AI2630" t="s">
        <v>87</v>
      </c>
      <c r="AJ2630" t="s">
        <v>87</v>
      </c>
      <c r="AK2630" t="s">
        <v>87</v>
      </c>
      <c r="AL2630" t="s">
        <v>87</v>
      </c>
      <c r="AM2630" t="s">
        <v>87</v>
      </c>
      <c r="AN2630" t="s">
        <v>87</v>
      </c>
      <c r="AO2630" t="s">
        <v>87</v>
      </c>
      <c r="AP2630" t="s">
        <v>87</v>
      </c>
      <c r="AQ2630" t="s">
        <v>87</v>
      </c>
      <c r="AR2630" t="s">
        <v>87</v>
      </c>
      <c r="AS2630" t="s">
        <v>87</v>
      </c>
      <c r="AT2630" t="s">
        <v>87</v>
      </c>
      <c r="AU2630" t="s">
        <v>87</v>
      </c>
      <c r="AV2630" t="s">
        <v>87</v>
      </c>
      <c r="AW2630" t="s">
        <v>87</v>
      </c>
      <c r="AX2630" t="s">
        <v>87</v>
      </c>
      <c r="AY2630" t="s">
        <v>87</v>
      </c>
      <c r="AZ2630" t="s">
        <v>87</v>
      </c>
      <c r="BA2630" t="s">
        <v>87</v>
      </c>
      <c r="BB2630" t="s">
        <v>87</v>
      </c>
      <c r="BC2630" t="s">
        <v>87</v>
      </c>
      <c r="BD2630" t="s">
        <v>87</v>
      </c>
      <c r="BE2630" t="s">
        <v>87</v>
      </c>
    </row>
    <row r="2631" spans="1:57" x14ac:dyDescent="0.45">
      <c r="A2631" t="s">
        <v>6286</v>
      </c>
      <c r="B2631" t="s">
        <v>79</v>
      </c>
      <c r="C2631" t="s">
        <v>6284</v>
      </c>
      <c r="D2631" t="s">
        <v>81</v>
      </c>
      <c r="E2631" s="2" t="str">
        <f>HYPERLINK("capsilon://?command=openfolder&amp;siteaddress=FAM.docvelocity-na8.net&amp;folderid=FX388E267D-3D80-0EC6-C7B9-22F97167B045","FX20126594")</f>
        <v>FX20126594</v>
      </c>
      <c r="F2631" t="s">
        <v>19</v>
      </c>
      <c r="G2631" t="s">
        <v>19</v>
      </c>
      <c r="H2631" t="s">
        <v>82</v>
      </c>
      <c r="I2631" t="s">
        <v>6285</v>
      </c>
      <c r="J2631">
        <v>38</v>
      </c>
      <c r="K2631" t="s">
        <v>84</v>
      </c>
      <c r="L2631" t="s">
        <v>85</v>
      </c>
      <c r="M2631" t="s">
        <v>86</v>
      </c>
      <c r="N2631">
        <v>3</v>
      </c>
      <c r="O2631" s="1">
        <v>44222.37232638889</v>
      </c>
      <c r="P2631" s="1">
        <v>44222.400312500002</v>
      </c>
      <c r="Q2631">
        <v>772</v>
      </c>
      <c r="R2631">
        <v>1646</v>
      </c>
      <c r="S2631" t="b">
        <v>0</v>
      </c>
      <c r="T2631" t="s">
        <v>87</v>
      </c>
      <c r="U2631" t="b">
        <v>1</v>
      </c>
      <c r="V2631" t="s">
        <v>98</v>
      </c>
      <c r="W2631" s="1">
        <v>44222.380879629629</v>
      </c>
      <c r="X2631">
        <v>737</v>
      </c>
      <c r="Y2631">
        <v>37</v>
      </c>
      <c r="Z2631">
        <v>0</v>
      </c>
      <c r="AA2631">
        <v>37</v>
      </c>
      <c r="AB2631">
        <v>0</v>
      </c>
      <c r="AC2631">
        <v>28</v>
      </c>
      <c r="AD2631">
        <v>1</v>
      </c>
      <c r="AE2631">
        <v>0</v>
      </c>
      <c r="AF2631">
        <v>0</v>
      </c>
      <c r="AG2631">
        <v>0</v>
      </c>
      <c r="AH2631" t="s">
        <v>108</v>
      </c>
      <c r="AI2631" s="1">
        <v>44222.39130787037</v>
      </c>
      <c r="AJ2631">
        <v>898</v>
      </c>
      <c r="AK2631">
        <v>2</v>
      </c>
      <c r="AL2631">
        <v>0</v>
      </c>
      <c r="AM2631">
        <v>2</v>
      </c>
      <c r="AN2631">
        <v>0</v>
      </c>
      <c r="AO2631">
        <v>0</v>
      </c>
      <c r="AP2631">
        <v>-1</v>
      </c>
      <c r="AQ2631">
        <v>0</v>
      </c>
      <c r="AR2631">
        <v>0</v>
      </c>
      <c r="AS2631">
        <v>0</v>
      </c>
      <c r="AT2631" t="s">
        <v>90</v>
      </c>
      <c r="AU2631" s="1">
        <v>44222.400312500002</v>
      </c>
      <c r="AV2631">
        <v>11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-1</v>
      </c>
      <c r="BC2631">
        <v>0</v>
      </c>
      <c r="BD2631">
        <v>0</v>
      </c>
      <c r="BE2631">
        <v>0</v>
      </c>
    </row>
    <row r="2632" spans="1:57" x14ac:dyDescent="0.45">
      <c r="A2632" t="s">
        <v>6287</v>
      </c>
      <c r="B2632" t="s">
        <v>79</v>
      </c>
      <c r="C2632" t="s">
        <v>6288</v>
      </c>
      <c r="D2632" t="s">
        <v>81</v>
      </c>
      <c r="E2632" s="2" t="str">
        <f>HYPERLINK("capsilon://?command=openfolder&amp;siteaddress=FAM.docvelocity-na8.net&amp;folderid=FXB07512FC-5639-923A-8AE6-D70826EDE2E1","FX210114297")</f>
        <v>FX210114297</v>
      </c>
      <c r="F2632" t="s">
        <v>19</v>
      </c>
      <c r="G2632" t="s">
        <v>19</v>
      </c>
      <c r="H2632" t="s">
        <v>82</v>
      </c>
      <c r="I2632" t="s">
        <v>6289</v>
      </c>
      <c r="J2632">
        <v>76</v>
      </c>
      <c r="K2632" t="s">
        <v>84</v>
      </c>
      <c r="L2632" t="s">
        <v>85</v>
      </c>
      <c r="M2632" t="s">
        <v>86</v>
      </c>
      <c r="N2632">
        <v>3</v>
      </c>
      <c r="O2632" s="1">
        <v>44222.373032407406</v>
      </c>
      <c r="P2632" s="1">
        <v>44222.434606481482</v>
      </c>
      <c r="Q2632">
        <v>3721</v>
      </c>
      <c r="R2632">
        <v>1599</v>
      </c>
      <c r="S2632" t="b">
        <v>0</v>
      </c>
      <c r="T2632" t="s">
        <v>87</v>
      </c>
      <c r="U2632" t="b">
        <v>0</v>
      </c>
      <c r="V2632" t="s">
        <v>919</v>
      </c>
      <c r="W2632" s="1">
        <v>44222.386469907404</v>
      </c>
      <c r="X2632">
        <v>944</v>
      </c>
      <c r="Y2632">
        <v>74</v>
      </c>
      <c r="Z2632">
        <v>0</v>
      </c>
      <c r="AA2632">
        <v>74</v>
      </c>
      <c r="AB2632">
        <v>0</v>
      </c>
      <c r="AC2632">
        <v>17</v>
      </c>
      <c r="AD2632">
        <v>2</v>
      </c>
      <c r="AE2632">
        <v>0</v>
      </c>
      <c r="AF2632">
        <v>0</v>
      </c>
      <c r="AG2632">
        <v>0</v>
      </c>
      <c r="AH2632" t="s">
        <v>94</v>
      </c>
      <c r="AI2632" s="1">
        <v>44222.405127314814</v>
      </c>
      <c r="AJ2632">
        <v>632</v>
      </c>
      <c r="AK2632">
        <v>1</v>
      </c>
      <c r="AL2632">
        <v>0</v>
      </c>
      <c r="AM2632">
        <v>1</v>
      </c>
      <c r="AN2632">
        <v>0</v>
      </c>
      <c r="AO2632">
        <v>1</v>
      </c>
      <c r="AP2632">
        <v>1</v>
      </c>
      <c r="AQ2632">
        <v>0</v>
      </c>
      <c r="AR2632">
        <v>0</v>
      </c>
      <c r="AS2632">
        <v>0</v>
      </c>
      <c r="AT2632" t="s">
        <v>90</v>
      </c>
      <c r="AU2632" s="1">
        <v>44222.434606481482</v>
      </c>
      <c r="AV2632">
        <v>23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</row>
    <row r="2633" spans="1:57" x14ac:dyDescent="0.45">
      <c r="A2633" t="s">
        <v>6290</v>
      </c>
      <c r="B2633" t="s">
        <v>79</v>
      </c>
      <c r="C2633" t="s">
        <v>6291</v>
      </c>
      <c r="D2633" t="s">
        <v>81</v>
      </c>
      <c r="E2633" s="2" t="str">
        <f>HYPERLINK("capsilon://?command=openfolder&amp;siteaddress=FAM.docvelocity-na8.net&amp;folderid=FX9F272689-80FE-10C3-4BD9-5B244775B608","FX201221340")</f>
        <v>FX201221340</v>
      </c>
      <c r="F2633" t="s">
        <v>19</v>
      </c>
      <c r="G2633" t="s">
        <v>19</v>
      </c>
      <c r="H2633" t="s">
        <v>82</v>
      </c>
      <c r="I2633" t="s">
        <v>6292</v>
      </c>
      <c r="J2633">
        <v>145</v>
      </c>
      <c r="K2633" t="s">
        <v>84</v>
      </c>
      <c r="L2633" t="s">
        <v>85</v>
      </c>
      <c r="M2633" t="s">
        <v>86</v>
      </c>
      <c r="N2633">
        <v>3</v>
      </c>
      <c r="O2633" s="1">
        <v>44222.387858796297</v>
      </c>
      <c r="P2633" s="1">
        <v>44222.478043981479</v>
      </c>
      <c r="Q2633">
        <v>3887</v>
      </c>
      <c r="R2633">
        <v>3905</v>
      </c>
      <c r="S2633" t="b">
        <v>0</v>
      </c>
      <c r="T2633" t="s">
        <v>87</v>
      </c>
      <c r="U2633" t="b">
        <v>0</v>
      </c>
      <c r="V2633" t="s">
        <v>88</v>
      </c>
      <c r="W2633" s="1">
        <v>44222.459791666668</v>
      </c>
      <c r="X2633">
        <v>2471</v>
      </c>
      <c r="Y2633">
        <v>155</v>
      </c>
      <c r="Z2633">
        <v>0</v>
      </c>
      <c r="AA2633">
        <v>155</v>
      </c>
      <c r="AB2633">
        <v>0</v>
      </c>
      <c r="AC2633">
        <v>120</v>
      </c>
      <c r="AD2633">
        <v>-10</v>
      </c>
      <c r="AE2633">
        <v>0</v>
      </c>
      <c r="AF2633">
        <v>0</v>
      </c>
      <c r="AG2633">
        <v>0</v>
      </c>
      <c r="AH2633" t="s">
        <v>89</v>
      </c>
      <c r="AI2633" s="1">
        <v>44222.477372685185</v>
      </c>
      <c r="AJ2633">
        <v>1246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-10</v>
      </c>
      <c r="AQ2633">
        <v>0</v>
      </c>
      <c r="AR2633">
        <v>0</v>
      </c>
      <c r="AS2633">
        <v>0</v>
      </c>
      <c r="AT2633" t="s">
        <v>90</v>
      </c>
      <c r="AU2633" s="1">
        <v>44222.478043981479</v>
      </c>
      <c r="AV2633">
        <v>53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-10</v>
      </c>
      <c r="BC2633">
        <v>0</v>
      </c>
      <c r="BD2633">
        <v>0</v>
      </c>
      <c r="BE2633">
        <v>0</v>
      </c>
    </row>
    <row r="2634" spans="1:57" x14ac:dyDescent="0.45">
      <c r="A2634" t="s">
        <v>6293</v>
      </c>
      <c r="B2634" t="s">
        <v>79</v>
      </c>
      <c r="C2634" t="s">
        <v>4233</v>
      </c>
      <c r="D2634" t="s">
        <v>81</v>
      </c>
      <c r="E2634" s="2" t="str">
        <f>HYPERLINK("capsilon://?command=openfolder&amp;siteaddress=FAM.docvelocity-na8.net&amp;folderid=FXE3D2F105-B3C8-5E12-3148-AE51AF641A1B","FX20126172")</f>
        <v>FX20126172</v>
      </c>
      <c r="F2634" t="s">
        <v>19</v>
      </c>
      <c r="G2634" t="s">
        <v>19</v>
      </c>
      <c r="H2634" t="s">
        <v>82</v>
      </c>
      <c r="I2634" t="s">
        <v>6294</v>
      </c>
      <c r="J2634">
        <v>67</v>
      </c>
      <c r="K2634" t="s">
        <v>84</v>
      </c>
      <c r="L2634" t="s">
        <v>85</v>
      </c>
      <c r="M2634" t="s">
        <v>86</v>
      </c>
      <c r="N2634">
        <v>3</v>
      </c>
      <c r="O2634" s="1">
        <v>44222.394780092596</v>
      </c>
      <c r="P2634" s="1">
        <v>44222.435069444444</v>
      </c>
      <c r="Q2634">
        <v>2532</v>
      </c>
      <c r="R2634">
        <v>949</v>
      </c>
      <c r="S2634" t="b">
        <v>0</v>
      </c>
      <c r="T2634" t="s">
        <v>87</v>
      </c>
      <c r="U2634" t="b">
        <v>0</v>
      </c>
      <c r="V2634" t="s">
        <v>105</v>
      </c>
      <c r="W2634" s="1">
        <v>44222.39875</v>
      </c>
      <c r="X2634">
        <v>342</v>
      </c>
      <c r="Y2634">
        <v>36</v>
      </c>
      <c r="Z2634">
        <v>0</v>
      </c>
      <c r="AA2634">
        <v>36</v>
      </c>
      <c r="AB2634">
        <v>0</v>
      </c>
      <c r="AC2634">
        <v>8</v>
      </c>
      <c r="AD2634">
        <v>31</v>
      </c>
      <c r="AE2634">
        <v>0</v>
      </c>
      <c r="AF2634">
        <v>0</v>
      </c>
      <c r="AG2634">
        <v>0</v>
      </c>
      <c r="AH2634" t="s">
        <v>108</v>
      </c>
      <c r="AI2634" s="1">
        <v>44222.407152777778</v>
      </c>
      <c r="AJ2634">
        <v>568</v>
      </c>
      <c r="AK2634">
        <v>1</v>
      </c>
      <c r="AL2634">
        <v>0</v>
      </c>
      <c r="AM2634">
        <v>1</v>
      </c>
      <c r="AN2634">
        <v>0</v>
      </c>
      <c r="AO2634">
        <v>0</v>
      </c>
      <c r="AP2634">
        <v>30</v>
      </c>
      <c r="AQ2634">
        <v>0</v>
      </c>
      <c r="AR2634">
        <v>0</v>
      </c>
      <c r="AS2634">
        <v>0</v>
      </c>
      <c r="AT2634" t="s">
        <v>90</v>
      </c>
      <c r="AU2634" s="1">
        <v>44222.435069444444</v>
      </c>
      <c r="AV2634">
        <v>39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30</v>
      </c>
      <c r="BC2634">
        <v>0</v>
      </c>
      <c r="BD2634">
        <v>0</v>
      </c>
      <c r="BE2634">
        <v>0</v>
      </c>
    </row>
    <row r="2635" spans="1:57" x14ac:dyDescent="0.45">
      <c r="A2635" t="s">
        <v>6295</v>
      </c>
      <c r="B2635" t="s">
        <v>79</v>
      </c>
      <c r="C2635" t="s">
        <v>4233</v>
      </c>
      <c r="D2635" t="s">
        <v>81</v>
      </c>
      <c r="E2635" s="2" t="str">
        <f>HYPERLINK("capsilon://?command=openfolder&amp;siteaddress=FAM.docvelocity-na8.net&amp;folderid=FXE3D2F105-B3C8-5E12-3148-AE51AF641A1B","FX20126172")</f>
        <v>FX20126172</v>
      </c>
      <c r="F2635" t="s">
        <v>19</v>
      </c>
      <c r="G2635" t="s">
        <v>19</v>
      </c>
      <c r="H2635" t="s">
        <v>82</v>
      </c>
      <c r="I2635" t="s">
        <v>6296</v>
      </c>
      <c r="J2635">
        <v>80</v>
      </c>
      <c r="K2635" t="s">
        <v>84</v>
      </c>
      <c r="L2635" t="s">
        <v>85</v>
      </c>
      <c r="M2635" t="s">
        <v>86</v>
      </c>
      <c r="N2635">
        <v>3</v>
      </c>
      <c r="O2635" s="1">
        <v>44222.394930555558</v>
      </c>
      <c r="P2635" s="1">
        <v>44222.435115740744</v>
      </c>
      <c r="Q2635">
        <v>1871</v>
      </c>
      <c r="R2635">
        <v>1601</v>
      </c>
      <c r="S2635" t="b">
        <v>0</v>
      </c>
      <c r="T2635" t="s">
        <v>87</v>
      </c>
      <c r="U2635" t="b">
        <v>0</v>
      </c>
      <c r="V2635" t="s">
        <v>98</v>
      </c>
      <c r="W2635" s="1">
        <v>44222.400520833333</v>
      </c>
      <c r="X2635">
        <v>429</v>
      </c>
      <c r="Y2635">
        <v>61</v>
      </c>
      <c r="Z2635">
        <v>0</v>
      </c>
      <c r="AA2635">
        <v>61</v>
      </c>
      <c r="AB2635">
        <v>0</v>
      </c>
      <c r="AC2635">
        <v>14</v>
      </c>
      <c r="AD2635">
        <v>19</v>
      </c>
      <c r="AE2635">
        <v>0</v>
      </c>
      <c r="AF2635">
        <v>0</v>
      </c>
      <c r="AG2635">
        <v>0</v>
      </c>
      <c r="AH2635" t="s">
        <v>89</v>
      </c>
      <c r="AI2635" s="1">
        <v>44222.416365740741</v>
      </c>
      <c r="AJ2635">
        <v>1168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19</v>
      </c>
      <c r="AQ2635">
        <v>0</v>
      </c>
      <c r="AR2635">
        <v>0</v>
      </c>
      <c r="AS2635">
        <v>0</v>
      </c>
      <c r="AT2635" t="s">
        <v>90</v>
      </c>
      <c r="AU2635" s="1">
        <v>44222.435115740744</v>
      </c>
      <c r="AV2635">
        <v>4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19</v>
      </c>
      <c r="BC2635">
        <v>0</v>
      </c>
      <c r="BD2635">
        <v>0</v>
      </c>
      <c r="BE2635">
        <v>0</v>
      </c>
    </row>
    <row r="2636" spans="1:57" x14ac:dyDescent="0.45">
      <c r="A2636" t="s">
        <v>6297</v>
      </c>
      <c r="B2636" t="s">
        <v>79</v>
      </c>
      <c r="C2636" t="s">
        <v>4233</v>
      </c>
      <c r="D2636" t="s">
        <v>81</v>
      </c>
      <c r="E2636" s="2" t="str">
        <f>HYPERLINK("capsilon://?command=openfolder&amp;siteaddress=FAM.docvelocity-na8.net&amp;folderid=FXE3D2F105-B3C8-5E12-3148-AE51AF641A1B","FX20126172")</f>
        <v>FX20126172</v>
      </c>
      <c r="F2636" t="s">
        <v>19</v>
      </c>
      <c r="G2636" t="s">
        <v>19</v>
      </c>
      <c r="H2636" t="s">
        <v>82</v>
      </c>
      <c r="I2636" t="s">
        <v>6298</v>
      </c>
      <c r="J2636">
        <v>80</v>
      </c>
      <c r="K2636" t="s">
        <v>84</v>
      </c>
      <c r="L2636" t="s">
        <v>85</v>
      </c>
      <c r="M2636" t="s">
        <v>86</v>
      </c>
      <c r="N2636">
        <v>3</v>
      </c>
      <c r="O2636" s="1">
        <v>44222.395798611113</v>
      </c>
      <c r="P2636" s="1">
        <v>44222.435254629629</v>
      </c>
      <c r="Q2636">
        <v>2297</v>
      </c>
      <c r="R2636">
        <v>1112</v>
      </c>
      <c r="S2636" t="b">
        <v>0</v>
      </c>
      <c r="T2636" t="s">
        <v>87</v>
      </c>
      <c r="U2636" t="b">
        <v>0</v>
      </c>
      <c r="V2636" t="s">
        <v>88</v>
      </c>
      <c r="W2636" s="1">
        <v>44222.403298611112</v>
      </c>
      <c r="X2636">
        <v>582</v>
      </c>
      <c r="Y2636">
        <v>61</v>
      </c>
      <c r="Z2636">
        <v>0</v>
      </c>
      <c r="AA2636">
        <v>61</v>
      </c>
      <c r="AB2636">
        <v>0</v>
      </c>
      <c r="AC2636">
        <v>22</v>
      </c>
      <c r="AD2636">
        <v>19</v>
      </c>
      <c r="AE2636">
        <v>0</v>
      </c>
      <c r="AF2636">
        <v>0</v>
      </c>
      <c r="AG2636">
        <v>0</v>
      </c>
      <c r="AH2636" t="s">
        <v>108</v>
      </c>
      <c r="AI2636" s="1">
        <v>44222.413078703707</v>
      </c>
      <c r="AJ2636">
        <v>511</v>
      </c>
      <c r="AK2636">
        <v>1</v>
      </c>
      <c r="AL2636">
        <v>0</v>
      </c>
      <c r="AM2636">
        <v>1</v>
      </c>
      <c r="AN2636">
        <v>0</v>
      </c>
      <c r="AO2636">
        <v>0</v>
      </c>
      <c r="AP2636">
        <v>18</v>
      </c>
      <c r="AQ2636">
        <v>0</v>
      </c>
      <c r="AR2636">
        <v>0</v>
      </c>
      <c r="AS2636">
        <v>0</v>
      </c>
      <c r="AT2636" t="s">
        <v>90</v>
      </c>
      <c r="AU2636" s="1">
        <v>44222.435254629629</v>
      </c>
      <c r="AV2636">
        <v>11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18</v>
      </c>
      <c r="BC2636">
        <v>0</v>
      </c>
      <c r="BD2636">
        <v>0</v>
      </c>
      <c r="BE2636">
        <v>0</v>
      </c>
    </row>
    <row r="2637" spans="1:57" x14ac:dyDescent="0.45">
      <c r="A2637" t="s">
        <v>6299</v>
      </c>
      <c r="B2637" t="s">
        <v>79</v>
      </c>
      <c r="C2637" t="s">
        <v>6300</v>
      </c>
      <c r="D2637" t="s">
        <v>81</v>
      </c>
      <c r="E2637" s="2" t="str">
        <f>HYPERLINK("capsilon://?command=openfolder&amp;siteaddress=FAM.docvelocity-na8.net&amp;folderid=FXB47C4010-6283-7E33-2659-15137EA0D98D","FX201223716")</f>
        <v>FX201223716</v>
      </c>
      <c r="F2637" t="s">
        <v>19</v>
      </c>
      <c r="G2637" t="s">
        <v>19</v>
      </c>
      <c r="H2637" t="s">
        <v>82</v>
      </c>
      <c r="I2637" t="s">
        <v>6301</v>
      </c>
      <c r="J2637">
        <v>47</v>
      </c>
      <c r="K2637" t="s">
        <v>84</v>
      </c>
      <c r="L2637" t="s">
        <v>85</v>
      </c>
      <c r="M2637" t="s">
        <v>86</v>
      </c>
      <c r="N2637">
        <v>3</v>
      </c>
      <c r="O2637" s="1">
        <v>44222.403657407405</v>
      </c>
      <c r="P2637" s="1">
        <v>44222.435497685183</v>
      </c>
      <c r="Q2637">
        <v>2020</v>
      </c>
      <c r="R2637">
        <v>731</v>
      </c>
      <c r="S2637" t="b">
        <v>0</v>
      </c>
      <c r="T2637" t="s">
        <v>87</v>
      </c>
      <c r="U2637" t="b">
        <v>0</v>
      </c>
      <c r="V2637" t="s">
        <v>98</v>
      </c>
      <c r="W2637" s="1">
        <v>44222.409756944442</v>
      </c>
      <c r="X2637">
        <v>488</v>
      </c>
      <c r="Y2637">
        <v>43</v>
      </c>
      <c r="Z2637">
        <v>0</v>
      </c>
      <c r="AA2637">
        <v>43</v>
      </c>
      <c r="AB2637">
        <v>0</v>
      </c>
      <c r="AC2637">
        <v>22</v>
      </c>
      <c r="AD2637">
        <v>4</v>
      </c>
      <c r="AE2637">
        <v>0</v>
      </c>
      <c r="AF2637">
        <v>0</v>
      </c>
      <c r="AG2637">
        <v>0</v>
      </c>
      <c r="AH2637" t="s">
        <v>108</v>
      </c>
      <c r="AI2637" s="1">
        <v>44222.415671296294</v>
      </c>
      <c r="AJ2637">
        <v>223</v>
      </c>
      <c r="AK2637">
        <v>1</v>
      </c>
      <c r="AL2637">
        <v>0</v>
      </c>
      <c r="AM2637">
        <v>1</v>
      </c>
      <c r="AN2637">
        <v>0</v>
      </c>
      <c r="AO2637">
        <v>0</v>
      </c>
      <c r="AP2637">
        <v>3</v>
      </c>
      <c r="AQ2637">
        <v>0</v>
      </c>
      <c r="AR2637">
        <v>0</v>
      </c>
      <c r="AS2637">
        <v>0</v>
      </c>
      <c r="AT2637" t="s">
        <v>90</v>
      </c>
      <c r="AU2637" s="1">
        <v>44222.435497685183</v>
      </c>
      <c r="AV2637">
        <v>20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3</v>
      </c>
      <c r="BC2637">
        <v>0</v>
      </c>
      <c r="BD2637">
        <v>0</v>
      </c>
      <c r="BE2637">
        <v>0</v>
      </c>
    </row>
    <row r="2638" spans="1:57" hidden="1" x14ac:dyDescent="0.45">
      <c r="A2638" t="s">
        <v>6302</v>
      </c>
      <c r="B2638" t="s">
        <v>79</v>
      </c>
      <c r="C2638" t="s">
        <v>3033</v>
      </c>
      <c r="D2638" t="s">
        <v>81</v>
      </c>
      <c r="E2638" s="2" t="str">
        <f>HYPERLINK("capsilon://?command=openfolder&amp;siteaddress=FAM.docvelocity-na8.net&amp;folderid=FX6D23B1B6-0B65-9F49-B004-EDA89B481E41","FX201222572")</f>
        <v>FX201222572</v>
      </c>
      <c r="F2638" t="s">
        <v>19</v>
      </c>
      <c r="G2638" t="s">
        <v>19</v>
      </c>
      <c r="H2638" t="s">
        <v>82</v>
      </c>
      <c r="I2638" t="s">
        <v>6303</v>
      </c>
      <c r="J2638">
        <v>135</v>
      </c>
      <c r="K2638" t="s">
        <v>84</v>
      </c>
      <c r="L2638" t="s">
        <v>85</v>
      </c>
      <c r="M2638" t="s">
        <v>86</v>
      </c>
      <c r="N2638">
        <v>1</v>
      </c>
      <c r="O2638" s="1">
        <v>44222.409490740742</v>
      </c>
      <c r="P2638" s="1">
        <v>44222.422407407408</v>
      </c>
      <c r="Q2638">
        <v>24</v>
      </c>
      <c r="R2638">
        <v>1092</v>
      </c>
      <c r="S2638" t="b">
        <v>0</v>
      </c>
      <c r="T2638" t="s">
        <v>87</v>
      </c>
      <c r="U2638" t="b">
        <v>0</v>
      </c>
      <c r="V2638" t="s">
        <v>98</v>
      </c>
      <c r="W2638" s="1">
        <v>44222.422407407408</v>
      </c>
      <c r="X2638">
        <v>1092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135</v>
      </c>
      <c r="AE2638">
        <v>127</v>
      </c>
      <c r="AF2638">
        <v>0</v>
      </c>
      <c r="AG2638">
        <v>6</v>
      </c>
      <c r="AH2638" t="s">
        <v>87</v>
      </c>
      <c r="AI2638" t="s">
        <v>87</v>
      </c>
      <c r="AJ2638" t="s">
        <v>87</v>
      </c>
      <c r="AK2638" t="s">
        <v>87</v>
      </c>
      <c r="AL2638" t="s">
        <v>87</v>
      </c>
      <c r="AM2638" t="s">
        <v>87</v>
      </c>
      <c r="AN2638" t="s">
        <v>87</v>
      </c>
      <c r="AO2638" t="s">
        <v>87</v>
      </c>
      <c r="AP2638" t="s">
        <v>87</v>
      </c>
      <c r="AQ2638" t="s">
        <v>87</v>
      </c>
      <c r="AR2638" t="s">
        <v>87</v>
      </c>
      <c r="AS2638" t="s">
        <v>87</v>
      </c>
      <c r="AT2638" t="s">
        <v>87</v>
      </c>
      <c r="AU2638" t="s">
        <v>87</v>
      </c>
      <c r="AV2638" t="s">
        <v>87</v>
      </c>
      <c r="AW2638" t="s">
        <v>87</v>
      </c>
      <c r="AX2638" t="s">
        <v>87</v>
      </c>
      <c r="AY2638" t="s">
        <v>87</v>
      </c>
      <c r="AZ2638" t="s">
        <v>87</v>
      </c>
      <c r="BA2638" t="s">
        <v>87</v>
      </c>
      <c r="BB2638" t="s">
        <v>87</v>
      </c>
      <c r="BC2638" t="s">
        <v>87</v>
      </c>
      <c r="BD2638" t="s">
        <v>87</v>
      </c>
      <c r="BE2638" t="s">
        <v>87</v>
      </c>
    </row>
    <row r="2639" spans="1:57" x14ac:dyDescent="0.45">
      <c r="A2639" t="s">
        <v>6304</v>
      </c>
      <c r="B2639" t="s">
        <v>79</v>
      </c>
      <c r="C2639" t="s">
        <v>1722</v>
      </c>
      <c r="D2639" t="s">
        <v>81</v>
      </c>
      <c r="E2639" s="2" t="str">
        <f>HYPERLINK("capsilon://?command=openfolder&amp;siteaddress=FAM.docvelocity-na8.net&amp;folderid=FXB743C46B-EB3C-E965-1F38-9AE1DABA004D","FX201223491")</f>
        <v>FX201223491</v>
      </c>
      <c r="F2639" t="s">
        <v>19</v>
      </c>
      <c r="G2639" t="s">
        <v>19</v>
      </c>
      <c r="H2639" t="s">
        <v>82</v>
      </c>
      <c r="I2639" t="s">
        <v>6305</v>
      </c>
      <c r="J2639">
        <v>66</v>
      </c>
      <c r="K2639" t="s">
        <v>84</v>
      </c>
      <c r="L2639" t="s">
        <v>85</v>
      </c>
      <c r="M2639" t="s">
        <v>86</v>
      </c>
      <c r="N2639">
        <v>3</v>
      </c>
      <c r="O2639" s="1">
        <v>44222.409571759257</v>
      </c>
      <c r="P2639" s="1">
        <v>44222.469421296293</v>
      </c>
      <c r="Q2639">
        <v>2539</v>
      </c>
      <c r="R2639">
        <v>2632</v>
      </c>
      <c r="S2639" t="b">
        <v>0</v>
      </c>
      <c r="T2639" t="s">
        <v>87</v>
      </c>
      <c r="U2639" t="b">
        <v>0</v>
      </c>
      <c r="V2639" t="s">
        <v>105</v>
      </c>
      <c r="W2639" s="1">
        <v>44222.428437499999</v>
      </c>
      <c r="X2639">
        <v>1556</v>
      </c>
      <c r="Y2639">
        <v>52</v>
      </c>
      <c r="Z2639">
        <v>0</v>
      </c>
      <c r="AA2639">
        <v>52</v>
      </c>
      <c r="AB2639">
        <v>0</v>
      </c>
      <c r="AC2639">
        <v>14</v>
      </c>
      <c r="AD2639">
        <v>14</v>
      </c>
      <c r="AE2639">
        <v>0</v>
      </c>
      <c r="AF2639">
        <v>0</v>
      </c>
      <c r="AG2639">
        <v>0</v>
      </c>
      <c r="AH2639" t="s">
        <v>89</v>
      </c>
      <c r="AI2639" s="1">
        <v>44222.462939814817</v>
      </c>
      <c r="AJ2639">
        <v>933</v>
      </c>
      <c r="AK2639">
        <v>2</v>
      </c>
      <c r="AL2639">
        <v>0</v>
      </c>
      <c r="AM2639">
        <v>2</v>
      </c>
      <c r="AN2639">
        <v>0</v>
      </c>
      <c r="AO2639">
        <v>0</v>
      </c>
      <c r="AP2639">
        <v>12</v>
      </c>
      <c r="AQ2639">
        <v>0</v>
      </c>
      <c r="AR2639">
        <v>0</v>
      </c>
      <c r="AS2639">
        <v>0</v>
      </c>
      <c r="AT2639" t="s">
        <v>90</v>
      </c>
      <c r="AU2639" s="1">
        <v>44222.469421296293</v>
      </c>
      <c r="AV2639">
        <v>15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12</v>
      </c>
      <c r="BC2639">
        <v>0</v>
      </c>
      <c r="BD2639">
        <v>0</v>
      </c>
      <c r="BE2639">
        <v>0</v>
      </c>
    </row>
    <row r="2640" spans="1:57" x14ac:dyDescent="0.45">
      <c r="A2640" t="s">
        <v>6306</v>
      </c>
      <c r="B2640" t="s">
        <v>79</v>
      </c>
      <c r="C2640" t="s">
        <v>6307</v>
      </c>
      <c r="D2640" t="s">
        <v>81</v>
      </c>
      <c r="E2640" s="2" t="str">
        <f>HYPERLINK("capsilon://?command=openfolder&amp;siteaddress=FAM.docvelocity-na8.net&amp;folderid=FXFF175AE6-F4BA-87E4-981C-55F6579FE47E","FX210111801")</f>
        <v>FX210111801</v>
      </c>
      <c r="F2640" t="s">
        <v>19</v>
      </c>
      <c r="G2640" t="s">
        <v>19</v>
      </c>
      <c r="H2640" t="s">
        <v>82</v>
      </c>
      <c r="I2640" t="s">
        <v>6308</v>
      </c>
      <c r="J2640">
        <v>322</v>
      </c>
      <c r="K2640" t="s">
        <v>84</v>
      </c>
      <c r="L2640" t="s">
        <v>85</v>
      </c>
      <c r="M2640" t="s">
        <v>86</v>
      </c>
      <c r="N2640">
        <v>3</v>
      </c>
      <c r="O2640" s="1">
        <v>44222.415254629632</v>
      </c>
      <c r="P2640" s="1">
        <v>44222.543587962966</v>
      </c>
      <c r="Q2640">
        <v>5812</v>
      </c>
      <c r="R2640">
        <v>5276</v>
      </c>
      <c r="S2640" t="b">
        <v>0</v>
      </c>
      <c r="T2640" t="s">
        <v>87</v>
      </c>
      <c r="U2640" t="b">
        <v>0</v>
      </c>
      <c r="V2640" t="s">
        <v>112</v>
      </c>
      <c r="W2640" s="1">
        <v>44222.454768518517</v>
      </c>
      <c r="X2640">
        <v>3128</v>
      </c>
      <c r="Y2640">
        <v>246</v>
      </c>
      <c r="Z2640">
        <v>0</v>
      </c>
      <c r="AA2640">
        <v>246</v>
      </c>
      <c r="AB2640">
        <v>37</v>
      </c>
      <c r="AC2640">
        <v>94</v>
      </c>
      <c r="AD2640">
        <v>76</v>
      </c>
      <c r="AE2640">
        <v>0</v>
      </c>
      <c r="AF2640">
        <v>0</v>
      </c>
      <c r="AG2640">
        <v>0</v>
      </c>
      <c r="AH2640" t="s">
        <v>128</v>
      </c>
      <c r="AI2640" s="1">
        <v>44222.487256944441</v>
      </c>
      <c r="AJ2640">
        <v>2061</v>
      </c>
      <c r="AK2640">
        <v>1</v>
      </c>
      <c r="AL2640">
        <v>0</v>
      </c>
      <c r="AM2640">
        <v>1</v>
      </c>
      <c r="AN2640">
        <v>37</v>
      </c>
      <c r="AO2640">
        <v>1</v>
      </c>
      <c r="AP2640">
        <v>75</v>
      </c>
      <c r="AQ2640">
        <v>0</v>
      </c>
      <c r="AR2640">
        <v>0</v>
      </c>
      <c r="AS2640">
        <v>0</v>
      </c>
      <c r="AT2640" t="s">
        <v>90</v>
      </c>
      <c r="AU2640" s="1">
        <v>44222.543587962966</v>
      </c>
      <c r="AV2640">
        <v>75</v>
      </c>
      <c r="AW2640">
        <v>0</v>
      </c>
      <c r="AX2640">
        <v>0</v>
      </c>
      <c r="AY2640">
        <v>0</v>
      </c>
      <c r="AZ2640">
        <v>37</v>
      </c>
      <c r="BA2640">
        <v>0</v>
      </c>
      <c r="BB2640">
        <v>75</v>
      </c>
      <c r="BC2640">
        <v>0</v>
      </c>
      <c r="BD2640">
        <v>0</v>
      </c>
      <c r="BE2640">
        <v>0</v>
      </c>
    </row>
    <row r="2641" spans="1:57" x14ac:dyDescent="0.45">
      <c r="A2641" t="s">
        <v>6309</v>
      </c>
      <c r="B2641" t="s">
        <v>79</v>
      </c>
      <c r="C2641" t="s">
        <v>6310</v>
      </c>
      <c r="D2641" t="s">
        <v>81</v>
      </c>
      <c r="E2641" s="2" t="str">
        <f>HYPERLINK("capsilon://?command=openfolder&amp;siteaddress=FAM.docvelocity-na8.net&amp;folderid=FXB4DA7599-578F-6D72-BE46-FCE2150C2D76","FX201222532")</f>
        <v>FX201222532</v>
      </c>
      <c r="F2641" t="s">
        <v>19</v>
      </c>
      <c r="G2641" t="s">
        <v>19</v>
      </c>
      <c r="H2641" t="s">
        <v>82</v>
      </c>
      <c r="I2641" t="s">
        <v>6311</v>
      </c>
      <c r="J2641">
        <v>125</v>
      </c>
      <c r="K2641" t="s">
        <v>84</v>
      </c>
      <c r="L2641" t="s">
        <v>85</v>
      </c>
      <c r="M2641" t="s">
        <v>86</v>
      </c>
      <c r="N2641">
        <v>3</v>
      </c>
      <c r="O2641" s="1">
        <v>44222.415578703702</v>
      </c>
      <c r="P2641" s="1">
        <v>44222.469675925924</v>
      </c>
      <c r="Q2641">
        <v>2523</v>
      </c>
      <c r="R2641">
        <v>2151</v>
      </c>
      <c r="S2641" t="b">
        <v>0</v>
      </c>
      <c r="T2641" t="s">
        <v>87</v>
      </c>
      <c r="U2641" t="b">
        <v>0</v>
      </c>
      <c r="V2641" t="s">
        <v>98</v>
      </c>
      <c r="W2641" s="1">
        <v>44222.439155092594</v>
      </c>
      <c r="X2641">
        <v>1446</v>
      </c>
      <c r="Y2641">
        <v>117</v>
      </c>
      <c r="Z2641">
        <v>0</v>
      </c>
      <c r="AA2641">
        <v>117</v>
      </c>
      <c r="AB2641">
        <v>0</v>
      </c>
      <c r="AC2641">
        <v>86</v>
      </c>
      <c r="AD2641">
        <v>8</v>
      </c>
      <c r="AE2641">
        <v>0</v>
      </c>
      <c r="AF2641">
        <v>0</v>
      </c>
      <c r="AG2641">
        <v>0</v>
      </c>
      <c r="AH2641" t="s">
        <v>128</v>
      </c>
      <c r="AI2641" s="1">
        <v>44222.463391203702</v>
      </c>
      <c r="AJ2641">
        <v>684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8</v>
      </c>
      <c r="AQ2641">
        <v>0</v>
      </c>
      <c r="AR2641">
        <v>0</v>
      </c>
      <c r="AS2641">
        <v>0</v>
      </c>
      <c r="AT2641" t="s">
        <v>90</v>
      </c>
      <c r="AU2641" s="1">
        <v>44222.469675925924</v>
      </c>
      <c r="AV2641">
        <v>21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8</v>
      </c>
      <c r="BC2641">
        <v>0</v>
      </c>
      <c r="BD2641">
        <v>0</v>
      </c>
      <c r="BE2641">
        <v>0</v>
      </c>
    </row>
    <row r="2642" spans="1:57" hidden="1" x14ac:dyDescent="0.45">
      <c r="A2642" t="s">
        <v>6312</v>
      </c>
      <c r="B2642" t="s">
        <v>79</v>
      </c>
      <c r="C2642" t="s">
        <v>1766</v>
      </c>
      <c r="D2642" t="s">
        <v>81</v>
      </c>
      <c r="E2642" s="2" t="str">
        <f>HYPERLINK("capsilon://?command=openfolder&amp;siteaddress=FAM.docvelocity-na8.net&amp;folderid=FX7C3E8BAA-50AE-23C2-615D-CB05B90AF90F","FX201015122")</f>
        <v>FX201015122</v>
      </c>
      <c r="F2642" t="s">
        <v>19</v>
      </c>
      <c r="G2642" t="s">
        <v>19</v>
      </c>
      <c r="H2642" t="s">
        <v>82</v>
      </c>
      <c r="I2642" t="s">
        <v>6313</v>
      </c>
      <c r="J2642">
        <v>66</v>
      </c>
      <c r="K2642" t="s">
        <v>84</v>
      </c>
      <c r="L2642" t="s">
        <v>85</v>
      </c>
      <c r="M2642" t="s">
        <v>86</v>
      </c>
      <c r="N2642">
        <v>3</v>
      </c>
      <c r="O2642" s="1">
        <v>44222.416493055556</v>
      </c>
      <c r="P2642" s="1">
        <v>44222.469722222224</v>
      </c>
      <c r="Q2642">
        <v>4341</v>
      </c>
      <c r="R2642">
        <v>258</v>
      </c>
      <c r="S2642" t="b">
        <v>0</v>
      </c>
      <c r="T2642" t="s">
        <v>87</v>
      </c>
      <c r="U2642" t="b">
        <v>0</v>
      </c>
      <c r="V2642" t="s">
        <v>146</v>
      </c>
      <c r="W2642" s="1">
        <v>44222.438842592594</v>
      </c>
      <c r="X2642">
        <v>198</v>
      </c>
      <c r="Y2642">
        <v>0</v>
      </c>
      <c r="Z2642">
        <v>0</v>
      </c>
      <c r="AA2642">
        <v>0</v>
      </c>
      <c r="AB2642">
        <v>52</v>
      </c>
      <c r="AC2642">
        <v>0</v>
      </c>
      <c r="AD2642">
        <v>66</v>
      </c>
      <c r="AE2642">
        <v>0</v>
      </c>
      <c r="AF2642">
        <v>0</v>
      </c>
      <c r="AG2642">
        <v>0</v>
      </c>
      <c r="AH2642" t="s">
        <v>108</v>
      </c>
      <c r="AI2642" s="1">
        <v>44222.466550925928</v>
      </c>
      <c r="AJ2642">
        <v>57</v>
      </c>
      <c r="AK2642">
        <v>0</v>
      </c>
      <c r="AL2642">
        <v>0</v>
      </c>
      <c r="AM2642">
        <v>0</v>
      </c>
      <c r="AN2642">
        <v>52</v>
      </c>
      <c r="AO2642">
        <v>0</v>
      </c>
      <c r="AP2642">
        <v>66</v>
      </c>
      <c r="AQ2642">
        <v>0</v>
      </c>
      <c r="AR2642">
        <v>0</v>
      </c>
      <c r="AS2642">
        <v>0</v>
      </c>
      <c r="AT2642" t="s">
        <v>90</v>
      </c>
      <c r="AU2642" s="1">
        <v>44222.469722222224</v>
      </c>
      <c r="AV2642">
        <v>3</v>
      </c>
      <c r="AW2642">
        <v>0</v>
      </c>
      <c r="AX2642">
        <v>0</v>
      </c>
      <c r="AY2642">
        <v>0</v>
      </c>
      <c r="AZ2642">
        <v>52</v>
      </c>
      <c r="BA2642">
        <v>0</v>
      </c>
      <c r="BB2642">
        <v>66</v>
      </c>
      <c r="BC2642">
        <v>0</v>
      </c>
      <c r="BD2642">
        <v>0</v>
      </c>
      <c r="BE2642">
        <v>0</v>
      </c>
    </row>
    <row r="2643" spans="1:57" hidden="1" x14ac:dyDescent="0.45">
      <c r="A2643" t="s">
        <v>6314</v>
      </c>
      <c r="B2643" t="s">
        <v>79</v>
      </c>
      <c r="C2643" t="s">
        <v>2133</v>
      </c>
      <c r="D2643" t="s">
        <v>81</v>
      </c>
      <c r="E2643" s="2" t="str">
        <f>HYPERLINK("capsilon://?command=openfolder&amp;siteaddress=FAM.docvelocity-na8.net&amp;folderid=FX92A4F952-48C5-8DBE-EED9-87778BA9827B","FX20116508")</f>
        <v>FX20116508</v>
      </c>
      <c r="F2643" t="s">
        <v>19</v>
      </c>
      <c r="G2643" t="s">
        <v>19</v>
      </c>
      <c r="H2643" t="s">
        <v>82</v>
      </c>
      <c r="I2643" t="s">
        <v>6315</v>
      </c>
      <c r="J2643">
        <v>66</v>
      </c>
      <c r="K2643" t="s">
        <v>84</v>
      </c>
      <c r="L2643" t="s">
        <v>85</v>
      </c>
      <c r="M2643" t="s">
        <v>86</v>
      </c>
      <c r="N2643">
        <v>3</v>
      </c>
      <c r="O2643" s="1">
        <v>44222.417696759258</v>
      </c>
      <c r="P2643" s="1">
        <v>44222.469768518517</v>
      </c>
      <c r="Q2643">
        <v>4354</v>
      </c>
      <c r="R2643">
        <v>145</v>
      </c>
      <c r="S2643" t="b">
        <v>0</v>
      </c>
      <c r="T2643" t="s">
        <v>87</v>
      </c>
      <c r="U2643" t="b">
        <v>0</v>
      </c>
      <c r="V2643" t="s">
        <v>919</v>
      </c>
      <c r="W2643" s="1">
        <v>44222.43818287037</v>
      </c>
      <c r="X2643">
        <v>105</v>
      </c>
      <c r="Y2643">
        <v>0</v>
      </c>
      <c r="Z2643">
        <v>0</v>
      </c>
      <c r="AA2643">
        <v>0</v>
      </c>
      <c r="AB2643">
        <v>52</v>
      </c>
      <c r="AC2643">
        <v>0</v>
      </c>
      <c r="AD2643">
        <v>66</v>
      </c>
      <c r="AE2643">
        <v>0</v>
      </c>
      <c r="AF2643">
        <v>0</v>
      </c>
      <c r="AG2643">
        <v>0</v>
      </c>
      <c r="AH2643" t="s">
        <v>108</v>
      </c>
      <c r="AI2643" s="1">
        <v>44222.466990740744</v>
      </c>
      <c r="AJ2643">
        <v>37</v>
      </c>
      <c r="AK2643">
        <v>0</v>
      </c>
      <c r="AL2643">
        <v>0</v>
      </c>
      <c r="AM2643">
        <v>0</v>
      </c>
      <c r="AN2643">
        <v>52</v>
      </c>
      <c r="AO2643">
        <v>0</v>
      </c>
      <c r="AP2643">
        <v>66</v>
      </c>
      <c r="AQ2643">
        <v>0</v>
      </c>
      <c r="AR2643">
        <v>0</v>
      </c>
      <c r="AS2643">
        <v>0</v>
      </c>
      <c r="AT2643" t="s">
        <v>90</v>
      </c>
      <c r="AU2643" s="1">
        <v>44222.469768518517</v>
      </c>
      <c r="AV2643">
        <v>3</v>
      </c>
      <c r="AW2643">
        <v>0</v>
      </c>
      <c r="AX2643">
        <v>0</v>
      </c>
      <c r="AY2643">
        <v>0</v>
      </c>
      <c r="AZ2643">
        <v>52</v>
      </c>
      <c r="BA2643">
        <v>0</v>
      </c>
      <c r="BB2643">
        <v>66</v>
      </c>
      <c r="BC2643">
        <v>0</v>
      </c>
      <c r="BD2643">
        <v>0</v>
      </c>
      <c r="BE2643">
        <v>0</v>
      </c>
    </row>
    <row r="2644" spans="1:57" x14ac:dyDescent="0.45">
      <c r="A2644" t="s">
        <v>6316</v>
      </c>
      <c r="B2644" t="s">
        <v>79</v>
      </c>
      <c r="C2644" t="s">
        <v>6317</v>
      </c>
      <c r="D2644" t="s">
        <v>81</v>
      </c>
      <c r="E2644" s="2" t="str">
        <f>HYPERLINK("capsilon://?command=openfolder&amp;siteaddress=FAM.docvelocity-na8.net&amp;folderid=FX77866735-6CE1-F53B-950E-CB788D47341F","FX201226432")</f>
        <v>FX201226432</v>
      </c>
      <c r="F2644" t="s">
        <v>19</v>
      </c>
      <c r="G2644" t="s">
        <v>19</v>
      </c>
      <c r="H2644" t="s">
        <v>82</v>
      </c>
      <c r="I2644" t="s">
        <v>6318</v>
      </c>
      <c r="J2644">
        <v>38</v>
      </c>
      <c r="K2644" t="s">
        <v>84</v>
      </c>
      <c r="L2644" t="s">
        <v>85</v>
      </c>
      <c r="M2644" t="s">
        <v>86</v>
      </c>
      <c r="N2644">
        <v>3</v>
      </c>
      <c r="O2644" s="1">
        <v>44222.418136574073</v>
      </c>
      <c r="P2644" s="1">
        <v>44222.476527777777</v>
      </c>
      <c r="Q2644">
        <v>4043</v>
      </c>
      <c r="R2644">
        <v>1002</v>
      </c>
      <c r="S2644" t="b">
        <v>0</v>
      </c>
      <c r="T2644" t="s">
        <v>87</v>
      </c>
      <c r="U2644" t="b">
        <v>0</v>
      </c>
      <c r="V2644" t="s">
        <v>919</v>
      </c>
      <c r="W2644" s="1">
        <v>44222.445821759262</v>
      </c>
      <c r="X2644">
        <v>659</v>
      </c>
      <c r="Y2644">
        <v>37</v>
      </c>
      <c r="Z2644">
        <v>0</v>
      </c>
      <c r="AA2644">
        <v>37</v>
      </c>
      <c r="AB2644">
        <v>0</v>
      </c>
      <c r="AC2644">
        <v>34</v>
      </c>
      <c r="AD2644">
        <v>1</v>
      </c>
      <c r="AE2644">
        <v>0</v>
      </c>
      <c r="AF2644">
        <v>0</v>
      </c>
      <c r="AG2644">
        <v>0</v>
      </c>
      <c r="AH2644" t="s">
        <v>108</v>
      </c>
      <c r="AI2644" s="1">
        <v>44222.470821759256</v>
      </c>
      <c r="AJ2644">
        <v>330</v>
      </c>
      <c r="AK2644">
        <v>3</v>
      </c>
      <c r="AL2644">
        <v>0</v>
      </c>
      <c r="AM2644">
        <v>3</v>
      </c>
      <c r="AN2644">
        <v>0</v>
      </c>
      <c r="AO2644">
        <v>0</v>
      </c>
      <c r="AP2644">
        <v>-2</v>
      </c>
      <c r="AQ2644">
        <v>0</v>
      </c>
      <c r="AR2644">
        <v>0</v>
      </c>
      <c r="AS2644">
        <v>0</v>
      </c>
      <c r="AT2644" t="s">
        <v>90</v>
      </c>
      <c r="AU2644" s="1">
        <v>44222.476527777777</v>
      </c>
      <c r="AV2644">
        <v>13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-2</v>
      </c>
      <c r="BC2644">
        <v>0</v>
      </c>
      <c r="BD2644">
        <v>0</v>
      </c>
      <c r="BE2644">
        <v>0</v>
      </c>
    </row>
    <row r="2645" spans="1:57" hidden="1" x14ac:dyDescent="0.45">
      <c r="A2645" t="s">
        <v>6319</v>
      </c>
      <c r="B2645" t="s">
        <v>79</v>
      </c>
      <c r="C2645" t="s">
        <v>2133</v>
      </c>
      <c r="D2645" t="s">
        <v>81</v>
      </c>
      <c r="E2645" s="2" t="str">
        <f>HYPERLINK("capsilon://?command=openfolder&amp;siteaddress=FAM.docvelocity-na8.net&amp;folderid=FX92A4F952-48C5-8DBE-EED9-87778BA9827B","FX20116508")</f>
        <v>FX20116508</v>
      </c>
      <c r="F2645" t="s">
        <v>19</v>
      </c>
      <c r="G2645" t="s">
        <v>19</v>
      </c>
      <c r="H2645" t="s">
        <v>82</v>
      </c>
      <c r="I2645" t="s">
        <v>6320</v>
      </c>
      <c r="J2645">
        <v>66</v>
      </c>
      <c r="K2645" t="s">
        <v>84</v>
      </c>
      <c r="L2645" t="s">
        <v>85</v>
      </c>
      <c r="M2645" t="s">
        <v>86</v>
      </c>
      <c r="N2645">
        <v>3</v>
      </c>
      <c r="O2645" s="1">
        <v>44222.419108796297</v>
      </c>
      <c r="P2645" s="1">
        <v>44222.476574074077</v>
      </c>
      <c r="Q2645">
        <v>4749</v>
      </c>
      <c r="R2645">
        <v>216</v>
      </c>
      <c r="S2645" t="b">
        <v>0</v>
      </c>
      <c r="T2645" t="s">
        <v>87</v>
      </c>
      <c r="U2645" t="b">
        <v>0</v>
      </c>
      <c r="V2645" t="s">
        <v>146</v>
      </c>
      <c r="W2645" s="1">
        <v>44222.441099537034</v>
      </c>
      <c r="X2645">
        <v>194</v>
      </c>
      <c r="Y2645">
        <v>0</v>
      </c>
      <c r="Z2645">
        <v>0</v>
      </c>
      <c r="AA2645">
        <v>0</v>
      </c>
      <c r="AB2645">
        <v>52</v>
      </c>
      <c r="AC2645">
        <v>0</v>
      </c>
      <c r="AD2645">
        <v>66</v>
      </c>
      <c r="AE2645">
        <v>0</v>
      </c>
      <c r="AF2645">
        <v>0</v>
      </c>
      <c r="AG2645">
        <v>0</v>
      </c>
      <c r="AH2645" t="s">
        <v>132</v>
      </c>
      <c r="AI2645" s="1">
        <v>44222.471238425926</v>
      </c>
      <c r="AJ2645">
        <v>19</v>
      </c>
      <c r="AK2645">
        <v>0</v>
      </c>
      <c r="AL2645">
        <v>0</v>
      </c>
      <c r="AM2645">
        <v>0</v>
      </c>
      <c r="AN2645">
        <v>52</v>
      </c>
      <c r="AO2645">
        <v>0</v>
      </c>
      <c r="AP2645">
        <v>66</v>
      </c>
      <c r="AQ2645">
        <v>0</v>
      </c>
      <c r="AR2645">
        <v>0</v>
      </c>
      <c r="AS2645">
        <v>0</v>
      </c>
      <c r="AT2645" t="s">
        <v>90</v>
      </c>
      <c r="AU2645" s="1">
        <v>44222.476574074077</v>
      </c>
      <c r="AV2645">
        <v>3</v>
      </c>
      <c r="AW2645">
        <v>0</v>
      </c>
      <c r="AX2645">
        <v>0</v>
      </c>
      <c r="AY2645">
        <v>0</v>
      </c>
      <c r="AZ2645">
        <v>52</v>
      </c>
      <c r="BA2645">
        <v>0</v>
      </c>
      <c r="BB2645">
        <v>66</v>
      </c>
      <c r="BC2645">
        <v>0</v>
      </c>
      <c r="BD2645">
        <v>0</v>
      </c>
      <c r="BE2645">
        <v>0</v>
      </c>
    </row>
    <row r="2646" spans="1:57" x14ac:dyDescent="0.45">
      <c r="A2646" t="s">
        <v>6321</v>
      </c>
      <c r="B2646" t="s">
        <v>79</v>
      </c>
      <c r="C2646" t="s">
        <v>6310</v>
      </c>
      <c r="D2646" t="s">
        <v>81</v>
      </c>
      <c r="E2646" s="2" t="str">
        <f>HYPERLINK("capsilon://?command=openfolder&amp;siteaddress=FAM.docvelocity-na8.net&amp;folderid=FXB4DA7599-578F-6D72-BE46-FCE2150C2D76","FX201222532")</f>
        <v>FX201222532</v>
      </c>
      <c r="F2646" t="s">
        <v>19</v>
      </c>
      <c r="G2646" t="s">
        <v>19</v>
      </c>
      <c r="H2646" t="s">
        <v>82</v>
      </c>
      <c r="I2646" t="s">
        <v>6322</v>
      </c>
      <c r="J2646">
        <v>112</v>
      </c>
      <c r="K2646" t="s">
        <v>84</v>
      </c>
      <c r="L2646" t="s">
        <v>85</v>
      </c>
      <c r="M2646" t="s">
        <v>86</v>
      </c>
      <c r="N2646">
        <v>3</v>
      </c>
      <c r="O2646" s="1">
        <v>44222.419976851852</v>
      </c>
      <c r="P2646" s="1">
        <v>44222.477048611108</v>
      </c>
      <c r="Q2646">
        <v>3318</v>
      </c>
      <c r="R2646">
        <v>1613</v>
      </c>
      <c r="S2646" t="b">
        <v>0</v>
      </c>
      <c r="T2646" t="s">
        <v>87</v>
      </c>
      <c r="U2646" t="b">
        <v>0</v>
      </c>
      <c r="V2646" t="s">
        <v>98</v>
      </c>
      <c r="W2646" s="1">
        <v>44222.453125</v>
      </c>
      <c r="X2646">
        <v>1206</v>
      </c>
      <c r="Y2646">
        <v>92</v>
      </c>
      <c r="Z2646">
        <v>0</v>
      </c>
      <c r="AA2646">
        <v>92</v>
      </c>
      <c r="AB2646">
        <v>0</v>
      </c>
      <c r="AC2646">
        <v>32</v>
      </c>
      <c r="AD2646">
        <v>20</v>
      </c>
      <c r="AE2646">
        <v>0</v>
      </c>
      <c r="AF2646">
        <v>0</v>
      </c>
      <c r="AG2646">
        <v>0</v>
      </c>
      <c r="AH2646" t="s">
        <v>132</v>
      </c>
      <c r="AI2646" s="1">
        <v>44222.475497685184</v>
      </c>
      <c r="AJ2646">
        <v>367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20</v>
      </c>
      <c r="AQ2646">
        <v>0</v>
      </c>
      <c r="AR2646">
        <v>0</v>
      </c>
      <c r="AS2646">
        <v>0</v>
      </c>
      <c r="AT2646" t="s">
        <v>90</v>
      </c>
      <c r="AU2646" s="1">
        <v>44222.477048611108</v>
      </c>
      <c r="AV2646">
        <v>40</v>
      </c>
      <c r="AW2646">
        <v>2</v>
      </c>
      <c r="AX2646">
        <v>0</v>
      </c>
      <c r="AY2646">
        <v>2</v>
      </c>
      <c r="AZ2646">
        <v>0</v>
      </c>
      <c r="BA2646">
        <v>2</v>
      </c>
      <c r="BB2646">
        <v>18</v>
      </c>
      <c r="BC2646">
        <v>0</v>
      </c>
      <c r="BD2646">
        <v>0</v>
      </c>
      <c r="BE2646">
        <v>0</v>
      </c>
    </row>
    <row r="2647" spans="1:57" hidden="1" x14ac:dyDescent="0.45">
      <c r="A2647" t="s">
        <v>6323</v>
      </c>
      <c r="B2647" t="s">
        <v>79</v>
      </c>
      <c r="C2647" t="s">
        <v>1207</v>
      </c>
      <c r="D2647" t="s">
        <v>81</v>
      </c>
      <c r="E2647" s="2" t="str">
        <f>HYPERLINK("capsilon://?command=openfolder&amp;siteaddress=FAM.docvelocity-na8.net&amp;folderid=FXF871DE58-1835-D24F-0CD1-F959D57599FB","FX201224075")</f>
        <v>FX201224075</v>
      </c>
      <c r="F2647" t="s">
        <v>19</v>
      </c>
      <c r="G2647" t="s">
        <v>19</v>
      </c>
      <c r="H2647" t="s">
        <v>82</v>
      </c>
      <c r="I2647" t="s">
        <v>6324</v>
      </c>
      <c r="J2647">
        <v>66</v>
      </c>
      <c r="K2647" t="s">
        <v>84</v>
      </c>
      <c r="L2647" t="s">
        <v>85</v>
      </c>
      <c r="M2647" t="s">
        <v>86</v>
      </c>
      <c r="N2647">
        <v>3</v>
      </c>
      <c r="O2647" s="1">
        <v>44222.424131944441</v>
      </c>
      <c r="P2647" s="1">
        <v>44222.477418981478</v>
      </c>
      <c r="Q2647">
        <v>4326</v>
      </c>
      <c r="R2647">
        <v>278</v>
      </c>
      <c r="S2647" t="b">
        <v>0</v>
      </c>
      <c r="T2647" t="s">
        <v>87</v>
      </c>
      <c r="U2647" t="b">
        <v>0</v>
      </c>
      <c r="V2647" t="s">
        <v>146</v>
      </c>
      <c r="W2647" s="1">
        <v>44222.444085648145</v>
      </c>
      <c r="X2647">
        <v>208</v>
      </c>
      <c r="Y2647">
        <v>0</v>
      </c>
      <c r="Z2647">
        <v>0</v>
      </c>
      <c r="AA2647">
        <v>0</v>
      </c>
      <c r="AB2647">
        <v>52</v>
      </c>
      <c r="AC2647">
        <v>0</v>
      </c>
      <c r="AD2647">
        <v>66</v>
      </c>
      <c r="AE2647">
        <v>0</v>
      </c>
      <c r="AF2647">
        <v>0</v>
      </c>
      <c r="AG2647">
        <v>0</v>
      </c>
      <c r="AH2647" t="s">
        <v>94</v>
      </c>
      <c r="AI2647" s="1">
        <v>44222.471574074072</v>
      </c>
      <c r="AJ2647">
        <v>15</v>
      </c>
      <c r="AK2647">
        <v>0</v>
      </c>
      <c r="AL2647">
        <v>0</v>
      </c>
      <c r="AM2647">
        <v>0</v>
      </c>
      <c r="AN2647">
        <v>52</v>
      </c>
      <c r="AO2647">
        <v>0</v>
      </c>
      <c r="AP2647">
        <v>66</v>
      </c>
      <c r="AQ2647">
        <v>0</v>
      </c>
      <c r="AR2647">
        <v>0</v>
      </c>
      <c r="AS2647">
        <v>0</v>
      </c>
      <c r="AT2647" t="s">
        <v>90</v>
      </c>
      <c r="AU2647" s="1">
        <v>44222.477418981478</v>
      </c>
      <c r="AV2647">
        <v>32</v>
      </c>
      <c r="AW2647">
        <v>0</v>
      </c>
      <c r="AX2647">
        <v>0</v>
      </c>
      <c r="AY2647">
        <v>0</v>
      </c>
      <c r="AZ2647">
        <v>52</v>
      </c>
      <c r="BA2647">
        <v>0</v>
      </c>
      <c r="BB2647">
        <v>66</v>
      </c>
      <c r="BC2647">
        <v>0</v>
      </c>
      <c r="BD2647">
        <v>0</v>
      </c>
      <c r="BE2647">
        <v>0</v>
      </c>
    </row>
    <row r="2648" spans="1:57" hidden="1" x14ac:dyDescent="0.45">
      <c r="A2648" t="s">
        <v>6325</v>
      </c>
      <c r="B2648" t="s">
        <v>79</v>
      </c>
      <c r="C2648" t="s">
        <v>3404</v>
      </c>
      <c r="D2648" t="s">
        <v>81</v>
      </c>
      <c r="E2648" s="2" t="str">
        <f>HYPERLINK("capsilon://?command=openfolder&amp;siteaddress=FAM.docvelocity-na8.net&amp;folderid=FXAF4D9EA1-147F-2B01-498F-3FC326AD865B","FX201222847")</f>
        <v>FX201222847</v>
      </c>
      <c r="F2648" t="s">
        <v>19</v>
      </c>
      <c r="G2648" t="s">
        <v>19</v>
      </c>
      <c r="H2648" t="s">
        <v>82</v>
      </c>
      <c r="I2648" t="s">
        <v>6326</v>
      </c>
      <c r="J2648">
        <v>66</v>
      </c>
      <c r="K2648" t="s">
        <v>84</v>
      </c>
      <c r="L2648" t="s">
        <v>85</v>
      </c>
      <c r="M2648" t="s">
        <v>86</v>
      </c>
      <c r="N2648">
        <v>3</v>
      </c>
      <c r="O2648" s="1">
        <v>44222.424687500003</v>
      </c>
      <c r="P2648" s="1">
        <v>44222.478078703702</v>
      </c>
      <c r="Q2648">
        <v>4468</v>
      </c>
      <c r="R2648">
        <v>145</v>
      </c>
      <c r="S2648" t="b">
        <v>0</v>
      </c>
      <c r="T2648" t="s">
        <v>87</v>
      </c>
      <c r="U2648" t="b">
        <v>0</v>
      </c>
      <c r="V2648" t="s">
        <v>142</v>
      </c>
      <c r="W2648" s="1">
        <v>44222.444444444445</v>
      </c>
      <c r="X2648">
        <v>108</v>
      </c>
      <c r="Y2648">
        <v>0</v>
      </c>
      <c r="Z2648">
        <v>0</v>
      </c>
      <c r="AA2648">
        <v>0</v>
      </c>
      <c r="AB2648">
        <v>52</v>
      </c>
      <c r="AC2648">
        <v>0</v>
      </c>
      <c r="AD2648">
        <v>66</v>
      </c>
      <c r="AE2648">
        <v>0</v>
      </c>
      <c r="AF2648">
        <v>0</v>
      </c>
      <c r="AG2648">
        <v>0</v>
      </c>
      <c r="AH2648" t="s">
        <v>94</v>
      </c>
      <c r="AI2648" s="1">
        <v>44222.471979166665</v>
      </c>
      <c r="AJ2648">
        <v>34</v>
      </c>
      <c r="AK2648">
        <v>0</v>
      </c>
      <c r="AL2648">
        <v>0</v>
      </c>
      <c r="AM2648">
        <v>0</v>
      </c>
      <c r="AN2648">
        <v>52</v>
      </c>
      <c r="AO2648">
        <v>0</v>
      </c>
      <c r="AP2648">
        <v>66</v>
      </c>
      <c r="AQ2648">
        <v>0</v>
      </c>
      <c r="AR2648">
        <v>0</v>
      </c>
      <c r="AS2648">
        <v>0</v>
      </c>
      <c r="AT2648" t="s">
        <v>90</v>
      </c>
      <c r="AU2648" s="1">
        <v>44222.478078703702</v>
      </c>
      <c r="AV2648">
        <v>3</v>
      </c>
      <c r="AW2648">
        <v>0</v>
      </c>
      <c r="AX2648">
        <v>0</v>
      </c>
      <c r="AY2648">
        <v>0</v>
      </c>
      <c r="AZ2648">
        <v>52</v>
      </c>
      <c r="BA2648">
        <v>0</v>
      </c>
      <c r="BB2648">
        <v>66</v>
      </c>
      <c r="BC2648">
        <v>0</v>
      </c>
      <c r="BD2648">
        <v>0</v>
      </c>
      <c r="BE2648">
        <v>0</v>
      </c>
    </row>
    <row r="2649" spans="1:57" x14ac:dyDescent="0.45">
      <c r="A2649" t="s">
        <v>6327</v>
      </c>
      <c r="B2649" t="s">
        <v>79</v>
      </c>
      <c r="C2649" t="s">
        <v>3033</v>
      </c>
      <c r="D2649" t="s">
        <v>81</v>
      </c>
      <c r="E2649" s="2" t="str">
        <f>HYPERLINK("capsilon://?command=openfolder&amp;siteaddress=FAM.docvelocity-na8.net&amp;folderid=FX6D23B1B6-0B65-9F49-B004-EDA89B481E41","FX201222572")</f>
        <v>FX201222572</v>
      </c>
      <c r="F2649" t="s">
        <v>19</v>
      </c>
      <c r="G2649" t="s">
        <v>19</v>
      </c>
      <c r="H2649" t="s">
        <v>82</v>
      </c>
      <c r="I2649" t="s">
        <v>6303</v>
      </c>
      <c r="J2649">
        <v>321</v>
      </c>
      <c r="K2649" t="s">
        <v>84</v>
      </c>
      <c r="L2649" t="s">
        <v>85</v>
      </c>
      <c r="M2649" t="s">
        <v>86</v>
      </c>
      <c r="N2649">
        <v>3</v>
      </c>
      <c r="O2649" s="1">
        <v>44222.425000000003</v>
      </c>
      <c r="P2649" s="1">
        <v>44222.485219907408</v>
      </c>
      <c r="Q2649">
        <v>336</v>
      </c>
      <c r="R2649">
        <v>4867</v>
      </c>
      <c r="S2649" t="b">
        <v>0</v>
      </c>
      <c r="T2649" t="s">
        <v>87</v>
      </c>
      <c r="U2649" t="b">
        <v>1</v>
      </c>
      <c r="V2649" t="s">
        <v>105</v>
      </c>
      <c r="W2649" s="1">
        <v>44222.470405092594</v>
      </c>
      <c r="X2649">
        <v>3625</v>
      </c>
      <c r="Y2649">
        <v>291</v>
      </c>
      <c r="Z2649">
        <v>0</v>
      </c>
      <c r="AA2649">
        <v>291</v>
      </c>
      <c r="AB2649">
        <v>0</v>
      </c>
      <c r="AC2649">
        <v>164</v>
      </c>
      <c r="AD2649">
        <v>30</v>
      </c>
      <c r="AE2649">
        <v>0</v>
      </c>
      <c r="AF2649">
        <v>0</v>
      </c>
      <c r="AG2649">
        <v>0</v>
      </c>
      <c r="AH2649" t="s">
        <v>108</v>
      </c>
      <c r="AI2649" s="1">
        <v>44222.484918981485</v>
      </c>
      <c r="AJ2649">
        <v>1217</v>
      </c>
      <c r="AK2649">
        <v>1</v>
      </c>
      <c r="AL2649">
        <v>0</v>
      </c>
      <c r="AM2649">
        <v>1</v>
      </c>
      <c r="AN2649">
        <v>5</v>
      </c>
      <c r="AO2649">
        <v>0</v>
      </c>
      <c r="AP2649">
        <v>29</v>
      </c>
      <c r="AQ2649">
        <v>0</v>
      </c>
      <c r="AR2649">
        <v>0</v>
      </c>
      <c r="AS2649">
        <v>0</v>
      </c>
      <c r="AT2649" t="s">
        <v>90</v>
      </c>
      <c r="AU2649" s="1">
        <v>44222.485219907408</v>
      </c>
      <c r="AV2649">
        <v>25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29</v>
      </c>
      <c r="BC2649">
        <v>0</v>
      </c>
      <c r="BD2649">
        <v>0</v>
      </c>
      <c r="BE2649">
        <v>0</v>
      </c>
    </row>
    <row r="2650" spans="1:57" x14ac:dyDescent="0.45">
      <c r="A2650" t="s">
        <v>6328</v>
      </c>
      <c r="B2650" t="s">
        <v>79</v>
      </c>
      <c r="C2650" t="s">
        <v>6329</v>
      </c>
      <c r="D2650" t="s">
        <v>81</v>
      </c>
      <c r="E2650" s="2" t="str">
        <f>HYPERLINK("capsilon://?command=openfolder&amp;siteaddress=FAM.docvelocity-na8.net&amp;folderid=FXD25BFB30-205E-6EFF-48E6-4D14D64363B1","FX210112901")</f>
        <v>FX210112901</v>
      </c>
      <c r="F2650" t="s">
        <v>19</v>
      </c>
      <c r="G2650" t="s">
        <v>19</v>
      </c>
      <c r="H2650" t="s">
        <v>82</v>
      </c>
      <c r="I2650" t="s">
        <v>6330</v>
      </c>
      <c r="J2650">
        <v>38</v>
      </c>
      <c r="K2650" t="s">
        <v>84</v>
      </c>
      <c r="L2650" t="s">
        <v>85</v>
      </c>
      <c r="M2650" t="s">
        <v>86</v>
      </c>
      <c r="N2650">
        <v>3</v>
      </c>
      <c r="O2650" s="1">
        <v>44222.427905092591</v>
      </c>
      <c r="P2650" s="1">
        <v>44222.478263888886</v>
      </c>
      <c r="Q2650">
        <v>3203</v>
      </c>
      <c r="R2650">
        <v>1148</v>
      </c>
      <c r="S2650" t="b">
        <v>0</v>
      </c>
      <c r="T2650" t="s">
        <v>87</v>
      </c>
      <c r="U2650" t="b">
        <v>0</v>
      </c>
      <c r="V2650" t="s">
        <v>146</v>
      </c>
      <c r="W2650" s="1">
        <v>44222.453043981484</v>
      </c>
      <c r="X2650">
        <v>773</v>
      </c>
      <c r="Y2650">
        <v>37</v>
      </c>
      <c r="Z2650">
        <v>0</v>
      </c>
      <c r="AA2650">
        <v>37</v>
      </c>
      <c r="AB2650">
        <v>0</v>
      </c>
      <c r="AC2650">
        <v>24</v>
      </c>
      <c r="AD2650">
        <v>1</v>
      </c>
      <c r="AE2650">
        <v>0</v>
      </c>
      <c r="AF2650">
        <v>0</v>
      </c>
      <c r="AG2650">
        <v>0</v>
      </c>
      <c r="AH2650" t="s">
        <v>94</v>
      </c>
      <c r="AI2650" s="1">
        <v>44222.476145833331</v>
      </c>
      <c r="AJ2650">
        <v>360</v>
      </c>
      <c r="AK2650">
        <v>1</v>
      </c>
      <c r="AL2650">
        <v>0</v>
      </c>
      <c r="AM2650">
        <v>1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 t="s">
        <v>90</v>
      </c>
      <c r="AU2650" s="1">
        <v>44222.478263888886</v>
      </c>
      <c r="AV2650">
        <v>15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</row>
    <row r="2651" spans="1:57" x14ac:dyDescent="0.45">
      <c r="A2651" t="s">
        <v>6331</v>
      </c>
      <c r="B2651" t="s">
        <v>79</v>
      </c>
      <c r="C2651" t="s">
        <v>110</v>
      </c>
      <c r="D2651" t="s">
        <v>81</v>
      </c>
      <c r="E2651" s="2" t="str">
        <f>HYPERLINK("capsilon://?command=openfolder&amp;siteaddress=FAM.docvelocity-na8.net&amp;folderid=FX722378B3-A602-F353-6542-FDA1FDD73853","FX20128524")</f>
        <v>FX20128524</v>
      </c>
      <c r="F2651" t="s">
        <v>19</v>
      </c>
      <c r="G2651" t="s">
        <v>19</v>
      </c>
      <c r="H2651" t="s">
        <v>82</v>
      </c>
      <c r="I2651" t="s">
        <v>6332</v>
      </c>
      <c r="J2651">
        <v>66</v>
      </c>
      <c r="K2651" t="s">
        <v>84</v>
      </c>
      <c r="L2651" t="s">
        <v>85</v>
      </c>
      <c r="M2651" t="s">
        <v>86</v>
      </c>
      <c r="N2651">
        <v>3</v>
      </c>
      <c r="O2651" s="1">
        <v>44222.42832175926</v>
      </c>
      <c r="P2651" s="1">
        <v>44222.478391203702</v>
      </c>
      <c r="Q2651">
        <v>3770</v>
      </c>
      <c r="R2651">
        <v>556</v>
      </c>
      <c r="S2651" t="b">
        <v>0</v>
      </c>
      <c r="T2651" t="s">
        <v>87</v>
      </c>
      <c r="U2651" t="b">
        <v>0</v>
      </c>
      <c r="V2651" t="s">
        <v>142</v>
      </c>
      <c r="W2651" s="1">
        <v>44222.449895833335</v>
      </c>
      <c r="X2651">
        <v>471</v>
      </c>
      <c r="Y2651">
        <v>52</v>
      </c>
      <c r="Z2651">
        <v>0</v>
      </c>
      <c r="AA2651">
        <v>52</v>
      </c>
      <c r="AB2651">
        <v>0</v>
      </c>
      <c r="AC2651">
        <v>19</v>
      </c>
      <c r="AD2651">
        <v>14</v>
      </c>
      <c r="AE2651">
        <v>0</v>
      </c>
      <c r="AF2651">
        <v>0</v>
      </c>
      <c r="AG2651">
        <v>0</v>
      </c>
      <c r="AH2651" t="s">
        <v>132</v>
      </c>
      <c r="AI2651" s="1">
        <v>44222.476377314815</v>
      </c>
      <c r="AJ2651">
        <v>75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14</v>
      </c>
      <c r="AQ2651">
        <v>0</v>
      </c>
      <c r="AR2651">
        <v>0</v>
      </c>
      <c r="AS2651">
        <v>0</v>
      </c>
      <c r="AT2651" t="s">
        <v>90</v>
      </c>
      <c r="AU2651" s="1">
        <v>44222.478391203702</v>
      </c>
      <c r="AV2651">
        <v>10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14</v>
      </c>
      <c r="BC2651">
        <v>0</v>
      </c>
      <c r="BD2651">
        <v>0</v>
      </c>
      <c r="BE2651">
        <v>0</v>
      </c>
    </row>
    <row r="2652" spans="1:57" x14ac:dyDescent="0.45">
      <c r="A2652" t="s">
        <v>6333</v>
      </c>
      <c r="B2652" t="s">
        <v>79</v>
      </c>
      <c r="C2652" t="s">
        <v>6334</v>
      </c>
      <c r="D2652" t="s">
        <v>81</v>
      </c>
      <c r="E2652" s="2" t="str">
        <f>HYPERLINK("capsilon://?command=openfolder&amp;siteaddress=FAM.docvelocity-na8.net&amp;folderid=FX8720BA28-B842-5A01-55CF-2CC0D93DFC32","FX210112580")</f>
        <v>FX210112580</v>
      </c>
      <c r="F2652" t="s">
        <v>19</v>
      </c>
      <c r="G2652" t="s">
        <v>19</v>
      </c>
      <c r="H2652" t="s">
        <v>82</v>
      </c>
      <c r="I2652" t="s">
        <v>6335</v>
      </c>
      <c r="J2652">
        <v>196</v>
      </c>
      <c r="K2652" t="s">
        <v>84</v>
      </c>
      <c r="L2652" t="s">
        <v>85</v>
      </c>
      <c r="M2652" t="s">
        <v>86</v>
      </c>
      <c r="N2652">
        <v>3</v>
      </c>
      <c r="O2652" s="1">
        <v>44222.428923611114</v>
      </c>
      <c r="P2652" s="1">
        <v>44222.484050925923</v>
      </c>
      <c r="Q2652">
        <v>2773</v>
      </c>
      <c r="R2652">
        <v>1990</v>
      </c>
      <c r="S2652" t="b">
        <v>0</v>
      </c>
      <c r="T2652" t="s">
        <v>87</v>
      </c>
      <c r="U2652" t="b">
        <v>0</v>
      </c>
      <c r="V2652" t="s">
        <v>919</v>
      </c>
      <c r="W2652" s="1">
        <v>44222.463935185187</v>
      </c>
      <c r="X2652">
        <v>1564</v>
      </c>
      <c r="Y2652">
        <v>153</v>
      </c>
      <c r="Z2652">
        <v>0</v>
      </c>
      <c r="AA2652">
        <v>153</v>
      </c>
      <c r="AB2652">
        <v>0</v>
      </c>
      <c r="AC2652">
        <v>26</v>
      </c>
      <c r="AD2652">
        <v>43</v>
      </c>
      <c r="AE2652">
        <v>0</v>
      </c>
      <c r="AF2652">
        <v>0</v>
      </c>
      <c r="AG2652">
        <v>0</v>
      </c>
      <c r="AH2652" t="s">
        <v>132</v>
      </c>
      <c r="AI2652" s="1">
        <v>44222.480983796297</v>
      </c>
      <c r="AJ2652">
        <v>397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43</v>
      </c>
      <c r="AQ2652">
        <v>0</v>
      </c>
      <c r="AR2652">
        <v>0</v>
      </c>
      <c r="AS2652">
        <v>0</v>
      </c>
      <c r="AT2652" t="s">
        <v>90</v>
      </c>
      <c r="AU2652" s="1">
        <v>44222.484050925923</v>
      </c>
      <c r="AV2652">
        <v>22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43</v>
      </c>
      <c r="BC2652">
        <v>0</v>
      </c>
      <c r="BD2652">
        <v>0</v>
      </c>
      <c r="BE2652">
        <v>0</v>
      </c>
    </row>
    <row r="2653" spans="1:57" x14ac:dyDescent="0.45">
      <c r="A2653" t="s">
        <v>6336</v>
      </c>
      <c r="B2653" t="s">
        <v>79</v>
      </c>
      <c r="C2653" t="s">
        <v>6337</v>
      </c>
      <c r="D2653" t="s">
        <v>81</v>
      </c>
      <c r="E2653" s="2" t="str">
        <f>HYPERLINK("capsilon://?command=openfolder&amp;siteaddress=FAM.docvelocity-na8.net&amp;folderid=FXC95795F0-B6FA-6EA6-7D00-130E8D48ECDF","FX21011540")</f>
        <v>FX21011540</v>
      </c>
      <c r="F2653" t="s">
        <v>19</v>
      </c>
      <c r="G2653" t="s">
        <v>19</v>
      </c>
      <c r="H2653" t="s">
        <v>82</v>
      </c>
      <c r="I2653" t="s">
        <v>6338</v>
      </c>
      <c r="J2653">
        <v>406</v>
      </c>
      <c r="K2653" t="s">
        <v>84</v>
      </c>
      <c r="L2653" t="s">
        <v>85</v>
      </c>
      <c r="M2653" t="s">
        <v>86</v>
      </c>
      <c r="N2653">
        <v>3</v>
      </c>
      <c r="O2653" s="1">
        <v>44222.430474537039</v>
      </c>
      <c r="P2653" s="1">
        <v>44222.55804398148</v>
      </c>
      <c r="Q2653">
        <v>2528</v>
      </c>
      <c r="R2653">
        <v>8494</v>
      </c>
      <c r="S2653" t="b">
        <v>0</v>
      </c>
      <c r="T2653" t="s">
        <v>87</v>
      </c>
      <c r="U2653" t="b">
        <v>0</v>
      </c>
      <c r="V2653" t="s">
        <v>160</v>
      </c>
      <c r="W2653" s="1">
        <v>44222.526458333334</v>
      </c>
      <c r="X2653">
        <v>6946</v>
      </c>
      <c r="Y2653">
        <v>516</v>
      </c>
      <c r="Z2653">
        <v>0</v>
      </c>
      <c r="AA2653">
        <v>516</v>
      </c>
      <c r="AB2653">
        <v>0</v>
      </c>
      <c r="AC2653">
        <v>415</v>
      </c>
      <c r="AD2653">
        <v>-110</v>
      </c>
      <c r="AE2653">
        <v>0</v>
      </c>
      <c r="AF2653">
        <v>0</v>
      </c>
      <c r="AG2653">
        <v>0</v>
      </c>
      <c r="AH2653" t="s">
        <v>128</v>
      </c>
      <c r="AI2653" s="1">
        <v>44222.556608796294</v>
      </c>
      <c r="AJ2653">
        <v>1498</v>
      </c>
      <c r="AK2653">
        <v>16</v>
      </c>
      <c r="AL2653">
        <v>0</v>
      </c>
      <c r="AM2653">
        <v>16</v>
      </c>
      <c r="AN2653">
        <v>0</v>
      </c>
      <c r="AO2653">
        <v>16</v>
      </c>
      <c r="AP2653">
        <v>-126</v>
      </c>
      <c r="AQ2653">
        <v>0</v>
      </c>
      <c r="AR2653">
        <v>0</v>
      </c>
      <c r="AS2653">
        <v>0</v>
      </c>
      <c r="AT2653" t="s">
        <v>90</v>
      </c>
      <c r="AU2653" s="1">
        <v>44222.55804398148</v>
      </c>
      <c r="AV2653">
        <v>38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-126</v>
      </c>
      <c r="BC2653">
        <v>0</v>
      </c>
      <c r="BD2653">
        <v>0</v>
      </c>
      <c r="BE2653">
        <v>0</v>
      </c>
    </row>
    <row r="2654" spans="1:57" x14ac:dyDescent="0.45">
      <c r="A2654" t="s">
        <v>6339</v>
      </c>
      <c r="B2654" t="s">
        <v>79</v>
      </c>
      <c r="C2654" t="s">
        <v>6340</v>
      </c>
      <c r="D2654" t="s">
        <v>81</v>
      </c>
      <c r="E2654" s="2" t="str">
        <f>HYPERLINK("capsilon://?command=openfolder&amp;siteaddress=FAM.docvelocity-na8.net&amp;folderid=FX94A33125-5CED-4C23-B608-64E52573D9B3","FX210115301")</f>
        <v>FX210115301</v>
      </c>
      <c r="F2654" t="s">
        <v>19</v>
      </c>
      <c r="G2654" t="s">
        <v>19</v>
      </c>
      <c r="H2654" t="s">
        <v>82</v>
      </c>
      <c r="I2654" t="s">
        <v>6341</v>
      </c>
      <c r="J2654">
        <v>38</v>
      </c>
      <c r="K2654" t="s">
        <v>84</v>
      </c>
      <c r="L2654" t="s">
        <v>85</v>
      </c>
      <c r="M2654" t="s">
        <v>86</v>
      </c>
      <c r="N2654">
        <v>3</v>
      </c>
      <c r="O2654" s="1">
        <v>44222.431817129633</v>
      </c>
      <c r="P2654" s="1">
        <v>44222.478472222225</v>
      </c>
      <c r="Q2654">
        <v>3085</v>
      </c>
      <c r="R2654">
        <v>946</v>
      </c>
      <c r="S2654" t="b">
        <v>0</v>
      </c>
      <c r="T2654" t="s">
        <v>87</v>
      </c>
      <c r="U2654" t="b">
        <v>0</v>
      </c>
      <c r="V2654" t="s">
        <v>179</v>
      </c>
      <c r="W2654" s="1">
        <v>44222.458368055559</v>
      </c>
      <c r="X2654">
        <v>834</v>
      </c>
      <c r="Y2654">
        <v>37</v>
      </c>
      <c r="Z2654">
        <v>0</v>
      </c>
      <c r="AA2654">
        <v>37</v>
      </c>
      <c r="AB2654">
        <v>0</v>
      </c>
      <c r="AC2654">
        <v>27</v>
      </c>
      <c r="AD2654">
        <v>1</v>
      </c>
      <c r="AE2654">
        <v>0</v>
      </c>
      <c r="AF2654">
        <v>0</v>
      </c>
      <c r="AG2654">
        <v>0</v>
      </c>
      <c r="AH2654" t="s">
        <v>94</v>
      </c>
      <c r="AI2654" s="1">
        <v>44222.477719907409</v>
      </c>
      <c r="AJ2654">
        <v>106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 t="s">
        <v>90</v>
      </c>
      <c r="AU2654" s="1">
        <v>44222.478472222225</v>
      </c>
      <c r="AV2654">
        <v>6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1</v>
      </c>
      <c r="BC2654">
        <v>0</v>
      </c>
      <c r="BD2654">
        <v>0</v>
      </c>
      <c r="BE2654">
        <v>0</v>
      </c>
    </row>
    <row r="2655" spans="1:57" hidden="1" x14ac:dyDescent="0.45">
      <c r="A2655" t="s">
        <v>6342</v>
      </c>
      <c r="B2655" t="s">
        <v>79</v>
      </c>
      <c r="C2655" t="s">
        <v>346</v>
      </c>
      <c r="D2655" t="s">
        <v>81</v>
      </c>
      <c r="E2655" s="2" t="str">
        <f>HYPERLINK("capsilon://?command=openfolder&amp;siteaddress=FAM.docvelocity-na8.net&amp;folderid=FX463D5318-D956-0F6F-56FC-642CE044B762","FX20121355")</f>
        <v>FX20121355</v>
      </c>
      <c r="F2655" t="s">
        <v>19</v>
      </c>
      <c r="G2655" t="s">
        <v>19</v>
      </c>
      <c r="H2655" t="s">
        <v>82</v>
      </c>
      <c r="I2655" t="s">
        <v>6343</v>
      </c>
      <c r="J2655">
        <v>66</v>
      </c>
      <c r="K2655" t="s">
        <v>84</v>
      </c>
      <c r="L2655" t="s">
        <v>85</v>
      </c>
      <c r="M2655" t="s">
        <v>86</v>
      </c>
      <c r="N2655">
        <v>3</v>
      </c>
      <c r="O2655" s="1">
        <v>44222.436041666668</v>
      </c>
      <c r="P2655" s="1">
        <v>44222.478668981479</v>
      </c>
      <c r="Q2655">
        <v>3520</v>
      </c>
      <c r="R2655">
        <v>163</v>
      </c>
      <c r="S2655" t="b">
        <v>0</v>
      </c>
      <c r="T2655" t="s">
        <v>87</v>
      </c>
      <c r="U2655" t="b">
        <v>0</v>
      </c>
      <c r="V2655" t="s">
        <v>168</v>
      </c>
      <c r="W2655" s="1">
        <v>44222.450486111113</v>
      </c>
      <c r="X2655">
        <v>98</v>
      </c>
      <c r="Y2655">
        <v>0</v>
      </c>
      <c r="Z2655">
        <v>0</v>
      </c>
      <c r="AA2655">
        <v>0</v>
      </c>
      <c r="AB2655">
        <v>52</v>
      </c>
      <c r="AC2655">
        <v>0</v>
      </c>
      <c r="AD2655">
        <v>66</v>
      </c>
      <c r="AE2655">
        <v>0</v>
      </c>
      <c r="AF2655">
        <v>0</v>
      </c>
      <c r="AG2655">
        <v>0</v>
      </c>
      <c r="AH2655" t="s">
        <v>89</v>
      </c>
      <c r="AI2655" s="1">
        <v>44222.477951388886</v>
      </c>
      <c r="AJ2655">
        <v>49</v>
      </c>
      <c r="AK2655">
        <v>0</v>
      </c>
      <c r="AL2655">
        <v>0</v>
      </c>
      <c r="AM2655">
        <v>0</v>
      </c>
      <c r="AN2655">
        <v>52</v>
      </c>
      <c r="AO2655">
        <v>0</v>
      </c>
      <c r="AP2655">
        <v>66</v>
      </c>
      <c r="AQ2655">
        <v>0</v>
      </c>
      <c r="AR2655">
        <v>0</v>
      </c>
      <c r="AS2655">
        <v>0</v>
      </c>
      <c r="AT2655" t="s">
        <v>90</v>
      </c>
      <c r="AU2655" s="1">
        <v>44222.478668981479</v>
      </c>
      <c r="AV2655">
        <v>16</v>
      </c>
      <c r="AW2655">
        <v>0</v>
      </c>
      <c r="AX2655">
        <v>0</v>
      </c>
      <c r="AY2655">
        <v>0</v>
      </c>
      <c r="AZ2655">
        <v>52</v>
      </c>
      <c r="BA2655">
        <v>0</v>
      </c>
      <c r="BB2655">
        <v>66</v>
      </c>
      <c r="BC2655">
        <v>0</v>
      </c>
      <c r="BD2655">
        <v>0</v>
      </c>
      <c r="BE2655">
        <v>0</v>
      </c>
    </row>
    <row r="2656" spans="1:57" x14ac:dyDescent="0.45">
      <c r="A2656" t="s">
        <v>6344</v>
      </c>
      <c r="B2656" t="s">
        <v>79</v>
      </c>
      <c r="C2656" t="s">
        <v>6345</v>
      </c>
      <c r="D2656" t="s">
        <v>81</v>
      </c>
      <c r="E2656" s="2" t="str">
        <f>HYPERLINK("capsilon://?command=openfolder&amp;siteaddress=FAM.docvelocity-na8.net&amp;folderid=FX3011C186-3B36-98E0-FF93-75F971943288","FX210114901")</f>
        <v>FX210114901</v>
      </c>
      <c r="F2656" t="s">
        <v>19</v>
      </c>
      <c r="G2656" t="s">
        <v>19</v>
      </c>
      <c r="H2656" t="s">
        <v>82</v>
      </c>
      <c r="I2656" t="s">
        <v>6346</v>
      </c>
      <c r="J2656">
        <v>166</v>
      </c>
      <c r="K2656" t="s">
        <v>84</v>
      </c>
      <c r="L2656" t="s">
        <v>85</v>
      </c>
      <c r="M2656" t="s">
        <v>86</v>
      </c>
      <c r="N2656">
        <v>3</v>
      </c>
      <c r="O2656" s="1">
        <v>44222.436273148145</v>
      </c>
      <c r="P2656" s="1">
        <v>44222.545752314814</v>
      </c>
      <c r="Q2656">
        <v>6074</v>
      </c>
      <c r="R2656">
        <v>3385</v>
      </c>
      <c r="S2656" t="b">
        <v>0</v>
      </c>
      <c r="T2656" t="s">
        <v>87</v>
      </c>
      <c r="U2656" t="b">
        <v>0</v>
      </c>
      <c r="V2656" t="s">
        <v>142</v>
      </c>
      <c r="W2656" s="1">
        <v>44222.474652777775</v>
      </c>
      <c r="X2656">
        <v>2138</v>
      </c>
      <c r="Y2656">
        <v>127</v>
      </c>
      <c r="Z2656">
        <v>0</v>
      </c>
      <c r="AA2656">
        <v>127</v>
      </c>
      <c r="AB2656">
        <v>37</v>
      </c>
      <c r="AC2656">
        <v>82</v>
      </c>
      <c r="AD2656">
        <v>39</v>
      </c>
      <c r="AE2656">
        <v>0</v>
      </c>
      <c r="AF2656">
        <v>0</v>
      </c>
      <c r="AG2656">
        <v>0</v>
      </c>
      <c r="AH2656" t="s">
        <v>89</v>
      </c>
      <c r="AI2656" s="1">
        <v>44222.49015046296</v>
      </c>
      <c r="AJ2656">
        <v>1053</v>
      </c>
      <c r="AK2656">
        <v>0</v>
      </c>
      <c r="AL2656">
        <v>0</v>
      </c>
      <c r="AM2656">
        <v>0</v>
      </c>
      <c r="AN2656">
        <v>37</v>
      </c>
      <c r="AO2656">
        <v>0</v>
      </c>
      <c r="AP2656">
        <v>39</v>
      </c>
      <c r="AQ2656">
        <v>0</v>
      </c>
      <c r="AR2656">
        <v>0</v>
      </c>
      <c r="AS2656">
        <v>0</v>
      </c>
      <c r="AT2656" t="s">
        <v>90</v>
      </c>
      <c r="AU2656" s="1">
        <v>44222.545752314814</v>
      </c>
      <c r="AV2656">
        <v>186</v>
      </c>
      <c r="AW2656">
        <v>0</v>
      </c>
      <c r="AX2656">
        <v>0</v>
      </c>
      <c r="AY2656">
        <v>0</v>
      </c>
      <c r="AZ2656">
        <v>37</v>
      </c>
      <c r="BA2656">
        <v>0</v>
      </c>
      <c r="BB2656">
        <v>39</v>
      </c>
      <c r="BC2656">
        <v>0</v>
      </c>
      <c r="BD2656">
        <v>0</v>
      </c>
      <c r="BE2656">
        <v>0</v>
      </c>
    </row>
    <row r="2657" spans="1:57" hidden="1" x14ac:dyDescent="0.45">
      <c r="A2657" t="s">
        <v>6347</v>
      </c>
      <c r="B2657" t="s">
        <v>79</v>
      </c>
      <c r="C2657" t="s">
        <v>2816</v>
      </c>
      <c r="D2657" t="s">
        <v>81</v>
      </c>
      <c r="E2657" s="2" t="str">
        <f>HYPERLINK("capsilon://?command=openfolder&amp;siteaddress=FAM.docvelocity-na8.net&amp;folderid=FX672373A6-312E-34C7-66AE-B28921FFE6D9","FX20128557")</f>
        <v>FX20128557</v>
      </c>
      <c r="F2657" t="s">
        <v>19</v>
      </c>
      <c r="G2657" t="s">
        <v>19</v>
      </c>
      <c r="H2657" t="s">
        <v>82</v>
      </c>
      <c r="I2657" t="s">
        <v>6348</v>
      </c>
      <c r="J2657">
        <v>66</v>
      </c>
      <c r="K2657" t="s">
        <v>84</v>
      </c>
      <c r="L2657" t="s">
        <v>85</v>
      </c>
      <c r="M2657" t="s">
        <v>86</v>
      </c>
      <c r="N2657">
        <v>3</v>
      </c>
      <c r="O2657" s="1">
        <v>44222.44021990741</v>
      </c>
      <c r="P2657" s="1">
        <v>44222.484097222223</v>
      </c>
      <c r="Q2657">
        <v>3600</v>
      </c>
      <c r="R2657">
        <v>191</v>
      </c>
      <c r="S2657" t="b">
        <v>0</v>
      </c>
      <c r="T2657" t="s">
        <v>87</v>
      </c>
      <c r="U2657" t="b">
        <v>0</v>
      </c>
      <c r="V2657" t="s">
        <v>168</v>
      </c>
      <c r="W2657" s="1">
        <v>44222.451631944445</v>
      </c>
      <c r="X2657">
        <v>98</v>
      </c>
      <c r="Y2657">
        <v>0</v>
      </c>
      <c r="Z2657">
        <v>0</v>
      </c>
      <c r="AA2657">
        <v>0</v>
      </c>
      <c r="AB2657">
        <v>52</v>
      </c>
      <c r="AC2657">
        <v>0</v>
      </c>
      <c r="AD2657">
        <v>66</v>
      </c>
      <c r="AE2657">
        <v>0</v>
      </c>
      <c r="AF2657">
        <v>0</v>
      </c>
      <c r="AG2657">
        <v>0</v>
      </c>
      <c r="AH2657" t="s">
        <v>94</v>
      </c>
      <c r="AI2657" s="1">
        <v>44222.479155092595</v>
      </c>
      <c r="AJ2657">
        <v>80</v>
      </c>
      <c r="AK2657">
        <v>0</v>
      </c>
      <c r="AL2657">
        <v>0</v>
      </c>
      <c r="AM2657">
        <v>0</v>
      </c>
      <c r="AN2657">
        <v>52</v>
      </c>
      <c r="AO2657">
        <v>0</v>
      </c>
      <c r="AP2657">
        <v>66</v>
      </c>
      <c r="AQ2657">
        <v>0</v>
      </c>
      <c r="AR2657">
        <v>0</v>
      </c>
      <c r="AS2657">
        <v>0</v>
      </c>
      <c r="AT2657" t="s">
        <v>90</v>
      </c>
      <c r="AU2657" s="1">
        <v>44222.484097222223</v>
      </c>
      <c r="AV2657">
        <v>3</v>
      </c>
      <c r="AW2657">
        <v>0</v>
      </c>
      <c r="AX2657">
        <v>0</v>
      </c>
      <c r="AY2657">
        <v>0</v>
      </c>
      <c r="AZ2657">
        <v>52</v>
      </c>
      <c r="BA2657">
        <v>0</v>
      </c>
      <c r="BB2657">
        <v>66</v>
      </c>
      <c r="BC2657">
        <v>0</v>
      </c>
      <c r="BD2657">
        <v>0</v>
      </c>
      <c r="BE2657">
        <v>0</v>
      </c>
    </row>
    <row r="2658" spans="1:57" hidden="1" x14ac:dyDescent="0.45">
      <c r="A2658" t="s">
        <v>6349</v>
      </c>
      <c r="B2658" t="s">
        <v>79</v>
      </c>
      <c r="C2658" t="s">
        <v>2816</v>
      </c>
      <c r="D2658" t="s">
        <v>81</v>
      </c>
      <c r="E2658" s="2" t="str">
        <f>HYPERLINK("capsilon://?command=openfolder&amp;siteaddress=FAM.docvelocity-na8.net&amp;folderid=FX672373A6-312E-34C7-66AE-B28921FFE6D9","FX20128557")</f>
        <v>FX20128557</v>
      </c>
      <c r="F2658" t="s">
        <v>19</v>
      </c>
      <c r="G2658" t="s">
        <v>19</v>
      </c>
      <c r="H2658" t="s">
        <v>82</v>
      </c>
      <c r="I2658" t="s">
        <v>6350</v>
      </c>
      <c r="J2658">
        <v>66</v>
      </c>
      <c r="K2658" t="s">
        <v>84</v>
      </c>
      <c r="L2658" t="s">
        <v>85</v>
      </c>
      <c r="M2658" t="s">
        <v>86</v>
      </c>
      <c r="N2658">
        <v>1</v>
      </c>
      <c r="O2658" s="1">
        <v>44222.440520833334</v>
      </c>
      <c r="P2658" s="1">
        <v>44222.452638888892</v>
      </c>
      <c r="Q2658">
        <v>947</v>
      </c>
      <c r="R2658">
        <v>100</v>
      </c>
      <c r="S2658" t="b">
        <v>0</v>
      </c>
      <c r="T2658" t="s">
        <v>87</v>
      </c>
      <c r="U2658" t="b">
        <v>0</v>
      </c>
      <c r="V2658" t="s">
        <v>171</v>
      </c>
      <c r="W2658" s="1">
        <v>44222.452638888892</v>
      </c>
      <c r="X2658">
        <v>100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66</v>
      </c>
      <c r="AE2658">
        <v>52</v>
      </c>
      <c r="AF2658">
        <v>0</v>
      </c>
      <c r="AG2658">
        <v>1</v>
      </c>
      <c r="AH2658" t="s">
        <v>87</v>
      </c>
      <c r="AI2658" t="s">
        <v>87</v>
      </c>
      <c r="AJ2658" t="s">
        <v>87</v>
      </c>
      <c r="AK2658" t="s">
        <v>87</v>
      </c>
      <c r="AL2658" t="s">
        <v>87</v>
      </c>
      <c r="AM2658" t="s">
        <v>87</v>
      </c>
      <c r="AN2658" t="s">
        <v>87</v>
      </c>
      <c r="AO2658" t="s">
        <v>87</v>
      </c>
      <c r="AP2658" t="s">
        <v>87</v>
      </c>
      <c r="AQ2658" t="s">
        <v>87</v>
      </c>
      <c r="AR2658" t="s">
        <v>87</v>
      </c>
      <c r="AS2658" t="s">
        <v>87</v>
      </c>
      <c r="AT2658" t="s">
        <v>87</v>
      </c>
      <c r="AU2658" t="s">
        <v>87</v>
      </c>
      <c r="AV2658" t="s">
        <v>87</v>
      </c>
      <c r="AW2658" t="s">
        <v>87</v>
      </c>
      <c r="AX2658" t="s">
        <v>87</v>
      </c>
      <c r="AY2658" t="s">
        <v>87</v>
      </c>
      <c r="AZ2658" t="s">
        <v>87</v>
      </c>
      <c r="BA2658" t="s">
        <v>87</v>
      </c>
      <c r="BB2658" t="s">
        <v>87</v>
      </c>
      <c r="BC2658" t="s">
        <v>87</v>
      </c>
      <c r="BD2658" t="s">
        <v>87</v>
      </c>
      <c r="BE2658" t="s">
        <v>87</v>
      </c>
    </row>
    <row r="2659" spans="1:57" x14ac:dyDescent="0.45">
      <c r="A2659" t="s">
        <v>6351</v>
      </c>
      <c r="B2659" t="s">
        <v>79</v>
      </c>
      <c r="C2659" t="s">
        <v>6352</v>
      </c>
      <c r="D2659" t="s">
        <v>81</v>
      </c>
      <c r="E2659" s="2" t="str">
        <f>HYPERLINK("capsilon://?command=openfolder&amp;siteaddress=FAM.docvelocity-na8.net&amp;folderid=FXA2E15EB5-A986-2FBD-082D-227E5B9269C5","FX210114045")</f>
        <v>FX210114045</v>
      </c>
      <c r="F2659" t="s">
        <v>19</v>
      </c>
      <c r="G2659" t="s">
        <v>19</v>
      </c>
      <c r="H2659" t="s">
        <v>82</v>
      </c>
      <c r="I2659" t="s">
        <v>6353</v>
      </c>
      <c r="J2659">
        <v>76</v>
      </c>
      <c r="K2659" t="s">
        <v>84</v>
      </c>
      <c r="L2659" t="s">
        <v>85</v>
      </c>
      <c r="M2659" t="s">
        <v>86</v>
      </c>
      <c r="N2659">
        <v>3</v>
      </c>
      <c r="O2659" s="1">
        <v>44222.441620370373</v>
      </c>
      <c r="P2659" s="1">
        <v>44222.484236111108</v>
      </c>
      <c r="Q2659">
        <v>2100</v>
      </c>
      <c r="R2659">
        <v>1582</v>
      </c>
      <c r="S2659" t="b">
        <v>0</v>
      </c>
      <c r="T2659" t="s">
        <v>87</v>
      </c>
      <c r="U2659" t="b">
        <v>0</v>
      </c>
      <c r="V2659" t="s">
        <v>168</v>
      </c>
      <c r="W2659" s="1">
        <v>44222.46802083333</v>
      </c>
      <c r="X2659">
        <v>1415</v>
      </c>
      <c r="Y2659">
        <v>74</v>
      </c>
      <c r="Z2659">
        <v>0</v>
      </c>
      <c r="AA2659">
        <v>74</v>
      </c>
      <c r="AB2659">
        <v>0</v>
      </c>
      <c r="AC2659">
        <v>48</v>
      </c>
      <c r="AD2659">
        <v>2</v>
      </c>
      <c r="AE2659">
        <v>0</v>
      </c>
      <c r="AF2659">
        <v>0</v>
      </c>
      <c r="AG2659">
        <v>0</v>
      </c>
      <c r="AH2659" t="s">
        <v>132</v>
      </c>
      <c r="AI2659" s="1">
        <v>44222.482395833336</v>
      </c>
      <c r="AJ2659">
        <v>121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2</v>
      </c>
      <c r="AQ2659">
        <v>0</v>
      </c>
      <c r="AR2659">
        <v>0</v>
      </c>
      <c r="AS2659">
        <v>0</v>
      </c>
      <c r="AT2659" t="s">
        <v>90</v>
      </c>
      <c r="AU2659" s="1">
        <v>44222.484236111108</v>
      </c>
      <c r="AV2659">
        <v>12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2</v>
      </c>
      <c r="BC2659">
        <v>0</v>
      </c>
      <c r="BD2659">
        <v>0</v>
      </c>
      <c r="BE2659">
        <v>0</v>
      </c>
    </row>
    <row r="2660" spans="1:57" x14ac:dyDescent="0.45">
      <c r="A2660" t="s">
        <v>6354</v>
      </c>
      <c r="B2660" t="s">
        <v>79</v>
      </c>
      <c r="C2660" t="s">
        <v>3281</v>
      </c>
      <c r="D2660" t="s">
        <v>81</v>
      </c>
      <c r="E2660" s="2" t="str">
        <f>HYPERLINK("capsilon://?command=openfolder&amp;siteaddress=FAM.docvelocity-na8.net&amp;folderid=FX99EC845C-AEB1-33DF-777F-EB2A14AD452E","FX21018249")</f>
        <v>FX21018249</v>
      </c>
      <c r="F2660" t="s">
        <v>19</v>
      </c>
      <c r="G2660" t="s">
        <v>19</v>
      </c>
      <c r="H2660" t="s">
        <v>82</v>
      </c>
      <c r="I2660" t="s">
        <v>6355</v>
      </c>
      <c r="J2660">
        <v>38</v>
      </c>
      <c r="K2660" t="s">
        <v>84</v>
      </c>
      <c r="L2660" t="s">
        <v>85</v>
      </c>
      <c r="M2660" t="s">
        <v>86</v>
      </c>
      <c r="N2660">
        <v>3</v>
      </c>
      <c r="O2660" s="1">
        <v>44222.442835648151</v>
      </c>
      <c r="P2660" s="1">
        <v>44222.485312500001</v>
      </c>
      <c r="Q2660">
        <v>2630</v>
      </c>
      <c r="R2660">
        <v>1040</v>
      </c>
      <c r="S2660" t="b">
        <v>0</v>
      </c>
      <c r="T2660" t="s">
        <v>87</v>
      </c>
      <c r="U2660" t="b">
        <v>0</v>
      </c>
      <c r="V2660" t="s">
        <v>171</v>
      </c>
      <c r="W2660" s="1">
        <v>44222.461053240739</v>
      </c>
      <c r="X2660">
        <v>726</v>
      </c>
      <c r="Y2660">
        <v>37</v>
      </c>
      <c r="Z2660">
        <v>0</v>
      </c>
      <c r="AA2660">
        <v>37</v>
      </c>
      <c r="AB2660">
        <v>0</v>
      </c>
      <c r="AC2660">
        <v>35</v>
      </c>
      <c r="AD2660">
        <v>1</v>
      </c>
      <c r="AE2660">
        <v>0</v>
      </c>
      <c r="AF2660">
        <v>0</v>
      </c>
      <c r="AG2660">
        <v>0</v>
      </c>
      <c r="AH2660" t="s">
        <v>94</v>
      </c>
      <c r="AI2660" s="1">
        <v>44222.484780092593</v>
      </c>
      <c r="AJ2660">
        <v>307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 t="s">
        <v>90</v>
      </c>
      <c r="AU2660" s="1">
        <v>44222.485312500001</v>
      </c>
      <c r="AV2660">
        <v>7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1</v>
      </c>
      <c r="BC2660">
        <v>0</v>
      </c>
      <c r="BD2660">
        <v>0</v>
      </c>
      <c r="BE2660">
        <v>0</v>
      </c>
    </row>
    <row r="2661" spans="1:57" x14ac:dyDescent="0.45">
      <c r="A2661" t="s">
        <v>6356</v>
      </c>
      <c r="B2661" t="s">
        <v>79</v>
      </c>
      <c r="C2661" t="s">
        <v>2573</v>
      </c>
      <c r="D2661" t="s">
        <v>81</v>
      </c>
      <c r="E2661" s="2" t="str">
        <f>HYPERLINK("capsilon://?command=openfolder&amp;siteaddress=FAM.docvelocity-na8.net&amp;folderid=FX21B6CEBD-8282-79F2-14FD-082C00B63E23","FX201221349")</f>
        <v>FX201221349</v>
      </c>
      <c r="F2661" t="s">
        <v>19</v>
      </c>
      <c r="G2661" t="s">
        <v>19</v>
      </c>
      <c r="H2661" t="s">
        <v>82</v>
      </c>
      <c r="I2661" t="s">
        <v>6357</v>
      </c>
      <c r="J2661">
        <v>65</v>
      </c>
      <c r="K2661" t="s">
        <v>84</v>
      </c>
      <c r="L2661" t="s">
        <v>85</v>
      </c>
      <c r="M2661" t="s">
        <v>86</v>
      </c>
      <c r="N2661">
        <v>3</v>
      </c>
      <c r="O2661" s="1">
        <v>44222.443564814814</v>
      </c>
      <c r="P2661" s="1">
        <v>44222.546840277777</v>
      </c>
      <c r="Q2661">
        <v>6846</v>
      </c>
      <c r="R2661">
        <v>2077</v>
      </c>
      <c r="S2661" t="b">
        <v>0</v>
      </c>
      <c r="T2661" t="s">
        <v>87</v>
      </c>
      <c r="U2661" t="b">
        <v>0</v>
      </c>
      <c r="V2661" t="s">
        <v>98</v>
      </c>
      <c r="W2661" s="1">
        <v>44222.471608796295</v>
      </c>
      <c r="X2661">
        <v>1596</v>
      </c>
      <c r="Y2661">
        <v>81</v>
      </c>
      <c r="Z2661">
        <v>0</v>
      </c>
      <c r="AA2661">
        <v>81</v>
      </c>
      <c r="AB2661">
        <v>0</v>
      </c>
      <c r="AC2661">
        <v>47</v>
      </c>
      <c r="AD2661">
        <v>-16</v>
      </c>
      <c r="AE2661">
        <v>0</v>
      </c>
      <c r="AF2661">
        <v>0</v>
      </c>
      <c r="AG2661">
        <v>0</v>
      </c>
      <c r="AH2661" t="s">
        <v>132</v>
      </c>
      <c r="AI2661" s="1">
        <v>44222.486898148149</v>
      </c>
      <c r="AJ2661">
        <v>388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-16</v>
      </c>
      <c r="AQ2661">
        <v>0</v>
      </c>
      <c r="AR2661">
        <v>0</v>
      </c>
      <c r="AS2661">
        <v>0</v>
      </c>
      <c r="AT2661" t="s">
        <v>90</v>
      </c>
      <c r="AU2661" s="1">
        <v>44222.546840277777</v>
      </c>
      <c r="AV2661">
        <v>93</v>
      </c>
      <c r="AW2661">
        <v>2</v>
      </c>
      <c r="AX2661">
        <v>0</v>
      </c>
      <c r="AY2661">
        <v>2</v>
      </c>
      <c r="AZ2661">
        <v>0</v>
      </c>
      <c r="BA2661">
        <v>2</v>
      </c>
      <c r="BB2661">
        <v>-18</v>
      </c>
      <c r="BC2661">
        <v>0</v>
      </c>
      <c r="BD2661">
        <v>0</v>
      </c>
      <c r="BE2661">
        <v>0</v>
      </c>
    </row>
    <row r="2662" spans="1:57" x14ac:dyDescent="0.45">
      <c r="A2662" t="s">
        <v>6358</v>
      </c>
      <c r="B2662" t="s">
        <v>79</v>
      </c>
      <c r="C2662" t="s">
        <v>2102</v>
      </c>
      <c r="D2662" t="s">
        <v>81</v>
      </c>
      <c r="E2662" s="2" t="str">
        <f>HYPERLINK("capsilon://?command=openfolder&amp;siteaddress=FAM.docvelocity-na8.net&amp;folderid=FXCBEC016C-6E5B-17EE-86F3-521CCC5918A0","FX201227908")</f>
        <v>FX201227908</v>
      </c>
      <c r="F2662" t="s">
        <v>19</v>
      </c>
      <c r="G2662" t="s">
        <v>19</v>
      </c>
      <c r="H2662" t="s">
        <v>82</v>
      </c>
      <c r="I2662" t="s">
        <v>6359</v>
      </c>
      <c r="J2662">
        <v>66</v>
      </c>
      <c r="K2662" t="s">
        <v>84</v>
      </c>
      <c r="L2662" t="s">
        <v>85</v>
      </c>
      <c r="M2662" t="s">
        <v>86</v>
      </c>
      <c r="N2662">
        <v>3</v>
      </c>
      <c r="O2662" s="1">
        <v>44201.61178240741</v>
      </c>
      <c r="P2662" s="1">
        <v>44201.630069444444</v>
      </c>
      <c r="Q2662">
        <v>1030</v>
      </c>
      <c r="R2662">
        <v>550</v>
      </c>
      <c r="S2662" t="b">
        <v>0</v>
      </c>
      <c r="T2662" t="s">
        <v>87</v>
      </c>
      <c r="U2662" t="b">
        <v>0</v>
      </c>
      <c r="V2662" t="s">
        <v>255</v>
      </c>
      <c r="W2662" s="1">
        <v>44201.615393518521</v>
      </c>
      <c r="X2662">
        <v>305</v>
      </c>
      <c r="Y2662">
        <v>52</v>
      </c>
      <c r="Z2662">
        <v>0</v>
      </c>
      <c r="AA2662">
        <v>52</v>
      </c>
      <c r="AB2662">
        <v>0</v>
      </c>
      <c r="AC2662">
        <v>28</v>
      </c>
      <c r="AD2662">
        <v>14</v>
      </c>
      <c r="AE2662">
        <v>0</v>
      </c>
      <c r="AF2662">
        <v>0</v>
      </c>
      <c r="AG2662">
        <v>0</v>
      </c>
      <c r="AH2662" t="s">
        <v>267</v>
      </c>
      <c r="AI2662" s="1">
        <v>44201.620208333334</v>
      </c>
      <c r="AJ2662">
        <v>138</v>
      </c>
      <c r="AK2662">
        <v>2</v>
      </c>
      <c r="AL2662">
        <v>0</v>
      </c>
      <c r="AM2662">
        <v>2</v>
      </c>
      <c r="AN2662">
        <v>0</v>
      </c>
      <c r="AO2662">
        <v>1</v>
      </c>
      <c r="AP2662">
        <v>12</v>
      </c>
      <c r="AQ2662">
        <v>0</v>
      </c>
      <c r="AR2662">
        <v>0</v>
      </c>
      <c r="AS2662">
        <v>0</v>
      </c>
      <c r="AT2662" t="s">
        <v>90</v>
      </c>
      <c r="AU2662" s="1">
        <v>44201.630069444444</v>
      </c>
      <c r="AV2662">
        <v>107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12</v>
      </c>
      <c r="BC2662">
        <v>0</v>
      </c>
      <c r="BD2662">
        <v>0</v>
      </c>
      <c r="BE2662">
        <v>0</v>
      </c>
    </row>
    <row r="2663" spans="1:57" x14ac:dyDescent="0.45">
      <c r="A2663" t="s">
        <v>6360</v>
      </c>
      <c r="B2663" t="s">
        <v>79</v>
      </c>
      <c r="C2663" t="s">
        <v>6361</v>
      </c>
      <c r="D2663" t="s">
        <v>81</v>
      </c>
      <c r="E2663" s="2" t="str">
        <f>HYPERLINK("capsilon://?command=openfolder&amp;siteaddress=FAM.docvelocity-na8.net&amp;folderid=FX20081B61-A712-7EF7-7E0E-3702D59A8418","FX210114129")</f>
        <v>FX210114129</v>
      </c>
      <c r="F2663" t="s">
        <v>19</v>
      </c>
      <c r="G2663" t="s">
        <v>19</v>
      </c>
      <c r="H2663" t="s">
        <v>82</v>
      </c>
      <c r="I2663" t="s">
        <v>6362</v>
      </c>
      <c r="J2663">
        <v>38</v>
      </c>
      <c r="K2663" t="s">
        <v>84</v>
      </c>
      <c r="L2663" t="s">
        <v>85</v>
      </c>
      <c r="M2663" t="s">
        <v>86</v>
      </c>
      <c r="N2663">
        <v>3</v>
      </c>
      <c r="O2663" s="1">
        <v>44222.447418981479</v>
      </c>
      <c r="P2663" s="1">
        <v>44222.546898148146</v>
      </c>
      <c r="Q2663">
        <v>7777</v>
      </c>
      <c r="R2663">
        <v>818</v>
      </c>
      <c r="S2663" t="b">
        <v>0</v>
      </c>
      <c r="T2663" t="s">
        <v>87</v>
      </c>
      <c r="U2663" t="b">
        <v>0</v>
      </c>
      <c r="V2663" t="s">
        <v>112</v>
      </c>
      <c r="W2663" s="1">
        <v>44222.462893518517</v>
      </c>
      <c r="X2663">
        <v>701</v>
      </c>
      <c r="Y2663">
        <v>37</v>
      </c>
      <c r="Z2663">
        <v>0</v>
      </c>
      <c r="AA2663">
        <v>37</v>
      </c>
      <c r="AB2663">
        <v>0</v>
      </c>
      <c r="AC2663">
        <v>21</v>
      </c>
      <c r="AD2663">
        <v>1</v>
      </c>
      <c r="AE2663">
        <v>0</v>
      </c>
      <c r="AF2663">
        <v>0</v>
      </c>
      <c r="AG2663">
        <v>0</v>
      </c>
      <c r="AH2663" t="s">
        <v>132</v>
      </c>
      <c r="AI2663" s="1">
        <v>44222.487673611111</v>
      </c>
      <c r="AJ2663">
        <v>66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 t="s">
        <v>90</v>
      </c>
      <c r="AU2663" s="1">
        <v>44222.546898148146</v>
      </c>
      <c r="AV2663">
        <v>5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0</v>
      </c>
    </row>
    <row r="2664" spans="1:57" x14ac:dyDescent="0.45">
      <c r="A2664" t="s">
        <v>6363</v>
      </c>
      <c r="B2664" t="s">
        <v>79</v>
      </c>
      <c r="C2664" t="s">
        <v>6364</v>
      </c>
      <c r="D2664" t="s">
        <v>81</v>
      </c>
      <c r="E2664" s="2" t="str">
        <f>HYPERLINK("capsilon://?command=openfolder&amp;siteaddress=FAM.docvelocity-na8.net&amp;folderid=FX2F1232C4-6A88-D789-EFA3-8FD622B82650","FX210116169")</f>
        <v>FX210116169</v>
      </c>
      <c r="F2664" t="s">
        <v>19</v>
      </c>
      <c r="G2664" t="s">
        <v>19</v>
      </c>
      <c r="H2664" t="s">
        <v>82</v>
      </c>
      <c r="I2664" t="s">
        <v>6365</v>
      </c>
      <c r="J2664">
        <v>302</v>
      </c>
      <c r="K2664" t="s">
        <v>84</v>
      </c>
      <c r="L2664" t="s">
        <v>85</v>
      </c>
      <c r="M2664" t="s">
        <v>86</v>
      </c>
      <c r="N2664">
        <v>3</v>
      </c>
      <c r="O2664" s="1">
        <v>44222.44902777778</v>
      </c>
      <c r="P2664" s="1">
        <v>44222.548842592594</v>
      </c>
      <c r="Q2664">
        <v>1275</v>
      </c>
      <c r="R2664">
        <v>7349</v>
      </c>
      <c r="S2664" t="b">
        <v>0</v>
      </c>
      <c r="T2664" t="s">
        <v>87</v>
      </c>
      <c r="U2664" t="b">
        <v>0</v>
      </c>
      <c r="V2664" t="s">
        <v>146</v>
      </c>
      <c r="W2664" s="1">
        <v>44222.504930555559</v>
      </c>
      <c r="X2664">
        <v>4269</v>
      </c>
      <c r="Y2664">
        <v>200</v>
      </c>
      <c r="Z2664">
        <v>0</v>
      </c>
      <c r="AA2664">
        <v>200</v>
      </c>
      <c r="AB2664">
        <v>104</v>
      </c>
      <c r="AC2664">
        <v>149</v>
      </c>
      <c r="AD2664">
        <v>102</v>
      </c>
      <c r="AE2664">
        <v>0</v>
      </c>
      <c r="AF2664">
        <v>0</v>
      </c>
      <c r="AG2664">
        <v>0</v>
      </c>
      <c r="AH2664" t="s">
        <v>132</v>
      </c>
      <c r="AI2664" s="1">
        <v>44222.539305555554</v>
      </c>
      <c r="AJ2664">
        <v>2741</v>
      </c>
      <c r="AK2664">
        <v>3</v>
      </c>
      <c r="AL2664">
        <v>0</v>
      </c>
      <c r="AM2664">
        <v>3</v>
      </c>
      <c r="AN2664">
        <v>104</v>
      </c>
      <c r="AO2664">
        <v>2</v>
      </c>
      <c r="AP2664">
        <v>99</v>
      </c>
      <c r="AQ2664">
        <v>0</v>
      </c>
      <c r="AR2664">
        <v>0</v>
      </c>
      <c r="AS2664">
        <v>0</v>
      </c>
      <c r="AT2664" t="s">
        <v>90</v>
      </c>
      <c r="AU2664" s="1">
        <v>44222.548842592594</v>
      </c>
      <c r="AV2664">
        <v>167</v>
      </c>
      <c r="AW2664">
        <v>0</v>
      </c>
      <c r="AX2664">
        <v>0</v>
      </c>
      <c r="AY2664">
        <v>0</v>
      </c>
      <c r="AZ2664">
        <v>104</v>
      </c>
      <c r="BA2664">
        <v>0</v>
      </c>
      <c r="BB2664">
        <v>99</v>
      </c>
      <c r="BC2664">
        <v>0</v>
      </c>
      <c r="BD2664">
        <v>0</v>
      </c>
      <c r="BE2664">
        <v>0</v>
      </c>
    </row>
    <row r="2665" spans="1:57" x14ac:dyDescent="0.45">
      <c r="A2665" t="s">
        <v>6366</v>
      </c>
      <c r="B2665" t="s">
        <v>79</v>
      </c>
      <c r="C2665" t="s">
        <v>6367</v>
      </c>
      <c r="D2665" t="s">
        <v>81</v>
      </c>
      <c r="E2665" s="2" t="str">
        <f>HYPERLINK("capsilon://?command=openfolder&amp;siteaddress=FAM.docvelocity-na8.net&amp;folderid=FX08CA755B-72BB-0E6F-1666-A46F1CC30E67","FX210112515")</f>
        <v>FX210112515</v>
      </c>
      <c r="F2665" t="s">
        <v>19</v>
      </c>
      <c r="G2665" t="s">
        <v>19</v>
      </c>
      <c r="H2665" t="s">
        <v>82</v>
      </c>
      <c r="I2665" t="s">
        <v>6368</v>
      </c>
      <c r="J2665">
        <v>342</v>
      </c>
      <c r="K2665" t="s">
        <v>84</v>
      </c>
      <c r="L2665" t="s">
        <v>85</v>
      </c>
      <c r="M2665" t="s">
        <v>86</v>
      </c>
      <c r="N2665">
        <v>3</v>
      </c>
      <c r="O2665" s="1">
        <v>44222.451724537037</v>
      </c>
      <c r="P2665" s="1">
        <v>44222.550509259258</v>
      </c>
      <c r="Q2665">
        <v>5872</v>
      </c>
      <c r="R2665">
        <v>2663</v>
      </c>
      <c r="S2665" t="b">
        <v>0</v>
      </c>
      <c r="T2665" t="s">
        <v>87</v>
      </c>
      <c r="U2665" t="b">
        <v>0</v>
      </c>
      <c r="V2665" t="s">
        <v>179</v>
      </c>
      <c r="W2665" s="1">
        <v>44222.480219907404</v>
      </c>
      <c r="X2665">
        <v>1888</v>
      </c>
      <c r="Y2665">
        <v>208</v>
      </c>
      <c r="Z2665">
        <v>0</v>
      </c>
      <c r="AA2665">
        <v>208</v>
      </c>
      <c r="AB2665">
        <v>0</v>
      </c>
      <c r="AC2665">
        <v>109</v>
      </c>
      <c r="AD2665">
        <v>134</v>
      </c>
      <c r="AE2665">
        <v>0</v>
      </c>
      <c r="AF2665">
        <v>0</v>
      </c>
      <c r="AG2665">
        <v>0</v>
      </c>
      <c r="AH2665" t="s">
        <v>108</v>
      </c>
      <c r="AI2665" s="1">
        <v>44222.4922337963</v>
      </c>
      <c r="AJ2665">
        <v>631</v>
      </c>
      <c r="AK2665">
        <v>2</v>
      </c>
      <c r="AL2665">
        <v>0</v>
      </c>
      <c r="AM2665">
        <v>2</v>
      </c>
      <c r="AN2665">
        <v>0</v>
      </c>
      <c r="AO2665">
        <v>0</v>
      </c>
      <c r="AP2665">
        <v>132</v>
      </c>
      <c r="AQ2665">
        <v>0</v>
      </c>
      <c r="AR2665">
        <v>0</v>
      </c>
      <c r="AS2665">
        <v>0</v>
      </c>
      <c r="AT2665" t="s">
        <v>90</v>
      </c>
      <c r="AU2665" s="1">
        <v>44222.550509259258</v>
      </c>
      <c r="AV2665">
        <v>144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132</v>
      </c>
      <c r="BC2665">
        <v>0</v>
      </c>
      <c r="BD2665">
        <v>0</v>
      </c>
      <c r="BE2665">
        <v>0</v>
      </c>
    </row>
    <row r="2666" spans="1:57" hidden="1" x14ac:dyDescent="0.45">
      <c r="A2666" t="s">
        <v>6369</v>
      </c>
      <c r="B2666" t="s">
        <v>79</v>
      </c>
      <c r="C2666" t="s">
        <v>2816</v>
      </c>
      <c r="D2666" t="s">
        <v>81</v>
      </c>
      <c r="E2666" s="2" t="str">
        <f>HYPERLINK("capsilon://?command=openfolder&amp;siteaddress=FAM.docvelocity-na8.net&amp;folderid=FX672373A6-312E-34C7-66AE-B28921FFE6D9","FX20128557")</f>
        <v>FX20128557</v>
      </c>
      <c r="F2666" t="s">
        <v>19</v>
      </c>
      <c r="G2666" t="s">
        <v>19</v>
      </c>
      <c r="H2666" t="s">
        <v>82</v>
      </c>
      <c r="I2666" t="s">
        <v>6350</v>
      </c>
      <c r="J2666">
        <v>38</v>
      </c>
      <c r="K2666" t="s">
        <v>84</v>
      </c>
      <c r="L2666" t="s">
        <v>85</v>
      </c>
      <c r="M2666" t="s">
        <v>86</v>
      </c>
      <c r="N2666">
        <v>3</v>
      </c>
      <c r="O2666" s="1">
        <v>44222.452847222223</v>
      </c>
      <c r="P2666" s="1">
        <v>44222.468773148146</v>
      </c>
      <c r="Q2666">
        <v>1109</v>
      </c>
      <c r="R2666">
        <v>267</v>
      </c>
      <c r="S2666" t="b">
        <v>0</v>
      </c>
      <c r="T2666" t="s">
        <v>87</v>
      </c>
      <c r="U2666" t="b">
        <v>1</v>
      </c>
      <c r="V2666" t="s">
        <v>146</v>
      </c>
      <c r="W2666" s="1">
        <v>44222.455509259256</v>
      </c>
      <c r="X2666">
        <v>212</v>
      </c>
      <c r="Y2666">
        <v>0</v>
      </c>
      <c r="Z2666">
        <v>0</v>
      </c>
      <c r="AA2666">
        <v>0</v>
      </c>
      <c r="AB2666">
        <v>37</v>
      </c>
      <c r="AC2666">
        <v>0</v>
      </c>
      <c r="AD2666">
        <v>38</v>
      </c>
      <c r="AE2666">
        <v>0</v>
      </c>
      <c r="AF2666">
        <v>0</v>
      </c>
      <c r="AG2666">
        <v>0</v>
      </c>
      <c r="AH2666" t="s">
        <v>108</v>
      </c>
      <c r="AI2666" s="1">
        <v>44222.460659722223</v>
      </c>
      <c r="AJ2666">
        <v>51</v>
      </c>
      <c r="AK2666">
        <v>0</v>
      </c>
      <c r="AL2666">
        <v>0</v>
      </c>
      <c r="AM2666">
        <v>0</v>
      </c>
      <c r="AN2666">
        <v>37</v>
      </c>
      <c r="AO2666">
        <v>0</v>
      </c>
      <c r="AP2666">
        <v>38</v>
      </c>
      <c r="AQ2666">
        <v>0</v>
      </c>
      <c r="AR2666">
        <v>0</v>
      </c>
      <c r="AS2666">
        <v>0</v>
      </c>
      <c r="AT2666" t="s">
        <v>90</v>
      </c>
      <c r="AU2666" s="1">
        <v>44222.468773148146</v>
      </c>
      <c r="AV2666">
        <v>4</v>
      </c>
      <c r="AW2666">
        <v>0</v>
      </c>
      <c r="AX2666">
        <v>0</v>
      </c>
      <c r="AY2666">
        <v>0</v>
      </c>
      <c r="AZ2666">
        <v>37</v>
      </c>
      <c r="BA2666">
        <v>0</v>
      </c>
      <c r="BB2666">
        <v>38</v>
      </c>
      <c r="BC2666">
        <v>0</v>
      </c>
      <c r="BD2666">
        <v>0</v>
      </c>
      <c r="BE2666">
        <v>0</v>
      </c>
    </row>
    <row r="2667" spans="1:57" hidden="1" x14ac:dyDescent="0.45">
      <c r="A2667" t="s">
        <v>6370</v>
      </c>
      <c r="B2667" t="s">
        <v>79</v>
      </c>
      <c r="C2667" t="s">
        <v>6371</v>
      </c>
      <c r="D2667" t="s">
        <v>81</v>
      </c>
      <c r="E2667" s="2" t="str">
        <f>HYPERLINK("capsilon://?command=openfolder&amp;siteaddress=FAM.docvelocity-na8.net&amp;folderid=FX12EEB6A8-DA06-AE01-D6CA-C7A03F6C20CE","FX20128236")</f>
        <v>FX20128236</v>
      </c>
      <c r="F2667" t="s">
        <v>19</v>
      </c>
      <c r="G2667" t="s">
        <v>19</v>
      </c>
      <c r="H2667" t="s">
        <v>82</v>
      </c>
      <c r="I2667" t="s">
        <v>6372</v>
      </c>
      <c r="J2667">
        <v>229</v>
      </c>
      <c r="K2667" t="s">
        <v>84</v>
      </c>
      <c r="L2667" t="s">
        <v>85</v>
      </c>
      <c r="M2667" t="s">
        <v>86</v>
      </c>
      <c r="N2667">
        <v>1</v>
      </c>
      <c r="O2667" s="1">
        <v>44222.454583333332</v>
      </c>
      <c r="P2667" s="1">
        <v>44222.461909722224</v>
      </c>
      <c r="Q2667">
        <v>451</v>
      </c>
      <c r="R2667">
        <v>182</v>
      </c>
      <c r="S2667" t="b">
        <v>0</v>
      </c>
      <c r="T2667" t="s">
        <v>87</v>
      </c>
      <c r="U2667" t="b">
        <v>0</v>
      </c>
      <c r="V2667" t="s">
        <v>88</v>
      </c>
      <c r="W2667" s="1">
        <v>44222.461909722224</v>
      </c>
      <c r="X2667">
        <v>182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229</v>
      </c>
      <c r="AE2667">
        <v>221</v>
      </c>
      <c r="AF2667">
        <v>0</v>
      </c>
      <c r="AG2667">
        <v>2</v>
      </c>
      <c r="AH2667" t="s">
        <v>87</v>
      </c>
      <c r="AI2667" t="s">
        <v>87</v>
      </c>
      <c r="AJ2667" t="s">
        <v>87</v>
      </c>
      <c r="AK2667" t="s">
        <v>87</v>
      </c>
      <c r="AL2667" t="s">
        <v>87</v>
      </c>
      <c r="AM2667" t="s">
        <v>87</v>
      </c>
      <c r="AN2667" t="s">
        <v>87</v>
      </c>
      <c r="AO2667" t="s">
        <v>87</v>
      </c>
      <c r="AP2667" t="s">
        <v>87</v>
      </c>
      <c r="AQ2667" t="s">
        <v>87</v>
      </c>
      <c r="AR2667" t="s">
        <v>87</v>
      </c>
      <c r="AS2667" t="s">
        <v>87</v>
      </c>
      <c r="AT2667" t="s">
        <v>87</v>
      </c>
      <c r="AU2667" t="s">
        <v>87</v>
      </c>
      <c r="AV2667" t="s">
        <v>87</v>
      </c>
      <c r="AW2667" t="s">
        <v>87</v>
      </c>
      <c r="AX2667" t="s">
        <v>87</v>
      </c>
      <c r="AY2667" t="s">
        <v>87</v>
      </c>
      <c r="AZ2667" t="s">
        <v>87</v>
      </c>
      <c r="BA2667" t="s">
        <v>87</v>
      </c>
      <c r="BB2667" t="s">
        <v>87</v>
      </c>
      <c r="BC2667" t="s">
        <v>87</v>
      </c>
      <c r="BD2667" t="s">
        <v>87</v>
      </c>
      <c r="BE2667" t="s">
        <v>87</v>
      </c>
    </row>
    <row r="2668" spans="1:57" x14ac:dyDescent="0.45">
      <c r="A2668" t="s">
        <v>6373</v>
      </c>
      <c r="B2668" t="s">
        <v>79</v>
      </c>
      <c r="C2668" t="s">
        <v>6145</v>
      </c>
      <c r="D2668" t="s">
        <v>81</v>
      </c>
      <c r="E2668" s="2" t="str">
        <f>HYPERLINK("capsilon://?command=openfolder&amp;siteaddress=FAM.docvelocity-na8.net&amp;folderid=FX49A295F4-4DF8-F8F1-CE2D-8EC3DB42392B","FX210113408")</f>
        <v>FX210113408</v>
      </c>
      <c r="F2668" t="s">
        <v>19</v>
      </c>
      <c r="G2668" t="s">
        <v>19</v>
      </c>
      <c r="H2668" t="s">
        <v>82</v>
      </c>
      <c r="I2668" t="s">
        <v>6374</v>
      </c>
      <c r="J2668">
        <v>66</v>
      </c>
      <c r="K2668" t="s">
        <v>84</v>
      </c>
      <c r="L2668" t="s">
        <v>85</v>
      </c>
      <c r="M2668" t="s">
        <v>86</v>
      </c>
      <c r="N2668">
        <v>3</v>
      </c>
      <c r="O2668" s="1">
        <v>44222.457685185182</v>
      </c>
      <c r="P2668" s="1">
        <v>44222.551747685182</v>
      </c>
      <c r="Q2668">
        <v>7119</v>
      </c>
      <c r="R2668">
        <v>1008</v>
      </c>
      <c r="S2668" t="b">
        <v>0</v>
      </c>
      <c r="T2668" t="s">
        <v>87</v>
      </c>
      <c r="U2668" t="b">
        <v>0</v>
      </c>
      <c r="V2668" t="s">
        <v>171</v>
      </c>
      <c r="W2668" s="1">
        <v>44222.469618055555</v>
      </c>
      <c r="X2668">
        <v>739</v>
      </c>
      <c r="Y2668">
        <v>52</v>
      </c>
      <c r="Z2668">
        <v>0</v>
      </c>
      <c r="AA2668">
        <v>52</v>
      </c>
      <c r="AB2668">
        <v>0</v>
      </c>
      <c r="AC2668">
        <v>30</v>
      </c>
      <c r="AD2668">
        <v>14</v>
      </c>
      <c r="AE2668">
        <v>0</v>
      </c>
      <c r="AF2668">
        <v>0</v>
      </c>
      <c r="AG2668">
        <v>0</v>
      </c>
      <c r="AH2668" t="s">
        <v>128</v>
      </c>
      <c r="AI2668" s="1">
        <v>44222.489131944443</v>
      </c>
      <c r="AJ2668">
        <v>150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14</v>
      </c>
      <c r="AQ2668">
        <v>0</v>
      </c>
      <c r="AR2668">
        <v>0</v>
      </c>
      <c r="AS2668">
        <v>0</v>
      </c>
      <c r="AT2668" t="s">
        <v>90</v>
      </c>
      <c r="AU2668" s="1">
        <v>44222.551747685182</v>
      </c>
      <c r="AV2668">
        <v>106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14</v>
      </c>
      <c r="BC2668">
        <v>0</v>
      </c>
      <c r="BD2668">
        <v>0</v>
      </c>
      <c r="BE2668">
        <v>0</v>
      </c>
    </row>
    <row r="2669" spans="1:57" x14ac:dyDescent="0.45">
      <c r="A2669" t="s">
        <v>6375</v>
      </c>
      <c r="B2669" t="s">
        <v>79</v>
      </c>
      <c r="C2669" t="s">
        <v>6376</v>
      </c>
      <c r="D2669" t="s">
        <v>81</v>
      </c>
      <c r="E2669" s="2" t="str">
        <f>HYPERLINK("capsilon://?command=openfolder&amp;siteaddress=FAM.docvelocity-na8.net&amp;folderid=FX36D5E233-7787-1F5D-02C3-98FDBE4308AE","FX210116817")</f>
        <v>FX210116817</v>
      </c>
      <c r="F2669" t="s">
        <v>19</v>
      </c>
      <c r="G2669" t="s">
        <v>19</v>
      </c>
      <c r="H2669" t="s">
        <v>82</v>
      </c>
      <c r="I2669" t="s">
        <v>6377</v>
      </c>
      <c r="J2669">
        <v>256</v>
      </c>
      <c r="K2669" t="s">
        <v>84</v>
      </c>
      <c r="L2669" t="s">
        <v>85</v>
      </c>
      <c r="M2669" t="s">
        <v>86</v>
      </c>
      <c r="N2669">
        <v>3</v>
      </c>
      <c r="O2669" s="1">
        <v>44222.458495370367</v>
      </c>
      <c r="P2669" s="1">
        <v>44222.552233796298</v>
      </c>
      <c r="Q2669">
        <v>4169</v>
      </c>
      <c r="R2669">
        <v>3930</v>
      </c>
      <c r="S2669" t="b">
        <v>0</v>
      </c>
      <c r="T2669" t="s">
        <v>87</v>
      </c>
      <c r="U2669" t="b">
        <v>0</v>
      </c>
      <c r="V2669" t="s">
        <v>88</v>
      </c>
      <c r="W2669" s="1">
        <v>44222.493842592594</v>
      </c>
      <c r="X2669">
        <v>2759</v>
      </c>
      <c r="Y2669">
        <v>191</v>
      </c>
      <c r="Z2669">
        <v>0</v>
      </c>
      <c r="AA2669">
        <v>191</v>
      </c>
      <c r="AB2669">
        <v>0</v>
      </c>
      <c r="AC2669">
        <v>149</v>
      </c>
      <c r="AD2669">
        <v>65</v>
      </c>
      <c r="AE2669">
        <v>0</v>
      </c>
      <c r="AF2669">
        <v>0</v>
      </c>
      <c r="AG2669">
        <v>0</v>
      </c>
      <c r="AH2669" t="s">
        <v>128</v>
      </c>
      <c r="AI2669" s="1">
        <v>44222.51189814815</v>
      </c>
      <c r="AJ2669">
        <v>918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65</v>
      </c>
      <c r="AQ2669">
        <v>0</v>
      </c>
      <c r="AR2669">
        <v>0</v>
      </c>
      <c r="AS2669">
        <v>0</v>
      </c>
      <c r="AT2669" t="s">
        <v>90</v>
      </c>
      <c r="AU2669" s="1">
        <v>44222.552233796298</v>
      </c>
      <c r="AV2669">
        <v>41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65</v>
      </c>
      <c r="BC2669">
        <v>0</v>
      </c>
      <c r="BD2669">
        <v>0</v>
      </c>
      <c r="BE2669">
        <v>0</v>
      </c>
    </row>
    <row r="2670" spans="1:57" hidden="1" x14ac:dyDescent="0.45">
      <c r="A2670" t="s">
        <v>6378</v>
      </c>
      <c r="B2670" t="s">
        <v>79</v>
      </c>
      <c r="C2670" t="s">
        <v>6379</v>
      </c>
      <c r="D2670" t="s">
        <v>81</v>
      </c>
      <c r="E2670" s="2" t="str">
        <f>HYPERLINK("capsilon://?command=openfolder&amp;siteaddress=FAM.docvelocity-na8.net&amp;folderid=FX6792A536-B2FC-EF1C-621F-362F52F10970","FX210113701")</f>
        <v>FX210113701</v>
      </c>
      <c r="F2670" t="s">
        <v>19</v>
      </c>
      <c r="G2670" t="s">
        <v>19</v>
      </c>
      <c r="H2670" t="s">
        <v>82</v>
      </c>
      <c r="I2670" t="s">
        <v>6380</v>
      </c>
      <c r="J2670">
        <v>76</v>
      </c>
      <c r="K2670" t="s">
        <v>84</v>
      </c>
      <c r="L2670" t="s">
        <v>85</v>
      </c>
      <c r="M2670" t="s">
        <v>86</v>
      </c>
      <c r="N2670">
        <v>3</v>
      </c>
      <c r="O2670" s="1">
        <v>44222.463078703702</v>
      </c>
      <c r="P2670" s="1">
        <v>44222.552268518521</v>
      </c>
      <c r="Q2670">
        <v>7556</v>
      </c>
      <c r="R2670">
        <v>150</v>
      </c>
      <c r="S2670" t="b">
        <v>0</v>
      </c>
      <c r="T2670" t="s">
        <v>87</v>
      </c>
      <c r="U2670" t="b">
        <v>0</v>
      </c>
      <c r="V2670" t="s">
        <v>112</v>
      </c>
      <c r="W2670" s="1">
        <v>44222.468344907407</v>
      </c>
      <c r="X2670">
        <v>138</v>
      </c>
      <c r="Y2670">
        <v>0</v>
      </c>
      <c r="Z2670">
        <v>0</v>
      </c>
      <c r="AA2670">
        <v>0</v>
      </c>
      <c r="AB2670">
        <v>74</v>
      </c>
      <c r="AC2670">
        <v>0</v>
      </c>
      <c r="AD2670">
        <v>76</v>
      </c>
      <c r="AE2670">
        <v>0</v>
      </c>
      <c r="AF2670">
        <v>0</v>
      </c>
      <c r="AG2670">
        <v>0</v>
      </c>
      <c r="AH2670" t="s">
        <v>128</v>
      </c>
      <c r="AI2670" s="1">
        <v>44222.487384259257</v>
      </c>
      <c r="AJ2670">
        <v>10</v>
      </c>
      <c r="AK2670">
        <v>0</v>
      </c>
      <c r="AL2670">
        <v>0</v>
      </c>
      <c r="AM2670">
        <v>0</v>
      </c>
      <c r="AN2670">
        <v>74</v>
      </c>
      <c r="AO2670">
        <v>0</v>
      </c>
      <c r="AP2670">
        <v>76</v>
      </c>
      <c r="AQ2670">
        <v>0</v>
      </c>
      <c r="AR2670">
        <v>0</v>
      </c>
      <c r="AS2670">
        <v>0</v>
      </c>
      <c r="AT2670" t="s">
        <v>90</v>
      </c>
      <c r="AU2670" s="1">
        <v>44222.552268518521</v>
      </c>
      <c r="AV2670">
        <v>2</v>
      </c>
      <c r="AW2670">
        <v>0</v>
      </c>
      <c r="AX2670">
        <v>0</v>
      </c>
      <c r="AY2670">
        <v>0</v>
      </c>
      <c r="AZ2670">
        <v>74</v>
      </c>
      <c r="BA2670">
        <v>0</v>
      </c>
      <c r="BB2670">
        <v>76</v>
      </c>
      <c r="BC2670">
        <v>0</v>
      </c>
      <c r="BD2670">
        <v>0</v>
      </c>
      <c r="BE2670">
        <v>0</v>
      </c>
    </row>
    <row r="2671" spans="1:57" x14ac:dyDescent="0.45">
      <c r="A2671" t="s">
        <v>6381</v>
      </c>
      <c r="B2671" t="s">
        <v>79</v>
      </c>
      <c r="C2671" t="s">
        <v>6371</v>
      </c>
      <c r="D2671" t="s">
        <v>81</v>
      </c>
      <c r="E2671" s="2" t="str">
        <f>HYPERLINK("capsilon://?command=openfolder&amp;siteaddress=FAM.docvelocity-na8.net&amp;folderid=FX12EEB6A8-DA06-AE01-D6CA-C7A03F6C20CE","FX20128236")</f>
        <v>FX20128236</v>
      </c>
      <c r="F2671" t="s">
        <v>19</v>
      </c>
      <c r="G2671" t="s">
        <v>19</v>
      </c>
      <c r="H2671" t="s">
        <v>82</v>
      </c>
      <c r="I2671" t="s">
        <v>6372</v>
      </c>
      <c r="J2671">
        <v>229</v>
      </c>
      <c r="K2671" t="s">
        <v>84</v>
      </c>
      <c r="L2671" t="s">
        <v>85</v>
      </c>
      <c r="M2671" t="s">
        <v>86</v>
      </c>
      <c r="N2671">
        <v>3</v>
      </c>
      <c r="O2671" s="1">
        <v>44222.463194444441</v>
      </c>
      <c r="P2671" s="1">
        <v>44222.542673611111</v>
      </c>
      <c r="Q2671">
        <v>3903</v>
      </c>
      <c r="R2671">
        <v>2964</v>
      </c>
      <c r="S2671" t="b">
        <v>0</v>
      </c>
      <c r="T2671" t="s">
        <v>87</v>
      </c>
      <c r="U2671" t="b">
        <v>1</v>
      </c>
      <c r="V2671" t="s">
        <v>919</v>
      </c>
      <c r="W2671" s="1">
        <v>44222.492939814816</v>
      </c>
      <c r="X2671">
        <v>2505</v>
      </c>
      <c r="Y2671">
        <v>176</v>
      </c>
      <c r="Z2671">
        <v>0</v>
      </c>
      <c r="AA2671">
        <v>176</v>
      </c>
      <c r="AB2671">
        <v>0</v>
      </c>
      <c r="AC2671">
        <v>79</v>
      </c>
      <c r="AD2671">
        <v>53</v>
      </c>
      <c r="AE2671">
        <v>0</v>
      </c>
      <c r="AF2671">
        <v>0</v>
      </c>
      <c r="AG2671">
        <v>0</v>
      </c>
      <c r="AH2671" t="s">
        <v>128</v>
      </c>
      <c r="AI2671" s="1">
        <v>44222.500219907408</v>
      </c>
      <c r="AJ2671">
        <v>400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53</v>
      </c>
      <c r="AQ2671">
        <v>0</v>
      </c>
      <c r="AR2671">
        <v>0</v>
      </c>
      <c r="AS2671">
        <v>0</v>
      </c>
      <c r="AT2671" t="s">
        <v>90</v>
      </c>
      <c r="AU2671" s="1">
        <v>44222.542673611111</v>
      </c>
      <c r="AV2671">
        <v>59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53</v>
      </c>
      <c r="BC2671">
        <v>0</v>
      </c>
      <c r="BD2671">
        <v>0</v>
      </c>
      <c r="BE2671">
        <v>0</v>
      </c>
    </row>
    <row r="2672" spans="1:57" x14ac:dyDescent="0.45">
      <c r="A2672" t="s">
        <v>6382</v>
      </c>
      <c r="B2672" t="s">
        <v>79</v>
      </c>
      <c r="C2672" t="s">
        <v>2269</v>
      </c>
      <c r="D2672" t="s">
        <v>81</v>
      </c>
      <c r="E2672" s="2" t="str">
        <f>HYPERLINK("capsilon://?command=openfolder&amp;siteaddress=FAM.docvelocity-na8.net&amp;folderid=FX9AE414F7-9289-1BD0-31A3-47EB50290ABB","FX21014052")</f>
        <v>FX21014052</v>
      </c>
      <c r="F2672" t="s">
        <v>19</v>
      </c>
      <c r="G2672" t="s">
        <v>19</v>
      </c>
      <c r="H2672" t="s">
        <v>82</v>
      </c>
      <c r="I2672" t="s">
        <v>6383</v>
      </c>
      <c r="J2672">
        <v>66</v>
      </c>
      <c r="K2672" t="s">
        <v>84</v>
      </c>
      <c r="L2672" t="s">
        <v>85</v>
      </c>
      <c r="M2672" t="s">
        <v>86</v>
      </c>
      <c r="N2672">
        <v>3</v>
      </c>
      <c r="O2672" s="1">
        <v>44222.465439814812</v>
      </c>
      <c r="P2672" s="1">
        <v>44222.553113425929</v>
      </c>
      <c r="Q2672">
        <v>6197</v>
      </c>
      <c r="R2672">
        <v>1378</v>
      </c>
      <c r="S2672" t="b">
        <v>0</v>
      </c>
      <c r="T2672" t="s">
        <v>87</v>
      </c>
      <c r="U2672" t="b">
        <v>0</v>
      </c>
      <c r="V2672" t="s">
        <v>168</v>
      </c>
      <c r="W2672" s="1">
        <v>44222.481932870367</v>
      </c>
      <c r="X2672">
        <v>1201</v>
      </c>
      <c r="Y2672">
        <v>52</v>
      </c>
      <c r="Z2672">
        <v>0</v>
      </c>
      <c r="AA2672">
        <v>52</v>
      </c>
      <c r="AB2672">
        <v>0</v>
      </c>
      <c r="AC2672">
        <v>33</v>
      </c>
      <c r="AD2672">
        <v>14</v>
      </c>
      <c r="AE2672">
        <v>0</v>
      </c>
      <c r="AF2672">
        <v>0</v>
      </c>
      <c r="AG2672">
        <v>0</v>
      </c>
      <c r="AH2672" t="s">
        <v>132</v>
      </c>
      <c r="AI2672" s="1">
        <v>44222.488900462966</v>
      </c>
      <c r="AJ2672">
        <v>105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14</v>
      </c>
      <c r="AQ2672">
        <v>0</v>
      </c>
      <c r="AR2672">
        <v>0</v>
      </c>
      <c r="AS2672">
        <v>0</v>
      </c>
      <c r="AT2672" t="s">
        <v>90</v>
      </c>
      <c r="AU2672" s="1">
        <v>44222.553113425929</v>
      </c>
      <c r="AV2672">
        <v>72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14</v>
      </c>
      <c r="BC2672">
        <v>0</v>
      </c>
      <c r="BD2672">
        <v>0</v>
      </c>
      <c r="BE2672">
        <v>0</v>
      </c>
    </row>
    <row r="2673" spans="1:57" x14ac:dyDescent="0.45">
      <c r="A2673" t="s">
        <v>6384</v>
      </c>
      <c r="B2673" t="s">
        <v>79</v>
      </c>
      <c r="C2673" t="s">
        <v>6385</v>
      </c>
      <c r="D2673" t="s">
        <v>81</v>
      </c>
      <c r="E2673" s="2" t="str">
        <f>HYPERLINK("capsilon://?command=openfolder&amp;siteaddress=FAM.docvelocity-na8.net&amp;folderid=FX0EB09D78-F83C-10F9-33EC-578469372E57","FX210111352")</f>
        <v>FX210111352</v>
      </c>
      <c r="F2673" t="s">
        <v>19</v>
      </c>
      <c r="G2673" t="s">
        <v>19</v>
      </c>
      <c r="H2673" t="s">
        <v>82</v>
      </c>
      <c r="I2673" t="s">
        <v>6386</v>
      </c>
      <c r="J2673">
        <v>131</v>
      </c>
      <c r="K2673" t="s">
        <v>84</v>
      </c>
      <c r="L2673" t="s">
        <v>85</v>
      </c>
      <c r="M2673" t="s">
        <v>86</v>
      </c>
      <c r="N2673">
        <v>3</v>
      </c>
      <c r="O2673" s="1">
        <v>44222.47347222222</v>
      </c>
      <c r="P2673" s="1">
        <v>44222.555127314816</v>
      </c>
      <c r="Q2673">
        <v>3543</v>
      </c>
      <c r="R2673">
        <v>3512</v>
      </c>
      <c r="S2673" t="b">
        <v>0</v>
      </c>
      <c r="T2673" t="s">
        <v>87</v>
      </c>
      <c r="U2673" t="b">
        <v>0</v>
      </c>
      <c r="V2673" t="s">
        <v>171</v>
      </c>
      <c r="W2673" s="1">
        <v>44222.508981481478</v>
      </c>
      <c r="X2673">
        <v>3068</v>
      </c>
      <c r="Y2673">
        <v>129</v>
      </c>
      <c r="Z2673">
        <v>0</v>
      </c>
      <c r="AA2673">
        <v>129</v>
      </c>
      <c r="AB2673">
        <v>0</v>
      </c>
      <c r="AC2673">
        <v>87</v>
      </c>
      <c r="AD2673">
        <v>2</v>
      </c>
      <c r="AE2673">
        <v>0</v>
      </c>
      <c r="AF2673">
        <v>0</v>
      </c>
      <c r="AG2673">
        <v>0</v>
      </c>
      <c r="AH2673" t="s">
        <v>132</v>
      </c>
      <c r="AI2673" s="1">
        <v>44222.54246527778</v>
      </c>
      <c r="AJ2673">
        <v>273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</v>
      </c>
      <c r="AQ2673">
        <v>0</v>
      </c>
      <c r="AR2673">
        <v>0</v>
      </c>
      <c r="AS2673">
        <v>0</v>
      </c>
      <c r="AT2673" t="s">
        <v>90</v>
      </c>
      <c r="AU2673" s="1">
        <v>44222.555127314816</v>
      </c>
      <c r="AV2673">
        <v>163</v>
      </c>
      <c r="AW2673">
        <v>1</v>
      </c>
      <c r="AX2673">
        <v>0</v>
      </c>
      <c r="AY2673">
        <v>1</v>
      </c>
      <c r="AZ2673">
        <v>0</v>
      </c>
      <c r="BA2673">
        <v>1</v>
      </c>
      <c r="BB2673">
        <v>1</v>
      </c>
      <c r="BC2673">
        <v>0</v>
      </c>
      <c r="BD2673">
        <v>0</v>
      </c>
      <c r="BE2673">
        <v>0</v>
      </c>
    </row>
    <row r="2674" spans="1:57" hidden="1" x14ac:dyDescent="0.45">
      <c r="A2674" t="s">
        <v>6387</v>
      </c>
      <c r="B2674" t="s">
        <v>79</v>
      </c>
      <c r="C2674" t="s">
        <v>3301</v>
      </c>
      <c r="D2674" t="s">
        <v>81</v>
      </c>
      <c r="E2674" s="2" t="str">
        <f>HYPERLINK("capsilon://?command=openfolder&amp;siteaddress=FAM.docvelocity-na8.net&amp;folderid=FX567ABB70-B5D9-BFE2-EC18-5896507A3A98","FX201116313")</f>
        <v>FX201116313</v>
      </c>
      <c r="F2674" t="s">
        <v>19</v>
      </c>
      <c r="G2674" t="s">
        <v>19</v>
      </c>
      <c r="H2674" t="s">
        <v>82</v>
      </c>
      <c r="I2674" t="s">
        <v>6388</v>
      </c>
      <c r="J2674">
        <v>66</v>
      </c>
      <c r="K2674" t="s">
        <v>84</v>
      </c>
      <c r="L2674" t="s">
        <v>85</v>
      </c>
      <c r="M2674" t="s">
        <v>86</v>
      </c>
      <c r="N2674">
        <v>3</v>
      </c>
      <c r="O2674" s="1">
        <v>44222.474502314813</v>
      </c>
      <c r="P2674" s="1">
        <v>44222.555173611108</v>
      </c>
      <c r="Q2674">
        <v>6647</v>
      </c>
      <c r="R2674">
        <v>323</v>
      </c>
      <c r="S2674" t="b">
        <v>0</v>
      </c>
      <c r="T2674" t="s">
        <v>87</v>
      </c>
      <c r="U2674" t="b">
        <v>0</v>
      </c>
      <c r="V2674" t="s">
        <v>98</v>
      </c>
      <c r="W2674" s="1">
        <v>44222.478067129632</v>
      </c>
      <c r="X2674">
        <v>308</v>
      </c>
      <c r="Y2674">
        <v>0</v>
      </c>
      <c r="Z2674">
        <v>0</v>
      </c>
      <c r="AA2674">
        <v>0</v>
      </c>
      <c r="AB2674">
        <v>52</v>
      </c>
      <c r="AC2674">
        <v>0</v>
      </c>
      <c r="AD2674">
        <v>66</v>
      </c>
      <c r="AE2674">
        <v>0</v>
      </c>
      <c r="AF2674">
        <v>0</v>
      </c>
      <c r="AG2674">
        <v>0</v>
      </c>
      <c r="AH2674" t="s">
        <v>132</v>
      </c>
      <c r="AI2674" s="1">
        <v>44222.489050925928</v>
      </c>
      <c r="AJ2674">
        <v>12</v>
      </c>
      <c r="AK2674">
        <v>0</v>
      </c>
      <c r="AL2674">
        <v>0</v>
      </c>
      <c r="AM2674">
        <v>0</v>
      </c>
      <c r="AN2674">
        <v>52</v>
      </c>
      <c r="AO2674">
        <v>0</v>
      </c>
      <c r="AP2674">
        <v>66</v>
      </c>
      <c r="AQ2674">
        <v>0</v>
      </c>
      <c r="AR2674">
        <v>0</v>
      </c>
      <c r="AS2674">
        <v>0</v>
      </c>
      <c r="AT2674" t="s">
        <v>90</v>
      </c>
      <c r="AU2674" s="1">
        <v>44222.555173611108</v>
      </c>
      <c r="AV2674">
        <v>3</v>
      </c>
      <c r="AW2674">
        <v>0</v>
      </c>
      <c r="AX2674">
        <v>0</v>
      </c>
      <c r="AY2674">
        <v>0</v>
      </c>
      <c r="AZ2674">
        <v>52</v>
      </c>
      <c r="BA2674">
        <v>0</v>
      </c>
      <c r="BB2674">
        <v>66</v>
      </c>
      <c r="BC2674">
        <v>0</v>
      </c>
      <c r="BD2674">
        <v>0</v>
      </c>
      <c r="BE2674">
        <v>0</v>
      </c>
    </row>
    <row r="2675" spans="1:57" x14ac:dyDescent="0.45">
      <c r="A2675" t="s">
        <v>6389</v>
      </c>
      <c r="B2675" t="s">
        <v>79</v>
      </c>
      <c r="C2675" t="s">
        <v>6390</v>
      </c>
      <c r="D2675" t="s">
        <v>81</v>
      </c>
      <c r="E2675" s="2" t="str">
        <f>HYPERLINK("capsilon://?command=openfolder&amp;siteaddress=FAM.docvelocity-na8.net&amp;folderid=FXBB7734C5-A7DA-1645-FF51-B73F8D06B007","FX210113192")</f>
        <v>FX210113192</v>
      </c>
      <c r="F2675" t="s">
        <v>19</v>
      </c>
      <c r="G2675" t="s">
        <v>19</v>
      </c>
      <c r="H2675" t="s">
        <v>82</v>
      </c>
      <c r="I2675" t="s">
        <v>6391</v>
      </c>
      <c r="J2675">
        <v>345</v>
      </c>
      <c r="K2675" t="s">
        <v>84</v>
      </c>
      <c r="L2675" t="s">
        <v>85</v>
      </c>
      <c r="M2675" t="s">
        <v>86</v>
      </c>
      <c r="N2675">
        <v>3</v>
      </c>
      <c r="O2675" s="1">
        <v>44222.474687499998</v>
      </c>
      <c r="P2675" s="1">
        <v>44222.556134259263</v>
      </c>
      <c r="Q2675">
        <v>1604</v>
      </c>
      <c r="R2675">
        <v>5433</v>
      </c>
      <c r="S2675" t="b">
        <v>0</v>
      </c>
      <c r="T2675" t="s">
        <v>87</v>
      </c>
      <c r="U2675" t="b">
        <v>0</v>
      </c>
      <c r="V2675" t="s">
        <v>142</v>
      </c>
      <c r="W2675" s="1">
        <v>44222.526377314818</v>
      </c>
      <c r="X2675">
        <v>4463</v>
      </c>
      <c r="Y2675">
        <v>256</v>
      </c>
      <c r="Z2675">
        <v>0</v>
      </c>
      <c r="AA2675">
        <v>256</v>
      </c>
      <c r="AB2675">
        <v>0</v>
      </c>
      <c r="AC2675">
        <v>101</v>
      </c>
      <c r="AD2675">
        <v>89</v>
      </c>
      <c r="AE2675">
        <v>0</v>
      </c>
      <c r="AF2675">
        <v>0</v>
      </c>
      <c r="AG2675">
        <v>0</v>
      </c>
      <c r="AH2675" t="s">
        <v>132</v>
      </c>
      <c r="AI2675" s="1">
        <v>44222.552662037036</v>
      </c>
      <c r="AJ2675">
        <v>880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89</v>
      </c>
      <c r="AQ2675">
        <v>0</v>
      </c>
      <c r="AR2675">
        <v>0</v>
      </c>
      <c r="AS2675">
        <v>0</v>
      </c>
      <c r="AT2675" t="s">
        <v>90</v>
      </c>
      <c r="AU2675" s="1">
        <v>44222.556134259263</v>
      </c>
      <c r="AV2675">
        <v>82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89</v>
      </c>
      <c r="BC2675">
        <v>0</v>
      </c>
      <c r="BD2675">
        <v>0</v>
      </c>
      <c r="BE2675">
        <v>0</v>
      </c>
    </row>
    <row r="2676" spans="1:57" x14ac:dyDescent="0.45">
      <c r="A2676" t="s">
        <v>6392</v>
      </c>
      <c r="B2676" t="s">
        <v>79</v>
      </c>
      <c r="C2676" t="s">
        <v>1137</v>
      </c>
      <c r="D2676" t="s">
        <v>81</v>
      </c>
      <c r="E2676" s="2" t="str">
        <f>HYPERLINK("capsilon://?command=openfolder&amp;siteaddress=FAM.docvelocity-na8.net&amp;folderid=FX37419348-883A-7231-86A5-66213CF8F4A9","FX201227543")</f>
        <v>FX201227543</v>
      </c>
      <c r="F2676" t="s">
        <v>19</v>
      </c>
      <c r="G2676" t="s">
        <v>19</v>
      </c>
      <c r="H2676" t="s">
        <v>82</v>
      </c>
      <c r="I2676" t="s">
        <v>6393</v>
      </c>
      <c r="J2676">
        <v>66</v>
      </c>
      <c r="K2676" t="s">
        <v>84</v>
      </c>
      <c r="L2676" t="s">
        <v>85</v>
      </c>
      <c r="M2676" t="s">
        <v>86</v>
      </c>
      <c r="N2676">
        <v>3</v>
      </c>
      <c r="O2676" s="1">
        <v>44201.614120370374</v>
      </c>
      <c r="P2676" s="1">
        <v>44201.633750000001</v>
      </c>
      <c r="Q2676">
        <v>834</v>
      </c>
      <c r="R2676">
        <v>862</v>
      </c>
      <c r="S2676" t="b">
        <v>0</v>
      </c>
      <c r="T2676" t="s">
        <v>87</v>
      </c>
      <c r="U2676" t="b">
        <v>0</v>
      </c>
      <c r="V2676" t="s">
        <v>266</v>
      </c>
      <c r="W2676" s="1">
        <v>44201.620381944442</v>
      </c>
      <c r="X2676">
        <v>461</v>
      </c>
      <c r="Y2676">
        <v>52</v>
      </c>
      <c r="Z2676">
        <v>0</v>
      </c>
      <c r="AA2676">
        <v>52</v>
      </c>
      <c r="AB2676">
        <v>0</v>
      </c>
      <c r="AC2676">
        <v>30</v>
      </c>
      <c r="AD2676">
        <v>14</v>
      </c>
      <c r="AE2676">
        <v>0</v>
      </c>
      <c r="AF2676">
        <v>0</v>
      </c>
      <c r="AG2676">
        <v>0</v>
      </c>
      <c r="AH2676" t="s">
        <v>94</v>
      </c>
      <c r="AI2676" s="1">
        <v>44201.62164351852</v>
      </c>
      <c r="AJ2676">
        <v>84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14</v>
      </c>
      <c r="AQ2676">
        <v>0</v>
      </c>
      <c r="AR2676">
        <v>0</v>
      </c>
      <c r="AS2676">
        <v>0</v>
      </c>
      <c r="AT2676" t="s">
        <v>90</v>
      </c>
      <c r="AU2676" s="1">
        <v>44201.633750000001</v>
      </c>
      <c r="AV2676">
        <v>317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14</v>
      </c>
      <c r="BC2676">
        <v>0</v>
      </c>
      <c r="BD2676">
        <v>0</v>
      </c>
      <c r="BE2676">
        <v>0</v>
      </c>
    </row>
    <row r="2677" spans="1:57" hidden="1" x14ac:dyDescent="0.45">
      <c r="A2677" t="s">
        <v>6394</v>
      </c>
      <c r="B2677" t="s">
        <v>79</v>
      </c>
      <c r="C2677" t="s">
        <v>1383</v>
      </c>
      <c r="D2677" t="s">
        <v>81</v>
      </c>
      <c r="E2677" s="2" t="str">
        <f>HYPERLINK("capsilon://?command=openfolder&amp;siteaddress=FAM.docvelocity-na8.net&amp;folderid=FX0E3C9174-FA0A-7950-F5E6-312D3CC4D2CF","FX20122527")</f>
        <v>FX20122527</v>
      </c>
      <c r="F2677" t="s">
        <v>19</v>
      </c>
      <c r="G2677" t="s">
        <v>19</v>
      </c>
      <c r="H2677" t="s">
        <v>82</v>
      </c>
      <c r="I2677" t="s">
        <v>6395</v>
      </c>
      <c r="J2677">
        <v>89</v>
      </c>
      <c r="K2677" t="s">
        <v>84</v>
      </c>
      <c r="L2677" t="s">
        <v>85</v>
      </c>
      <c r="M2677" t="s">
        <v>86</v>
      </c>
      <c r="N2677">
        <v>1</v>
      </c>
      <c r="O2677" s="1">
        <v>44201.614131944443</v>
      </c>
      <c r="P2677" s="1">
        <v>44201.616805555554</v>
      </c>
      <c r="Q2677">
        <v>110</v>
      </c>
      <c r="R2677">
        <v>121</v>
      </c>
      <c r="S2677" t="b">
        <v>0</v>
      </c>
      <c r="T2677" t="s">
        <v>87</v>
      </c>
      <c r="U2677" t="b">
        <v>0</v>
      </c>
      <c r="V2677" t="s">
        <v>255</v>
      </c>
      <c r="W2677" s="1">
        <v>44201.616805555554</v>
      </c>
      <c r="X2677">
        <v>121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89</v>
      </c>
      <c r="AE2677">
        <v>85</v>
      </c>
      <c r="AF2677">
        <v>0</v>
      </c>
      <c r="AG2677">
        <v>2</v>
      </c>
      <c r="AH2677" t="s">
        <v>87</v>
      </c>
      <c r="AI2677" t="s">
        <v>87</v>
      </c>
      <c r="AJ2677" t="s">
        <v>87</v>
      </c>
      <c r="AK2677" t="s">
        <v>87</v>
      </c>
      <c r="AL2677" t="s">
        <v>87</v>
      </c>
      <c r="AM2677" t="s">
        <v>87</v>
      </c>
      <c r="AN2677" t="s">
        <v>87</v>
      </c>
      <c r="AO2677" t="s">
        <v>87</v>
      </c>
      <c r="AP2677" t="s">
        <v>87</v>
      </c>
      <c r="AQ2677" t="s">
        <v>87</v>
      </c>
      <c r="AR2677" t="s">
        <v>87</v>
      </c>
      <c r="AS2677" t="s">
        <v>87</v>
      </c>
      <c r="AT2677" t="s">
        <v>87</v>
      </c>
      <c r="AU2677" t="s">
        <v>87</v>
      </c>
      <c r="AV2677" t="s">
        <v>87</v>
      </c>
      <c r="AW2677" t="s">
        <v>87</v>
      </c>
      <c r="AX2677" t="s">
        <v>87</v>
      </c>
      <c r="AY2677" t="s">
        <v>87</v>
      </c>
      <c r="AZ2677" t="s">
        <v>87</v>
      </c>
      <c r="BA2677" t="s">
        <v>87</v>
      </c>
      <c r="BB2677" t="s">
        <v>87</v>
      </c>
      <c r="BC2677" t="s">
        <v>87</v>
      </c>
      <c r="BD2677" t="s">
        <v>87</v>
      </c>
      <c r="BE2677" t="s">
        <v>87</v>
      </c>
    </row>
    <row r="2678" spans="1:57" x14ac:dyDescent="0.45">
      <c r="A2678" t="s">
        <v>6396</v>
      </c>
      <c r="B2678" t="s">
        <v>79</v>
      </c>
      <c r="C2678" t="s">
        <v>6397</v>
      </c>
      <c r="D2678" t="s">
        <v>81</v>
      </c>
      <c r="E2678" s="2" t="str">
        <f>HYPERLINK("capsilon://?command=openfolder&amp;siteaddress=FAM.docvelocity-na8.net&amp;folderid=FX55B92749-D0AB-065C-CE06-44A8373780A3","FX210112782")</f>
        <v>FX210112782</v>
      </c>
      <c r="F2678" t="s">
        <v>19</v>
      </c>
      <c r="G2678" t="s">
        <v>19</v>
      </c>
      <c r="H2678" t="s">
        <v>82</v>
      </c>
      <c r="I2678" t="s">
        <v>6398</v>
      </c>
      <c r="J2678">
        <v>115</v>
      </c>
      <c r="K2678" t="s">
        <v>84</v>
      </c>
      <c r="L2678" t="s">
        <v>85</v>
      </c>
      <c r="M2678" t="s">
        <v>86</v>
      </c>
      <c r="N2678">
        <v>3</v>
      </c>
      <c r="O2678" s="1">
        <v>44222.48065972222</v>
      </c>
      <c r="P2678" s="1">
        <v>44222.557592592595</v>
      </c>
      <c r="Q2678">
        <v>4926</v>
      </c>
      <c r="R2678">
        <v>1721</v>
      </c>
      <c r="S2678" t="b">
        <v>0</v>
      </c>
      <c r="T2678" t="s">
        <v>87</v>
      </c>
      <c r="U2678" t="b">
        <v>0</v>
      </c>
      <c r="V2678" t="s">
        <v>179</v>
      </c>
      <c r="W2678" s="1">
        <v>44222.49722222222</v>
      </c>
      <c r="X2678">
        <v>1428</v>
      </c>
      <c r="Y2678">
        <v>69</v>
      </c>
      <c r="Z2678">
        <v>0</v>
      </c>
      <c r="AA2678">
        <v>69</v>
      </c>
      <c r="AB2678">
        <v>37</v>
      </c>
      <c r="AC2678">
        <v>19</v>
      </c>
      <c r="AD2678">
        <v>46</v>
      </c>
      <c r="AE2678">
        <v>0</v>
      </c>
      <c r="AF2678">
        <v>0</v>
      </c>
      <c r="AG2678">
        <v>0</v>
      </c>
      <c r="AH2678" t="s">
        <v>132</v>
      </c>
      <c r="AI2678" s="1">
        <v>44222.50167824074</v>
      </c>
      <c r="AJ2678">
        <v>168</v>
      </c>
      <c r="AK2678">
        <v>0</v>
      </c>
      <c r="AL2678">
        <v>0</v>
      </c>
      <c r="AM2678">
        <v>0</v>
      </c>
      <c r="AN2678">
        <v>37</v>
      </c>
      <c r="AO2678">
        <v>0</v>
      </c>
      <c r="AP2678">
        <v>46</v>
      </c>
      <c r="AQ2678">
        <v>0</v>
      </c>
      <c r="AR2678">
        <v>0</v>
      </c>
      <c r="AS2678">
        <v>0</v>
      </c>
      <c r="AT2678" t="s">
        <v>90</v>
      </c>
      <c r="AU2678" s="1">
        <v>44222.557592592595</v>
      </c>
      <c r="AV2678">
        <v>125</v>
      </c>
      <c r="AW2678">
        <v>0</v>
      </c>
      <c r="AX2678">
        <v>0</v>
      </c>
      <c r="AY2678">
        <v>0</v>
      </c>
      <c r="AZ2678">
        <v>37</v>
      </c>
      <c r="BA2678">
        <v>0</v>
      </c>
      <c r="BB2678">
        <v>46</v>
      </c>
      <c r="BC2678">
        <v>0</v>
      </c>
      <c r="BD2678">
        <v>0</v>
      </c>
      <c r="BE2678">
        <v>0</v>
      </c>
    </row>
    <row r="2679" spans="1:57" x14ac:dyDescent="0.45">
      <c r="A2679" t="s">
        <v>6399</v>
      </c>
      <c r="B2679" t="s">
        <v>79</v>
      </c>
      <c r="C2679" t="s">
        <v>6400</v>
      </c>
      <c r="D2679" t="s">
        <v>81</v>
      </c>
      <c r="E2679" s="2" t="str">
        <f>HYPERLINK("capsilon://?command=openfolder&amp;siteaddress=FAM.docvelocity-na8.net&amp;folderid=FX0EEDDB17-0316-08CD-FE44-B9483C63B944","FX210114601")</f>
        <v>FX210114601</v>
      </c>
      <c r="F2679" t="s">
        <v>19</v>
      </c>
      <c r="G2679" t="s">
        <v>19</v>
      </c>
      <c r="H2679" t="s">
        <v>82</v>
      </c>
      <c r="I2679" t="s">
        <v>6401</v>
      </c>
      <c r="J2679">
        <v>139</v>
      </c>
      <c r="K2679" t="s">
        <v>84</v>
      </c>
      <c r="L2679" t="s">
        <v>85</v>
      </c>
      <c r="M2679" t="s">
        <v>86</v>
      </c>
      <c r="N2679">
        <v>3</v>
      </c>
      <c r="O2679" s="1">
        <v>44222.485856481479</v>
      </c>
      <c r="P2679" s="1">
        <v>44222.559965277775</v>
      </c>
      <c r="Q2679">
        <v>4974</v>
      </c>
      <c r="R2679">
        <v>1429</v>
      </c>
      <c r="S2679" t="b">
        <v>0</v>
      </c>
      <c r="T2679" t="s">
        <v>87</v>
      </c>
      <c r="U2679" t="b">
        <v>0</v>
      </c>
      <c r="V2679" t="s">
        <v>255</v>
      </c>
      <c r="W2679" s="1">
        <v>44222.498368055552</v>
      </c>
      <c r="X2679">
        <v>941</v>
      </c>
      <c r="Y2679">
        <v>139</v>
      </c>
      <c r="Z2679">
        <v>0</v>
      </c>
      <c r="AA2679">
        <v>139</v>
      </c>
      <c r="AB2679">
        <v>0</v>
      </c>
      <c r="AC2679">
        <v>93</v>
      </c>
      <c r="AD2679">
        <v>0</v>
      </c>
      <c r="AE2679">
        <v>0</v>
      </c>
      <c r="AF2679">
        <v>0</v>
      </c>
      <c r="AG2679">
        <v>0</v>
      </c>
      <c r="AH2679" t="s">
        <v>132</v>
      </c>
      <c r="AI2679" s="1">
        <v>44222.505428240744</v>
      </c>
      <c r="AJ2679">
        <v>323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 t="s">
        <v>90</v>
      </c>
      <c r="AU2679" s="1">
        <v>44222.559965277775</v>
      </c>
      <c r="AV2679">
        <v>165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</row>
    <row r="2680" spans="1:57" hidden="1" x14ac:dyDescent="0.45">
      <c r="A2680" t="s">
        <v>6402</v>
      </c>
      <c r="B2680" t="s">
        <v>79</v>
      </c>
      <c r="C2680" t="s">
        <v>346</v>
      </c>
      <c r="D2680" t="s">
        <v>81</v>
      </c>
      <c r="E2680" s="2" t="str">
        <f>HYPERLINK("capsilon://?command=openfolder&amp;siteaddress=FAM.docvelocity-na8.net&amp;folderid=FX463D5318-D956-0F6F-56FC-642CE044B762","FX20121355")</f>
        <v>FX20121355</v>
      </c>
      <c r="F2680" t="s">
        <v>19</v>
      </c>
      <c r="G2680" t="s">
        <v>19</v>
      </c>
      <c r="H2680" t="s">
        <v>82</v>
      </c>
      <c r="I2680" t="s">
        <v>6403</v>
      </c>
      <c r="J2680">
        <v>66</v>
      </c>
      <c r="K2680" t="s">
        <v>84</v>
      </c>
      <c r="L2680" t="s">
        <v>85</v>
      </c>
      <c r="M2680" t="s">
        <v>86</v>
      </c>
      <c r="N2680">
        <v>3</v>
      </c>
      <c r="O2680" s="1">
        <v>44222.490358796298</v>
      </c>
      <c r="P2680" s="1">
        <v>44222.560011574074</v>
      </c>
      <c r="Q2680">
        <v>5911</v>
      </c>
      <c r="R2680">
        <v>107</v>
      </c>
      <c r="S2680" t="b">
        <v>0</v>
      </c>
      <c r="T2680" t="s">
        <v>87</v>
      </c>
      <c r="U2680" t="b">
        <v>0</v>
      </c>
      <c r="V2680" t="s">
        <v>242</v>
      </c>
      <c r="W2680" s="1">
        <v>44222.491585648146</v>
      </c>
      <c r="X2680">
        <v>94</v>
      </c>
      <c r="Y2680">
        <v>0</v>
      </c>
      <c r="Z2680">
        <v>0</v>
      </c>
      <c r="AA2680">
        <v>0</v>
      </c>
      <c r="AB2680">
        <v>52</v>
      </c>
      <c r="AC2680">
        <v>0</v>
      </c>
      <c r="AD2680">
        <v>66</v>
      </c>
      <c r="AE2680">
        <v>0</v>
      </c>
      <c r="AF2680">
        <v>0</v>
      </c>
      <c r="AG2680">
        <v>0</v>
      </c>
      <c r="AH2680" t="s">
        <v>128</v>
      </c>
      <c r="AI2680" s="1">
        <v>44222.492268518516</v>
      </c>
      <c r="AJ2680">
        <v>10</v>
      </c>
      <c r="AK2680">
        <v>0</v>
      </c>
      <c r="AL2680">
        <v>0</v>
      </c>
      <c r="AM2680">
        <v>0</v>
      </c>
      <c r="AN2680">
        <v>52</v>
      </c>
      <c r="AO2680">
        <v>0</v>
      </c>
      <c r="AP2680">
        <v>66</v>
      </c>
      <c r="AQ2680">
        <v>0</v>
      </c>
      <c r="AR2680">
        <v>0</v>
      </c>
      <c r="AS2680">
        <v>0</v>
      </c>
      <c r="AT2680" t="s">
        <v>90</v>
      </c>
      <c r="AU2680" s="1">
        <v>44222.560011574074</v>
      </c>
      <c r="AV2680">
        <v>3</v>
      </c>
      <c r="AW2680">
        <v>0</v>
      </c>
      <c r="AX2680">
        <v>0</v>
      </c>
      <c r="AY2680">
        <v>0</v>
      </c>
      <c r="AZ2680">
        <v>52</v>
      </c>
      <c r="BA2680">
        <v>0</v>
      </c>
      <c r="BB2680">
        <v>66</v>
      </c>
      <c r="BC2680">
        <v>0</v>
      </c>
      <c r="BD2680">
        <v>0</v>
      </c>
      <c r="BE2680">
        <v>0</v>
      </c>
    </row>
    <row r="2681" spans="1:57" x14ac:dyDescent="0.45">
      <c r="A2681" t="s">
        <v>6404</v>
      </c>
      <c r="B2681" t="s">
        <v>79</v>
      </c>
      <c r="C2681" t="s">
        <v>6405</v>
      </c>
      <c r="D2681" t="s">
        <v>81</v>
      </c>
      <c r="E2681" s="2" t="str">
        <f>HYPERLINK("capsilon://?command=openfolder&amp;siteaddress=FAM.docvelocity-na8.net&amp;folderid=FX3A1D0281-BF14-385D-637D-79815EB00CB3","FX201222180")</f>
        <v>FX201222180</v>
      </c>
      <c r="F2681" t="s">
        <v>19</v>
      </c>
      <c r="G2681" t="s">
        <v>19</v>
      </c>
      <c r="H2681" t="s">
        <v>82</v>
      </c>
      <c r="I2681" t="s">
        <v>6406</v>
      </c>
      <c r="J2681">
        <v>31</v>
      </c>
      <c r="K2681" t="s">
        <v>84</v>
      </c>
      <c r="L2681" t="s">
        <v>85</v>
      </c>
      <c r="M2681" t="s">
        <v>86</v>
      </c>
      <c r="N2681">
        <v>3</v>
      </c>
      <c r="O2681" s="1">
        <v>44222.491747685184</v>
      </c>
      <c r="P2681" s="1">
        <v>44222.560231481482</v>
      </c>
      <c r="Q2681">
        <v>4908</v>
      </c>
      <c r="R2681">
        <v>1009</v>
      </c>
      <c r="S2681" t="b">
        <v>0</v>
      </c>
      <c r="T2681" t="s">
        <v>87</v>
      </c>
      <c r="U2681" t="b">
        <v>0</v>
      </c>
      <c r="V2681" t="s">
        <v>242</v>
      </c>
      <c r="W2681" s="1">
        <v>44222.501377314817</v>
      </c>
      <c r="X2681">
        <v>806</v>
      </c>
      <c r="Y2681">
        <v>41</v>
      </c>
      <c r="Z2681">
        <v>0</v>
      </c>
      <c r="AA2681">
        <v>41</v>
      </c>
      <c r="AB2681">
        <v>0</v>
      </c>
      <c r="AC2681">
        <v>26</v>
      </c>
      <c r="AD2681">
        <v>-10</v>
      </c>
      <c r="AE2681">
        <v>0</v>
      </c>
      <c r="AF2681">
        <v>0</v>
      </c>
      <c r="AG2681">
        <v>0</v>
      </c>
      <c r="AH2681" t="s">
        <v>132</v>
      </c>
      <c r="AI2681" s="1">
        <v>44222.507569444446</v>
      </c>
      <c r="AJ2681">
        <v>185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-10</v>
      </c>
      <c r="AQ2681">
        <v>0</v>
      </c>
      <c r="AR2681">
        <v>0</v>
      </c>
      <c r="AS2681">
        <v>0</v>
      </c>
      <c r="AT2681" t="s">
        <v>90</v>
      </c>
      <c r="AU2681" s="1">
        <v>44222.560231481482</v>
      </c>
      <c r="AV2681">
        <v>18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-10</v>
      </c>
      <c r="BC2681">
        <v>0</v>
      </c>
      <c r="BD2681">
        <v>0</v>
      </c>
      <c r="BE2681">
        <v>0</v>
      </c>
    </row>
    <row r="2682" spans="1:57" x14ac:dyDescent="0.45">
      <c r="A2682" t="s">
        <v>6407</v>
      </c>
      <c r="B2682" t="s">
        <v>79</v>
      </c>
      <c r="C2682" t="s">
        <v>6405</v>
      </c>
      <c r="D2682" t="s">
        <v>81</v>
      </c>
      <c r="E2682" s="2" t="str">
        <f>HYPERLINK("capsilon://?command=openfolder&amp;siteaddress=FAM.docvelocity-na8.net&amp;folderid=FX3A1D0281-BF14-385D-637D-79815EB00CB3","FX201222180")</f>
        <v>FX201222180</v>
      </c>
      <c r="F2682" t="s">
        <v>19</v>
      </c>
      <c r="G2682" t="s">
        <v>19</v>
      </c>
      <c r="H2682" t="s">
        <v>82</v>
      </c>
      <c r="I2682" t="s">
        <v>6408</v>
      </c>
      <c r="J2682">
        <v>31</v>
      </c>
      <c r="K2682" t="s">
        <v>84</v>
      </c>
      <c r="L2682" t="s">
        <v>85</v>
      </c>
      <c r="M2682" t="s">
        <v>86</v>
      </c>
      <c r="N2682">
        <v>3</v>
      </c>
      <c r="O2682" s="1">
        <v>44222.492280092592</v>
      </c>
      <c r="P2682" s="1">
        <v>44222.560335648152</v>
      </c>
      <c r="Q2682">
        <v>4391</v>
      </c>
      <c r="R2682">
        <v>1489</v>
      </c>
      <c r="S2682" t="b">
        <v>0</v>
      </c>
      <c r="T2682" t="s">
        <v>87</v>
      </c>
      <c r="U2682" t="b">
        <v>0</v>
      </c>
      <c r="V2682" t="s">
        <v>919</v>
      </c>
      <c r="W2682" s="1">
        <v>44222.506423611114</v>
      </c>
      <c r="X2682">
        <v>1164</v>
      </c>
      <c r="Y2682">
        <v>68</v>
      </c>
      <c r="Z2682">
        <v>0</v>
      </c>
      <c r="AA2682">
        <v>68</v>
      </c>
      <c r="AB2682">
        <v>0</v>
      </c>
      <c r="AC2682">
        <v>50</v>
      </c>
      <c r="AD2682">
        <v>-37</v>
      </c>
      <c r="AE2682">
        <v>0</v>
      </c>
      <c r="AF2682">
        <v>0</v>
      </c>
      <c r="AG2682">
        <v>0</v>
      </c>
      <c r="AH2682" t="s">
        <v>132</v>
      </c>
      <c r="AI2682" s="1">
        <v>44222.556481481479</v>
      </c>
      <c r="AJ2682">
        <v>316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-37</v>
      </c>
      <c r="AQ2682">
        <v>0</v>
      </c>
      <c r="AR2682">
        <v>0</v>
      </c>
      <c r="AS2682">
        <v>0</v>
      </c>
      <c r="AT2682" t="s">
        <v>90</v>
      </c>
      <c r="AU2682" s="1">
        <v>44222.560335648152</v>
      </c>
      <c r="AV2682">
        <v>9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-37</v>
      </c>
      <c r="BC2682">
        <v>0</v>
      </c>
      <c r="BD2682">
        <v>0</v>
      </c>
      <c r="BE2682">
        <v>0</v>
      </c>
    </row>
    <row r="2683" spans="1:57" x14ac:dyDescent="0.45">
      <c r="A2683" t="s">
        <v>6409</v>
      </c>
      <c r="B2683" t="s">
        <v>79</v>
      </c>
      <c r="C2683" t="s">
        <v>6410</v>
      </c>
      <c r="D2683" t="s">
        <v>81</v>
      </c>
      <c r="E2683" s="2" t="str">
        <f>HYPERLINK("capsilon://?command=openfolder&amp;siteaddress=FAM.docvelocity-na8.net&amp;folderid=FX4BEE896A-7078-D360-7E2B-D2B50A3FA477","FX210116036")</f>
        <v>FX210116036</v>
      </c>
      <c r="F2683" t="s">
        <v>19</v>
      </c>
      <c r="G2683" t="s">
        <v>19</v>
      </c>
      <c r="H2683" t="s">
        <v>82</v>
      </c>
      <c r="I2683" t="s">
        <v>6411</v>
      </c>
      <c r="J2683">
        <v>369</v>
      </c>
      <c r="K2683" t="s">
        <v>84</v>
      </c>
      <c r="L2683" t="s">
        <v>85</v>
      </c>
      <c r="M2683" t="s">
        <v>86</v>
      </c>
      <c r="N2683">
        <v>3</v>
      </c>
      <c r="O2683" s="1">
        <v>44222.493611111109</v>
      </c>
      <c r="P2683" s="1">
        <v>44222.565983796296</v>
      </c>
      <c r="Q2683">
        <v>2139</v>
      </c>
      <c r="R2683">
        <v>4114</v>
      </c>
      <c r="S2683" t="b">
        <v>0</v>
      </c>
      <c r="T2683" t="s">
        <v>87</v>
      </c>
      <c r="U2683" t="b">
        <v>0</v>
      </c>
      <c r="V2683" t="s">
        <v>88</v>
      </c>
      <c r="W2683" s="1">
        <v>44222.533101851855</v>
      </c>
      <c r="X2683">
        <v>3312</v>
      </c>
      <c r="Y2683">
        <v>300</v>
      </c>
      <c r="Z2683">
        <v>0</v>
      </c>
      <c r="AA2683">
        <v>300</v>
      </c>
      <c r="AB2683">
        <v>0</v>
      </c>
      <c r="AC2683">
        <v>230</v>
      </c>
      <c r="AD2683">
        <v>69</v>
      </c>
      <c r="AE2683">
        <v>0</v>
      </c>
      <c r="AF2683">
        <v>0</v>
      </c>
      <c r="AG2683">
        <v>0</v>
      </c>
      <c r="AH2683" t="s">
        <v>132</v>
      </c>
      <c r="AI2683" s="1">
        <v>44222.565092592595</v>
      </c>
      <c r="AJ2683">
        <v>743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69</v>
      </c>
      <c r="AQ2683">
        <v>0</v>
      </c>
      <c r="AR2683">
        <v>0</v>
      </c>
      <c r="AS2683">
        <v>0</v>
      </c>
      <c r="AT2683" t="s">
        <v>90</v>
      </c>
      <c r="AU2683" s="1">
        <v>44222.565983796296</v>
      </c>
      <c r="AV2683">
        <v>47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69</v>
      </c>
      <c r="BC2683">
        <v>0</v>
      </c>
      <c r="BD2683">
        <v>0</v>
      </c>
      <c r="BE2683">
        <v>0</v>
      </c>
    </row>
    <row r="2684" spans="1:57" x14ac:dyDescent="0.45">
      <c r="A2684" t="s">
        <v>6412</v>
      </c>
      <c r="B2684" t="s">
        <v>79</v>
      </c>
      <c r="C2684" t="s">
        <v>3478</v>
      </c>
      <c r="D2684" t="s">
        <v>81</v>
      </c>
      <c r="E2684" s="2" t="str">
        <f>HYPERLINK("capsilon://?command=openfolder&amp;siteaddress=FAM.docvelocity-na8.net&amp;folderid=FX35224586-0A5A-AF07-F6FF-14E3B4E2DE11","FX201221051")</f>
        <v>FX201221051</v>
      </c>
      <c r="F2684" t="s">
        <v>19</v>
      </c>
      <c r="G2684" t="s">
        <v>19</v>
      </c>
      <c r="H2684" t="s">
        <v>82</v>
      </c>
      <c r="I2684" t="s">
        <v>6413</v>
      </c>
      <c r="J2684">
        <v>55</v>
      </c>
      <c r="K2684" t="s">
        <v>84</v>
      </c>
      <c r="L2684" t="s">
        <v>85</v>
      </c>
      <c r="M2684" t="s">
        <v>86</v>
      </c>
      <c r="N2684">
        <v>3</v>
      </c>
      <c r="O2684" s="1">
        <v>44222.495868055557</v>
      </c>
      <c r="P2684" s="1">
        <v>44222.564074074071</v>
      </c>
      <c r="Q2684">
        <v>4661</v>
      </c>
      <c r="R2684">
        <v>1232</v>
      </c>
      <c r="S2684" t="b">
        <v>0</v>
      </c>
      <c r="T2684" t="s">
        <v>87</v>
      </c>
      <c r="U2684" t="b">
        <v>0</v>
      </c>
      <c r="V2684" t="s">
        <v>259</v>
      </c>
      <c r="W2684" s="1">
        <v>44222.50408564815</v>
      </c>
      <c r="X2684">
        <v>699</v>
      </c>
      <c r="Y2684">
        <v>47</v>
      </c>
      <c r="Z2684">
        <v>0</v>
      </c>
      <c r="AA2684">
        <v>47</v>
      </c>
      <c r="AB2684">
        <v>0</v>
      </c>
      <c r="AC2684">
        <v>21</v>
      </c>
      <c r="AD2684">
        <v>8</v>
      </c>
      <c r="AE2684">
        <v>0</v>
      </c>
      <c r="AF2684">
        <v>0</v>
      </c>
      <c r="AG2684">
        <v>0</v>
      </c>
      <c r="AH2684" t="s">
        <v>128</v>
      </c>
      <c r="AI2684" s="1">
        <v>44222.559050925927</v>
      </c>
      <c r="AJ2684">
        <v>210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8</v>
      </c>
      <c r="AQ2684">
        <v>0</v>
      </c>
      <c r="AR2684">
        <v>0</v>
      </c>
      <c r="AS2684">
        <v>0</v>
      </c>
      <c r="AT2684" t="s">
        <v>90</v>
      </c>
      <c r="AU2684" s="1">
        <v>44222.564074074071</v>
      </c>
      <c r="AV2684">
        <v>323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8</v>
      </c>
      <c r="BC2684">
        <v>0</v>
      </c>
      <c r="BD2684">
        <v>0</v>
      </c>
      <c r="BE2684">
        <v>0</v>
      </c>
    </row>
    <row r="2685" spans="1:57" hidden="1" x14ac:dyDescent="0.45">
      <c r="A2685" t="s">
        <v>6414</v>
      </c>
      <c r="B2685" t="s">
        <v>79</v>
      </c>
      <c r="C2685" t="s">
        <v>2297</v>
      </c>
      <c r="D2685" t="s">
        <v>81</v>
      </c>
      <c r="E2685" s="2" t="str">
        <f>HYPERLINK("capsilon://?command=openfolder&amp;siteaddress=FAM.docvelocity-na8.net&amp;folderid=FXC1E1BD5B-5BEF-BFEF-EB99-C146112DF103","FX20111432")</f>
        <v>FX20111432</v>
      </c>
      <c r="F2685" t="s">
        <v>19</v>
      </c>
      <c r="G2685" t="s">
        <v>19</v>
      </c>
      <c r="H2685" t="s">
        <v>82</v>
      </c>
      <c r="I2685" t="s">
        <v>6415</v>
      </c>
      <c r="J2685">
        <v>66</v>
      </c>
      <c r="K2685" t="s">
        <v>84</v>
      </c>
      <c r="L2685" t="s">
        <v>85</v>
      </c>
      <c r="M2685" t="s">
        <v>86</v>
      </c>
      <c r="N2685">
        <v>3</v>
      </c>
      <c r="O2685" s="1">
        <v>44222.496168981481</v>
      </c>
      <c r="P2685" s="1">
        <v>44222.564108796294</v>
      </c>
      <c r="Q2685">
        <v>5715</v>
      </c>
      <c r="R2685">
        <v>155</v>
      </c>
      <c r="S2685" t="b">
        <v>0</v>
      </c>
      <c r="T2685" t="s">
        <v>87</v>
      </c>
      <c r="U2685" t="b">
        <v>0</v>
      </c>
      <c r="V2685" t="s">
        <v>179</v>
      </c>
      <c r="W2685" s="1">
        <v>44222.498900462961</v>
      </c>
      <c r="X2685">
        <v>144</v>
      </c>
      <c r="Y2685">
        <v>0</v>
      </c>
      <c r="Z2685">
        <v>0</v>
      </c>
      <c r="AA2685">
        <v>0</v>
      </c>
      <c r="AB2685">
        <v>52</v>
      </c>
      <c r="AC2685">
        <v>0</v>
      </c>
      <c r="AD2685">
        <v>66</v>
      </c>
      <c r="AE2685">
        <v>0</v>
      </c>
      <c r="AF2685">
        <v>0</v>
      </c>
      <c r="AG2685">
        <v>0</v>
      </c>
      <c r="AH2685" t="s">
        <v>128</v>
      </c>
      <c r="AI2685" s="1">
        <v>44222.559155092589</v>
      </c>
      <c r="AJ2685">
        <v>8</v>
      </c>
      <c r="AK2685">
        <v>0</v>
      </c>
      <c r="AL2685">
        <v>0</v>
      </c>
      <c r="AM2685">
        <v>0</v>
      </c>
      <c r="AN2685">
        <v>52</v>
      </c>
      <c r="AO2685">
        <v>0</v>
      </c>
      <c r="AP2685">
        <v>66</v>
      </c>
      <c r="AQ2685">
        <v>0</v>
      </c>
      <c r="AR2685">
        <v>0</v>
      </c>
      <c r="AS2685">
        <v>0</v>
      </c>
      <c r="AT2685" t="s">
        <v>90</v>
      </c>
      <c r="AU2685" s="1">
        <v>44222.564108796294</v>
      </c>
      <c r="AV2685">
        <v>3</v>
      </c>
      <c r="AW2685">
        <v>0</v>
      </c>
      <c r="AX2685">
        <v>0</v>
      </c>
      <c r="AY2685">
        <v>0</v>
      </c>
      <c r="AZ2685">
        <v>52</v>
      </c>
      <c r="BA2685">
        <v>0</v>
      </c>
      <c r="BB2685">
        <v>66</v>
      </c>
      <c r="BC2685">
        <v>0</v>
      </c>
      <c r="BD2685">
        <v>0</v>
      </c>
      <c r="BE2685">
        <v>0</v>
      </c>
    </row>
    <row r="2686" spans="1:57" hidden="1" x14ac:dyDescent="0.45">
      <c r="A2686" t="s">
        <v>6416</v>
      </c>
      <c r="B2686" t="s">
        <v>79</v>
      </c>
      <c r="C2686" t="s">
        <v>1498</v>
      </c>
      <c r="D2686" t="s">
        <v>81</v>
      </c>
      <c r="E2686" s="2" t="str">
        <f>HYPERLINK("capsilon://?command=openfolder&amp;siteaddress=FAM.docvelocity-na8.net&amp;folderid=FX6683042E-91D2-38EA-5F27-E9686FF7C5E3","FX201224094")</f>
        <v>FX201224094</v>
      </c>
      <c r="F2686" t="s">
        <v>19</v>
      </c>
      <c r="G2686" t="s">
        <v>19</v>
      </c>
      <c r="H2686" t="s">
        <v>82</v>
      </c>
      <c r="I2686" t="s">
        <v>6417</v>
      </c>
      <c r="J2686">
        <v>66</v>
      </c>
      <c r="K2686" t="s">
        <v>84</v>
      </c>
      <c r="L2686" t="s">
        <v>85</v>
      </c>
      <c r="M2686" t="s">
        <v>86</v>
      </c>
      <c r="N2686">
        <v>3</v>
      </c>
      <c r="O2686" s="1">
        <v>44222.498784722222</v>
      </c>
      <c r="P2686" s="1">
        <v>44222.564155092594</v>
      </c>
      <c r="Q2686">
        <v>5434</v>
      </c>
      <c r="R2686">
        <v>214</v>
      </c>
      <c r="S2686" t="b">
        <v>0</v>
      </c>
      <c r="T2686" t="s">
        <v>87</v>
      </c>
      <c r="U2686" t="b">
        <v>0</v>
      </c>
      <c r="V2686" t="s">
        <v>179</v>
      </c>
      <c r="W2686" s="1">
        <v>44222.501215277778</v>
      </c>
      <c r="X2686">
        <v>200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66</v>
      </c>
      <c r="AE2686">
        <v>0</v>
      </c>
      <c r="AF2686">
        <v>0</v>
      </c>
      <c r="AG2686">
        <v>0</v>
      </c>
      <c r="AH2686" t="s">
        <v>128</v>
      </c>
      <c r="AI2686" s="1">
        <v>44222.559293981481</v>
      </c>
      <c r="AJ2686">
        <v>11</v>
      </c>
      <c r="AK2686">
        <v>0</v>
      </c>
      <c r="AL2686">
        <v>0</v>
      </c>
      <c r="AM2686">
        <v>0</v>
      </c>
      <c r="AN2686">
        <v>52</v>
      </c>
      <c r="AO2686">
        <v>0</v>
      </c>
      <c r="AP2686">
        <v>66</v>
      </c>
      <c r="AQ2686">
        <v>0</v>
      </c>
      <c r="AR2686">
        <v>0</v>
      </c>
      <c r="AS2686">
        <v>0</v>
      </c>
      <c r="AT2686" t="s">
        <v>90</v>
      </c>
      <c r="AU2686" s="1">
        <v>44222.564155092594</v>
      </c>
      <c r="AV2686">
        <v>3</v>
      </c>
      <c r="AW2686">
        <v>0</v>
      </c>
      <c r="AX2686">
        <v>0</v>
      </c>
      <c r="AY2686">
        <v>0</v>
      </c>
      <c r="AZ2686">
        <v>52</v>
      </c>
      <c r="BA2686">
        <v>0</v>
      </c>
      <c r="BB2686">
        <v>66</v>
      </c>
      <c r="BC2686">
        <v>0</v>
      </c>
      <c r="BD2686">
        <v>0</v>
      </c>
      <c r="BE2686">
        <v>0</v>
      </c>
    </row>
    <row r="2687" spans="1:57" hidden="1" x14ac:dyDescent="0.45">
      <c r="A2687" t="s">
        <v>6418</v>
      </c>
      <c r="B2687" t="s">
        <v>79</v>
      </c>
      <c r="C2687" t="s">
        <v>904</v>
      </c>
      <c r="D2687" t="s">
        <v>81</v>
      </c>
      <c r="E2687" s="2" t="str">
        <f>HYPERLINK("capsilon://?command=openfolder&amp;siteaddress=FAM.docvelocity-na8.net&amp;folderid=FX9F770D5C-C00E-FAB6-09A3-383E58B3D6A6","FX21012969")</f>
        <v>FX21012969</v>
      </c>
      <c r="F2687" t="s">
        <v>19</v>
      </c>
      <c r="G2687" t="s">
        <v>19</v>
      </c>
      <c r="H2687" t="s">
        <v>82</v>
      </c>
      <c r="I2687" t="s">
        <v>6419</v>
      </c>
      <c r="J2687">
        <v>66</v>
      </c>
      <c r="K2687" t="s">
        <v>84</v>
      </c>
      <c r="L2687" t="s">
        <v>85</v>
      </c>
      <c r="M2687" t="s">
        <v>86</v>
      </c>
      <c r="N2687">
        <v>3</v>
      </c>
      <c r="O2687" s="1">
        <v>44222.501307870371</v>
      </c>
      <c r="P2687" s="1">
        <v>44222.564189814817</v>
      </c>
      <c r="Q2687">
        <v>5325</v>
      </c>
      <c r="R2687">
        <v>108</v>
      </c>
      <c r="S2687" t="b">
        <v>0</v>
      </c>
      <c r="T2687" t="s">
        <v>87</v>
      </c>
      <c r="U2687" t="b">
        <v>0</v>
      </c>
      <c r="V2687" t="s">
        <v>255</v>
      </c>
      <c r="W2687" s="1">
        <v>44222.502187500002</v>
      </c>
      <c r="X2687">
        <v>45</v>
      </c>
      <c r="Y2687">
        <v>0</v>
      </c>
      <c r="Z2687">
        <v>0</v>
      </c>
      <c r="AA2687">
        <v>0</v>
      </c>
      <c r="AB2687">
        <v>52</v>
      </c>
      <c r="AC2687">
        <v>0</v>
      </c>
      <c r="AD2687">
        <v>66</v>
      </c>
      <c r="AE2687">
        <v>0</v>
      </c>
      <c r="AF2687">
        <v>0</v>
      </c>
      <c r="AG2687">
        <v>0</v>
      </c>
      <c r="AH2687" t="s">
        <v>128</v>
      </c>
      <c r="AI2687" s="1">
        <v>44222.559745370374</v>
      </c>
      <c r="AJ2687">
        <v>38</v>
      </c>
      <c r="AK2687">
        <v>0</v>
      </c>
      <c r="AL2687">
        <v>0</v>
      </c>
      <c r="AM2687">
        <v>0</v>
      </c>
      <c r="AN2687">
        <v>52</v>
      </c>
      <c r="AO2687">
        <v>0</v>
      </c>
      <c r="AP2687">
        <v>66</v>
      </c>
      <c r="AQ2687">
        <v>0</v>
      </c>
      <c r="AR2687">
        <v>0</v>
      </c>
      <c r="AS2687">
        <v>0</v>
      </c>
      <c r="AT2687" t="s">
        <v>90</v>
      </c>
      <c r="AU2687" s="1">
        <v>44222.564189814817</v>
      </c>
      <c r="AV2687">
        <v>2</v>
      </c>
      <c r="AW2687">
        <v>0</v>
      </c>
      <c r="AX2687">
        <v>0</v>
      </c>
      <c r="AY2687">
        <v>0</v>
      </c>
      <c r="AZ2687">
        <v>52</v>
      </c>
      <c r="BA2687">
        <v>0</v>
      </c>
      <c r="BB2687">
        <v>66</v>
      </c>
      <c r="BC2687">
        <v>0</v>
      </c>
      <c r="BD2687">
        <v>0</v>
      </c>
      <c r="BE2687">
        <v>0</v>
      </c>
    </row>
    <row r="2688" spans="1:57" hidden="1" x14ac:dyDescent="0.45">
      <c r="A2688" t="s">
        <v>6420</v>
      </c>
      <c r="B2688" t="s">
        <v>79</v>
      </c>
      <c r="C2688" t="s">
        <v>904</v>
      </c>
      <c r="D2688" t="s">
        <v>81</v>
      </c>
      <c r="E2688" s="2" t="str">
        <f>HYPERLINK("capsilon://?command=openfolder&amp;siteaddress=FAM.docvelocity-na8.net&amp;folderid=FX9F770D5C-C00E-FAB6-09A3-383E58B3D6A6","FX21012969")</f>
        <v>FX21012969</v>
      </c>
      <c r="F2688" t="s">
        <v>19</v>
      </c>
      <c r="G2688" t="s">
        <v>19</v>
      </c>
      <c r="H2688" t="s">
        <v>82</v>
      </c>
      <c r="I2688" t="s">
        <v>6421</v>
      </c>
      <c r="J2688">
        <v>66</v>
      </c>
      <c r="K2688" t="s">
        <v>84</v>
      </c>
      <c r="L2688" t="s">
        <v>85</v>
      </c>
      <c r="M2688" t="s">
        <v>86</v>
      </c>
      <c r="N2688">
        <v>3</v>
      </c>
      <c r="O2688" s="1">
        <v>44222.50167824074</v>
      </c>
      <c r="P2688" s="1">
        <v>44222.56422453704</v>
      </c>
      <c r="Q2688">
        <v>5262</v>
      </c>
      <c r="R2688">
        <v>142</v>
      </c>
      <c r="S2688" t="b">
        <v>0</v>
      </c>
      <c r="T2688" t="s">
        <v>87</v>
      </c>
      <c r="U2688" t="b">
        <v>0</v>
      </c>
      <c r="V2688" t="s">
        <v>179</v>
      </c>
      <c r="W2688" s="1">
        <v>44222.503333333334</v>
      </c>
      <c r="X2688">
        <v>131</v>
      </c>
      <c r="Y2688">
        <v>0</v>
      </c>
      <c r="Z2688">
        <v>0</v>
      </c>
      <c r="AA2688">
        <v>0</v>
      </c>
      <c r="AB2688">
        <v>52</v>
      </c>
      <c r="AC2688">
        <v>0</v>
      </c>
      <c r="AD2688">
        <v>66</v>
      </c>
      <c r="AE2688">
        <v>0</v>
      </c>
      <c r="AF2688">
        <v>0</v>
      </c>
      <c r="AG2688">
        <v>0</v>
      </c>
      <c r="AH2688" t="s">
        <v>128</v>
      </c>
      <c r="AI2688" s="1">
        <v>44222.559849537036</v>
      </c>
      <c r="AJ2688">
        <v>8</v>
      </c>
      <c r="AK2688">
        <v>0</v>
      </c>
      <c r="AL2688">
        <v>0</v>
      </c>
      <c r="AM2688">
        <v>0</v>
      </c>
      <c r="AN2688">
        <v>52</v>
      </c>
      <c r="AO2688">
        <v>0</v>
      </c>
      <c r="AP2688">
        <v>66</v>
      </c>
      <c r="AQ2688">
        <v>0</v>
      </c>
      <c r="AR2688">
        <v>0</v>
      </c>
      <c r="AS2688">
        <v>0</v>
      </c>
      <c r="AT2688" t="s">
        <v>90</v>
      </c>
      <c r="AU2688" s="1">
        <v>44222.56422453704</v>
      </c>
      <c r="AV2688">
        <v>3</v>
      </c>
      <c r="AW2688">
        <v>0</v>
      </c>
      <c r="AX2688">
        <v>0</v>
      </c>
      <c r="AY2688">
        <v>0</v>
      </c>
      <c r="AZ2688">
        <v>52</v>
      </c>
      <c r="BA2688">
        <v>0</v>
      </c>
      <c r="BB2688">
        <v>66</v>
      </c>
      <c r="BC2688">
        <v>0</v>
      </c>
      <c r="BD2688">
        <v>0</v>
      </c>
      <c r="BE2688">
        <v>0</v>
      </c>
    </row>
    <row r="2689" spans="1:57" hidden="1" x14ac:dyDescent="0.45">
      <c r="A2689" t="s">
        <v>6422</v>
      </c>
      <c r="B2689" t="s">
        <v>79</v>
      </c>
      <c r="C2689" t="s">
        <v>6423</v>
      </c>
      <c r="D2689" t="s">
        <v>81</v>
      </c>
      <c r="E2689" s="2" t="str">
        <f>HYPERLINK("capsilon://?command=openfolder&amp;siteaddress=FAM.docvelocity-na8.net&amp;folderid=FXE5661954-B1EF-2EDA-6561-239F5C930919","FX20123207")</f>
        <v>FX20123207</v>
      </c>
      <c r="F2689" t="s">
        <v>19</v>
      </c>
      <c r="G2689" t="s">
        <v>19</v>
      </c>
      <c r="H2689" t="s">
        <v>82</v>
      </c>
      <c r="I2689" t="s">
        <v>6424</v>
      </c>
      <c r="J2689">
        <v>66</v>
      </c>
      <c r="K2689" t="s">
        <v>84</v>
      </c>
      <c r="L2689" t="s">
        <v>85</v>
      </c>
      <c r="M2689" t="s">
        <v>86</v>
      </c>
      <c r="N2689">
        <v>3</v>
      </c>
      <c r="O2689" s="1">
        <v>44222.502071759256</v>
      </c>
      <c r="P2689" s="1">
        <v>44222.564259259256</v>
      </c>
      <c r="Q2689">
        <v>5313</v>
      </c>
      <c r="R2689">
        <v>60</v>
      </c>
      <c r="S2689" t="b">
        <v>0</v>
      </c>
      <c r="T2689" t="s">
        <v>87</v>
      </c>
      <c r="U2689" t="b">
        <v>0</v>
      </c>
      <c r="V2689" t="s">
        <v>255</v>
      </c>
      <c r="W2689" s="1">
        <v>44222.50277777778</v>
      </c>
      <c r="X2689">
        <v>50</v>
      </c>
      <c r="Y2689">
        <v>0</v>
      </c>
      <c r="Z2689">
        <v>0</v>
      </c>
      <c r="AA2689">
        <v>0</v>
      </c>
      <c r="AB2689">
        <v>52</v>
      </c>
      <c r="AC2689">
        <v>0</v>
      </c>
      <c r="AD2689">
        <v>66</v>
      </c>
      <c r="AE2689">
        <v>0</v>
      </c>
      <c r="AF2689">
        <v>0</v>
      </c>
      <c r="AG2689">
        <v>0</v>
      </c>
      <c r="AH2689" t="s">
        <v>128</v>
      </c>
      <c r="AI2689" s="1">
        <v>44222.559953703705</v>
      </c>
      <c r="AJ2689">
        <v>8</v>
      </c>
      <c r="AK2689">
        <v>0</v>
      </c>
      <c r="AL2689">
        <v>0</v>
      </c>
      <c r="AM2689">
        <v>0</v>
      </c>
      <c r="AN2689">
        <v>52</v>
      </c>
      <c r="AO2689">
        <v>0</v>
      </c>
      <c r="AP2689">
        <v>66</v>
      </c>
      <c r="AQ2689">
        <v>0</v>
      </c>
      <c r="AR2689">
        <v>0</v>
      </c>
      <c r="AS2689">
        <v>0</v>
      </c>
      <c r="AT2689" t="s">
        <v>90</v>
      </c>
      <c r="AU2689" s="1">
        <v>44222.564259259256</v>
      </c>
      <c r="AV2689">
        <v>2</v>
      </c>
      <c r="AW2689">
        <v>0</v>
      </c>
      <c r="AX2689">
        <v>0</v>
      </c>
      <c r="AY2689">
        <v>0</v>
      </c>
      <c r="AZ2689">
        <v>52</v>
      </c>
      <c r="BA2689">
        <v>0</v>
      </c>
      <c r="BB2689">
        <v>66</v>
      </c>
      <c r="BC2689">
        <v>0</v>
      </c>
      <c r="BD2689">
        <v>0</v>
      </c>
      <c r="BE2689">
        <v>0</v>
      </c>
    </row>
    <row r="2690" spans="1:57" hidden="1" x14ac:dyDescent="0.45">
      <c r="A2690" t="s">
        <v>6425</v>
      </c>
      <c r="B2690" t="s">
        <v>79</v>
      </c>
      <c r="C2690" t="s">
        <v>6423</v>
      </c>
      <c r="D2690" t="s">
        <v>81</v>
      </c>
      <c r="E2690" s="2" t="str">
        <f>HYPERLINK("capsilon://?command=openfolder&amp;siteaddress=FAM.docvelocity-na8.net&amp;folderid=FXE5661954-B1EF-2EDA-6561-239F5C930919","FX20123207")</f>
        <v>FX20123207</v>
      </c>
      <c r="F2690" t="s">
        <v>19</v>
      </c>
      <c r="G2690" t="s">
        <v>19</v>
      </c>
      <c r="H2690" t="s">
        <v>82</v>
      </c>
      <c r="I2690" t="s">
        <v>6426</v>
      </c>
      <c r="J2690">
        <v>66</v>
      </c>
      <c r="K2690" t="s">
        <v>84</v>
      </c>
      <c r="L2690" t="s">
        <v>85</v>
      </c>
      <c r="M2690" t="s">
        <v>86</v>
      </c>
      <c r="N2690">
        <v>3</v>
      </c>
      <c r="O2690" s="1">
        <v>44222.502476851849</v>
      </c>
      <c r="P2690" s="1">
        <v>44222.564305555556</v>
      </c>
      <c r="Q2690">
        <v>5246</v>
      </c>
      <c r="R2690">
        <v>96</v>
      </c>
      <c r="S2690" t="b">
        <v>0</v>
      </c>
      <c r="T2690" t="s">
        <v>87</v>
      </c>
      <c r="U2690" t="b">
        <v>0</v>
      </c>
      <c r="V2690" t="s">
        <v>255</v>
      </c>
      <c r="W2690" s="1">
        <v>44222.503495370373</v>
      </c>
      <c r="X2690">
        <v>61</v>
      </c>
      <c r="Y2690">
        <v>0</v>
      </c>
      <c r="Z2690">
        <v>0</v>
      </c>
      <c r="AA2690">
        <v>0</v>
      </c>
      <c r="AB2690">
        <v>52</v>
      </c>
      <c r="AC2690">
        <v>0</v>
      </c>
      <c r="AD2690">
        <v>66</v>
      </c>
      <c r="AE2690">
        <v>0</v>
      </c>
      <c r="AF2690">
        <v>0</v>
      </c>
      <c r="AG2690">
        <v>0</v>
      </c>
      <c r="AH2690" t="s">
        <v>128</v>
      </c>
      <c r="AI2690" s="1">
        <v>44222.560347222221</v>
      </c>
      <c r="AJ2690">
        <v>32</v>
      </c>
      <c r="AK2690">
        <v>0</v>
      </c>
      <c r="AL2690">
        <v>0</v>
      </c>
      <c r="AM2690">
        <v>0</v>
      </c>
      <c r="AN2690">
        <v>52</v>
      </c>
      <c r="AO2690">
        <v>0</v>
      </c>
      <c r="AP2690">
        <v>66</v>
      </c>
      <c r="AQ2690">
        <v>0</v>
      </c>
      <c r="AR2690">
        <v>0</v>
      </c>
      <c r="AS2690">
        <v>0</v>
      </c>
      <c r="AT2690" t="s">
        <v>90</v>
      </c>
      <c r="AU2690" s="1">
        <v>44222.564305555556</v>
      </c>
      <c r="AV2690">
        <v>3</v>
      </c>
      <c r="AW2690">
        <v>0</v>
      </c>
      <c r="AX2690">
        <v>0</v>
      </c>
      <c r="AY2690">
        <v>0</v>
      </c>
      <c r="AZ2690">
        <v>52</v>
      </c>
      <c r="BA2690">
        <v>0</v>
      </c>
      <c r="BB2690">
        <v>66</v>
      </c>
      <c r="BC2690">
        <v>0</v>
      </c>
      <c r="BD2690">
        <v>0</v>
      </c>
      <c r="BE2690">
        <v>0</v>
      </c>
    </row>
    <row r="2691" spans="1:57" x14ac:dyDescent="0.45">
      <c r="A2691" t="s">
        <v>6427</v>
      </c>
      <c r="B2691" t="s">
        <v>79</v>
      </c>
      <c r="C2691" t="s">
        <v>6428</v>
      </c>
      <c r="D2691" t="s">
        <v>81</v>
      </c>
      <c r="E2691" s="2" t="str">
        <f>HYPERLINK("capsilon://?command=openfolder&amp;siteaddress=FAM.docvelocity-na8.net&amp;folderid=FX186DAE29-A8A3-82E1-F08F-7BFCCEB4FD9E","FX21011450")</f>
        <v>FX21011450</v>
      </c>
      <c r="F2691" t="s">
        <v>19</v>
      </c>
      <c r="G2691" t="s">
        <v>19</v>
      </c>
      <c r="H2691" t="s">
        <v>82</v>
      </c>
      <c r="I2691" t="s">
        <v>6429</v>
      </c>
      <c r="J2691">
        <v>350</v>
      </c>
      <c r="K2691" t="s">
        <v>84</v>
      </c>
      <c r="L2691" t="s">
        <v>85</v>
      </c>
      <c r="M2691" t="s">
        <v>86</v>
      </c>
      <c r="N2691">
        <v>3</v>
      </c>
      <c r="O2691" s="1">
        <v>44201.616307870368</v>
      </c>
      <c r="P2691" s="1">
        <v>44201.635960648149</v>
      </c>
      <c r="Q2691">
        <v>107</v>
      </c>
      <c r="R2691">
        <v>1591</v>
      </c>
      <c r="S2691" t="b">
        <v>0</v>
      </c>
      <c r="T2691" t="s">
        <v>87</v>
      </c>
      <c r="U2691" t="b">
        <v>0</v>
      </c>
      <c r="V2691" t="s">
        <v>255</v>
      </c>
      <c r="W2691" s="1">
        <v>44201.630208333336</v>
      </c>
      <c r="X2691">
        <v>1157</v>
      </c>
      <c r="Y2691">
        <v>319</v>
      </c>
      <c r="Z2691">
        <v>0</v>
      </c>
      <c r="AA2691">
        <v>319</v>
      </c>
      <c r="AB2691">
        <v>0</v>
      </c>
      <c r="AC2691">
        <v>70</v>
      </c>
      <c r="AD2691">
        <v>31</v>
      </c>
      <c r="AE2691">
        <v>0</v>
      </c>
      <c r="AF2691">
        <v>0</v>
      </c>
      <c r="AG2691">
        <v>0</v>
      </c>
      <c r="AH2691" t="s">
        <v>94</v>
      </c>
      <c r="AI2691" s="1">
        <v>44201.635069444441</v>
      </c>
      <c r="AJ2691">
        <v>386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31</v>
      </c>
      <c r="AQ2691">
        <v>0</v>
      </c>
      <c r="AR2691">
        <v>0</v>
      </c>
      <c r="AS2691">
        <v>0</v>
      </c>
      <c r="AT2691" t="s">
        <v>90</v>
      </c>
      <c r="AU2691" s="1">
        <v>44201.635960648149</v>
      </c>
      <c r="AV2691">
        <v>48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31</v>
      </c>
      <c r="BC2691">
        <v>0</v>
      </c>
      <c r="BD2691">
        <v>0</v>
      </c>
      <c r="BE2691">
        <v>0</v>
      </c>
    </row>
    <row r="2692" spans="1:57" x14ac:dyDescent="0.45">
      <c r="A2692" t="s">
        <v>6430</v>
      </c>
      <c r="B2692" t="s">
        <v>79</v>
      </c>
      <c r="C2692" t="s">
        <v>6431</v>
      </c>
      <c r="D2692" t="s">
        <v>81</v>
      </c>
      <c r="E2692" s="2" t="str">
        <f>HYPERLINK("capsilon://?command=openfolder&amp;siteaddress=FAM.docvelocity-na8.net&amp;folderid=FXC7E801DF-C14C-F8AF-33EE-EB4D732FA7A9","FX201222287")</f>
        <v>FX201222287</v>
      </c>
      <c r="F2692" t="s">
        <v>19</v>
      </c>
      <c r="G2692" t="s">
        <v>19</v>
      </c>
      <c r="H2692" t="s">
        <v>82</v>
      </c>
      <c r="I2692" t="s">
        <v>6432</v>
      </c>
      <c r="J2692">
        <v>66</v>
      </c>
      <c r="K2692" t="s">
        <v>84</v>
      </c>
      <c r="L2692" t="s">
        <v>85</v>
      </c>
      <c r="M2692" t="s">
        <v>86</v>
      </c>
      <c r="N2692">
        <v>3</v>
      </c>
      <c r="O2692" s="1">
        <v>44201.616331018522</v>
      </c>
      <c r="P2692" s="1">
        <v>44201.634953703702</v>
      </c>
      <c r="Q2692">
        <v>744</v>
      </c>
      <c r="R2692">
        <v>865</v>
      </c>
      <c r="S2692" t="b">
        <v>0</v>
      </c>
      <c r="T2692" t="s">
        <v>87</v>
      </c>
      <c r="U2692" t="b">
        <v>0</v>
      </c>
      <c r="V2692" t="s">
        <v>343</v>
      </c>
      <c r="W2692" s="1">
        <v>44201.626736111109</v>
      </c>
      <c r="X2692">
        <v>571</v>
      </c>
      <c r="Y2692">
        <v>52</v>
      </c>
      <c r="Z2692">
        <v>0</v>
      </c>
      <c r="AA2692">
        <v>52</v>
      </c>
      <c r="AB2692">
        <v>0</v>
      </c>
      <c r="AC2692">
        <v>34</v>
      </c>
      <c r="AD2692">
        <v>14</v>
      </c>
      <c r="AE2692">
        <v>0</v>
      </c>
      <c r="AF2692">
        <v>0</v>
      </c>
      <c r="AG2692">
        <v>0</v>
      </c>
      <c r="AH2692" t="s">
        <v>94</v>
      </c>
      <c r="AI2692" s="1">
        <v>44201.629826388889</v>
      </c>
      <c r="AJ2692">
        <v>247</v>
      </c>
      <c r="AK2692">
        <v>1</v>
      </c>
      <c r="AL2692">
        <v>0</v>
      </c>
      <c r="AM2692">
        <v>1</v>
      </c>
      <c r="AN2692">
        <v>0</v>
      </c>
      <c r="AO2692">
        <v>1</v>
      </c>
      <c r="AP2692">
        <v>13</v>
      </c>
      <c r="AQ2692">
        <v>0</v>
      </c>
      <c r="AR2692">
        <v>0</v>
      </c>
      <c r="AS2692">
        <v>0</v>
      </c>
      <c r="AT2692" t="s">
        <v>90</v>
      </c>
      <c r="AU2692" s="1">
        <v>44201.634953703702</v>
      </c>
      <c r="AV2692">
        <v>47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13</v>
      </c>
      <c r="BC2692">
        <v>0</v>
      </c>
      <c r="BD2692">
        <v>0</v>
      </c>
      <c r="BE2692">
        <v>0</v>
      </c>
    </row>
    <row r="2693" spans="1:57" x14ac:dyDescent="0.45">
      <c r="A2693" t="s">
        <v>6433</v>
      </c>
      <c r="B2693" t="s">
        <v>79</v>
      </c>
      <c r="C2693" t="s">
        <v>5208</v>
      </c>
      <c r="D2693" t="s">
        <v>81</v>
      </c>
      <c r="E2693" s="2" t="str">
        <f>HYPERLINK("capsilon://?command=openfolder&amp;siteaddress=FAM.docvelocity-na8.net&amp;folderid=FX949B1133-5258-8D0E-9F99-D0ECD9AC5B6E","FX2101209")</f>
        <v>FX2101209</v>
      </c>
      <c r="F2693" t="s">
        <v>19</v>
      </c>
      <c r="G2693" t="s">
        <v>19</v>
      </c>
      <c r="H2693" t="s">
        <v>82</v>
      </c>
      <c r="I2693" t="s">
        <v>6434</v>
      </c>
      <c r="J2693">
        <v>326</v>
      </c>
      <c r="K2693" t="s">
        <v>84</v>
      </c>
      <c r="L2693" t="s">
        <v>85</v>
      </c>
      <c r="M2693" t="s">
        <v>86</v>
      </c>
      <c r="N2693">
        <v>3</v>
      </c>
      <c r="O2693" s="1">
        <v>44201.617731481485</v>
      </c>
      <c r="P2693" s="1">
        <v>44202.347199074073</v>
      </c>
      <c r="Q2693">
        <v>56751</v>
      </c>
      <c r="R2693">
        <v>6275</v>
      </c>
      <c r="S2693" t="b">
        <v>0</v>
      </c>
      <c r="T2693" t="s">
        <v>87</v>
      </c>
      <c r="U2693" t="b">
        <v>0</v>
      </c>
      <c r="V2693" t="s">
        <v>259</v>
      </c>
      <c r="W2693" s="1">
        <v>44201.666527777779</v>
      </c>
      <c r="X2693">
        <v>3796</v>
      </c>
      <c r="Y2693">
        <v>291</v>
      </c>
      <c r="Z2693">
        <v>0</v>
      </c>
      <c r="AA2693">
        <v>291</v>
      </c>
      <c r="AB2693">
        <v>0</v>
      </c>
      <c r="AC2693">
        <v>182</v>
      </c>
      <c r="AD2693">
        <v>35</v>
      </c>
      <c r="AE2693">
        <v>0</v>
      </c>
      <c r="AF2693">
        <v>0</v>
      </c>
      <c r="AG2693">
        <v>0</v>
      </c>
      <c r="AH2693" t="s">
        <v>128</v>
      </c>
      <c r="AI2693" s="1">
        <v>44201.690810185188</v>
      </c>
      <c r="AJ2693">
        <v>2073</v>
      </c>
      <c r="AK2693">
        <v>9</v>
      </c>
      <c r="AL2693">
        <v>0</v>
      </c>
      <c r="AM2693">
        <v>9</v>
      </c>
      <c r="AN2693">
        <v>0</v>
      </c>
      <c r="AO2693">
        <v>8</v>
      </c>
      <c r="AP2693">
        <v>26</v>
      </c>
      <c r="AQ2693">
        <v>0</v>
      </c>
      <c r="AR2693">
        <v>0</v>
      </c>
      <c r="AS2693">
        <v>0</v>
      </c>
      <c r="AT2693" t="s">
        <v>90</v>
      </c>
      <c r="AU2693" s="1">
        <v>44202.347199074073</v>
      </c>
      <c r="AV2693">
        <v>226</v>
      </c>
      <c r="AW2693">
        <v>2</v>
      </c>
      <c r="AX2693">
        <v>0</v>
      </c>
      <c r="AY2693">
        <v>2</v>
      </c>
      <c r="AZ2693">
        <v>0</v>
      </c>
      <c r="BA2693">
        <v>2</v>
      </c>
      <c r="BB2693">
        <v>24</v>
      </c>
      <c r="BC2693">
        <v>0</v>
      </c>
      <c r="BD2693">
        <v>0</v>
      </c>
      <c r="BE2693">
        <v>0</v>
      </c>
    </row>
    <row r="2694" spans="1:57" x14ac:dyDescent="0.45">
      <c r="A2694" t="s">
        <v>6435</v>
      </c>
      <c r="B2694" t="s">
        <v>79</v>
      </c>
      <c r="C2694" t="s">
        <v>1383</v>
      </c>
      <c r="D2694" t="s">
        <v>81</v>
      </c>
      <c r="E2694" s="2" t="str">
        <f>HYPERLINK("capsilon://?command=openfolder&amp;siteaddress=FAM.docvelocity-na8.net&amp;folderid=FX0E3C9174-FA0A-7950-F5E6-312D3CC4D2CF","FX20122527")</f>
        <v>FX20122527</v>
      </c>
      <c r="F2694" t="s">
        <v>19</v>
      </c>
      <c r="G2694" t="s">
        <v>19</v>
      </c>
      <c r="H2694" t="s">
        <v>82</v>
      </c>
      <c r="I2694" t="s">
        <v>6395</v>
      </c>
      <c r="J2694">
        <v>178</v>
      </c>
      <c r="K2694" t="s">
        <v>84</v>
      </c>
      <c r="L2694" t="s">
        <v>85</v>
      </c>
      <c r="M2694" t="s">
        <v>86</v>
      </c>
      <c r="N2694">
        <v>3</v>
      </c>
      <c r="O2694" s="1">
        <v>44201.617997685185</v>
      </c>
      <c r="P2694" s="1">
        <v>44201.634398148148</v>
      </c>
      <c r="Q2694">
        <v>448</v>
      </c>
      <c r="R2694">
        <v>969</v>
      </c>
      <c r="S2694" t="b">
        <v>0</v>
      </c>
      <c r="T2694" t="s">
        <v>87</v>
      </c>
      <c r="U2694" t="b">
        <v>1</v>
      </c>
      <c r="V2694" t="s">
        <v>259</v>
      </c>
      <c r="W2694" s="1">
        <v>44201.627870370372</v>
      </c>
      <c r="X2694">
        <v>847</v>
      </c>
      <c r="Y2694">
        <v>116</v>
      </c>
      <c r="Z2694">
        <v>0</v>
      </c>
      <c r="AA2694">
        <v>116</v>
      </c>
      <c r="AB2694">
        <v>0</v>
      </c>
      <c r="AC2694">
        <v>39</v>
      </c>
      <c r="AD2694">
        <v>62</v>
      </c>
      <c r="AE2694">
        <v>0</v>
      </c>
      <c r="AF2694">
        <v>0</v>
      </c>
      <c r="AG2694">
        <v>0</v>
      </c>
      <c r="AH2694" t="s">
        <v>94</v>
      </c>
      <c r="AI2694" s="1">
        <v>44201.630590277775</v>
      </c>
      <c r="AJ2694">
        <v>66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62</v>
      </c>
      <c r="AQ2694">
        <v>0</v>
      </c>
      <c r="AR2694">
        <v>0</v>
      </c>
      <c r="AS2694">
        <v>0</v>
      </c>
      <c r="AT2694" t="s">
        <v>90</v>
      </c>
      <c r="AU2694" s="1">
        <v>44201.634398148148</v>
      </c>
      <c r="AV2694">
        <v>56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62</v>
      </c>
      <c r="BC2694">
        <v>0</v>
      </c>
      <c r="BD2694">
        <v>0</v>
      </c>
      <c r="BE2694">
        <v>0</v>
      </c>
    </row>
    <row r="2695" spans="1:57" hidden="1" x14ac:dyDescent="0.45">
      <c r="A2695" t="s">
        <v>6436</v>
      </c>
      <c r="B2695" t="s">
        <v>79</v>
      </c>
      <c r="C2695" t="s">
        <v>3701</v>
      </c>
      <c r="D2695" t="s">
        <v>81</v>
      </c>
      <c r="E2695" s="2" t="str">
        <f>HYPERLINK("capsilon://?command=openfolder&amp;siteaddress=FAM.docvelocity-na8.net&amp;folderid=FX62249A75-97A4-8E28-0A41-E08272A7D4B9","FX201224185")</f>
        <v>FX201224185</v>
      </c>
      <c r="F2695" t="s">
        <v>19</v>
      </c>
      <c r="G2695" t="s">
        <v>19</v>
      </c>
      <c r="H2695" t="s">
        <v>82</v>
      </c>
      <c r="I2695" t="s">
        <v>6437</v>
      </c>
      <c r="J2695">
        <v>66</v>
      </c>
      <c r="K2695" t="s">
        <v>84</v>
      </c>
      <c r="L2695" t="s">
        <v>85</v>
      </c>
      <c r="M2695" t="s">
        <v>86</v>
      </c>
      <c r="N2695">
        <v>3</v>
      </c>
      <c r="O2695" s="1">
        <v>44222.523634259262</v>
      </c>
      <c r="P2695" s="1">
        <v>44222.564340277779</v>
      </c>
      <c r="Q2695">
        <v>3398</v>
      </c>
      <c r="R2695">
        <v>119</v>
      </c>
      <c r="S2695" t="b">
        <v>0</v>
      </c>
      <c r="T2695" t="s">
        <v>87</v>
      </c>
      <c r="U2695" t="b">
        <v>0</v>
      </c>
      <c r="V2695" t="s">
        <v>179</v>
      </c>
      <c r="W2695" s="1">
        <v>44222.524687500001</v>
      </c>
      <c r="X2695">
        <v>90</v>
      </c>
      <c r="Y2695">
        <v>0</v>
      </c>
      <c r="Z2695">
        <v>0</v>
      </c>
      <c r="AA2695">
        <v>0</v>
      </c>
      <c r="AB2695">
        <v>52</v>
      </c>
      <c r="AC2695">
        <v>0</v>
      </c>
      <c r="AD2695">
        <v>66</v>
      </c>
      <c r="AE2695">
        <v>0</v>
      </c>
      <c r="AF2695">
        <v>0</v>
      </c>
      <c r="AG2695">
        <v>0</v>
      </c>
      <c r="AH2695" t="s">
        <v>128</v>
      </c>
      <c r="AI2695" s="1">
        <v>44222.560659722221</v>
      </c>
      <c r="AJ2695">
        <v>26</v>
      </c>
      <c r="AK2695">
        <v>0</v>
      </c>
      <c r="AL2695">
        <v>0</v>
      </c>
      <c r="AM2695">
        <v>0</v>
      </c>
      <c r="AN2695">
        <v>52</v>
      </c>
      <c r="AO2695">
        <v>0</v>
      </c>
      <c r="AP2695">
        <v>66</v>
      </c>
      <c r="AQ2695">
        <v>0</v>
      </c>
      <c r="AR2695">
        <v>0</v>
      </c>
      <c r="AS2695">
        <v>0</v>
      </c>
      <c r="AT2695" t="s">
        <v>90</v>
      </c>
      <c r="AU2695" s="1">
        <v>44222.564340277779</v>
      </c>
      <c r="AV2695">
        <v>3</v>
      </c>
      <c r="AW2695">
        <v>0</v>
      </c>
      <c r="AX2695">
        <v>0</v>
      </c>
      <c r="AY2695">
        <v>0</v>
      </c>
      <c r="AZ2695">
        <v>52</v>
      </c>
      <c r="BA2695">
        <v>0</v>
      </c>
      <c r="BB2695">
        <v>66</v>
      </c>
      <c r="BC2695">
        <v>0</v>
      </c>
      <c r="BD2695">
        <v>0</v>
      </c>
      <c r="BE2695">
        <v>0</v>
      </c>
    </row>
    <row r="2696" spans="1:57" x14ac:dyDescent="0.45">
      <c r="A2696" t="s">
        <v>6438</v>
      </c>
      <c r="B2696" t="s">
        <v>79</v>
      </c>
      <c r="C2696" t="s">
        <v>6439</v>
      </c>
      <c r="D2696" t="s">
        <v>81</v>
      </c>
      <c r="E2696" s="2" t="str">
        <f>HYPERLINK("capsilon://?command=openfolder&amp;siteaddress=FAM.docvelocity-na8.net&amp;folderid=FX963EEE88-5B53-F5BF-C2D9-DE7388C23497","FX20122558")</f>
        <v>FX20122558</v>
      </c>
      <c r="F2696" t="s">
        <v>19</v>
      </c>
      <c r="G2696" t="s">
        <v>19</v>
      </c>
      <c r="H2696" t="s">
        <v>82</v>
      </c>
      <c r="I2696" t="s">
        <v>6440</v>
      </c>
      <c r="J2696">
        <v>155</v>
      </c>
      <c r="K2696" t="s">
        <v>84</v>
      </c>
      <c r="L2696" t="s">
        <v>85</v>
      </c>
      <c r="M2696" t="s">
        <v>86</v>
      </c>
      <c r="N2696">
        <v>3</v>
      </c>
      <c r="O2696" s="1">
        <v>44222.525023148148</v>
      </c>
      <c r="P2696" s="1">
        <v>44222.565428240741</v>
      </c>
      <c r="Q2696">
        <v>2164</v>
      </c>
      <c r="R2696">
        <v>1327</v>
      </c>
      <c r="S2696" t="b">
        <v>0</v>
      </c>
      <c r="T2696" t="s">
        <v>87</v>
      </c>
      <c r="U2696" t="b">
        <v>0</v>
      </c>
      <c r="V2696" t="s">
        <v>179</v>
      </c>
      <c r="W2696" s="1">
        <v>44222.535844907405</v>
      </c>
      <c r="X2696">
        <v>934</v>
      </c>
      <c r="Y2696">
        <v>147</v>
      </c>
      <c r="Z2696">
        <v>0</v>
      </c>
      <c r="AA2696">
        <v>147</v>
      </c>
      <c r="AB2696">
        <v>0</v>
      </c>
      <c r="AC2696">
        <v>43</v>
      </c>
      <c r="AD2696">
        <v>8</v>
      </c>
      <c r="AE2696">
        <v>0</v>
      </c>
      <c r="AF2696">
        <v>0</v>
      </c>
      <c r="AG2696">
        <v>0</v>
      </c>
      <c r="AH2696" t="s">
        <v>128</v>
      </c>
      <c r="AI2696" s="1">
        <v>44222.564131944448</v>
      </c>
      <c r="AJ2696">
        <v>299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8</v>
      </c>
      <c r="AQ2696">
        <v>0</v>
      </c>
      <c r="AR2696">
        <v>0</v>
      </c>
      <c r="AS2696">
        <v>0</v>
      </c>
      <c r="AT2696" t="s">
        <v>90</v>
      </c>
      <c r="AU2696" s="1">
        <v>44222.565428240741</v>
      </c>
      <c r="AV2696">
        <v>94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8</v>
      </c>
      <c r="BC2696">
        <v>0</v>
      </c>
      <c r="BD2696">
        <v>0</v>
      </c>
      <c r="BE2696">
        <v>0</v>
      </c>
    </row>
    <row r="2697" spans="1:57" hidden="1" x14ac:dyDescent="0.45">
      <c r="A2697" t="s">
        <v>6441</v>
      </c>
      <c r="B2697" t="s">
        <v>79</v>
      </c>
      <c r="C2697" t="s">
        <v>3701</v>
      </c>
      <c r="D2697" t="s">
        <v>81</v>
      </c>
      <c r="E2697" s="2" t="str">
        <f>HYPERLINK("capsilon://?command=openfolder&amp;siteaddress=FAM.docvelocity-na8.net&amp;folderid=FX62249A75-97A4-8E28-0A41-E08272A7D4B9","FX201224185")</f>
        <v>FX201224185</v>
      </c>
      <c r="F2697" t="s">
        <v>19</v>
      </c>
      <c r="G2697" t="s">
        <v>19</v>
      </c>
      <c r="H2697" t="s">
        <v>82</v>
      </c>
      <c r="I2697" t="s">
        <v>6442</v>
      </c>
      <c r="J2697">
        <v>66</v>
      </c>
      <c r="K2697" t="s">
        <v>84</v>
      </c>
      <c r="L2697" t="s">
        <v>85</v>
      </c>
      <c r="M2697" t="s">
        <v>86</v>
      </c>
      <c r="N2697">
        <v>3</v>
      </c>
      <c r="O2697" s="1">
        <v>44222.529618055552</v>
      </c>
      <c r="P2697" s="1">
        <v>44222.566041666665</v>
      </c>
      <c r="Q2697">
        <v>3047</v>
      </c>
      <c r="R2697">
        <v>100</v>
      </c>
      <c r="S2697" t="b">
        <v>0</v>
      </c>
      <c r="T2697" t="s">
        <v>87</v>
      </c>
      <c r="U2697" t="b">
        <v>0</v>
      </c>
      <c r="V2697" t="s">
        <v>171</v>
      </c>
      <c r="W2697" s="1">
        <v>44222.53056712963</v>
      </c>
      <c r="X2697">
        <v>81</v>
      </c>
      <c r="Y2697">
        <v>0</v>
      </c>
      <c r="Z2697">
        <v>0</v>
      </c>
      <c r="AA2697">
        <v>0</v>
      </c>
      <c r="AB2697">
        <v>52</v>
      </c>
      <c r="AC2697">
        <v>0</v>
      </c>
      <c r="AD2697">
        <v>66</v>
      </c>
      <c r="AE2697">
        <v>0</v>
      </c>
      <c r="AF2697">
        <v>0</v>
      </c>
      <c r="AG2697">
        <v>0</v>
      </c>
      <c r="AH2697" t="s">
        <v>128</v>
      </c>
      <c r="AI2697" s="1">
        <v>44222.564317129632</v>
      </c>
      <c r="AJ2697">
        <v>15</v>
      </c>
      <c r="AK2697">
        <v>0</v>
      </c>
      <c r="AL2697">
        <v>0</v>
      </c>
      <c r="AM2697">
        <v>0</v>
      </c>
      <c r="AN2697">
        <v>52</v>
      </c>
      <c r="AO2697">
        <v>0</v>
      </c>
      <c r="AP2697">
        <v>66</v>
      </c>
      <c r="AQ2697">
        <v>0</v>
      </c>
      <c r="AR2697">
        <v>0</v>
      </c>
      <c r="AS2697">
        <v>0</v>
      </c>
      <c r="AT2697" t="s">
        <v>90</v>
      </c>
      <c r="AU2697" s="1">
        <v>44222.566041666665</v>
      </c>
      <c r="AV2697">
        <v>4</v>
      </c>
      <c r="AW2697">
        <v>0</v>
      </c>
      <c r="AX2697">
        <v>0</v>
      </c>
      <c r="AY2697">
        <v>0</v>
      </c>
      <c r="AZ2697">
        <v>52</v>
      </c>
      <c r="BA2697">
        <v>0</v>
      </c>
      <c r="BB2697">
        <v>66</v>
      </c>
      <c r="BC2697">
        <v>0</v>
      </c>
      <c r="BD2697">
        <v>0</v>
      </c>
      <c r="BE2697">
        <v>0</v>
      </c>
    </row>
    <row r="2698" spans="1:57" x14ac:dyDescent="0.45">
      <c r="A2698" t="s">
        <v>6443</v>
      </c>
      <c r="B2698" t="s">
        <v>79</v>
      </c>
      <c r="C2698" t="s">
        <v>5811</v>
      </c>
      <c r="D2698" t="s">
        <v>81</v>
      </c>
      <c r="E2698" s="2" t="str">
        <f>HYPERLINK("capsilon://?command=openfolder&amp;siteaddress=FAM.docvelocity-na8.net&amp;folderid=FX26CAF97F-DD9E-1C32-5C7F-8DEEF852508D","FX210113279")</f>
        <v>FX210113279</v>
      </c>
      <c r="F2698" t="s">
        <v>19</v>
      </c>
      <c r="G2698" t="s">
        <v>19</v>
      </c>
      <c r="H2698" t="s">
        <v>82</v>
      </c>
      <c r="I2698" t="s">
        <v>6444</v>
      </c>
      <c r="J2698">
        <v>66</v>
      </c>
      <c r="K2698" t="s">
        <v>84</v>
      </c>
      <c r="L2698" t="s">
        <v>85</v>
      </c>
      <c r="M2698" t="s">
        <v>86</v>
      </c>
      <c r="N2698">
        <v>3</v>
      </c>
      <c r="O2698" s="1">
        <v>44222.53197916667</v>
      </c>
      <c r="P2698" s="1">
        <v>44222.568240740744</v>
      </c>
      <c r="Q2698">
        <v>2418</v>
      </c>
      <c r="R2698">
        <v>715</v>
      </c>
      <c r="S2698" t="b">
        <v>0</v>
      </c>
      <c r="T2698" t="s">
        <v>87</v>
      </c>
      <c r="U2698" t="b">
        <v>0</v>
      </c>
      <c r="V2698" t="s">
        <v>168</v>
      </c>
      <c r="W2698" s="1">
        <v>44222.537314814814</v>
      </c>
      <c r="X2698">
        <v>460</v>
      </c>
      <c r="Y2698">
        <v>52</v>
      </c>
      <c r="Z2698">
        <v>0</v>
      </c>
      <c r="AA2698">
        <v>52</v>
      </c>
      <c r="AB2698">
        <v>0</v>
      </c>
      <c r="AC2698">
        <v>28</v>
      </c>
      <c r="AD2698">
        <v>14</v>
      </c>
      <c r="AE2698">
        <v>0</v>
      </c>
      <c r="AF2698">
        <v>0</v>
      </c>
      <c r="AG2698">
        <v>0</v>
      </c>
      <c r="AH2698" t="s">
        <v>128</v>
      </c>
      <c r="AI2698" s="1">
        <v>44222.567175925928</v>
      </c>
      <c r="AJ2698">
        <v>246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14</v>
      </c>
      <c r="AQ2698">
        <v>0</v>
      </c>
      <c r="AR2698">
        <v>0</v>
      </c>
      <c r="AS2698">
        <v>0</v>
      </c>
      <c r="AT2698" t="s">
        <v>90</v>
      </c>
      <c r="AU2698" s="1">
        <v>44222.568240740744</v>
      </c>
      <c r="AV2698">
        <v>9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14</v>
      </c>
      <c r="BC2698">
        <v>0</v>
      </c>
      <c r="BD2698">
        <v>0</v>
      </c>
      <c r="BE2698">
        <v>0</v>
      </c>
    </row>
    <row r="2699" spans="1:57" x14ac:dyDescent="0.45">
      <c r="A2699" t="s">
        <v>6445</v>
      </c>
      <c r="B2699" t="s">
        <v>79</v>
      </c>
      <c r="C2699" t="s">
        <v>5811</v>
      </c>
      <c r="D2699" t="s">
        <v>81</v>
      </c>
      <c r="E2699" s="2" t="str">
        <f>HYPERLINK("capsilon://?command=openfolder&amp;siteaddress=FAM.docvelocity-na8.net&amp;folderid=FX26CAF97F-DD9E-1C32-5C7F-8DEEF852508D","FX210113279")</f>
        <v>FX210113279</v>
      </c>
      <c r="F2699" t="s">
        <v>19</v>
      </c>
      <c r="G2699" t="s">
        <v>19</v>
      </c>
      <c r="H2699" t="s">
        <v>82</v>
      </c>
      <c r="I2699" t="s">
        <v>6446</v>
      </c>
      <c r="J2699">
        <v>66</v>
      </c>
      <c r="K2699" t="s">
        <v>84</v>
      </c>
      <c r="L2699" t="s">
        <v>85</v>
      </c>
      <c r="M2699" t="s">
        <v>86</v>
      </c>
      <c r="N2699">
        <v>3</v>
      </c>
      <c r="O2699" s="1">
        <v>44222.533692129633</v>
      </c>
      <c r="P2699" s="1">
        <v>44222.566122685188</v>
      </c>
      <c r="Q2699">
        <v>2094</v>
      </c>
      <c r="R2699">
        <v>708</v>
      </c>
      <c r="S2699" t="b">
        <v>0</v>
      </c>
      <c r="T2699" t="s">
        <v>87</v>
      </c>
      <c r="U2699" t="b">
        <v>0</v>
      </c>
      <c r="V2699" t="s">
        <v>171</v>
      </c>
      <c r="W2699" s="1">
        <v>44222.540937500002</v>
      </c>
      <c r="X2699">
        <v>626</v>
      </c>
      <c r="Y2699">
        <v>52</v>
      </c>
      <c r="Z2699">
        <v>0</v>
      </c>
      <c r="AA2699">
        <v>52</v>
      </c>
      <c r="AB2699">
        <v>0</v>
      </c>
      <c r="AC2699">
        <v>34</v>
      </c>
      <c r="AD2699">
        <v>14</v>
      </c>
      <c r="AE2699">
        <v>0</v>
      </c>
      <c r="AF2699">
        <v>0</v>
      </c>
      <c r="AG2699">
        <v>0</v>
      </c>
      <c r="AH2699" t="s">
        <v>132</v>
      </c>
      <c r="AI2699" s="1">
        <v>44222.565983796296</v>
      </c>
      <c r="AJ2699">
        <v>76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14</v>
      </c>
      <c r="AQ2699">
        <v>0</v>
      </c>
      <c r="AR2699">
        <v>0</v>
      </c>
      <c r="AS2699">
        <v>0</v>
      </c>
      <c r="AT2699" t="s">
        <v>90</v>
      </c>
      <c r="AU2699" s="1">
        <v>44222.566122685188</v>
      </c>
      <c r="AV2699">
        <v>6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14</v>
      </c>
      <c r="BC2699">
        <v>0</v>
      </c>
      <c r="BD2699">
        <v>0</v>
      </c>
      <c r="BE2699">
        <v>0</v>
      </c>
    </row>
    <row r="2700" spans="1:57" x14ac:dyDescent="0.45">
      <c r="A2700" t="s">
        <v>6447</v>
      </c>
      <c r="B2700" t="s">
        <v>79</v>
      </c>
      <c r="C2700" t="s">
        <v>4644</v>
      </c>
      <c r="D2700" t="s">
        <v>81</v>
      </c>
      <c r="E2700" s="2" t="str">
        <f>HYPERLINK("capsilon://?command=openfolder&amp;siteaddress=FAM.docvelocity-na8.net&amp;folderid=FX88049457-C49E-7550-7543-6472E6EBC03E","FX201223694")</f>
        <v>FX201223694</v>
      </c>
      <c r="F2700" t="s">
        <v>19</v>
      </c>
      <c r="G2700" t="s">
        <v>19</v>
      </c>
      <c r="H2700" t="s">
        <v>82</v>
      </c>
      <c r="I2700" t="s">
        <v>6448</v>
      </c>
      <c r="J2700">
        <v>43</v>
      </c>
      <c r="K2700" t="s">
        <v>84</v>
      </c>
      <c r="L2700" t="s">
        <v>85</v>
      </c>
      <c r="M2700" t="s">
        <v>86</v>
      </c>
      <c r="N2700">
        <v>3</v>
      </c>
      <c r="O2700" s="1">
        <v>44222.535810185182</v>
      </c>
      <c r="P2700" s="1">
        <v>44222.568472222221</v>
      </c>
      <c r="Q2700">
        <v>1097</v>
      </c>
      <c r="R2700">
        <v>1725</v>
      </c>
      <c r="S2700" t="b">
        <v>0</v>
      </c>
      <c r="T2700" t="s">
        <v>87</v>
      </c>
      <c r="U2700" t="b">
        <v>0</v>
      </c>
      <c r="V2700" t="s">
        <v>179</v>
      </c>
      <c r="W2700" s="1">
        <v>44222.554108796299</v>
      </c>
      <c r="X2700">
        <v>1577</v>
      </c>
      <c r="Y2700">
        <v>59</v>
      </c>
      <c r="Z2700">
        <v>0</v>
      </c>
      <c r="AA2700">
        <v>59</v>
      </c>
      <c r="AB2700">
        <v>0</v>
      </c>
      <c r="AC2700">
        <v>51</v>
      </c>
      <c r="AD2700">
        <v>-16</v>
      </c>
      <c r="AE2700">
        <v>0</v>
      </c>
      <c r="AF2700">
        <v>0</v>
      </c>
      <c r="AG2700">
        <v>0</v>
      </c>
      <c r="AH2700" t="s">
        <v>132</v>
      </c>
      <c r="AI2700" s="1">
        <v>44222.567465277774</v>
      </c>
      <c r="AJ2700">
        <v>128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-16</v>
      </c>
      <c r="AQ2700">
        <v>0</v>
      </c>
      <c r="AR2700">
        <v>0</v>
      </c>
      <c r="AS2700">
        <v>0</v>
      </c>
      <c r="AT2700" t="s">
        <v>90</v>
      </c>
      <c r="AU2700" s="1">
        <v>44222.568472222221</v>
      </c>
      <c r="AV2700">
        <v>20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-16</v>
      </c>
      <c r="BC2700">
        <v>0</v>
      </c>
      <c r="BD2700">
        <v>0</v>
      </c>
      <c r="BE2700">
        <v>0</v>
      </c>
    </row>
    <row r="2701" spans="1:57" x14ac:dyDescent="0.45">
      <c r="A2701" t="s">
        <v>6449</v>
      </c>
      <c r="B2701" t="s">
        <v>79</v>
      </c>
      <c r="C2701" t="s">
        <v>6090</v>
      </c>
      <c r="D2701" t="s">
        <v>81</v>
      </c>
      <c r="E2701" s="2" t="str">
        <f>HYPERLINK("capsilon://?command=openfolder&amp;siteaddress=FAM.docvelocity-na8.net&amp;folderid=FX5E6FEC25-1FE3-B923-36B1-925C5CD3DB32","FX210114738")</f>
        <v>FX210114738</v>
      </c>
      <c r="F2701" t="s">
        <v>19</v>
      </c>
      <c r="G2701" t="s">
        <v>19</v>
      </c>
      <c r="H2701" t="s">
        <v>82</v>
      </c>
      <c r="I2701" t="s">
        <v>6450</v>
      </c>
      <c r="J2701">
        <v>66</v>
      </c>
      <c r="K2701" t="s">
        <v>84</v>
      </c>
      <c r="L2701" t="s">
        <v>85</v>
      </c>
      <c r="M2701" t="s">
        <v>86</v>
      </c>
      <c r="N2701">
        <v>3</v>
      </c>
      <c r="O2701" s="1">
        <v>44222.535821759258</v>
      </c>
      <c r="P2701" s="1">
        <v>44222.575520833336</v>
      </c>
      <c r="Q2701">
        <v>228</v>
      </c>
      <c r="R2701">
        <v>3202</v>
      </c>
      <c r="S2701" t="b">
        <v>0</v>
      </c>
      <c r="T2701" t="s">
        <v>87</v>
      </c>
      <c r="U2701" t="b">
        <v>0</v>
      </c>
      <c r="V2701" t="s">
        <v>142</v>
      </c>
      <c r="W2701" s="1">
        <v>44222.570208333331</v>
      </c>
      <c r="X2701">
        <v>2949</v>
      </c>
      <c r="Y2701">
        <v>52</v>
      </c>
      <c r="Z2701">
        <v>0</v>
      </c>
      <c r="AA2701">
        <v>52</v>
      </c>
      <c r="AB2701">
        <v>0</v>
      </c>
      <c r="AC2701">
        <v>33</v>
      </c>
      <c r="AD2701">
        <v>14</v>
      </c>
      <c r="AE2701">
        <v>0</v>
      </c>
      <c r="AF2701">
        <v>0</v>
      </c>
      <c r="AG2701">
        <v>0</v>
      </c>
      <c r="AH2701" t="s">
        <v>132</v>
      </c>
      <c r="AI2701" s="1">
        <v>44222.571932870371</v>
      </c>
      <c r="AJ2701">
        <v>105</v>
      </c>
      <c r="AK2701">
        <v>3</v>
      </c>
      <c r="AL2701">
        <v>0</v>
      </c>
      <c r="AM2701">
        <v>3</v>
      </c>
      <c r="AN2701">
        <v>0</v>
      </c>
      <c r="AO2701">
        <v>2</v>
      </c>
      <c r="AP2701">
        <v>11</v>
      </c>
      <c r="AQ2701">
        <v>0</v>
      </c>
      <c r="AR2701">
        <v>0</v>
      </c>
      <c r="AS2701">
        <v>0</v>
      </c>
      <c r="AT2701" t="s">
        <v>90</v>
      </c>
      <c r="AU2701" s="1">
        <v>44222.575520833336</v>
      </c>
      <c r="AV2701">
        <v>148</v>
      </c>
      <c r="AW2701">
        <v>1</v>
      </c>
      <c r="AX2701">
        <v>0</v>
      </c>
      <c r="AY2701">
        <v>1</v>
      </c>
      <c r="AZ2701">
        <v>0</v>
      </c>
      <c r="BA2701">
        <v>1</v>
      </c>
      <c r="BB2701">
        <v>10</v>
      </c>
      <c r="BC2701">
        <v>0</v>
      </c>
      <c r="BD2701">
        <v>0</v>
      </c>
      <c r="BE2701">
        <v>0</v>
      </c>
    </row>
    <row r="2702" spans="1:57" x14ac:dyDescent="0.45">
      <c r="A2702" t="s">
        <v>6451</v>
      </c>
      <c r="B2702" t="s">
        <v>79</v>
      </c>
      <c r="C2702" t="s">
        <v>6090</v>
      </c>
      <c r="D2702" t="s">
        <v>81</v>
      </c>
      <c r="E2702" s="2" t="str">
        <f>HYPERLINK("capsilon://?command=openfolder&amp;siteaddress=FAM.docvelocity-na8.net&amp;folderid=FX5E6FEC25-1FE3-B923-36B1-925C5CD3DB32","FX210114738")</f>
        <v>FX210114738</v>
      </c>
      <c r="F2702" t="s">
        <v>19</v>
      </c>
      <c r="G2702" t="s">
        <v>19</v>
      </c>
      <c r="H2702" t="s">
        <v>82</v>
      </c>
      <c r="I2702" t="s">
        <v>6452</v>
      </c>
      <c r="J2702">
        <v>66</v>
      </c>
      <c r="K2702" t="s">
        <v>84</v>
      </c>
      <c r="L2702" t="s">
        <v>85</v>
      </c>
      <c r="M2702" t="s">
        <v>86</v>
      </c>
      <c r="N2702">
        <v>3</v>
      </c>
      <c r="O2702" s="1">
        <v>44222.536053240743</v>
      </c>
      <c r="P2702" s="1">
        <v>44222.576041666667</v>
      </c>
      <c r="Q2702">
        <v>3026</v>
      </c>
      <c r="R2702">
        <v>429</v>
      </c>
      <c r="S2702" t="b">
        <v>0</v>
      </c>
      <c r="T2702" t="s">
        <v>87</v>
      </c>
      <c r="U2702" t="b">
        <v>0</v>
      </c>
      <c r="V2702" t="s">
        <v>255</v>
      </c>
      <c r="W2702" s="1">
        <v>44222.538564814815</v>
      </c>
      <c r="X2702">
        <v>214</v>
      </c>
      <c r="Y2702">
        <v>52</v>
      </c>
      <c r="Z2702">
        <v>0</v>
      </c>
      <c r="AA2702">
        <v>52</v>
      </c>
      <c r="AB2702">
        <v>0</v>
      </c>
      <c r="AC2702">
        <v>34</v>
      </c>
      <c r="AD2702">
        <v>14</v>
      </c>
      <c r="AE2702">
        <v>0</v>
      </c>
      <c r="AF2702">
        <v>0</v>
      </c>
      <c r="AG2702">
        <v>0</v>
      </c>
      <c r="AH2702" t="s">
        <v>128</v>
      </c>
      <c r="AI2702" s="1">
        <v>44222.569166666668</v>
      </c>
      <c r="AJ2702">
        <v>171</v>
      </c>
      <c r="AK2702">
        <v>1</v>
      </c>
      <c r="AL2702">
        <v>0</v>
      </c>
      <c r="AM2702">
        <v>1</v>
      </c>
      <c r="AN2702">
        <v>0</v>
      </c>
      <c r="AO2702">
        <v>1</v>
      </c>
      <c r="AP2702">
        <v>13</v>
      </c>
      <c r="AQ2702">
        <v>0</v>
      </c>
      <c r="AR2702">
        <v>0</v>
      </c>
      <c r="AS2702">
        <v>0</v>
      </c>
      <c r="AT2702" t="s">
        <v>90</v>
      </c>
      <c r="AU2702" s="1">
        <v>44222.576041666667</v>
      </c>
      <c r="AV2702">
        <v>44</v>
      </c>
      <c r="AW2702">
        <v>1</v>
      </c>
      <c r="AX2702">
        <v>0</v>
      </c>
      <c r="AY2702">
        <v>1</v>
      </c>
      <c r="AZ2702">
        <v>0</v>
      </c>
      <c r="BA2702">
        <v>1</v>
      </c>
      <c r="BB2702">
        <v>12</v>
      </c>
      <c r="BC2702">
        <v>0</v>
      </c>
      <c r="BD2702">
        <v>0</v>
      </c>
      <c r="BE2702">
        <v>0</v>
      </c>
    </row>
    <row r="2703" spans="1:57" hidden="1" x14ac:dyDescent="0.45">
      <c r="A2703" t="s">
        <v>6453</v>
      </c>
      <c r="B2703" t="s">
        <v>79</v>
      </c>
      <c r="C2703" t="s">
        <v>5517</v>
      </c>
      <c r="D2703" t="s">
        <v>81</v>
      </c>
      <c r="E2703" s="2" t="str">
        <f>HYPERLINK("capsilon://?command=openfolder&amp;siteaddress=FAM.docvelocity-na8.net&amp;folderid=FXD4B5F19C-0919-8191-47A9-4873B7B811D0","FX201223358")</f>
        <v>FX201223358</v>
      </c>
      <c r="F2703" t="s">
        <v>19</v>
      </c>
      <c r="G2703" t="s">
        <v>19</v>
      </c>
      <c r="H2703" t="s">
        <v>82</v>
      </c>
      <c r="I2703" t="s">
        <v>6454</v>
      </c>
      <c r="J2703">
        <v>66</v>
      </c>
      <c r="K2703" t="s">
        <v>84</v>
      </c>
      <c r="L2703" t="s">
        <v>85</v>
      </c>
      <c r="M2703" t="s">
        <v>86</v>
      </c>
      <c r="N2703">
        <v>1</v>
      </c>
      <c r="O2703" s="1">
        <v>44222.536319444444</v>
      </c>
      <c r="P2703" s="1">
        <v>44222.538530092592</v>
      </c>
      <c r="Q2703">
        <v>64</v>
      </c>
      <c r="R2703">
        <v>127</v>
      </c>
      <c r="S2703" t="b">
        <v>0</v>
      </c>
      <c r="T2703" t="s">
        <v>87</v>
      </c>
      <c r="U2703" t="b">
        <v>0</v>
      </c>
      <c r="V2703" t="s">
        <v>168</v>
      </c>
      <c r="W2703" s="1">
        <v>44222.538530092592</v>
      </c>
      <c r="X2703">
        <v>104</v>
      </c>
      <c r="Y2703">
        <v>0</v>
      </c>
      <c r="Z2703">
        <v>0</v>
      </c>
      <c r="AA2703">
        <v>0</v>
      </c>
      <c r="AB2703">
        <v>0</v>
      </c>
      <c r="AC2703">
        <v>5</v>
      </c>
      <c r="AD2703">
        <v>66</v>
      </c>
      <c r="AE2703">
        <v>52</v>
      </c>
      <c r="AF2703">
        <v>0</v>
      </c>
      <c r="AG2703">
        <v>1</v>
      </c>
      <c r="AH2703" t="s">
        <v>87</v>
      </c>
      <c r="AI2703" t="s">
        <v>87</v>
      </c>
      <c r="AJ2703" t="s">
        <v>87</v>
      </c>
      <c r="AK2703" t="s">
        <v>87</v>
      </c>
      <c r="AL2703" t="s">
        <v>87</v>
      </c>
      <c r="AM2703" t="s">
        <v>87</v>
      </c>
      <c r="AN2703" t="s">
        <v>87</v>
      </c>
      <c r="AO2703" t="s">
        <v>87</v>
      </c>
      <c r="AP2703" t="s">
        <v>87</v>
      </c>
      <c r="AQ2703" t="s">
        <v>87</v>
      </c>
      <c r="AR2703" t="s">
        <v>87</v>
      </c>
      <c r="AS2703" t="s">
        <v>87</v>
      </c>
      <c r="AT2703" t="s">
        <v>87</v>
      </c>
      <c r="AU2703" t="s">
        <v>87</v>
      </c>
      <c r="AV2703" t="s">
        <v>87</v>
      </c>
      <c r="AW2703" t="s">
        <v>87</v>
      </c>
      <c r="AX2703" t="s">
        <v>87</v>
      </c>
      <c r="AY2703" t="s">
        <v>87</v>
      </c>
      <c r="AZ2703" t="s">
        <v>87</v>
      </c>
      <c r="BA2703" t="s">
        <v>87</v>
      </c>
      <c r="BB2703" t="s">
        <v>87</v>
      </c>
      <c r="BC2703" t="s">
        <v>87</v>
      </c>
      <c r="BD2703" t="s">
        <v>87</v>
      </c>
      <c r="BE2703" t="s">
        <v>87</v>
      </c>
    </row>
    <row r="2704" spans="1:57" x14ac:dyDescent="0.45">
      <c r="A2704" t="s">
        <v>6455</v>
      </c>
      <c r="B2704" t="s">
        <v>79</v>
      </c>
      <c r="C2704" t="s">
        <v>4644</v>
      </c>
      <c r="D2704" t="s">
        <v>81</v>
      </c>
      <c r="E2704" s="2" t="str">
        <f>HYPERLINK("capsilon://?command=openfolder&amp;siteaddress=FAM.docvelocity-na8.net&amp;folderid=FX88049457-C49E-7550-7543-6472E6EBC03E","FX201223694")</f>
        <v>FX201223694</v>
      </c>
      <c r="F2704" t="s">
        <v>19</v>
      </c>
      <c r="G2704" t="s">
        <v>19</v>
      </c>
      <c r="H2704" t="s">
        <v>82</v>
      </c>
      <c r="I2704" t="s">
        <v>6456</v>
      </c>
      <c r="J2704">
        <v>26</v>
      </c>
      <c r="K2704" t="s">
        <v>84</v>
      </c>
      <c r="L2704" t="s">
        <v>85</v>
      </c>
      <c r="M2704" t="s">
        <v>86</v>
      </c>
      <c r="N2704">
        <v>3</v>
      </c>
      <c r="O2704" s="1">
        <v>44222.53634259259</v>
      </c>
      <c r="P2704" s="1">
        <v>44222.568541666667</v>
      </c>
      <c r="Q2704">
        <v>811</v>
      </c>
      <c r="R2704">
        <v>1971</v>
      </c>
      <c r="S2704" t="b">
        <v>0</v>
      </c>
      <c r="T2704" t="s">
        <v>87</v>
      </c>
      <c r="U2704" t="b">
        <v>0</v>
      </c>
      <c r="V2704" t="s">
        <v>242</v>
      </c>
      <c r="W2704" s="1">
        <v>44222.559652777774</v>
      </c>
      <c r="X2704">
        <v>1900</v>
      </c>
      <c r="Y2704">
        <v>21</v>
      </c>
      <c r="Z2704">
        <v>0</v>
      </c>
      <c r="AA2704">
        <v>21</v>
      </c>
      <c r="AB2704">
        <v>0</v>
      </c>
      <c r="AC2704">
        <v>10</v>
      </c>
      <c r="AD2704">
        <v>5</v>
      </c>
      <c r="AE2704">
        <v>0</v>
      </c>
      <c r="AF2704">
        <v>0</v>
      </c>
      <c r="AG2704">
        <v>0</v>
      </c>
      <c r="AH2704" t="s">
        <v>132</v>
      </c>
      <c r="AI2704" s="1">
        <v>44222.568240740744</v>
      </c>
      <c r="AJ2704">
        <v>66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5</v>
      </c>
      <c r="AQ2704">
        <v>0</v>
      </c>
      <c r="AR2704">
        <v>0</v>
      </c>
      <c r="AS2704">
        <v>0</v>
      </c>
      <c r="AT2704" t="s">
        <v>90</v>
      </c>
      <c r="AU2704" s="1">
        <v>44222.568541666667</v>
      </c>
      <c r="AV2704">
        <v>5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5</v>
      </c>
      <c r="BC2704">
        <v>0</v>
      </c>
      <c r="BD2704">
        <v>0</v>
      </c>
      <c r="BE2704">
        <v>0</v>
      </c>
    </row>
    <row r="2705" spans="1:57" hidden="1" x14ac:dyDescent="0.45">
      <c r="A2705" t="s">
        <v>6457</v>
      </c>
      <c r="B2705" t="s">
        <v>79</v>
      </c>
      <c r="C2705" t="s">
        <v>5517</v>
      </c>
      <c r="D2705" t="s">
        <v>81</v>
      </c>
      <c r="E2705" s="2" t="str">
        <f>HYPERLINK("capsilon://?command=openfolder&amp;siteaddress=FAM.docvelocity-na8.net&amp;folderid=FXD4B5F19C-0919-8191-47A9-4873B7B811D0","FX201223358")</f>
        <v>FX201223358</v>
      </c>
      <c r="F2705" t="s">
        <v>19</v>
      </c>
      <c r="G2705" t="s">
        <v>19</v>
      </c>
      <c r="H2705" t="s">
        <v>82</v>
      </c>
      <c r="I2705" t="s">
        <v>6458</v>
      </c>
      <c r="J2705">
        <v>66</v>
      </c>
      <c r="K2705" t="s">
        <v>84</v>
      </c>
      <c r="L2705" t="s">
        <v>85</v>
      </c>
      <c r="M2705" t="s">
        <v>86</v>
      </c>
      <c r="N2705">
        <v>3</v>
      </c>
      <c r="O2705" s="1">
        <v>44222.537245370368</v>
      </c>
      <c r="P2705" s="1">
        <v>44222.568576388891</v>
      </c>
      <c r="Q2705">
        <v>2533</v>
      </c>
      <c r="R2705">
        <v>174</v>
      </c>
      <c r="S2705" t="b">
        <v>0</v>
      </c>
      <c r="T2705" t="s">
        <v>87</v>
      </c>
      <c r="U2705" t="b">
        <v>0</v>
      </c>
      <c r="V2705" t="s">
        <v>259</v>
      </c>
      <c r="W2705" s="1">
        <v>44222.53943287037</v>
      </c>
      <c r="X2705">
        <v>148</v>
      </c>
      <c r="Y2705">
        <v>0</v>
      </c>
      <c r="Z2705">
        <v>0</v>
      </c>
      <c r="AA2705">
        <v>0</v>
      </c>
      <c r="AB2705">
        <v>52</v>
      </c>
      <c r="AC2705">
        <v>0</v>
      </c>
      <c r="AD2705">
        <v>66</v>
      </c>
      <c r="AE2705">
        <v>0</v>
      </c>
      <c r="AF2705">
        <v>0</v>
      </c>
      <c r="AG2705">
        <v>0</v>
      </c>
      <c r="AH2705" t="s">
        <v>132</v>
      </c>
      <c r="AI2705" s="1">
        <v>44222.568518518521</v>
      </c>
      <c r="AJ2705">
        <v>23</v>
      </c>
      <c r="AK2705">
        <v>0</v>
      </c>
      <c r="AL2705">
        <v>0</v>
      </c>
      <c r="AM2705">
        <v>0</v>
      </c>
      <c r="AN2705">
        <v>52</v>
      </c>
      <c r="AO2705">
        <v>0</v>
      </c>
      <c r="AP2705">
        <v>66</v>
      </c>
      <c r="AQ2705">
        <v>0</v>
      </c>
      <c r="AR2705">
        <v>0</v>
      </c>
      <c r="AS2705">
        <v>0</v>
      </c>
      <c r="AT2705" t="s">
        <v>90</v>
      </c>
      <c r="AU2705" s="1">
        <v>44222.568576388891</v>
      </c>
      <c r="AV2705">
        <v>3</v>
      </c>
      <c r="AW2705">
        <v>0</v>
      </c>
      <c r="AX2705">
        <v>0</v>
      </c>
      <c r="AY2705">
        <v>0</v>
      </c>
      <c r="AZ2705">
        <v>52</v>
      </c>
      <c r="BA2705">
        <v>0</v>
      </c>
      <c r="BB2705">
        <v>66</v>
      </c>
      <c r="BC2705">
        <v>0</v>
      </c>
      <c r="BD2705">
        <v>0</v>
      </c>
      <c r="BE2705">
        <v>0</v>
      </c>
    </row>
    <row r="2706" spans="1:57" hidden="1" x14ac:dyDescent="0.45">
      <c r="A2706" t="s">
        <v>6459</v>
      </c>
      <c r="B2706" t="s">
        <v>79</v>
      </c>
      <c r="C2706" t="s">
        <v>5517</v>
      </c>
      <c r="D2706" t="s">
        <v>81</v>
      </c>
      <c r="E2706" s="2" t="str">
        <f>HYPERLINK("capsilon://?command=openfolder&amp;siteaddress=FAM.docvelocity-na8.net&amp;folderid=FXD4B5F19C-0919-8191-47A9-4873B7B811D0","FX201223358")</f>
        <v>FX201223358</v>
      </c>
      <c r="F2706" t="s">
        <v>19</v>
      </c>
      <c r="G2706" t="s">
        <v>19</v>
      </c>
      <c r="H2706" t="s">
        <v>82</v>
      </c>
      <c r="I2706" t="s">
        <v>6454</v>
      </c>
      <c r="J2706">
        <v>38</v>
      </c>
      <c r="K2706" t="s">
        <v>84</v>
      </c>
      <c r="L2706" t="s">
        <v>85</v>
      </c>
      <c r="M2706" t="s">
        <v>86</v>
      </c>
      <c r="N2706">
        <v>3</v>
      </c>
      <c r="O2706" s="1">
        <v>44222.538807870369</v>
      </c>
      <c r="P2706" s="1">
        <v>44222.542719907404</v>
      </c>
      <c r="Q2706">
        <v>251</v>
      </c>
      <c r="R2706">
        <v>87</v>
      </c>
      <c r="S2706" t="b">
        <v>0</v>
      </c>
      <c r="T2706" t="s">
        <v>87</v>
      </c>
      <c r="U2706" t="b">
        <v>1</v>
      </c>
      <c r="V2706" t="s">
        <v>160</v>
      </c>
      <c r="W2706" s="1">
        <v>44222.539398148147</v>
      </c>
      <c r="X2706">
        <v>50</v>
      </c>
      <c r="Y2706">
        <v>0</v>
      </c>
      <c r="Z2706">
        <v>0</v>
      </c>
      <c r="AA2706">
        <v>0</v>
      </c>
      <c r="AB2706">
        <v>37</v>
      </c>
      <c r="AC2706">
        <v>0</v>
      </c>
      <c r="AD2706">
        <v>38</v>
      </c>
      <c r="AE2706">
        <v>0</v>
      </c>
      <c r="AF2706">
        <v>0</v>
      </c>
      <c r="AG2706">
        <v>0</v>
      </c>
      <c r="AH2706" t="s">
        <v>94</v>
      </c>
      <c r="AI2706" s="1">
        <v>44222.542361111111</v>
      </c>
      <c r="AJ2706">
        <v>33</v>
      </c>
      <c r="AK2706">
        <v>0</v>
      </c>
      <c r="AL2706">
        <v>0</v>
      </c>
      <c r="AM2706">
        <v>0</v>
      </c>
      <c r="AN2706">
        <v>37</v>
      </c>
      <c r="AO2706">
        <v>0</v>
      </c>
      <c r="AP2706">
        <v>38</v>
      </c>
      <c r="AQ2706">
        <v>0</v>
      </c>
      <c r="AR2706">
        <v>0</v>
      </c>
      <c r="AS2706">
        <v>0</v>
      </c>
      <c r="AT2706" t="s">
        <v>90</v>
      </c>
      <c r="AU2706" s="1">
        <v>44222.542719907404</v>
      </c>
      <c r="AV2706">
        <v>4</v>
      </c>
      <c r="AW2706">
        <v>0</v>
      </c>
      <c r="AX2706">
        <v>0</v>
      </c>
      <c r="AY2706">
        <v>0</v>
      </c>
      <c r="AZ2706">
        <v>37</v>
      </c>
      <c r="BA2706">
        <v>0</v>
      </c>
      <c r="BB2706">
        <v>38</v>
      </c>
      <c r="BC2706">
        <v>0</v>
      </c>
      <c r="BD2706">
        <v>0</v>
      </c>
      <c r="BE2706">
        <v>0</v>
      </c>
    </row>
    <row r="2707" spans="1:57" x14ac:dyDescent="0.45">
      <c r="A2707" t="s">
        <v>6460</v>
      </c>
      <c r="B2707" t="s">
        <v>79</v>
      </c>
      <c r="C2707" t="s">
        <v>445</v>
      </c>
      <c r="D2707" t="s">
        <v>81</v>
      </c>
      <c r="E2707" s="2" t="str">
        <f>HYPERLINK("capsilon://?command=openfolder&amp;siteaddress=FAM.docvelocity-na8.net&amp;folderid=FXF403B8C9-DBD0-2B41-FB20-1964E3CB0752","FX201224297")</f>
        <v>FX201224297</v>
      </c>
      <c r="F2707" t="s">
        <v>19</v>
      </c>
      <c r="G2707" t="s">
        <v>19</v>
      </c>
      <c r="H2707" t="s">
        <v>82</v>
      </c>
      <c r="I2707" t="s">
        <v>6461</v>
      </c>
      <c r="J2707">
        <v>32</v>
      </c>
      <c r="K2707" t="s">
        <v>84</v>
      </c>
      <c r="L2707" t="s">
        <v>85</v>
      </c>
      <c r="M2707" t="s">
        <v>86</v>
      </c>
      <c r="N2707">
        <v>3</v>
      </c>
      <c r="O2707" s="1">
        <v>44201.621238425927</v>
      </c>
      <c r="P2707" s="1">
        <v>44201.635011574072</v>
      </c>
      <c r="Q2707">
        <v>335</v>
      </c>
      <c r="R2707">
        <v>855</v>
      </c>
      <c r="S2707" t="b">
        <v>0</v>
      </c>
      <c r="T2707" t="s">
        <v>87</v>
      </c>
      <c r="U2707" t="b">
        <v>0</v>
      </c>
      <c r="V2707" t="s">
        <v>171</v>
      </c>
      <c r="W2707" s="1">
        <v>44201.63108796296</v>
      </c>
      <c r="X2707">
        <v>785</v>
      </c>
      <c r="Y2707">
        <v>16</v>
      </c>
      <c r="Z2707">
        <v>0</v>
      </c>
      <c r="AA2707">
        <v>16</v>
      </c>
      <c r="AB2707">
        <v>0</v>
      </c>
      <c r="AC2707">
        <v>7</v>
      </c>
      <c r="AD2707">
        <v>16</v>
      </c>
      <c r="AE2707">
        <v>0</v>
      </c>
      <c r="AF2707">
        <v>0</v>
      </c>
      <c r="AG2707">
        <v>0</v>
      </c>
      <c r="AH2707" t="s">
        <v>267</v>
      </c>
      <c r="AI2707" s="1">
        <v>44201.632685185185</v>
      </c>
      <c r="AJ2707">
        <v>66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16</v>
      </c>
      <c r="AQ2707">
        <v>0</v>
      </c>
      <c r="AR2707">
        <v>0</v>
      </c>
      <c r="AS2707">
        <v>0</v>
      </c>
      <c r="AT2707" t="s">
        <v>90</v>
      </c>
      <c r="AU2707" s="1">
        <v>44201.635011574072</v>
      </c>
      <c r="AV2707">
        <v>4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16</v>
      </c>
      <c r="BC2707">
        <v>0</v>
      </c>
      <c r="BD2707">
        <v>0</v>
      </c>
      <c r="BE2707">
        <v>0</v>
      </c>
    </row>
    <row r="2708" spans="1:57" x14ac:dyDescent="0.45">
      <c r="A2708" t="s">
        <v>6462</v>
      </c>
      <c r="B2708" t="s">
        <v>79</v>
      </c>
      <c r="C2708" t="s">
        <v>6463</v>
      </c>
      <c r="D2708" t="s">
        <v>81</v>
      </c>
      <c r="E2708" s="2" t="str">
        <f>HYPERLINK("capsilon://?command=openfolder&amp;siteaddress=FAM.docvelocity-na8.net&amp;folderid=FX715F0C33-AAB9-2EE1-AC0D-E69CC939996E","FX210113077")</f>
        <v>FX210113077</v>
      </c>
      <c r="F2708" t="s">
        <v>19</v>
      </c>
      <c r="G2708" t="s">
        <v>19</v>
      </c>
      <c r="H2708" t="s">
        <v>82</v>
      </c>
      <c r="I2708" t="s">
        <v>6464</v>
      </c>
      <c r="J2708">
        <v>185</v>
      </c>
      <c r="K2708" t="s">
        <v>84</v>
      </c>
      <c r="L2708" t="s">
        <v>85</v>
      </c>
      <c r="M2708" t="s">
        <v>86</v>
      </c>
      <c r="N2708">
        <v>3</v>
      </c>
      <c r="O2708" s="1">
        <v>44222.542210648149</v>
      </c>
      <c r="P2708" s="1">
        <v>44222.618495370371</v>
      </c>
      <c r="Q2708">
        <v>368</v>
      </c>
      <c r="R2708">
        <v>6223</v>
      </c>
      <c r="S2708" t="b">
        <v>0</v>
      </c>
      <c r="T2708" t="s">
        <v>87</v>
      </c>
      <c r="U2708" t="b">
        <v>0</v>
      </c>
      <c r="V2708" t="s">
        <v>146</v>
      </c>
      <c r="W2708" s="1">
        <v>44222.605162037034</v>
      </c>
      <c r="X2708">
        <v>5438</v>
      </c>
      <c r="Y2708">
        <v>159</v>
      </c>
      <c r="Z2708">
        <v>0</v>
      </c>
      <c r="AA2708">
        <v>159</v>
      </c>
      <c r="AB2708">
        <v>37</v>
      </c>
      <c r="AC2708">
        <v>147</v>
      </c>
      <c r="AD2708">
        <v>26</v>
      </c>
      <c r="AE2708">
        <v>0</v>
      </c>
      <c r="AF2708">
        <v>0</v>
      </c>
      <c r="AG2708">
        <v>0</v>
      </c>
      <c r="AH2708" t="s">
        <v>128</v>
      </c>
      <c r="AI2708" s="1">
        <v>44222.615347222221</v>
      </c>
      <c r="AJ2708">
        <v>763</v>
      </c>
      <c r="AK2708">
        <v>0</v>
      </c>
      <c r="AL2708">
        <v>0</v>
      </c>
      <c r="AM2708">
        <v>0</v>
      </c>
      <c r="AN2708">
        <v>37</v>
      </c>
      <c r="AO2708">
        <v>0</v>
      </c>
      <c r="AP2708">
        <v>26</v>
      </c>
      <c r="AQ2708">
        <v>0</v>
      </c>
      <c r="AR2708">
        <v>0</v>
      </c>
      <c r="AS2708">
        <v>0</v>
      </c>
      <c r="AT2708" t="s">
        <v>90</v>
      </c>
      <c r="AU2708" s="1">
        <v>44222.618495370371</v>
      </c>
      <c r="AV2708">
        <v>22</v>
      </c>
      <c r="AW2708">
        <v>0</v>
      </c>
      <c r="AX2708">
        <v>0</v>
      </c>
      <c r="AY2708">
        <v>0</v>
      </c>
      <c r="AZ2708">
        <v>37</v>
      </c>
      <c r="BA2708">
        <v>0</v>
      </c>
      <c r="BB2708">
        <v>26</v>
      </c>
      <c r="BC2708">
        <v>0</v>
      </c>
      <c r="BD2708">
        <v>0</v>
      </c>
      <c r="BE2708">
        <v>0</v>
      </c>
    </row>
    <row r="2709" spans="1:57" hidden="1" x14ac:dyDescent="0.45">
      <c r="A2709" t="s">
        <v>6465</v>
      </c>
      <c r="B2709" t="s">
        <v>79</v>
      </c>
      <c r="C2709" t="s">
        <v>3289</v>
      </c>
      <c r="D2709" t="s">
        <v>81</v>
      </c>
      <c r="E2709" s="2" t="str">
        <f>HYPERLINK("capsilon://?command=openfolder&amp;siteaddress=FAM.docvelocity-na8.net&amp;folderid=FX123F0F2A-75F5-BABD-E63F-0BB7DD37BBE1","FX20111665")</f>
        <v>FX20111665</v>
      </c>
      <c r="F2709" t="s">
        <v>19</v>
      </c>
      <c r="G2709" t="s">
        <v>19</v>
      </c>
      <c r="H2709" t="s">
        <v>82</v>
      </c>
      <c r="I2709" t="s">
        <v>6466</v>
      </c>
      <c r="J2709">
        <v>31</v>
      </c>
      <c r="K2709" t="s">
        <v>84</v>
      </c>
      <c r="L2709" t="s">
        <v>85</v>
      </c>
      <c r="M2709" t="s">
        <v>86</v>
      </c>
      <c r="N2709">
        <v>1</v>
      </c>
      <c r="O2709" s="1">
        <v>44222.542731481481</v>
      </c>
      <c r="P2709" s="1">
        <v>44222.543356481481</v>
      </c>
      <c r="Q2709">
        <v>35</v>
      </c>
      <c r="R2709">
        <v>19</v>
      </c>
      <c r="S2709" t="b">
        <v>0</v>
      </c>
      <c r="T2709" t="s">
        <v>87</v>
      </c>
      <c r="U2709" t="b">
        <v>0</v>
      </c>
      <c r="V2709" t="s">
        <v>168</v>
      </c>
      <c r="W2709" s="1">
        <v>44222.543356481481</v>
      </c>
      <c r="X2709">
        <v>19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31</v>
      </c>
      <c r="AE2709">
        <v>0</v>
      </c>
      <c r="AF2709">
        <v>0</v>
      </c>
      <c r="AG2709">
        <v>1</v>
      </c>
      <c r="AH2709" t="s">
        <v>87</v>
      </c>
      <c r="AI2709" t="s">
        <v>87</v>
      </c>
      <c r="AJ2709" t="s">
        <v>87</v>
      </c>
      <c r="AK2709" t="s">
        <v>87</v>
      </c>
      <c r="AL2709" t="s">
        <v>87</v>
      </c>
      <c r="AM2709" t="s">
        <v>87</v>
      </c>
      <c r="AN2709" t="s">
        <v>87</v>
      </c>
      <c r="AO2709" t="s">
        <v>87</v>
      </c>
      <c r="AP2709" t="s">
        <v>87</v>
      </c>
      <c r="AQ2709" t="s">
        <v>87</v>
      </c>
      <c r="AR2709" t="s">
        <v>87</v>
      </c>
      <c r="AS2709" t="s">
        <v>87</v>
      </c>
      <c r="AT2709" t="s">
        <v>87</v>
      </c>
      <c r="AU2709" t="s">
        <v>87</v>
      </c>
      <c r="AV2709" t="s">
        <v>87</v>
      </c>
      <c r="AW2709" t="s">
        <v>87</v>
      </c>
      <c r="AX2709" t="s">
        <v>87</v>
      </c>
      <c r="AY2709" t="s">
        <v>87</v>
      </c>
      <c r="AZ2709" t="s">
        <v>87</v>
      </c>
      <c r="BA2709" t="s">
        <v>87</v>
      </c>
      <c r="BB2709" t="s">
        <v>87</v>
      </c>
      <c r="BC2709" t="s">
        <v>87</v>
      </c>
      <c r="BD2709" t="s">
        <v>87</v>
      </c>
      <c r="BE2709" t="s">
        <v>87</v>
      </c>
    </row>
    <row r="2710" spans="1:57" x14ac:dyDescent="0.45">
      <c r="A2710" t="s">
        <v>6467</v>
      </c>
      <c r="B2710" t="s">
        <v>79</v>
      </c>
      <c r="C2710" t="s">
        <v>6468</v>
      </c>
      <c r="D2710" t="s">
        <v>81</v>
      </c>
      <c r="E2710" s="2" t="str">
        <f>HYPERLINK("capsilon://?command=openfolder&amp;siteaddress=FAM.docvelocity-na8.net&amp;folderid=FXEC1E26F5-7672-65EF-5EAF-7697DCC9B8D3","FX200718548")</f>
        <v>FX200718548</v>
      </c>
      <c r="F2710" t="s">
        <v>19</v>
      </c>
      <c r="G2710" t="s">
        <v>19</v>
      </c>
      <c r="H2710" t="s">
        <v>82</v>
      </c>
      <c r="I2710" t="s">
        <v>6469</v>
      </c>
      <c r="J2710">
        <v>1323</v>
      </c>
      <c r="K2710" t="s">
        <v>84</v>
      </c>
      <c r="L2710" t="s">
        <v>85</v>
      </c>
      <c r="M2710" t="s">
        <v>86</v>
      </c>
      <c r="N2710">
        <v>3</v>
      </c>
      <c r="O2710" s="1">
        <v>44222.543414351851</v>
      </c>
      <c r="P2710" s="1">
        <v>44222.57607638889</v>
      </c>
      <c r="Q2710">
        <v>2619</v>
      </c>
      <c r="R2710">
        <v>203</v>
      </c>
      <c r="S2710" t="b">
        <v>0</v>
      </c>
      <c r="T2710" t="s">
        <v>87</v>
      </c>
      <c r="U2710" t="b">
        <v>0</v>
      </c>
      <c r="V2710" t="s">
        <v>255</v>
      </c>
      <c r="W2710" s="1">
        <v>44222.545706018522</v>
      </c>
      <c r="X2710">
        <v>146</v>
      </c>
      <c r="Y2710">
        <v>294</v>
      </c>
      <c r="Z2710">
        <v>0</v>
      </c>
      <c r="AA2710">
        <v>294</v>
      </c>
      <c r="AB2710">
        <v>294</v>
      </c>
      <c r="AC2710">
        <v>0</v>
      </c>
      <c r="AD2710">
        <v>1029</v>
      </c>
      <c r="AE2710">
        <v>0</v>
      </c>
      <c r="AF2710">
        <v>0</v>
      </c>
      <c r="AG2710">
        <v>0</v>
      </c>
      <c r="AH2710" t="s">
        <v>132</v>
      </c>
      <c r="AI2710" s="1">
        <v>44222.568692129629</v>
      </c>
      <c r="AJ2710">
        <v>14</v>
      </c>
      <c r="AK2710">
        <v>0</v>
      </c>
      <c r="AL2710">
        <v>0</v>
      </c>
      <c r="AM2710">
        <v>0</v>
      </c>
      <c r="AN2710">
        <v>294</v>
      </c>
      <c r="AO2710">
        <v>0</v>
      </c>
      <c r="AP2710">
        <v>1029</v>
      </c>
      <c r="AQ2710">
        <v>0</v>
      </c>
      <c r="AR2710">
        <v>0</v>
      </c>
      <c r="AS2710">
        <v>0</v>
      </c>
      <c r="AT2710" t="s">
        <v>90</v>
      </c>
      <c r="AU2710" s="1">
        <v>44222.57607638889</v>
      </c>
      <c r="AV2710">
        <v>3</v>
      </c>
      <c r="AW2710">
        <v>0</v>
      </c>
      <c r="AX2710">
        <v>0</v>
      </c>
      <c r="AY2710">
        <v>0</v>
      </c>
      <c r="AZ2710">
        <v>294</v>
      </c>
      <c r="BA2710">
        <v>0</v>
      </c>
      <c r="BB2710">
        <v>1029</v>
      </c>
      <c r="BC2710">
        <v>0</v>
      </c>
      <c r="BD2710">
        <v>0</v>
      </c>
      <c r="BE2710">
        <v>0</v>
      </c>
    </row>
    <row r="2711" spans="1:57" hidden="1" x14ac:dyDescent="0.45">
      <c r="A2711" t="s">
        <v>6470</v>
      </c>
      <c r="B2711" t="s">
        <v>79</v>
      </c>
      <c r="C2711" t="s">
        <v>3289</v>
      </c>
      <c r="D2711" t="s">
        <v>81</v>
      </c>
      <c r="E2711" s="2" t="str">
        <f>HYPERLINK("capsilon://?command=openfolder&amp;siteaddress=FAM.docvelocity-na8.net&amp;folderid=FX123F0F2A-75F5-BABD-E63F-0BB7DD37BBE1","FX20111665")</f>
        <v>FX20111665</v>
      </c>
      <c r="F2711" t="s">
        <v>19</v>
      </c>
      <c r="G2711" t="s">
        <v>19</v>
      </c>
      <c r="H2711" t="s">
        <v>82</v>
      </c>
      <c r="I2711" t="s">
        <v>6466</v>
      </c>
      <c r="J2711">
        <v>31</v>
      </c>
      <c r="K2711" t="s">
        <v>84</v>
      </c>
      <c r="L2711" t="s">
        <v>85</v>
      </c>
      <c r="M2711" t="s">
        <v>86</v>
      </c>
      <c r="N2711">
        <v>3</v>
      </c>
      <c r="O2711" s="1">
        <v>44222.544004629628</v>
      </c>
      <c r="P2711" s="1">
        <v>44222.553240740737</v>
      </c>
      <c r="Q2711">
        <v>635</v>
      </c>
      <c r="R2711">
        <v>163</v>
      </c>
      <c r="S2711" t="b">
        <v>0</v>
      </c>
      <c r="T2711" t="s">
        <v>87</v>
      </c>
      <c r="U2711" t="b">
        <v>1</v>
      </c>
      <c r="V2711" t="s">
        <v>160</v>
      </c>
      <c r="W2711" s="1">
        <v>44222.545624999999</v>
      </c>
      <c r="X2711">
        <v>139</v>
      </c>
      <c r="Y2711">
        <v>0</v>
      </c>
      <c r="Z2711">
        <v>0</v>
      </c>
      <c r="AA2711">
        <v>0</v>
      </c>
      <c r="AB2711">
        <v>27</v>
      </c>
      <c r="AC2711">
        <v>0</v>
      </c>
      <c r="AD2711">
        <v>31</v>
      </c>
      <c r="AE2711">
        <v>0</v>
      </c>
      <c r="AF2711">
        <v>0</v>
      </c>
      <c r="AG2711">
        <v>0</v>
      </c>
      <c r="AH2711" t="s">
        <v>132</v>
      </c>
      <c r="AI2711" s="1">
        <v>44222.552824074075</v>
      </c>
      <c r="AJ2711">
        <v>13</v>
      </c>
      <c r="AK2711">
        <v>0</v>
      </c>
      <c r="AL2711">
        <v>0</v>
      </c>
      <c r="AM2711">
        <v>0</v>
      </c>
      <c r="AN2711">
        <v>27</v>
      </c>
      <c r="AO2711">
        <v>0</v>
      </c>
      <c r="AP2711">
        <v>31</v>
      </c>
      <c r="AQ2711">
        <v>0</v>
      </c>
      <c r="AR2711">
        <v>0</v>
      </c>
      <c r="AS2711">
        <v>0</v>
      </c>
      <c r="AT2711" t="s">
        <v>90</v>
      </c>
      <c r="AU2711" s="1">
        <v>44222.553240740737</v>
      </c>
      <c r="AV2711">
        <v>11</v>
      </c>
      <c r="AW2711">
        <v>0</v>
      </c>
      <c r="AX2711">
        <v>0</v>
      </c>
      <c r="AY2711">
        <v>0</v>
      </c>
      <c r="AZ2711">
        <v>27</v>
      </c>
      <c r="BA2711">
        <v>0</v>
      </c>
      <c r="BB2711">
        <v>31</v>
      </c>
      <c r="BC2711">
        <v>0</v>
      </c>
      <c r="BD2711">
        <v>0</v>
      </c>
      <c r="BE2711">
        <v>0</v>
      </c>
    </row>
    <row r="2712" spans="1:57" x14ac:dyDescent="0.45">
      <c r="A2712" t="s">
        <v>6471</v>
      </c>
      <c r="B2712" t="s">
        <v>79</v>
      </c>
      <c r="C2712" t="s">
        <v>442</v>
      </c>
      <c r="D2712" t="s">
        <v>81</v>
      </c>
      <c r="E2712" s="2" t="str">
        <f>HYPERLINK("capsilon://?command=openfolder&amp;siteaddress=FAM.docvelocity-na8.net&amp;folderid=FX4A1920FC-25A5-7C14-09FE-D4F5CF9E70C3","FX201225769")</f>
        <v>FX201225769</v>
      </c>
      <c r="F2712" t="s">
        <v>19</v>
      </c>
      <c r="G2712" t="s">
        <v>19</v>
      </c>
      <c r="H2712" t="s">
        <v>82</v>
      </c>
      <c r="I2712" t="s">
        <v>6472</v>
      </c>
      <c r="J2712">
        <v>52</v>
      </c>
      <c r="K2712" t="s">
        <v>84</v>
      </c>
      <c r="L2712" t="s">
        <v>85</v>
      </c>
      <c r="M2712" t="s">
        <v>86</v>
      </c>
      <c r="N2712">
        <v>3</v>
      </c>
      <c r="O2712" s="1">
        <v>44222.544791666667</v>
      </c>
      <c r="P2712" s="1">
        <v>44222.576145833336</v>
      </c>
      <c r="Q2712">
        <v>1643</v>
      </c>
      <c r="R2712">
        <v>1066</v>
      </c>
      <c r="S2712" t="b">
        <v>0</v>
      </c>
      <c r="T2712" t="s">
        <v>87</v>
      </c>
      <c r="U2712" t="b">
        <v>0</v>
      </c>
      <c r="V2712" t="s">
        <v>168</v>
      </c>
      <c r="W2712" s="1">
        <v>44222.555127314816</v>
      </c>
      <c r="X2712">
        <v>888</v>
      </c>
      <c r="Y2712">
        <v>42</v>
      </c>
      <c r="Z2712">
        <v>0</v>
      </c>
      <c r="AA2712">
        <v>42</v>
      </c>
      <c r="AB2712">
        <v>0</v>
      </c>
      <c r="AC2712">
        <v>23</v>
      </c>
      <c r="AD2712">
        <v>10</v>
      </c>
      <c r="AE2712">
        <v>0</v>
      </c>
      <c r="AF2712">
        <v>0</v>
      </c>
      <c r="AG2712">
        <v>0</v>
      </c>
      <c r="AH2712" t="s">
        <v>132</v>
      </c>
      <c r="AI2712" s="1">
        <v>44222.570706018516</v>
      </c>
      <c r="AJ2712">
        <v>173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10</v>
      </c>
      <c r="AQ2712">
        <v>0</v>
      </c>
      <c r="AR2712">
        <v>0</v>
      </c>
      <c r="AS2712">
        <v>0</v>
      </c>
      <c r="AT2712" t="s">
        <v>90</v>
      </c>
      <c r="AU2712" s="1">
        <v>44222.576145833336</v>
      </c>
      <c r="AV2712">
        <v>5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10</v>
      </c>
      <c r="BC2712">
        <v>0</v>
      </c>
      <c r="BD2712">
        <v>0</v>
      </c>
      <c r="BE2712">
        <v>0</v>
      </c>
    </row>
    <row r="2713" spans="1:57" x14ac:dyDescent="0.45">
      <c r="A2713" t="s">
        <v>6473</v>
      </c>
      <c r="B2713" t="s">
        <v>79</v>
      </c>
      <c r="C2713" t="s">
        <v>6474</v>
      </c>
      <c r="D2713" t="s">
        <v>81</v>
      </c>
      <c r="E2713" s="2" t="str">
        <f>HYPERLINK("capsilon://?command=openfolder&amp;siteaddress=FAM.docvelocity-na8.net&amp;folderid=FX35AD4A11-2CC0-C06F-8C8E-4B0D82EB250F","FX201111462")</f>
        <v>FX201111462</v>
      </c>
      <c r="F2713" t="s">
        <v>19</v>
      </c>
      <c r="G2713" t="s">
        <v>19</v>
      </c>
      <c r="H2713" t="s">
        <v>82</v>
      </c>
      <c r="I2713" t="s">
        <v>6475</v>
      </c>
      <c r="J2713">
        <v>38</v>
      </c>
      <c r="K2713" t="s">
        <v>84</v>
      </c>
      <c r="L2713" t="s">
        <v>85</v>
      </c>
      <c r="M2713" t="s">
        <v>86</v>
      </c>
      <c r="N2713">
        <v>3</v>
      </c>
      <c r="O2713" s="1">
        <v>44222.549537037034</v>
      </c>
      <c r="P2713" s="1">
        <v>44222.576238425929</v>
      </c>
      <c r="Q2713">
        <v>1114</v>
      </c>
      <c r="R2713">
        <v>1193</v>
      </c>
      <c r="S2713" t="b">
        <v>0</v>
      </c>
      <c r="T2713" t="s">
        <v>87</v>
      </c>
      <c r="U2713" t="b">
        <v>0</v>
      </c>
      <c r="V2713" t="s">
        <v>171</v>
      </c>
      <c r="W2713" s="1">
        <v>44222.561319444445</v>
      </c>
      <c r="X2713">
        <v>1017</v>
      </c>
      <c r="Y2713">
        <v>37</v>
      </c>
      <c r="Z2713">
        <v>0</v>
      </c>
      <c r="AA2713">
        <v>37</v>
      </c>
      <c r="AB2713">
        <v>0</v>
      </c>
      <c r="AC2713">
        <v>33</v>
      </c>
      <c r="AD2713">
        <v>1</v>
      </c>
      <c r="AE2713">
        <v>0</v>
      </c>
      <c r="AF2713">
        <v>0</v>
      </c>
      <c r="AG2713">
        <v>0</v>
      </c>
      <c r="AH2713" t="s">
        <v>128</v>
      </c>
      <c r="AI2713" s="1">
        <v>44222.571122685185</v>
      </c>
      <c r="AJ2713">
        <v>168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 t="s">
        <v>90</v>
      </c>
      <c r="AU2713" s="1">
        <v>44222.576238425929</v>
      </c>
      <c r="AV2713">
        <v>8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1</v>
      </c>
      <c r="BC2713">
        <v>0</v>
      </c>
      <c r="BD2713">
        <v>0</v>
      </c>
      <c r="BE2713">
        <v>0</v>
      </c>
    </row>
    <row r="2714" spans="1:57" x14ac:dyDescent="0.45">
      <c r="A2714" t="s">
        <v>6476</v>
      </c>
      <c r="B2714" t="s">
        <v>79</v>
      </c>
      <c r="C2714" t="s">
        <v>6477</v>
      </c>
      <c r="D2714" t="s">
        <v>81</v>
      </c>
      <c r="E2714" s="2" t="str">
        <f>HYPERLINK("capsilon://?command=openfolder&amp;siteaddress=FAM.docvelocity-na8.net&amp;folderid=FX38529008-1927-8FFF-B3B7-4356843C9F97","FX20126268")</f>
        <v>FX20126268</v>
      </c>
      <c r="F2714" t="s">
        <v>19</v>
      </c>
      <c r="G2714" t="s">
        <v>19</v>
      </c>
      <c r="H2714" t="s">
        <v>82</v>
      </c>
      <c r="I2714" t="s">
        <v>6478</v>
      </c>
      <c r="J2714">
        <v>67</v>
      </c>
      <c r="K2714" t="s">
        <v>84</v>
      </c>
      <c r="L2714" t="s">
        <v>85</v>
      </c>
      <c r="M2714" t="s">
        <v>86</v>
      </c>
      <c r="N2714">
        <v>3</v>
      </c>
      <c r="O2714" s="1">
        <v>44222.553993055553</v>
      </c>
      <c r="P2714" s="1">
        <v>44222.577372685184</v>
      </c>
      <c r="Q2714">
        <v>603</v>
      </c>
      <c r="R2714">
        <v>1417</v>
      </c>
      <c r="S2714" t="b">
        <v>0</v>
      </c>
      <c r="T2714" t="s">
        <v>87</v>
      </c>
      <c r="U2714" t="b">
        <v>0</v>
      </c>
      <c r="V2714" t="s">
        <v>259</v>
      </c>
      <c r="W2714" s="1">
        <v>44222.565752314818</v>
      </c>
      <c r="X2714">
        <v>1006</v>
      </c>
      <c r="Y2714">
        <v>87</v>
      </c>
      <c r="Z2714">
        <v>0</v>
      </c>
      <c r="AA2714">
        <v>87</v>
      </c>
      <c r="AB2714">
        <v>0</v>
      </c>
      <c r="AC2714">
        <v>64</v>
      </c>
      <c r="AD2714">
        <v>-20</v>
      </c>
      <c r="AE2714">
        <v>0</v>
      </c>
      <c r="AF2714">
        <v>0</v>
      </c>
      <c r="AG2714">
        <v>0</v>
      </c>
      <c r="AH2714" t="s">
        <v>128</v>
      </c>
      <c r="AI2714" s="1">
        <v>44222.57476851852</v>
      </c>
      <c r="AJ2714">
        <v>314</v>
      </c>
      <c r="AK2714">
        <v>2</v>
      </c>
      <c r="AL2714">
        <v>0</v>
      </c>
      <c r="AM2714">
        <v>2</v>
      </c>
      <c r="AN2714">
        <v>0</v>
      </c>
      <c r="AO2714">
        <v>2</v>
      </c>
      <c r="AP2714">
        <v>-22</v>
      </c>
      <c r="AQ2714">
        <v>0</v>
      </c>
      <c r="AR2714">
        <v>0</v>
      </c>
      <c r="AS2714">
        <v>0</v>
      </c>
      <c r="AT2714" t="s">
        <v>90</v>
      </c>
      <c r="AU2714" s="1">
        <v>44222.577372685184</v>
      </c>
      <c r="AV2714">
        <v>97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-22</v>
      </c>
      <c r="BC2714">
        <v>0</v>
      </c>
      <c r="BD2714">
        <v>0</v>
      </c>
      <c r="BE2714">
        <v>0</v>
      </c>
    </row>
    <row r="2715" spans="1:57" x14ac:dyDescent="0.45">
      <c r="A2715" t="s">
        <v>6479</v>
      </c>
      <c r="B2715" t="s">
        <v>79</v>
      </c>
      <c r="C2715" t="s">
        <v>2736</v>
      </c>
      <c r="D2715" t="s">
        <v>81</v>
      </c>
      <c r="E2715" s="2" t="str">
        <f>HYPERLINK("capsilon://?command=openfolder&amp;siteaddress=FAM.docvelocity-na8.net&amp;folderid=FX673EDBDA-7480-73B3-CF03-42C44A27F561","FX20127687")</f>
        <v>FX20127687</v>
      </c>
      <c r="F2715" t="s">
        <v>19</v>
      </c>
      <c r="G2715" t="s">
        <v>19</v>
      </c>
      <c r="H2715" t="s">
        <v>82</v>
      </c>
      <c r="I2715" t="s">
        <v>6480</v>
      </c>
      <c r="J2715">
        <v>26</v>
      </c>
      <c r="K2715" t="s">
        <v>84</v>
      </c>
      <c r="L2715" t="s">
        <v>85</v>
      </c>
      <c r="M2715" t="s">
        <v>86</v>
      </c>
      <c r="N2715">
        <v>3</v>
      </c>
      <c r="O2715" s="1">
        <v>44222.555810185186</v>
      </c>
      <c r="P2715" s="1">
        <v>44222.577453703707</v>
      </c>
      <c r="Q2715">
        <v>1544</v>
      </c>
      <c r="R2715">
        <v>326</v>
      </c>
      <c r="S2715" t="b">
        <v>0</v>
      </c>
      <c r="T2715" t="s">
        <v>87</v>
      </c>
      <c r="U2715" t="b">
        <v>0</v>
      </c>
      <c r="V2715" t="s">
        <v>179</v>
      </c>
      <c r="W2715" s="1">
        <v>44222.558807870373</v>
      </c>
      <c r="X2715">
        <v>258</v>
      </c>
      <c r="Y2715">
        <v>21</v>
      </c>
      <c r="Z2715">
        <v>0</v>
      </c>
      <c r="AA2715">
        <v>21</v>
      </c>
      <c r="AB2715">
        <v>0</v>
      </c>
      <c r="AC2715">
        <v>0</v>
      </c>
      <c r="AD2715">
        <v>5</v>
      </c>
      <c r="AE2715">
        <v>0</v>
      </c>
      <c r="AF2715">
        <v>0</v>
      </c>
      <c r="AG2715">
        <v>0</v>
      </c>
      <c r="AH2715" t="s">
        <v>132</v>
      </c>
      <c r="AI2715" s="1">
        <v>44222.572650462964</v>
      </c>
      <c r="AJ2715">
        <v>62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5</v>
      </c>
      <c r="AQ2715">
        <v>0</v>
      </c>
      <c r="AR2715">
        <v>0</v>
      </c>
      <c r="AS2715">
        <v>0</v>
      </c>
      <c r="AT2715" t="s">
        <v>90</v>
      </c>
      <c r="AU2715" s="1">
        <v>44222.577453703707</v>
      </c>
      <c r="AV2715">
        <v>6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5</v>
      </c>
      <c r="BC2715">
        <v>0</v>
      </c>
      <c r="BD2715">
        <v>0</v>
      </c>
      <c r="BE2715">
        <v>0</v>
      </c>
    </row>
    <row r="2716" spans="1:57" hidden="1" x14ac:dyDescent="0.45">
      <c r="A2716" t="s">
        <v>6481</v>
      </c>
      <c r="B2716" t="s">
        <v>79</v>
      </c>
      <c r="C2716" t="s">
        <v>6482</v>
      </c>
      <c r="D2716" t="s">
        <v>81</v>
      </c>
      <c r="E2716" s="2" t="str">
        <f>HYPERLINK("capsilon://?command=openfolder&amp;siteaddress=FAM.docvelocity-na8.net&amp;folderid=FX32BE6D22-2E08-AE52-5443-30A891D50423","FX2101949")</f>
        <v>FX2101949</v>
      </c>
      <c r="F2716" t="s">
        <v>19</v>
      </c>
      <c r="G2716" t="s">
        <v>19</v>
      </c>
      <c r="H2716" t="s">
        <v>82</v>
      </c>
      <c r="I2716" t="s">
        <v>6483</v>
      </c>
      <c r="J2716">
        <v>441</v>
      </c>
      <c r="K2716" t="s">
        <v>84</v>
      </c>
      <c r="L2716" t="s">
        <v>85</v>
      </c>
      <c r="M2716" t="s">
        <v>81</v>
      </c>
      <c r="N2716">
        <v>2</v>
      </c>
      <c r="O2716" s="1">
        <v>44222.561400462961</v>
      </c>
      <c r="P2716" s="1">
        <v>44222.568912037037</v>
      </c>
      <c r="Q2716">
        <v>554</v>
      </c>
      <c r="R2716">
        <v>95</v>
      </c>
      <c r="S2716" t="b">
        <v>0</v>
      </c>
      <c r="T2716" t="s">
        <v>1797</v>
      </c>
      <c r="U2716" t="b">
        <v>0</v>
      </c>
      <c r="V2716" t="s">
        <v>179</v>
      </c>
      <c r="W2716" s="1">
        <v>44222.562465277777</v>
      </c>
      <c r="X2716">
        <v>91</v>
      </c>
      <c r="Y2716">
        <v>0</v>
      </c>
      <c r="Z2716">
        <v>0</v>
      </c>
      <c r="AA2716">
        <v>0</v>
      </c>
      <c r="AB2716">
        <v>98</v>
      </c>
      <c r="AC2716">
        <v>0</v>
      </c>
      <c r="AD2716">
        <v>441</v>
      </c>
      <c r="AE2716">
        <v>0</v>
      </c>
      <c r="AF2716">
        <v>0</v>
      </c>
      <c r="AG2716">
        <v>0</v>
      </c>
      <c r="AH2716" t="s">
        <v>1797</v>
      </c>
      <c r="AI2716" s="1">
        <v>44222.568912037037</v>
      </c>
      <c r="AJ2716">
        <v>4</v>
      </c>
      <c r="AK2716">
        <v>0</v>
      </c>
      <c r="AL2716">
        <v>0</v>
      </c>
      <c r="AM2716">
        <v>0</v>
      </c>
      <c r="AN2716">
        <v>98</v>
      </c>
      <c r="AO2716">
        <v>0</v>
      </c>
      <c r="AP2716">
        <v>441</v>
      </c>
      <c r="AQ2716">
        <v>0</v>
      </c>
      <c r="AR2716">
        <v>0</v>
      </c>
      <c r="AS2716">
        <v>0</v>
      </c>
      <c r="AT2716" t="s">
        <v>87</v>
      </c>
      <c r="AU2716" t="s">
        <v>87</v>
      </c>
      <c r="AV2716" t="s">
        <v>87</v>
      </c>
      <c r="AW2716" t="s">
        <v>87</v>
      </c>
      <c r="AX2716" t="s">
        <v>87</v>
      </c>
      <c r="AY2716" t="s">
        <v>87</v>
      </c>
      <c r="AZ2716" t="s">
        <v>87</v>
      </c>
      <c r="BA2716" t="s">
        <v>87</v>
      </c>
      <c r="BB2716" t="s">
        <v>87</v>
      </c>
      <c r="BC2716" t="s">
        <v>87</v>
      </c>
      <c r="BD2716" t="s">
        <v>87</v>
      </c>
      <c r="BE2716" t="s">
        <v>87</v>
      </c>
    </row>
    <row r="2717" spans="1:57" x14ac:dyDescent="0.45">
      <c r="A2717" t="s">
        <v>6484</v>
      </c>
      <c r="B2717" t="s">
        <v>79</v>
      </c>
      <c r="C2717" t="s">
        <v>6039</v>
      </c>
      <c r="D2717" t="s">
        <v>81</v>
      </c>
      <c r="E2717" s="2" t="str">
        <f>HYPERLINK("capsilon://?command=openfolder&amp;siteaddress=FAM.docvelocity-na8.net&amp;folderid=FX30916849-A430-1358-5E90-1FDE3D72A173","FX201222019")</f>
        <v>FX201222019</v>
      </c>
      <c r="F2717" t="s">
        <v>19</v>
      </c>
      <c r="G2717" t="s">
        <v>19</v>
      </c>
      <c r="H2717" t="s">
        <v>82</v>
      </c>
      <c r="I2717" t="s">
        <v>6485</v>
      </c>
      <c r="J2717">
        <v>48</v>
      </c>
      <c r="K2717" t="s">
        <v>84</v>
      </c>
      <c r="L2717" t="s">
        <v>85</v>
      </c>
      <c r="M2717" t="s">
        <v>86</v>
      </c>
      <c r="N2717">
        <v>3</v>
      </c>
      <c r="O2717" s="1">
        <v>44222.563113425924</v>
      </c>
      <c r="P2717" s="1">
        <v>44222.5780787037</v>
      </c>
      <c r="Q2717">
        <v>762</v>
      </c>
      <c r="R2717">
        <v>531</v>
      </c>
      <c r="S2717" t="b">
        <v>0</v>
      </c>
      <c r="T2717" t="s">
        <v>87</v>
      </c>
      <c r="U2717" t="b">
        <v>0</v>
      </c>
      <c r="V2717" t="s">
        <v>242</v>
      </c>
      <c r="W2717" s="1">
        <v>44222.568252314813</v>
      </c>
      <c r="X2717">
        <v>399</v>
      </c>
      <c r="Y2717">
        <v>42</v>
      </c>
      <c r="Z2717">
        <v>0</v>
      </c>
      <c r="AA2717">
        <v>42</v>
      </c>
      <c r="AB2717">
        <v>0</v>
      </c>
      <c r="AC2717">
        <v>21</v>
      </c>
      <c r="AD2717">
        <v>6</v>
      </c>
      <c r="AE2717">
        <v>0</v>
      </c>
      <c r="AF2717">
        <v>0</v>
      </c>
      <c r="AG2717">
        <v>0</v>
      </c>
      <c r="AH2717" t="s">
        <v>132</v>
      </c>
      <c r="AI2717" s="1">
        <v>44222.573576388888</v>
      </c>
      <c r="AJ2717">
        <v>79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6</v>
      </c>
      <c r="AQ2717">
        <v>0</v>
      </c>
      <c r="AR2717">
        <v>0</v>
      </c>
      <c r="AS2717">
        <v>0</v>
      </c>
      <c r="AT2717" t="s">
        <v>90</v>
      </c>
      <c r="AU2717" s="1">
        <v>44222.5780787037</v>
      </c>
      <c r="AV2717">
        <v>53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6</v>
      </c>
      <c r="BC2717">
        <v>0</v>
      </c>
      <c r="BD2717">
        <v>0</v>
      </c>
      <c r="BE2717">
        <v>0</v>
      </c>
    </row>
    <row r="2718" spans="1:57" x14ac:dyDescent="0.45">
      <c r="A2718" t="s">
        <v>6486</v>
      </c>
      <c r="B2718" t="s">
        <v>79</v>
      </c>
      <c r="C2718" t="s">
        <v>6039</v>
      </c>
      <c r="D2718" t="s">
        <v>81</v>
      </c>
      <c r="E2718" s="2" t="str">
        <f>HYPERLINK("capsilon://?command=openfolder&amp;siteaddress=FAM.docvelocity-na8.net&amp;folderid=FX30916849-A430-1358-5E90-1FDE3D72A173","FX201222019")</f>
        <v>FX201222019</v>
      </c>
      <c r="F2718" t="s">
        <v>19</v>
      </c>
      <c r="G2718" t="s">
        <v>19</v>
      </c>
      <c r="H2718" t="s">
        <v>82</v>
      </c>
      <c r="I2718" t="s">
        <v>6487</v>
      </c>
      <c r="J2718">
        <v>48</v>
      </c>
      <c r="K2718" t="s">
        <v>84</v>
      </c>
      <c r="L2718" t="s">
        <v>85</v>
      </c>
      <c r="M2718" t="s">
        <v>86</v>
      </c>
      <c r="N2718">
        <v>3</v>
      </c>
      <c r="O2718" s="1">
        <v>44222.56349537037</v>
      </c>
      <c r="P2718" s="1">
        <v>44222.578194444446</v>
      </c>
      <c r="Q2718">
        <v>227</v>
      </c>
      <c r="R2718">
        <v>1043</v>
      </c>
      <c r="S2718" t="b">
        <v>0</v>
      </c>
      <c r="T2718" t="s">
        <v>87</v>
      </c>
      <c r="U2718" t="b">
        <v>0</v>
      </c>
      <c r="V2718" t="s">
        <v>160</v>
      </c>
      <c r="W2718" s="1">
        <v>44222.574513888889</v>
      </c>
      <c r="X2718">
        <v>906</v>
      </c>
      <c r="Y2718">
        <v>42</v>
      </c>
      <c r="Z2718">
        <v>0</v>
      </c>
      <c r="AA2718">
        <v>42</v>
      </c>
      <c r="AB2718">
        <v>0</v>
      </c>
      <c r="AC2718">
        <v>37</v>
      </c>
      <c r="AD2718">
        <v>6</v>
      </c>
      <c r="AE2718">
        <v>0</v>
      </c>
      <c r="AF2718">
        <v>0</v>
      </c>
      <c r="AG2718">
        <v>0</v>
      </c>
      <c r="AH2718" t="s">
        <v>128</v>
      </c>
      <c r="AI2718" s="1">
        <v>44222.576261574075</v>
      </c>
      <c r="AJ2718">
        <v>128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6</v>
      </c>
      <c r="AQ2718">
        <v>0</v>
      </c>
      <c r="AR2718">
        <v>0</v>
      </c>
      <c r="AS2718">
        <v>0</v>
      </c>
      <c r="AT2718" t="s">
        <v>90</v>
      </c>
      <c r="AU2718" s="1">
        <v>44222.578194444446</v>
      </c>
      <c r="AV2718">
        <v>9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6</v>
      </c>
      <c r="BC2718">
        <v>0</v>
      </c>
      <c r="BD2718">
        <v>0</v>
      </c>
      <c r="BE2718">
        <v>0</v>
      </c>
    </row>
    <row r="2719" spans="1:57" x14ac:dyDescent="0.45">
      <c r="A2719" t="s">
        <v>6488</v>
      </c>
      <c r="B2719" t="s">
        <v>79</v>
      </c>
      <c r="C2719" t="s">
        <v>5890</v>
      </c>
      <c r="D2719" t="s">
        <v>81</v>
      </c>
      <c r="E2719" s="2" t="str">
        <f>HYPERLINK("capsilon://?command=openfolder&amp;siteaddress=FAM.docvelocity-na8.net&amp;folderid=FX264AC855-A482-1DBA-B03A-A99A8ABC631A","FX210113629")</f>
        <v>FX210113629</v>
      </c>
      <c r="F2719" t="s">
        <v>19</v>
      </c>
      <c r="G2719" t="s">
        <v>19</v>
      </c>
      <c r="H2719" t="s">
        <v>82</v>
      </c>
      <c r="I2719" t="s">
        <v>6489</v>
      </c>
      <c r="J2719">
        <v>66</v>
      </c>
      <c r="K2719" t="s">
        <v>84</v>
      </c>
      <c r="L2719" t="s">
        <v>85</v>
      </c>
      <c r="M2719" t="s">
        <v>86</v>
      </c>
      <c r="N2719">
        <v>3</v>
      </c>
      <c r="O2719" s="1">
        <v>44222.563993055555</v>
      </c>
      <c r="P2719" s="1">
        <v>44222.618692129632</v>
      </c>
      <c r="Q2719">
        <v>3404</v>
      </c>
      <c r="R2719">
        <v>1322</v>
      </c>
      <c r="S2719" t="b">
        <v>0</v>
      </c>
      <c r="T2719" t="s">
        <v>87</v>
      </c>
      <c r="U2719" t="b">
        <v>0</v>
      </c>
      <c r="V2719" t="s">
        <v>242</v>
      </c>
      <c r="W2719" s="1">
        <v>44222.582083333335</v>
      </c>
      <c r="X2719">
        <v>1194</v>
      </c>
      <c r="Y2719">
        <v>52</v>
      </c>
      <c r="Z2719">
        <v>0</v>
      </c>
      <c r="AA2719">
        <v>52</v>
      </c>
      <c r="AB2719">
        <v>0</v>
      </c>
      <c r="AC2719">
        <v>35</v>
      </c>
      <c r="AD2719">
        <v>14</v>
      </c>
      <c r="AE2719">
        <v>0</v>
      </c>
      <c r="AF2719">
        <v>0</v>
      </c>
      <c r="AG2719">
        <v>0</v>
      </c>
      <c r="AH2719" t="s">
        <v>132</v>
      </c>
      <c r="AI2719" s="1">
        <v>44222.58699074074</v>
      </c>
      <c r="AJ2719">
        <v>93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14</v>
      </c>
      <c r="AQ2719">
        <v>0</v>
      </c>
      <c r="AR2719">
        <v>0</v>
      </c>
      <c r="AS2719">
        <v>0</v>
      </c>
      <c r="AT2719" t="s">
        <v>90</v>
      </c>
      <c r="AU2719" s="1">
        <v>44222.618692129632</v>
      </c>
      <c r="AV2719">
        <v>17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14</v>
      </c>
      <c r="BC2719">
        <v>0</v>
      </c>
      <c r="BD2719">
        <v>0</v>
      </c>
      <c r="BE2719">
        <v>0</v>
      </c>
    </row>
    <row r="2720" spans="1:57" hidden="1" x14ac:dyDescent="0.45">
      <c r="A2720" t="s">
        <v>6490</v>
      </c>
      <c r="B2720" t="s">
        <v>79</v>
      </c>
      <c r="C2720" t="s">
        <v>6491</v>
      </c>
      <c r="D2720" t="s">
        <v>81</v>
      </c>
      <c r="E2720" s="2" t="str">
        <f>HYPERLINK("capsilon://?command=openfolder&amp;siteaddress=FAM.docvelocity-na8.net&amp;folderid=FX78655D98-7EB6-0A9B-97B4-12BDBC6D8B68","FX201115089")</f>
        <v>FX201115089</v>
      </c>
      <c r="F2720" t="s">
        <v>19</v>
      </c>
      <c r="G2720" t="s">
        <v>19</v>
      </c>
      <c r="H2720" t="s">
        <v>82</v>
      </c>
      <c r="I2720" t="s">
        <v>6492</v>
      </c>
      <c r="J2720">
        <v>66</v>
      </c>
      <c r="K2720" t="s">
        <v>84</v>
      </c>
      <c r="L2720" t="s">
        <v>85</v>
      </c>
      <c r="M2720" t="s">
        <v>86</v>
      </c>
      <c r="N2720">
        <v>1</v>
      </c>
      <c r="O2720" s="1">
        <v>44222.565138888887</v>
      </c>
      <c r="P2720" s="1">
        <v>44222.575775462959</v>
      </c>
      <c r="Q2720">
        <v>907</v>
      </c>
      <c r="R2720">
        <v>12</v>
      </c>
      <c r="S2720" t="b">
        <v>0</v>
      </c>
      <c r="T2720" t="s">
        <v>87</v>
      </c>
      <c r="U2720" t="b">
        <v>0</v>
      </c>
      <c r="V2720" t="s">
        <v>160</v>
      </c>
      <c r="W2720" s="1">
        <v>44222.575775462959</v>
      </c>
      <c r="X2720">
        <v>12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66</v>
      </c>
      <c r="AE2720">
        <v>0</v>
      </c>
      <c r="AF2720">
        <v>0</v>
      </c>
      <c r="AG2720">
        <v>1</v>
      </c>
      <c r="AH2720" t="s">
        <v>87</v>
      </c>
      <c r="AI2720" t="s">
        <v>87</v>
      </c>
      <c r="AJ2720" t="s">
        <v>87</v>
      </c>
      <c r="AK2720" t="s">
        <v>87</v>
      </c>
      <c r="AL2720" t="s">
        <v>87</v>
      </c>
      <c r="AM2720" t="s">
        <v>87</v>
      </c>
      <c r="AN2720" t="s">
        <v>87</v>
      </c>
      <c r="AO2720" t="s">
        <v>87</v>
      </c>
      <c r="AP2720" t="s">
        <v>87</v>
      </c>
      <c r="AQ2720" t="s">
        <v>87</v>
      </c>
      <c r="AR2720" t="s">
        <v>87</v>
      </c>
      <c r="AS2720" t="s">
        <v>87</v>
      </c>
      <c r="AT2720" t="s">
        <v>87</v>
      </c>
      <c r="AU2720" t="s">
        <v>87</v>
      </c>
      <c r="AV2720" t="s">
        <v>87</v>
      </c>
      <c r="AW2720" t="s">
        <v>87</v>
      </c>
      <c r="AX2720" t="s">
        <v>87</v>
      </c>
      <c r="AY2720" t="s">
        <v>87</v>
      </c>
      <c r="AZ2720" t="s">
        <v>87</v>
      </c>
      <c r="BA2720" t="s">
        <v>87</v>
      </c>
      <c r="BB2720" t="s">
        <v>87</v>
      </c>
      <c r="BC2720" t="s">
        <v>87</v>
      </c>
      <c r="BD2720" t="s">
        <v>87</v>
      </c>
      <c r="BE2720" t="s">
        <v>87</v>
      </c>
    </row>
    <row r="2721" spans="1:57" x14ac:dyDescent="0.45">
      <c r="A2721" t="s">
        <v>6493</v>
      </c>
      <c r="B2721" t="s">
        <v>79</v>
      </c>
      <c r="C2721" t="s">
        <v>421</v>
      </c>
      <c r="D2721" t="s">
        <v>81</v>
      </c>
      <c r="E2721" s="2" t="str">
        <f>HYPERLINK("capsilon://?command=openfolder&amp;siteaddress=FAM.docvelocity-na8.net&amp;folderid=FXC96A83F2-1C8D-2674-87B1-2B1D6A794BB3","FX201110728")</f>
        <v>FX201110728</v>
      </c>
      <c r="F2721" t="s">
        <v>19</v>
      </c>
      <c r="G2721" t="s">
        <v>19</v>
      </c>
      <c r="H2721" t="s">
        <v>82</v>
      </c>
      <c r="I2721" t="s">
        <v>6494</v>
      </c>
      <c r="J2721">
        <v>31</v>
      </c>
      <c r="K2721" t="s">
        <v>84</v>
      </c>
      <c r="L2721" t="s">
        <v>85</v>
      </c>
      <c r="M2721" t="s">
        <v>86</v>
      </c>
      <c r="N2721">
        <v>3</v>
      </c>
      <c r="O2721" s="1">
        <v>44222.568136574075</v>
      </c>
      <c r="P2721" s="1">
        <v>44222.61917824074</v>
      </c>
      <c r="Q2721">
        <v>3291</v>
      </c>
      <c r="R2721">
        <v>1119</v>
      </c>
      <c r="S2721" t="b">
        <v>0</v>
      </c>
      <c r="T2721" t="s">
        <v>87</v>
      </c>
      <c r="U2721" t="b">
        <v>0</v>
      </c>
      <c r="V2721" t="s">
        <v>179</v>
      </c>
      <c r="W2721" s="1">
        <v>44222.58</v>
      </c>
      <c r="X2721">
        <v>964</v>
      </c>
      <c r="Y2721">
        <v>39</v>
      </c>
      <c r="Z2721">
        <v>0</v>
      </c>
      <c r="AA2721">
        <v>39</v>
      </c>
      <c r="AB2721">
        <v>0</v>
      </c>
      <c r="AC2721">
        <v>33</v>
      </c>
      <c r="AD2721">
        <v>-8</v>
      </c>
      <c r="AE2721">
        <v>0</v>
      </c>
      <c r="AF2721">
        <v>0</v>
      </c>
      <c r="AG2721">
        <v>0</v>
      </c>
      <c r="AH2721" t="s">
        <v>128</v>
      </c>
      <c r="AI2721" s="1">
        <v>44222.581608796296</v>
      </c>
      <c r="AJ2721">
        <v>114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-8</v>
      </c>
      <c r="AQ2721">
        <v>0</v>
      </c>
      <c r="AR2721">
        <v>0</v>
      </c>
      <c r="AS2721">
        <v>0</v>
      </c>
      <c r="AT2721" t="s">
        <v>90</v>
      </c>
      <c r="AU2721" s="1">
        <v>44222.61917824074</v>
      </c>
      <c r="AV2721">
        <v>41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-8</v>
      </c>
      <c r="BC2721">
        <v>0</v>
      </c>
      <c r="BD2721">
        <v>0</v>
      </c>
      <c r="BE2721">
        <v>0</v>
      </c>
    </row>
    <row r="2722" spans="1:57" x14ac:dyDescent="0.45">
      <c r="A2722" t="s">
        <v>6495</v>
      </c>
      <c r="B2722" t="s">
        <v>79</v>
      </c>
      <c r="C2722" t="s">
        <v>421</v>
      </c>
      <c r="D2722" t="s">
        <v>81</v>
      </c>
      <c r="E2722" s="2" t="str">
        <f>HYPERLINK("capsilon://?command=openfolder&amp;siteaddress=FAM.docvelocity-na8.net&amp;folderid=FXC96A83F2-1C8D-2674-87B1-2B1D6A794BB3","FX201110728")</f>
        <v>FX201110728</v>
      </c>
      <c r="F2722" t="s">
        <v>19</v>
      </c>
      <c r="G2722" t="s">
        <v>19</v>
      </c>
      <c r="H2722" t="s">
        <v>82</v>
      </c>
      <c r="I2722" t="s">
        <v>6496</v>
      </c>
      <c r="J2722">
        <v>31</v>
      </c>
      <c r="K2722" t="s">
        <v>84</v>
      </c>
      <c r="L2722" t="s">
        <v>85</v>
      </c>
      <c r="M2722" t="s">
        <v>86</v>
      </c>
      <c r="N2722">
        <v>3</v>
      </c>
      <c r="O2722" s="1">
        <v>44222.568622685183</v>
      </c>
      <c r="P2722" s="1">
        <v>44222.633784722224</v>
      </c>
      <c r="Q2722">
        <v>3009</v>
      </c>
      <c r="R2722">
        <v>2621</v>
      </c>
      <c r="S2722" t="b">
        <v>0</v>
      </c>
      <c r="T2722" t="s">
        <v>87</v>
      </c>
      <c r="U2722" t="b">
        <v>0</v>
      </c>
      <c r="V2722" t="s">
        <v>142</v>
      </c>
      <c r="W2722" s="1">
        <v>44222.576342592591</v>
      </c>
      <c r="X2722">
        <v>529</v>
      </c>
      <c r="Y2722">
        <v>49</v>
      </c>
      <c r="Z2722">
        <v>0</v>
      </c>
      <c r="AA2722">
        <v>49</v>
      </c>
      <c r="AB2722">
        <v>0</v>
      </c>
      <c r="AC2722">
        <v>40</v>
      </c>
      <c r="AD2722">
        <v>-18</v>
      </c>
      <c r="AE2722">
        <v>0</v>
      </c>
      <c r="AF2722">
        <v>0</v>
      </c>
      <c r="AG2722">
        <v>0</v>
      </c>
      <c r="AH2722" t="s">
        <v>128</v>
      </c>
      <c r="AI2722" s="1">
        <v>44222.580277777779</v>
      </c>
      <c r="AJ2722">
        <v>232</v>
      </c>
      <c r="AK2722">
        <v>2</v>
      </c>
      <c r="AL2722">
        <v>0</v>
      </c>
      <c r="AM2722">
        <v>2</v>
      </c>
      <c r="AN2722">
        <v>0</v>
      </c>
      <c r="AO2722">
        <v>2</v>
      </c>
      <c r="AP2722">
        <v>-20</v>
      </c>
      <c r="AQ2722">
        <v>0</v>
      </c>
      <c r="AR2722">
        <v>0</v>
      </c>
      <c r="AS2722">
        <v>0</v>
      </c>
      <c r="AT2722" t="s">
        <v>90</v>
      </c>
      <c r="AU2722" s="1">
        <v>44222.633784722224</v>
      </c>
      <c r="AV2722">
        <v>19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-20</v>
      </c>
      <c r="BC2722">
        <v>0</v>
      </c>
      <c r="BD2722">
        <v>0</v>
      </c>
      <c r="BE2722">
        <v>0</v>
      </c>
    </row>
    <row r="2723" spans="1:57" x14ac:dyDescent="0.45">
      <c r="A2723" t="s">
        <v>6497</v>
      </c>
      <c r="B2723" t="s">
        <v>79</v>
      </c>
      <c r="C2723" t="s">
        <v>6491</v>
      </c>
      <c r="D2723" t="s">
        <v>81</v>
      </c>
      <c r="E2723" s="2" t="str">
        <f>HYPERLINK("capsilon://?command=openfolder&amp;siteaddress=FAM.docvelocity-na8.net&amp;folderid=FX78655D98-7EB6-0A9B-97B4-12BDBC6D8B68","FX201115089")</f>
        <v>FX201115089</v>
      </c>
      <c r="F2723" t="s">
        <v>19</v>
      </c>
      <c r="G2723" t="s">
        <v>19</v>
      </c>
      <c r="H2723" t="s">
        <v>82</v>
      </c>
      <c r="I2723" t="s">
        <v>6492</v>
      </c>
      <c r="J2723">
        <v>38</v>
      </c>
      <c r="K2723" t="s">
        <v>84</v>
      </c>
      <c r="L2723" t="s">
        <v>85</v>
      </c>
      <c r="M2723" t="s">
        <v>86</v>
      </c>
      <c r="N2723">
        <v>3</v>
      </c>
      <c r="O2723" s="1">
        <v>44222.576145833336</v>
      </c>
      <c r="P2723" s="1">
        <v>44222.61822916667</v>
      </c>
      <c r="Q2723">
        <v>2967</v>
      </c>
      <c r="R2723">
        <v>669</v>
      </c>
      <c r="S2723" t="b">
        <v>0</v>
      </c>
      <c r="T2723" t="s">
        <v>87</v>
      </c>
      <c r="U2723" t="b">
        <v>1</v>
      </c>
      <c r="V2723" t="s">
        <v>160</v>
      </c>
      <c r="W2723" s="1">
        <v>44222.581909722219</v>
      </c>
      <c r="X2723">
        <v>497</v>
      </c>
      <c r="Y2723">
        <v>37</v>
      </c>
      <c r="Z2723">
        <v>0</v>
      </c>
      <c r="AA2723">
        <v>37</v>
      </c>
      <c r="AB2723">
        <v>0</v>
      </c>
      <c r="AC2723">
        <v>35</v>
      </c>
      <c r="AD2723">
        <v>1</v>
      </c>
      <c r="AE2723">
        <v>0</v>
      </c>
      <c r="AF2723">
        <v>0</v>
      </c>
      <c r="AG2723">
        <v>0</v>
      </c>
      <c r="AH2723" t="s">
        <v>147</v>
      </c>
      <c r="AI2723" s="1">
        <v>44222.58734953704</v>
      </c>
      <c r="AJ2723">
        <v>165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 t="s">
        <v>90</v>
      </c>
      <c r="AU2723" s="1">
        <v>44222.61822916667</v>
      </c>
      <c r="AV2723">
        <v>7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1</v>
      </c>
      <c r="BC2723">
        <v>0</v>
      </c>
      <c r="BD2723">
        <v>0</v>
      </c>
      <c r="BE2723">
        <v>0</v>
      </c>
    </row>
    <row r="2724" spans="1:57" hidden="1" x14ac:dyDescent="0.45">
      <c r="A2724" t="s">
        <v>6498</v>
      </c>
      <c r="B2724" t="s">
        <v>79</v>
      </c>
      <c r="C2724" t="s">
        <v>6499</v>
      </c>
      <c r="D2724" t="s">
        <v>81</v>
      </c>
      <c r="E2724" s="2" t="str">
        <f>HYPERLINK("capsilon://?command=openfolder&amp;siteaddress=FAM.docvelocity-na8.net&amp;folderid=FX888BA41E-8376-1423-E024-845C431C7709","FX201115008")</f>
        <v>FX201115008</v>
      </c>
      <c r="F2724" t="s">
        <v>19</v>
      </c>
      <c r="G2724" t="s">
        <v>19</v>
      </c>
      <c r="H2724" t="s">
        <v>82</v>
      </c>
      <c r="I2724" t="s">
        <v>6500</v>
      </c>
      <c r="J2724">
        <v>66</v>
      </c>
      <c r="K2724" t="s">
        <v>84</v>
      </c>
      <c r="L2724" t="s">
        <v>85</v>
      </c>
      <c r="M2724" t="s">
        <v>86</v>
      </c>
      <c r="N2724">
        <v>1</v>
      </c>
      <c r="O2724" s="1">
        <v>44201.625578703701</v>
      </c>
      <c r="P2724" s="1">
        <v>44201.627581018518</v>
      </c>
      <c r="Q2724">
        <v>58</v>
      </c>
      <c r="R2724">
        <v>115</v>
      </c>
      <c r="S2724" t="b">
        <v>0</v>
      </c>
      <c r="T2724" t="s">
        <v>87</v>
      </c>
      <c r="U2724" t="b">
        <v>0</v>
      </c>
      <c r="V2724" t="s">
        <v>242</v>
      </c>
      <c r="W2724" s="1">
        <v>44201.627581018518</v>
      </c>
      <c r="X2724">
        <v>115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66</v>
      </c>
      <c r="AE2724">
        <v>52</v>
      </c>
      <c r="AF2724">
        <v>0</v>
      </c>
      <c r="AG2724">
        <v>1</v>
      </c>
      <c r="AH2724" t="s">
        <v>87</v>
      </c>
      <c r="AI2724" t="s">
        <v>87</v>
      </c>
      <c r="AJ2724" t="s">
        <v>87</v>
      </c>
      <c r="AK2724" t="s">
        <v>87</v>
      </c>
      <c r="AL2724" t="s">
        <v>87</v>
      </c>
      <c r="AM2724" t="s">
        <v>87</v>
      </c>
      <c r="AN2724" t="s">
        <v>87</v>
      </c>
      <c r="AO2724" t="s">
        <v>87</v>
      </c>
      <c r="AP2724" t="s">
        <v>87</v>
      </c>
      <c r="AQ2724" t="s">
        <v>87</v>
      </c>
      <c r="AR2724" t="s">
        <v>87</v>
      </c>
      <c r="AS2724" t="s">
        <v>87</v>
      </c>
      <c r="AT2724" t="s">
        <v>87</v>
      </c>
      <c r="AU2724" t="s">
        <v>87</v>
      </c>
      <c r="AV2724" t="s">
        <v>87</v>
      </c>
      <c r="AW2724" t="s">
        <v>87</v>
      </c>
      <c r="AX2724" t="s">
        <v>87</v>
      </c>
      <c r="AY2724" t="s">
        <v>87</v>
      </c>
      <c r="AZ2724" t="s">
        <v>87</v>
      </c>
      <c r="BA2724" t="s">
        <v>87</v>
      </c>
      <c r="BB2724" t="s">
        <v>87</v>
      </c>
      <c r="BC2724" t="s">
        <v>87</v>
      </c>
      <c r="BD2724" t="s">
        <v>87</v>
      </c>
      <c r="BE2724" t="s">
        <v>87</v>
      </c>
    </row>
    <row r="2725" spans="1:57" x14ac:dyDescent="0.45">
      <c r="A2725" t="s">
        <v>6501</v>
      </c>
      <c r="B2725" t="s">
        <v>79</v>
      </c>
      <c r="C2725" t="s">
        <v>6502</v>
      </c>
      <c r="D2725" t="s">
        <v>81</v>
      </c>
      <c r="E2725" s="2" t="str">
        <f>HYPERLINK("capsilon://?command=openfolder&amp;siteaddress=FAM.docvelocity-na8.net&amp;folderid=FX799434B5-FB1A-174F-E831-B24EE818845F","FX210114119")</f>
        <v>FX210114119</v>
      </c>
      <c r="F2725" t="s">
        <v>19</v>
      </c>
      <c r="G2725" t="s">
        <v>19</v>
      </c>
      <c r="H2725" t="s">
        <v>82</v>
      </c>
      <c r="I2725" t="s">
        <v>6503</v>
      </c>
      <c r="J2725">
        <v>215</v>
      </c>
      <c r="K2725" t="s">
        <v>84</v>
      </c>
      <c r="L2725" t="s">
        <v>85</v>
      </c>
      <c r="M2725" t="s">
        <v>86</v>
      </c>
      <c r="N2725">
        <v>3</v>
      </c>
      <c r="O2725" s="1">
        <v>44222.580127314817</v>
      </c>
      <c r="P2725" s="1">
        <v>44222.619456018518</v>
      </c>
      <c r="Q2725">
        <v>2056</v>
      </c>
      <c r="R2725">
        <v>1342</v>
      </c>
      <c r="S2725" t="b">
        <v>0</v>
      </c>
      <c r="T2725" t="s">
        <v>87</v>
      </c>
      <c r="U2725" t="b">
        <v>0</v>
      </c>
      <c r="V2725" t="s">
        <v>255</v>
      </c>
      <c r="W2725" s="1">
        <v>44222.591724537036</v>
      </c>
      <c r="X2725">
        <v>994</v>
      </c>
      <c r="Y2725">
        <v>135</v>
      </c>
      <c r="Z2725">
        <v>0</v>
      </c>
      <c r="AA2725">
        <v>135</v>
      </c>
      <c r="AB2725">
        <v>37</v>
      </c>
      <c r="AC2725">
        <v>86</v>
      </c>
      <c r="AD2725">
        <v>80</v>
      </c>
      <c r="AE2725">
        <v>0</v>
      </c>
      <c r="AF2725">
        <v>0</v>
      </c>
      <c r="AG2725">
        <v>0</v>
      </c>
      <c r="AH2725" t="s">
        <v>132</v>
      </c>
      <c r="AI2725" s="1">
        <v>44222.599143518521</v>
      </c>
      <c r="AJ2725">
        <v>281</v>
      </c>
      <c r="AK2725">
        <v>0</v>
      </c>
      <c r="AL2725">
        <v>0</v>
      </c>
      <c r="AM2725">
        <v>0</v>
      </c>
      <c r="AN2725">
        <v>37</v>
      </c>
      <c r="AO2725">
        <v>0</v>
      </c>
      <c r="AP2725">
        <v>80</v>
      </c>
      <c r="AQ2725">
        <v>0</v>
      </c>
      <c r="AR2725">
        <v>0</v>
      </c>
      <c r="AS2725">
        <v>0</v>
      </c>
      <c r="AT2725" t="s">
        <v>90</v>
      </c>
      <c r="AU2725" s="1">
        <v>44222.619456018518</v>
      </c>
      <c r="AV2725">
        <v>23</v>
      </c>
      <c r="AW2725">
        <v>0</v>
      </c>
      <c r="AX2725">
        <v>0</v>
      </c>
      <c r="AY2725">
        <v>0</v>
      </c>
      <c r="AZ2725">
        <v>37</v>
      </c>
      <c r="BA2725">
        <v>0</v>
      </c>
      <c r="BB2725">
        <v>80</v>
      </c>
      <c r="BC2725">
        <v>0</v>
      </c>
      <c r="BD2725">
        <v>0</v>
      </c>
      <c r="BE2725">
        <v>0</v>
      </c>
    </row>
    <row r="2726" spans="1:57" x14ac:dyDescent="0.45">
      <c r="A2726" t="s">
        <v>6504</v>
      </c>
      <c r="B2726" t="s">
        <v>79</v>
      </c>
      <c r="C2726" t="s">
        <v>5208</v>
      </c>
      <c r="D2726" t="s">
        <v>81</v>
      </c>
      <c r="E2726" s="2" t="str">
        <f>HYPERLINK("capsilon://?command=openfolder&amp;siteaddress=FAM.docvelocity-na8.net&amp;folderid=FX949B1133-5258-8D0E-9F99-D0ECD9AC5B6E","FX2101209")</f>
        <v>FX2101209</v>
      </c>
      <c r="F2726" t="s">
        <v>19</v>
      </c>
      <c r="G2726" t="s">
        <v>19</v>
      </c>
      <c r="H2726" t="s">
        <v>82</v>
      </c>
      <c r="I2726" t="s">
        <v>6505</v>
      </c>
      <c r="J2726">
        <v>76</v>
      </c>
      <c r="K2726" t="s">
        <v>84</v>
      </c>
      <c r="L2726" t="s">
        <v>85</v>
      </c>
      <c r="M2726" t="s">
        <v>86</v>
      </c>
      <c r="N2726">
        <v>3</v>
      </c>
      <c r="O2726" s="1">
        <v>44222.582013888888</v>
      </c>
      <c r="P2726" s="1">
        <v>44222.61954861111</v>
      </c>
      <c r="Q2726">
        <v>1380</v>
      </c>
      <c r="R2726">
        <v>1863</v>
      </c>
      <c r="S2726" t="b">
        <v>0</v>
      </c>
      <c r="T2726" t="s">
        <v>87</v>
      </c>
      <c r="U2726" t="b">
        <v>0</v>
      </c>
      <c r="V2726" t="s">
        <v>242</v>
      </c>
      <c r="W2726" s="1">
        <v>44222.599942129629</v>
      </c>
      <c r="X2726">
        <v>1542</v>
      </c>
      <c r="Y2726">
        <v>74</v>
      </c>
      <c r="Z2726">
        <v>0</v>
      </c>
      <c r="AA2726">
        <v>74</v>
      </c>
      <c r="AB2726">
        <v>0</v>
      </c>
      <c r="AC2726">
        <v>62</v>
      </c>
      <c r="AD2726">
        <v>2</v>
      </c>
      <c r="AE2726">
        <v>0</v>
      </c>
      <c r="AF2726">
        <v>0</v>
      </c>
      <c r="AG2726">
        <v>0</v>
      </c>
      <c r="AH2726" t="s">
        <v>128</v>
      </c>
      <c r="AI2726" s="1">
        <v>44222.603750000002</v>
      </c>
      <c r="AJ2726">
        <v>314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2</v>
      </c>
      <c r="AQ2726">
        <v>0</v>
      </c>
      <c r="AR2726">
        <v>0</v>
      </c>
      <c r="AS2726">
        <v>0</v>
      </c>
      <c r="AT2726" t="s">
        <v>90</v>
      </c>
      <c r="AU2726" s="1">
        <v>44222.61954861111</v>
      </c>
      <c r="AV2726">
        <v>7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2</v>
      </c>
      <c r="BC2726">
        <v>0</v>
      </c>
      <c r="BD2726">
        <v>0</v>
      </c>
      <c r="BE2726">
        <v>0</v>
      </c>
    </row>
    <row r="2727" spans="1:57" x14ac:dyDescent="0.45">
      <c r="A2727" t="s">
        <v>6506</v>
      </c>
      <c r="B2727" t="s">
        <v>79</v>
      </c>
      <c r="C2727" t="s">
        <v>6507</v>
      </c>
      <c r="D2727" t="s">
        <v>81</v>
      </c>
      <c r="E2727" s="2" t="str">
        <f>HYPERLINK("capsilon://?command=openfolder&amp;siteaddress=FAM.docvelocity-na8.net&amp;folderid=FX9134C3C9-825A-7EB8-4697-337C45717910","FX210114355")</f>
        <v>FX210114355</v>
      </c>
      <c r="F2727" t="s">
        <v>19</v>
      </c>
      <c r="G2727" t="s">
        <v>19</v>
      </c>
      <c r="H2727" t="s">
        <v>82</v>
      </c>
      <c r="I2727" t="s">
        <v>6508</v>
      </c>
      <c r="J2727">
        <v>236</v>
      </c>
      <c r="K2727" t="s">
        <v>84</v>
      </c>
      <c r="L2727" t="s">
        <v>85</v>
      </c>
      <c r="M2727" t="s">
        <v>86</v>
      </c>
      <c r="N2727">
        <v>3</v>
      </c>
      <c r="O2727" s="1">
        <v>44222.582025462965</v>
      </c>
      <c r="P2727" s="1">
        <v>44222.620706018519</v>
      </c>
      <c r="Q2727">
        <v>156</v>
      </c>
      <c r="R2727">
        <v>3186</v>
      </c>
      <c r="S2727" t="b">
        <v>0</v>
      </c>
      <c r="T2727" t="s">
        <v>87</v>
      </c>
      <c r="U2727" t="b">
        <v>0</v>
      </c>
      <c r="V2727" t="s">
        <v>160</v>
      </c>
      <c r="W2727" s="1">
        <v>44222.613611111112</v>
      </c>
      <c r="X2727">
        <v>2714</v>
      </c>
      <c r="Y2727">
        <v>217</v>
      </c>
      <c r="Z2727">
        <v>0</v>
      </c>
      <c r="AA2727">
        <v>217</v>
      </c>
      <c r="AB2727">
        <v>0</v>
      </c>
      <c r="AC2727">
        <v>181</v>
      </c>
      <c r="AD2727">
        <v>19</v>
      </c>
      <c r="AE2727">
        <v>0</v>
      </c>
      <c r="AF2727">
        <v>0</v>
      </c>
      <c r="AG2727">
        <v>0</v>
      </c>
      <c r="AH2727" t="s">
        <v>132</v>
      </c>
      <c r="AI2727" s="1">
        <v>44222.618611111109</v>
      </c>
      <c r="AJ2727">
        <v>372</v>
      </c>
      <c r="AK2727">
        <v>2</v>
      </c>
      <c r="AL2727">
        <v>0</v>
      </c>
      <c r="AM2727">
        <v>2</v>
      </c>
      <c r="AN2727">
        <v>0</v>
      </c>
      <c r="AO2727">
        <v>1</v>
      </c>
      <c r="AP2727">
        <v>17</v>
      </c>
      <c r="AQ2727">
        <v>0</v>
      </c>
      <c r="AR2727">
        <v>0</v>
      </c>
      <c r="AS2727">
        <v>0</v>
      </c>
      <c r="AT2727" t="s">
        <v>90</v>
      </c>
      <c r="AU2727" s="1">
        <v>44222.620706018519</v>
      </c>
      <c r="AV2727">
        <v>100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17</v>
      </c>
      <c r="BC2727">
        <v>0</v>
      </c>
      <c r="BD2727">
        <v>0</v>
      </c>
      <c r="BE2727">
        <v>0</v>
      </c>
    </row>
    <row r="2728" spans="1:57" x14ac:dyDescent="0.45">
      <c r="A2728" t="s">
        <v>6509</v>
      </c>
      <c r="B2728" t="s">
        <v>79</v>
      </c>
      <c r="C2728" t="s">
        <v>6510</v>
      </c>
      <c r="D2728" t="s">
        <v>81</v>
      </c>
      <c r="E2728" s="2" t="str">
        <f>HYPERLINK("capsilon://?command=openfolder&amp;siteaddress=FAM.docvelocity-na8.net&amp;folderid=FX7F23BBC5-9601-E6C9-D965-BCF154D3C832","FX210113119")</f>
        <v>FX210113119</v>
      </c>
      <c r="F2728" t="s">
        <v>19</v>
      </c>
      <c r="G2728" t="s">
        <v>19</v>
      </c>
      <c r="H2728" t="s">
        <v>82</v>
      </c>
      <c r="I2728" t="s">
        <v>6511</v>
      </c>
      <c r="J2728">
        <v>182</v>
      </c>
      <c r="K2728" t="s">
        <v>84</v>
      </c>
      <c r="L2728" t="s">
        <v>85</v>
      </c>
      <c r="M2728" t="s">
        <v>86</v>
      </c>
      <c r="N2728">
        <v>3</v>
      </c>
      <c r="O2728" s="1">
        <v>44222.586157407408</v>
      </c>
      <c r="P2728" s="1">
        <v>44222.634201388886</v>
      </c>
      <c r="Q2728">
        <v>506</v>
      </c>
      <c r="R2728">
        <v>3645</v>
      </c>
      <c r="S2728" t="b">
        <v>0</v>
      </c>
      <c r="T2728" t="s">
        <v>87</v>
      </c>
      <c r="U2728" t="b">
        <v>0</v>
      </c>
      <c r="V2728" t="s">
        <v>259</v>
      </c>
      <c r="W2728" s="1">
        <v>44222.618993055556</v>
      </c>
      <c r="X2728">
        <v>2817</v>
      </c>
      <c r="Y2728">
        <v>228</v>
      </c>
      <c r="Z2728">
        <v>0</v>
      </c>
      <c r="AA2728">
        <v>228</v>
      </c>
      <c r="AB2728">
        <v>0</v>
      </c>
      <c r="AC2728">
        <v>162</v>
      </c>
      <c r="AD2728">
        <v>-46</v>
      </c>
      <c r="AE2728">
        <v>0</v>
      </c>
      <c r="AF2728">
        <v>0</v>
      </c>
      <c r="AG2728">
        <v>0</v>
      </c>
      <c r="AH2728" t="s">
        <v>128</v>
      </c>
      <c r="AI2728" s="1">
        <v>44222.628587962965</v>
      </c>
      <c r="AJ2728">
        <v>793</v>
      </c>
      <c r="AK2728">
        <v>1</v>
      </c>
      <c r="AL2728">
        <v>0</v>
      </c>
      <c r="AM2728">
        <v>1</v>
      </c>
      <c r="AN2728">
        <v>0</v>
      </c>
      <c r="AO2728">
        <v>1</v>
      </c>
      <c r="AP2728">
        <v>-47</v>
      </c>
      <c r="AQ2728">
        <v>0</v>
      </c>
      <c r="AR2728">
        <v>0</v>
      </c>
      <c r="AS2728">
        <v>0</v>
      </c>
      <c r="AT2728" t="s">
        <v>90</v>
      </c>
      <c r="AU2728" s="1">
        <v>44222.634201388886</v>
      </c>
      <c r="AV2728">
        <v>35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-47</v>
      </c>
      <c r="BC2728">
        <v>0</v>
      </c>
      <c r="BD2728">
        <v>0</v>
      </c>
      <c r="BE2728">
        <v>0</v>
      </c>
    </row>
    <row r="2729" spans="1:57" x14ac:dyDescent="0.45">
      <c r="A2729" t="s">
        <v>6512</v>
      </c>
      <c r="B2729" t="s">
        <v>79</v>
      </c>
      <c r="C2729" t="s">
        <v>3631</v>
      </c>
      <c r="D2729" t="s">
        <v>81</v>
      </c>
      <c r="E2729" s="2" t="str">
        <f>HYPERLINK("capsilon://?command=openfolder&amp;siteaddress=FAM.docvelocity-na8.net&amp;folderid=FXC17FDA31-80B4-6222-8731-35359F3A55AC","FX20125652")</f>
        <v>FX20125652</v>
      </c>
      <c r="F2729" t="s">
        <v>19</v>
      </c>
      <c r="G2729" t="s">
        <v>19</v>
      </c>
      <c r="H2729" t="s">
        <v>82</v>
      </c>
      <c r="I2729" t="s">
        <v>6513</v>
      </c>
      <c r="J2729">
        <v>66</v>
      </c>
      <c r="K2729" t="s">
        <v>84</v>
      </c>
      <c r="L2729" t="s">
        <v>85</v>
      </c>
      <c r="M2729" t="s">
        <v>86</v>
      </c>
      <c r="N2729">
        <v>3</v>
      </c>
      <c r="O2729" s="1">
        <v>44222.589108796295</v>
      </c>
      <c r="P2729" s="1">
        <v>44222.621331018519</v>
      </c>
      <c r="Q2729">
        <v>529</v>
      </c>
      <c r="R2729">
        <v>2255</v>
      </c>
      <c r="S2729" t="b">
        <v>0</v>
      </c>
      <c r="T2729" t="s">
        <v>87</v>
      </c>
      <c r="U2729" t="b">
        <v>0</v>
      </c>
      <c r="V2729" t="s">
        <v>168</v>
      </c>
      <c r="W2729" s="1">
        <v>44222.611087962963</v>
      </c>
      <c r="X2729">
        <v>1882</v>
      </c>
      <c r="Y2729">
        <v>52</v>
      </c>
      <c r="Z2729">
        <v>0</v>
      </c>
      <c r="AA2729">
        <v>52</v>
      </c>
      <c r="AB2729">
        <v>0</v>
      </c>
      <c r="AC2729">
        <v>25</v>
      </c>
      <c r="AD2729">
        <v>14</v>
      </c>
      <c r="AE2729">
        <v>0</v>
      </c>
      <c r="AF2729">
        <v>0</v>
      </c>
      <c r="AG2729">
        <v>0</v>
      </c>
      <c r="AH2729" t="s">
        <v>128</v>
      </c>
      <c r="AI2729" s="1">
        <v>44222.618437500001</v>
      </c>
      <c r="AJ2729">
        <v>266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14</v>
      </c>
      <c r="AQ2729">
        <v>0</v>
      </c>
      <c r="AR2729">
        <v>0</v>
      </c>
      <c r="AS2729">
        <v>0</v>
      </c>
      <c r="AT2729" t="s">
        <v>90</v>
      </c>
      <c r="AU2729" s="1">
        <v>44222.621331018519</v>
      </c>
      <c r="AV2729">
        <v>53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14</v>
      </c>
      <c r="BC2729">
        <v>0</v>
      </c>
      <c r="BD2729">
        <v>0</v>
      </c>
      <c r="BE2729">
        <v>0</v>
      </c>
    </row>
    <row r="2730" spans="1:57" hidden="1" x14ac:dyDescent="0.45">
      <c r="A2730" t="s">
        <v>6514</v>
      </c>
      <c r="B2730" t="s">
        <v>79</v>
      </c>
      <c r="C2730" t="s">
        <v>1402</v>
      </c>
      <c r="D2730" t="s">
        <v>81</v>
      </c>
      <c r="E2730" s="2" t="str">
        <f>HYPERLINK("capsilon://?command=openfolder&amp;siteaddress=FAM.docvelocity-na8.net&amp;folderid=FX88C6F78C-FE1E-8137-1437-FC34B863078E","FX20127293")</f>
        <v>FX20127293</v>
      </c>
      <c r="F2730" t="s">
        <v>19</v>
      </c>
      <c r="G2730" t="s">
        <v>19</v>
      </c>
      <c r="H2730" t="s">
        <v>82</v>
      </c>
      <c r="I2730" t="s">
        <v>6515</v>
      </c>
      <c r="J2730">
        <v>58</v>
      </c>
      <c r="K2730" t="s">
        <v>84</v>
      </c>
      <c r="L2730" t="s">
        <v>85</v>
      </c>
      <c r="M2730" t="s">
        <v>86</v>
      </c>
      <c r="N2730">
        <v>1</v>
      </c>
      <c r="O2730" s="1">
        <v>44222.594189814816</v>
      </c>
      <c r="P2730" s="1">
        <v>44222.596956018519</v>
      </c>
      <c r="Q2730">
        <v>153</v>
      </c>
      <c r="R2730">
        <v>86</v>
      </c>
      <c r="S2730" t="b">
        <v>0</v>
      </c>
      <c r="T2730" t="s">
        <v>87</v>
      </c>
      <c r="U2730" t="b">
        <v>0</v>
      </c>
      <c r="V2730" t="s">
        <v>255</v>
      </c>
      <c r="W2730" s="1">
        <v>44222.596956018519</v>
      </c>
      <c r="X2730">
        <v>86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58</v>
      </c>
      <c r="AE2730">
        <v>54</v>
      </c>
      <c r="AF2730">
        <v>0</v>
      </c>
      <c r="AG2730">
        <v>2</v>
      </c>
      <c r="AH2730" t="s">
        <v>87</v>
      </c>
      <c r="AI2730" t="s">
        <v>87</v>
      </c>
      <c r="AJ2730" t="s">
        <v>87</v>
      </c>
      <c r="AK2730" t="s">
        <v>87</v>
      </c>
      <c r="AL2730" t="s">
        <v>87</v>
      </c>
      <c r="AM2730" t="s">
        <v>87</v>
      </c>
      <c r="AN2730" t="s">
        <v>87</v>
      </c>
      <c r="AO2730" t="s">
        <v>87</v>
      </c>
      <c r="AP2730" t="s">
        <v>87</v>
      </c>
      <c r="AQ2730" t="s">
        <v>87</v>
      </c>
      <c r="AR2730" t="s">
        <v>87</v>
      </c>
      <c r="AS2730" t="s">
        <v>87</v>
      </c>
      <c r="AT2730" t="s">
        <v>87</v>
      </c>
      <c r="AU2730" t="s">
        <v>87</v>
      </c>
      <c r="AV2730" t="s">
        <v>87</v>
      </c>
      <c r="AW2730" t="s">
        <v>87</v>
      </c>
      <c r="AX2730" t="s">
        <v>87</v>
      </c>
      <c r="AY2730" t="s">
        <v>87</v>
      </c>
      <c r="AZ2730" t="s">
        <v>87</v>
      </c>
      <c r="BA2730" t="s">
        <v>87</v>
      </c>
      <c r="BB2730" t="s">
        <v>87</v>
      </c>
      <c r="BC2730" t="s">
        <v>87</v>
      </c>
      <c r="BD2730" t="s">
        <v>87</v>
      </c>
      <c r="BE2730" t="s">
        <v>87</v>
      </c>
    </row>
    <row r="2731" spans="1:57" x14ac:dyDescent="0.45">
      <c r="A2731" t="s">
        <v>6516</v>
      </c>
      <c r="B2731" t="s">
        <v>79</v>
      </c>
      <c r="C2731" t="s">
        <v>4804</v>
      </c>
      <c r="D2731" t="s">
        <v>81</v>
      </c>
      <c r="E2731" s="2" t="str">
        <f>HYPERLINK("capsilon://?command=openfolder&amp;siteaddress=FAM.docvelocity-na8.net&amp;folderid=FXF46B2437-B9C5-086A-CA05-BDB16057AB8C","FX21011308")</f>
        <v>FX21011308</v>
      </c>
      <c r="F2731" t="s">
        <v>19</v>
      </c>
      <c r="G2731" t="s">
        <v>19</v>
      </c>
      <c r="H2731" t="s">
        <v>82</v>
      </c>
      <c r="I2731" t="s">
        <v>6517</v>
      </c>
      <c r="J2731">
        <v>38</v>
      </c>
      <c r="K2731" t="s">
        <v>84</v>
      </c>
      <c r="L2731" t="s">
        <v>85</v>
      </c>
      <c r="M2731" t="s">
        <v>86</v>
      </c>
      <c r="N2731">
        <v>3</v>
      </c>
      <c r="O2731" s="1">
        <v>44222.596504629626</v>
      </c>
      <c r="P2731" s="1">
        <v>44222.621481481481</v>
      </c>
      <c r="Q2731">
        <v>1766</v>
      </c>
      <c r="R2731">
        <v>392</v>
      </c>
      <c r="S2731" t="b">
        <v>0</v>
      </c>
      <c r="T2731" t="s">
        <v>87</v>
      </c>
      <c r="U2731" t="b">
        <v>0</v>
      </c>
      <c r="V2731" t="s">
        <v>255</v>
      </c>
      <c r="W2731" s="1">
        <v>44222.600578703707</v>
      </c>
      <c r="X2731">
        <v>312</v>
      </c>
      <c r="Y2731">
        <v>37</v>
      </c>
      <c r="Z2731">
        <v>0</v>
      </c>
      <c r="AA2731">
        <v>37</v>
      </c>
      <c r="AB2731">
        <v>0</v>
      </c>
      <c r="AC2731">
        <v>33</v>
      </c>
      <c r="AD2731">
        <v>1</v>
      </c>
      <c r="AE2731">
        <v>0</v>
      </c>
      <c r="AF2731">
        <v>0</v>
      </c>
      <c r="AG2731">
        <v>0</v>
      </c>
      <c r="AH2731" t="s">
        <v>132</v>
      </c>
      <c r="AI2731" s="1">
        <v>44222.602407407408</v>
      </c>
      <c r="AJ2731">
        <v>67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 t="s">
        <v>90</v>
      </c>
      <c r="AU2731" s="1">
        <v>44222.621481481481</v>
      </c>
      <c r="AV2731">
        <v>13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1</v>
      </c>
      <c r="BC2731">
        <v>0</v>
      </c>
      <c r="BD2731">
        <v>0</v>
      </c>
      <c r="BE2731">
        <v>0</v>
      </c>
    </row>
    <row r="2732" spans="1:57" x14ac:dyDescent="0.45">
      <c r="A2732" t="s">
        <v>6518</v>
      </c>
      <c r="B2732" t="s">
        <v>79</v>
      </c>
      <c r="C2732" t="s">
        <v>1402</v>
      </c>
      <c r="D2732" t="s">
        <v>81</v>
      </c>
      <c r="E2732" s="2" t="str">
        <f>HYPERLINK("capsilon://?command=openfolder&amp;siteaddress=FAM.docvelocity-na8.net&amp;folderid=FX88C6F78C-FE1E-8137-1437-FC34B863078E","FX20127293")</f>
        <v>FX20127293</v>
      </c>
      <c r="F2732" t="s">
        <v>19</v>
      </c>
      <c r="G2732" t="s">
        <v>19</v>
      </c>
      <c r="H2732" t="s">
        <v>82</v>
      </c>
      <c r="I2732" t="s">
        <v>6515</v>
      </c>
      <c r="J2732">
        <v>116</v>
      </c>
      <c r="K2732" t="s">
        <v>84</v>
      </c>
      <c r="L2732" t="s">
        <v>85</v>
      </c>
      <c r="M2732" t="s">
        <v>86</v>
      </c>
      <c r="N2732">
        <v>3</v>
      </c>
      <c r="O2732" s="1">
        <v>44222.598321759258</v>
      </c>
      <c r="P2732" s="1">
        <v>44222.623796296299</v>
      </c>
      <c r="Q2732">
        <v>169</v>
      </c>
      <c r="R2732">
        <v>2032</v>
      </c>
      <c r="S2732" t="b">
        <v>0</v>
      </c>
      <c r="T2732" t="s">
        <v>87</v>
      </c>
      <c r="U2732" t="b">
        <v>1</v>
      </c>
      <c r="V2732" t="s">
        <v>242</v>
      </c>
      <c r="W2732" s="1">
        <v>44222.621527777781</v>
      </c>
      <c r="X2732">
        <v>1865</v>
      </c>
      <c r="Y2732">
        <v>72</v>
      </c>
      <c r="Z2732">
        <v>0</v>
      </c>
      <c r="AA2732">
        <v>72</v>
      </c>
      <c r="AB2732">
        <v>0</v>
      </c>
      <c r="AC2732">
        <v>19</v>
      </c>
      <c r="AD2732">
        <v>44</v>
      </c>
      <c r="AE2732">
        <v>0</v>
      </c>
      <c r="AF2732">
        <v>0</v>
      </c>
      <c r="AG2732">
        <v>0</v>
      </c>
      <c r="AH2732" t="s">
        <v>132</v>
      </c>
      <c r="AI2732" s="1">
        <v>44222.623229166667</v>
      </c>
      <c r="AJ2732">
        <v>119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44</v>
      </c>
      <c r="AQ2732">
        <v>0</v>
      </c>
      <c r="AR2732">
        <v>0</v>
      </c>
      <c r="AS2732">
        <v>0</v>
      </c>
      <c r="AT2732" t="s">
        <v>90</v>
      </c>
      <c r="AU2732" s="1">
        <v>44222.623796296299</v>
      </c>
      <c r="AV2732">
        <v>48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44</v>
      </c>
      <c r="BC2732">
        <v>0</v>
      </c>
      <c r="BD2732">
        <v>0</v>
      </c>
      <c r="BE2732">
        <v>0</v>
      </c>
    </row>
    <row r="2733" spans="1:57" x14ac:dyDescent="0.45">
      <c r="A2733" t="s">
        <v>6519</v>
      </c>
      <c r="B2733" t="s">
        <v>79</v>
      </c>
      <c r="C2733" t="s">
        <v>6499</v>
      </c>
      <c r="D2733" t="s">
        <v>81</v>
      </c>
      <c r="E2733" s="2" t="str">
        <f>HYPERLINK("capsilon://?command=openfolder&amp;siteaddress=FAM.docvelocity-na8.net&amp;folderid=FX888BA41E-8376-1423-E024-845C431C7709","FX201115008")</f>
        <v>FX201115008</v>
      </c>
      <c r="F2733" t="s">
        <v>19</v>
      </c>
      <c r="G2733" t="s">
        <v>19</v>
      </c>
      <c r="H2733" t="s">
        <v>82</v>
      </c>
      <c r="I2733" t="s">
        <v>6500</v>
      </c>
      <c r="J2733">
        <v>38</v>
      </c>
      <c r="K2733" t="s">
        <v>84</v>
      </c>
      <c r="L2733" t="s">
        <v>85</v>
      </c>
      <c r="M2733" t="s">
        <v>86</v>
      </c>
      <c r="N2733">
        <v>3</v>
      </c>
      <c r="O2733" s="1">
        <v>44201.627928240741</v>
      </c>
      <c r="P2733" s="1">
        <v>44201.645543981482</v>
      </c>
      <c r="Q2733">
        <v>447</v>
      </c>
      <c r="R2733">
        <v>1075</v>
      </c>
      <c r="S2733" t="b">
        <v>0</v>
      </c>
      <c r="T2733" t="s">
        <v>87</v>
      </c>
      <c r="U2733" t="b">
        <v>1</v>
      </c>
      <c r="V2733" t="s">
        <v>343</v>
      </c>
      <c r="W2733" s="1">
        <v>44201.636354166665</v>
      </c>
      <c r="X2733">
        <v>722</v>
      </c>
      <c r="Y2733">
        <v>37</v>
      </c>
      <c r="Z2733">
        <v>0</v>
      </c>
      <c r="AA2733">
        <v>37</v>
      </c>
      <c r="AB2733">
        <v>0</v>
      </c>
      <c r="AC2733">
        <v>33</v>
      </c>
      <c r="AD2733">
        <v>1</v>
      </c>
      <c r="AE2733">
        <v>0</v>
      </c>
      <c r="AF2733">
        <v>0</v>
      </c>
      <c r="AG2733">
        <v>0</v>
      </c>
      <c r="AH2733" t="s">
        <v>128</v>
      </c>
      <c r="AI2733" s="1">
        <v>44201.64267361111</v>
      </c>
      <c r="AJ2733">
        <v>348</v>
      </c>
      <c r="AK2733">
        <v>1</v>
      </c>
      <c r="AL2733">
        <v>0</v>
      </c>
      <c r="AM2733">
        <v>1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 t="s">
        <v>90</v>
      </c>
      <c r="AU2733" s="1">
        <v>44201.645543981482</v>
      </c>
      <c r="AV2733">
        <v>5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</row>
    <row r="2734" spans="1:57" hidden="1" x14ac:dyDescent="0.45">
      <c r="A2734" t="s">
        <v>6520</v>
      </c>
      <c r="B2734" t="s">
        <v>79</v>
      </c>
      <c r="C2734" t="s">
        <v>6521</v>
      </c>
      <c r="D2734" t="s">
        <v>81</v>
      </c>
      <c r="E2734" s="2" t="str">
        <f>HYPERLINK("capsilon://?command=openfolder&amp;siteaddress=FAM.docvelocity-na8.net&amp;folderid=FXBE01400F-C672-533D-B39D-A36710D6D30F","FX20126933")</f>
        <v>FX20126933</v>
      </c>
      <c r="F2734" t="s">
        <v>19</v>
      </c>
      <c r="G2734" t="s">
        <v>19</v>
      </c>
      <c r="H2734" t="s">
        <v>82</v>
      </c>
      <c r="I2734" t="s">
        <v>6522</v>
      </c>
      <c r="J2734">
        <v>66</v>
      </c>
      <c r="K2734" t="s">
        <v>84</v>
      </c>
      <c r="L2734" t="s">
        <v>85</v>
      </c>
      <c r="M2734" t="s">
        <v>86</v>
      </c>
      <c r="N2734">
        <v>3</v>
      </c>
      <c r="O2734" s="1">
        <v>44222.599456018521</v>
      </c>
      <c r="P2734" s="1">
        <v>44222.621516203704</v>
      </c>
      <c r="Q2734">
        <v>1823</v>
      </c>
      <c r="R2734">
        <v>83</v>
      </c>
      <c r="S2734" t="b">
        <v>0</v>
      </c>
      <c r="T2734" t="s">
        <v>87</v>
      </c>
      <c r="U2734" t="b">
        <v>0</v>
      </c>
      <c r="V2734" t="s">
        <v>255</v>
      </c>
      <c r="W2734" s="1">
        <v>44222.601388888892</v>
      </c>
      <c r="X2734">
        <v>69</v>
      </c>
      <c r="Y2734">
        <v>0</v>
      </c>
      <c r="Z2734">
        <v>0</v>
      </c>
      <c r="AA2734">
        <v>0</v>
      </c>
      <c r="AB2734">
        <v>52</v>
      </c>
      <c r="AC2734">
        <v>0</v>
      </c>
      <c r="AD2734">
        <v>66</v>
      </c>
      <c r="AE2734">
        <v>0</v>
      </c>
      <c r="AF2734">
        <v>0</v>
      </c>
      <c r="AG2734">
        <v>0</v>
      </c>
      <c r="AH2734" t="s">
        <v>132</v>
      </c>
      <c r="AI2734" s="1">
        <v>44222.60255787037</v>
      </c>
      <c r="AJ2734">
        <v>12</v>
      </c>
      <c r="AK2734">
        <v>0</v>
      </c>
      <c r="AL2734">
        <v>0</v>
      </c>
      <c r="AM2734">
        <v>0</v>
      </c>
      <c r="AN2734">
        <v>52</v>
      </c>
      <c r="AO2734">
        <v>0</v>
      </c>
      <c r="AP2734">
        <v>66</v>
      </c>
      <c r="AQ2734">
        <v>0</v>
      </c>
      <c r="AR2734">
        <v>0</v>
      </c>
      <c r="AS2734">
        <v>0</v>
      </c>
      <c r="AT2734" t="s">
        <v>90</v>
      </c>
      <c r="AU2734" s="1">
        <v>44222.621516203704</v>
      </c>
      <c r="AV2734">
        <v>2</v>
      </c>
      <c r="AW2734">
        <v>0</v>
      </c>
      <c r="AX2734">
        <v>0</v>
      </c>
      <c r="AY2734">
        <v>0</v>
      </c>
      <c r="AZ2734">
        <v>52</v>
      </c>
      <c r="BA2734">
        <v>0</v>
      </c>
      <c r="BB2734">
        <v>66</v>
      </c>
      <c r="BC2734">
        <v>0</v>
      </c>
      <c r="BD2734">
        <v>0</v>
      </c>
      <c r="BE2734">
        <v>0</v>
      </c>
    </row>
    <row r="2735" spans="1:57" x14ac:dyDescent="0.45">
      <c r="A2735" t="s">
        <v>6523</v>
      </c>
      <c r="B2735" t="s">
        <v>79</v>
      </c>
      <c r="C2735" t="s">
        <v>6524</v>
      </c>
      <c r="D2735" t="s">
        <v>81</v>
      </c>
      <c r="E2735" s="2" t="str">
        <f>HYPERLINK("capsilon://?command=openfolder&amp;siteaddress=FAM.docvelocity-na8.net&amp;folderid=FX14BEC2D7-5149-7777-7C38-86ACDB6C1DCC","FX210116774")</f>
        <v>FX210116774</v>
      </c>
      <c r="F2735" t="s">
        <v>19</v>
      </c>
      <c r="G2735" t="s">
        <v>19</v>
      </c>
      <c r="H2735" t="s">
        <v>82</v>
      </c>
      <c r="I2735" t="s">
        <v>6525</v>
      </c>
      <c r="J2735">
        <v>186</v>
      </c>
      <c r="K2735" t="s">
        <v>84</v>
      </c>
      <c r="L2735" t="s">
        <v>85</v>
      </c>
      <c r="M2735" t="s">
        <v>86</v>
      </c>
      <c r="N2735">
        <v>3</v>
      </c>
      <c r="O2735" s="1">
        <v>44222.599803240744</v>
      </c>
      <c r="P2735" s="1">
        <v>44222.622673611113</v>
      </c>
      <c r="Q2735">
        <v>979</v>
      </c>
      <c r="R2735">
        <v>997</v>
      </c>
      <c r="S2735" t="b">
        <v>0</v>
      </c>
      <c r="T2735" t="s">
        <v>87</v>
      </c>
      <c r="U2735" t="b">
        <v>0</v>
      </c>
      <c r="V2735" t="s">
        <v>255</v>
      </c>
      <c r="W2735" s="1">
        <v>44222.608217592591</v>
      </c>
      <c r="X2735">
        <v>590</v>
      </c>
      <c r="Y2735">
        <v>133</v>
      </c>
      <c r="Z2735">
        <v>0</v>
      </c>
      <c r="AA2735">
        <v>133</v>
      </c>
      <c r="AB2735">
        <v>0</v>
      </c>
      <c r="AC2735">
        <v>40</v>
      </c>
      <c r="AD2735">
        <v>53</v>
      </c>
      <c r="AE2735">
        <v>0</v>
      </c>
      <c r="AF2735">
        <v>0</v>
      </c>
      <c r="AG2735">
        <v>0</v>
      </c>
      <c r="AH2735" t="s">
        <v>132</v>
      </c>
      <c r="AI2735" s="1">
        <v>44222.612719907411</v>
      </c>
      <c r="AJ2735">
        <v>308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53</v>
      </c>
      <c r="AQ2735">
        <v>0</v>
      </c>
      <c r="AR2735">
        <v>0</v>
      </c>
      <c r="AS2735">
        <v>0</v>
      </c>
      <c r="AT2735" t="s">
        <v>90</v>
      </c>
      <c r="AU2735" s="1">
        <v>44222.622673611113</v>
      </c>
      <c r="AV2735">
        <v>99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53</v>
      </c>
      <c r="BC2735">
        <v>0</v>
      </c>
      <c r="BD2735">
        <v>0</v>
      </c>
      <c r="BE2735">
        <v>0</v>
      </c>
    </row>
    <row r="2736" spans="1:57" x14ac:dyDescent="0.45">
      <c r="A2736" t="s">
        <v>6526</v>
      </c>
      <c r="B2736" t="s">
        <v>79</v>
      </c>
      <c r="C2736" t="s">
        <v>6527</v>
      </c>
      <c r="D2736" t="s">
        <v>81</v>
      </c>
      <c r="E2736" s="2" t="str">
        <f>HYPERLINK("capsilon://?command=openfolder&amp;siteaddress=FAM.docvelocity-na8.net&amp;folderid=FX4C965D80-1F40-7972-34C4-10A06D52B0B6","FX20125000")</f>
        <v>FX20125000</v>
      </c>
      <c r="F2736" t="s">
        <v>19</v>
      </c>
      <c r="G2736" t="s">
        <v>19</v>
      </c>
      <c r="H2736" t="s">
        <v>82</v>
      </c>
      <c r="I2736" t="s">
        <v>6528</v>
      </c>
      <c r="J2736">
        <v>38</v>
      </c>
      <c r="K2736" t="s">
        <v>84</v>
      </c>
      <c r="L2736" t="s">
        <v>85</v>
      </c>
      <c r="M2736" t="s">
        <v>86</v>
      </c>
      <c r="N2736">
        <v>3</v>
      </c>
      <c r="O2736" s="1">
        <v>44222.601412037038</v>
      </c>
      <c r="P2736" s="1">
        <v>44222.623229166667</v>
      </c>
      <c r="Q2736">
        <v>1432</v>
      </c>
      <c r="R2736">
        <v>453</v>
      </c>
      <c r="S2736" t="b">
        <v>0</v>
      </c>
      <c r="T2736" t="s">
        <v>87</v>
      </c>
      <c r="U2736" t="b">
        <v>0</v>
      </c>
      <c r="V2736" t="s">
        <v>142</v>
      </c>
      <c r="W2736" s="1">
        <v>44222.606226851851</v>
      </c>
      <c r="X2736">
        <v>325</v>
      </c>
      <c r="Y2736">
        <v>37</v>
      </c>
      <c r="Z2736">
        <v>0</v>
      </c>
      <c r="AA2736">
        <v>37</v>
      </c>
      <c r="AB2736">
        <v>0</v>
      </c>
      <c r="AC2736">
        <v>33</v>
      </c>
      <c r="AD2736">
        <v>1</v>
      </c>
      <c r="AE2736">
        <v>0</v>
      </c>
      <c r="AF2736">
        <v>0</v>
      </c>
      <c r="AG2736">
        <v>0</v>
      </c>
      <c r="AH2736" t="s">
        <v>132</v>
      </c>
      <c r="AI2736" s="1">
        <v>44222.614293981482</v>
      </c>
      <c r="AJ2736">
        <v>80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 t="s">
        <v>90</v>
      </c>
      <c r="AU2736" s="1">
        <v>44222.623229166667</v>
      </c>
      <c r="AV2736">
        <v>48</v>
      </c>
      <c r="AW2736">
        <v>1</v>
      </c>
      <c r="AX2736">
        <v>0</v>
      </c>
      <c r="AY2736">
        <v>1</v>
      </c>
      <c r="AZ2736">
        <v>0</v>
      </c>
      <c r="BA2736">
        <v>1</v>
      </c>
      <c r="BB2736">
        <v>0</v>
      </c>
      <c r="BC2736">
        <v>0</v>
      </c>
      <c r="BD2736">
        <v>0</v>
      </c>
      <c r="BE2736">
        <v>0</v>
      </c>
    </row>
    <row r="2737" spans="1:57" x14ac:dyDescent="0.45">
      <c r="A2737" t="s">
        <v>6529</v>
      </c>
      <c r="B2737" t="s">
        <v>79</v>
      </c>
      <c r="C2737" t="s">
        <v>6530</v>
      </c>
      <c r="D2737" t="s">
        <v>81</v>
      </c>
      <c r="E2737" s="2" t="str">
        <f>HYPERLINK("capsilon://?command=openfolder&amp;siteaddress=FAM.docvelocity-na8.net&amp;folderid=FX2A434F0C-286D-49C4-E4EF-6AA29B301326","FX21019647")</f>
        <v>FX21019647</v>
      </c>
      <c r="F2737" t="s">
        <v>19</v>
      </c>
      <c r="G2737" t="s">
        <v>19</v>
      </c>
      <c r="H2737" t="s">
        <v>82</v>
      </c>
      <c r="I2737" t="s">
        <v>6531</v>
      </c>
      <c r="J2737">
        <v>57</v>
      </c>
      <c r="K2737" t="s">
        <v>84</v>
      </c>
      <c r="L2737" t="s">
        <v>85</v>
      </c>
      <c r="M2737" t="s">
        <v>86</v>
      </c>
      <c r="N2737">
        <v>3</v>
      </c>
      <c r="O2737" s="1">
        <v>44222.606539351851</v>
      </c>
      <c r="P2737" s="1">
        <v>44222.654803240737</v>
      </c>
      <c r="Q2737">
        <v>1769</v>
      </c>
      <c r="R2737">
        <v>2401</v>
      </c>
      <c r="S2737" t="b">
        <v>0</v>
      </c>
      <c r="T2737" t="s">
        <v>87</v>
      </c>
      <c r="U2737" t="b">
        <v>0</v>
      </c>
      <c r="V2737" t="s">
        <v>171</v>
      </c>
      <c r="W2737" s="1">
        <v>44222.63013888889</v>
      </c>
      <c r="X2737">
        <v>2038</v>
      </c>
      <c r="Y2737">
        <v>59</v>
      </c>
      <c r="Z2737">
        <v>0</v>
      </c>
      <c r="AA2737">
        <v>59</v>
      </c>
      <c r="AB2737">
        <v>0</v>
      </c>
      <c r="AC2737">
        <v>33</v>
      </c>
      <c r="AD2737">
        <v>-2</v>
      </c>
      <c r="AE2737">
        <v>0</v>
      </c>
      <c r="AF2737">
        <v>0</v>
      </c>
      <c r="AG2737">
        <v>0</v>
      </c>
      <c r="AH2737" t="s">
        <v>128</v>
      </c>
      <c r="AI2737" s="1">
        <v>44222.635833333334</v>
      </c>
      <c r="AJ2737">
        <v>309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-2</v>
      </c>
      <c r="AQ2737">
        <v>0</v>
      </c>
      <c r="AR2737">
        <v>0</v>
      </c>
      <c r="AS2737">
        <v>0</v>
      </c>
      <c r="AT2737" t="s">
        <v>90</v>
      </c>
      <c r="AU2737" s="1">
        <v>44222.654803240737</v>
      </c>
      <c r="AV2737">
        <v>54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-2</v>
      </c>
      <c r="BC2737">
        <v>0</v>
      </c>
      <c r="BD2737">
        <v>0</v>
      </c>
      <c r="BE2737">
        <v>0</v>
      </c>
    </row>
    <row r="2738" spans="1:57" x14ac:dyDescent="0.45">
      <c r="A2738" t="s">
        <v>6532</v>
      </c>
      <c r="B2738" t="s">
        <v>79</v>
      </c>
      <c r="C2738" t="s">
        <v>6533</v>
      </c>
      <c r="D2738" t="s">
        <v>81</v>
      </c>
      <c r="E2738" s="2" t="str">
        <f>HYPERLINK("capsilon://?command=openfolder&amp;siteaddress=FAM.docvelocity-na8.net&amp;folderid=FX5529F9ED-BDF1-733B-4A10-E87A545715F7","FX21015136")</f>
        <v>FX21015136</v>
      </c>
      <c r="F2738" t="s">
        <v>19</v>
      </c>
      <c r="G2738" t="s">
        <v>19</v>
      </c>
      <c r="H2738" t="s">
        <v>82</v>
      </c>
      <c r="I2738" t="s">
        <v>6534</v>
      </c>
      <c r="J2738">
        <v>119</v>
      </c>
      <c r="K2738" t="s">
        <v>84</v>
      </c>
      <c r="L2738" t="s">
        <v>85</v>
      </c>
      <c r="M2738" t="s">
        <v>86</v>
      </c>
      <c r="N2738">
        <v>3</v>
      </c>
      <c r="O2738" s="1">
        <v>44222.608738425923</v>
      </c>
      <c r="P2738" s="1">
        <v>44222.655451388891</v>
      </c>
      <c r="Q2738">
        <v>1751</v>
      </c>
      <c r="R2738">
        <v>2285</v>
      </c>
      <c r="S2738" t="b">
        <v>0</v>
      </c>
      <c r="T2738" t="s">
        <v>87</v>
      </c>
      <c r="U2738" t="b">
        <v>0</v>
      </c>
      <c r="V2738" t="s">
        <v>179</v>
      </c>
      <c r="W2738" s="1">
        <v>44222.632743055554</v>
      </c>
      <c r="X2738">
        <v>2073</v>
      </c>
      <c r="Y2738">
        <v>93</v>
      </c>
      <c r="Z2738">
        <v>0</v>
      </c>
      <c r="AA2738">
        <v>93</v>
      </c>
      <c r="AB2738">
        <v>27</v>
      </c>
      <c r="AC2738">
        <v>54</v>
      </c>
      <c r="AD2738">
        <v>26</v>
      </c>
      <c r="AE2738">
        <v>0</v>
      </c>
      <c r="AF2738">
        <v>0</v>
      </c>
      <c r="AG2738">
        <v>0</v>
      </c>
      <c r="AH2738" t="s">
        <v>132</v>
      </c>
      <c r="AI2738" s="1">
        <v>44222.637152777781</v>
      </c>
      <c r="AJ2738">
        <v>157</v>
      </c>
      <c r="AK2738">
        <v>7</v>
      </c>
      <c r="AL2738">
        <v>0</v>
      </c>
      <c r="AM2738">
        <v>7</v>
      </c>
      <c r="AN2738">
        <v>27</v>
      </c>
      <c r="AO2738">
        <v>6</v>
      </c>
      <c r="AP2738">
        <v>19</v>
      </c>
      <c r="AQ2738">
        <v>0</v>
      </c>
      <c r="AR2738">
        <v>0</v>
      </c>
      <c r="AS2738">
        <v>0</v>
      </c>
      <c r="AT2738" t="s">
        <v>90</v>
      </c>
      <c r="AU2738" s="1">
        <v>44222.655451388891</v>
      </c>
      <c r="AV2738">
        <v>55</v>
      </c>
      <c r="AW2738">
        <v>2</v>
      </c>
      <c r="AX2738">
        <v>0</v>
      </c>
      <c r="AY2738">
        <v>2</v>
      </c>
      <c r="AZ2738">
        <v>27</v>
      </c>
      <c r="BA2738">
        <v>2</v>
      </c>
      <c r="BB2738">
        <v>17</v>
      </c>
      <c r="BC2738">
        <v>0</v>
      </c>
      <c r="BD2738">
        <v>0</v>
      </c>
      <c r="BE2738">
        <v>0</v>
      </c>
    </row>
    <row r="2739" spans="1:57" hidden="1" x14ac:dyDescent="0.45">
      <c r="A2739" t="s">
        <v>6535</v>
      </c>
      <c r="B2739" t="s">
        <v>79</v>
      </c>
      <c r="C2739" t="s">
        <v>6533</v>
      </c>
      <c r="D2739" t="s">
        <v>81</v>
      </c>
      <c r="E2739" s="2" t="str">
        <f>HYPERLINK("capsilon://?command=openfolder&amp;siteaddress=FAM.docvelocity-na8.net&amp;folderid=FX5529F9ED-BDF1-733B-4A10-E87A545715F7","FX21015136")</f>
        <v>FX21015136</v>
      </c>
      <c r="F2739" t="s">
        <v>19</v>
      </c>
      <c r="G2739" t="s">
        <v>19</v>
      </c>
      <c r="H2739" t="s">
        <v>82</v>
      </c>
      <c r="I2739" t="s">
        <v>6536</v>
      </c>
      <c r="J2739">
        <v>26</v>
      </c>
      <c r="K2739" t="s">
        <v>84</v>
      </c>
      <c r="L2739" t="s">
        <v>85</v>
      </c>
      <c r="M2739" t="s">
        <v>86</v>
      </c>
      <c r="N2739">
        <v>3</v>
      </c>
      <c r="O2739" s="1">
        <v>44222.608773148146</v>
      </c>
      <c r="P2739" s="1">
        <v>44222.623842592591</v>
      </c>
      <c r="Q2739">
        <v>1020</v>
      </c>
      <c r="R2739">
        <v>282</v>
      </c>
      <c r="S2739" t="b">
        <v>0</v>
      </c>
      <c r="T2739" t="s">
        <v>87</v>
      </c>
      <c r="U2739" t="b">
        <v>0</v>
      </c>
      <c r="V2739" t="s">
        <v>146</v>
      </c>
      <c r="W2739" s="1">
        <v>44222.611828703702</v>
      </c>
      <c r="X2739">
        <v>262</v>
      </c>
      <c r="Y2739">
        <v>0</v>
      </c>
      <c r="Z2739">
        <v>0</v>
      </c>
      <c r="AA2739">
        <v>0</v>
      </c>
      <c r="AB2739">
        <v>21</v>
      </c>
      <c r="AC2739">
        <v>0</v>
      </c>
      <c r="AD2739">
        <v>26</v>
      </c>
      <c r="AE2739">
        <v>0</v>
      </c>
      <c r="AF2739">
        <v>0</v>
      </c>
      <c r="AG2739">
        <v>0</v>
      </c>
      <c r="AH2739" t="s">
        <v>128</v>
      </c>
      <c r="AI2739" s="1">
        <v>44222.618634259263</v>
      </c>
      <c r="AJ2739">
        <v>16</v>
      </c>
      <c r="AK2739">
        <v>0</v>
      </c>
      <c r="AL2739">
        <v>0</v>
      </c>
      <c r="AM2739">
        <v>0</v>
      </c>
      <c r="AN2739">
        <v>21</v>
      </c>
      <c r="AO2739">
        <v>0</v>
      </c>
      <c r="AP2739">
        <v>26</v>
      </c>
      <c r="AQ2739">
        <v>0</v>
      </c>
      <c r="AR2739">
        <v>0</v>
      </c>
      <c r="AS2739">
        <v>0</v>
      </c>
      <c r="AT2739" t="s">
        <v>90</v>
      </c>
      <c r="AU2739" s="1">
        <v>44222.623842592591</v>
      </c>
      <c r="AV2739">
        <v>4</v>
      </c>
      <c r="AW2739">
        <v>0</v>
      </c>
      <c r="AX2739">
        <v>0</v>
      </c>
      <c r="AY2739">
        <v>0</v>
      </c>
      <c r="AZ2739">
        <v>21</v>
      </c>
      <c r="BA2739">
        <v>0</v>
      </c>
      <c r="BB2739">
        <v>26</v>
      </c>
      <c r="BC2739">
        <v>0</v>
      </c>
      <c r="BD2739">
        <v>0</v>
      </c>
      <c r="BE2739">
        <v>0</v>
      </c>
    </row>
    <row r="2740" spans="1:57" x14ac:dyDescent="0.45">
      <c r="A2740" t="s">
        <v>6537</v>
      </c>
      <c r="B2740" t="s">
        <v>79</v>
      </c>
      <c r="C2740" t="s">
        <v>4647</v>
      </c>
      <c r="D2740" t="s">
        <v>81</v>
      </c>
      <c r="E2740" s="2" t="str">
        <f>HYPERLINK("capsilon://?command=openfolder&amp;siteaddress=FAM.docvelocity-na8.net&amp;folderid=FX2D246A4A-E3F6-3208-9699-F11BBB56B10B","FX201115967")</f>
        <v>FX201115967</v>
      </c>
      <c r="F2740" t="s">
        <v>19</v>
      </c>
      <c r="G2740" t="s">
        <v>19</v>
      </c>
      <c r="H2740" t="s">
        <v>82</v>
      </c>
      <c r="I2740" t="s">
        <v>6538</v>
      </c>
      <c r="J2740">
        <v>66</v>
      </c>
      <c r="K2740" t="s">
        <v>84</v>
      </c>
      <c r="L2740" t="s">
        <v>85</v>
      </c>
      <c r="M2740" t="s">
        <v>86</v>
      </c>
      <c r="N2740">
        <v>3</v>
      </c>
      <c r="O2740" s="1">
        <v>44201.63003472222</v>
      </c>
      <c r="P2740" s="1">
        <v>44201.645590277774</v>
      </c>
      <c r="Q2740">
        <v>371</v>
      </c>
      <c r="R2740">
        <v>973</v>
      </c>
      <c r="S2740" t="b">
        <v>0</v>
      </c>
      <c r="T2740" t="s">
        <v>87</v>
      </c>
      <c r="U2740" t="b">
        <v>0</v>
      </c>
      <c r="V2740" t="s">
        <v>266</v>
      </c>
      <c r="W2740" s="1">
        <v>44201.641793981478</v>
      </c>
      <c r="X2740">
        <v>651</v>
      </c>
      <c r="Y2740">
        <v>52</v>
      </c>
      <c r="Z2740">
        <v>0</v>
      </c>
      <c r="AA2740">
        <v>52</v>
      </c>
      <c r="AB2740">
        <v>52</v>
      </c>
      <c r="AC2740">
        <v>2</v>
      </c>
      <c r="AD2740">
        <v>14</v>
      </c>
      <c r="AE2740">
        <v>0</v>
      </c>
      <c r="AF2740">
        <v>0</v>
      </c>
      <c r="AG2740">
        <v>0</v>
      </c>
      <c r="AH2740" t="s">
        <v>128</v>
      </c>
      <c r="AI2740" s="1">
        <v>44201.643599537034</v>
      </c>
      <c r="AJ2740">
        <v>79</v>
      </c>
      <c r="AK2740">
        <v>0</v>
      </c>
      <c r="AL2740">
        <v>0</v>
      </c>
      <c r="AM2740">
        <v>0</v>
      </c>
      <c r="AN2740">
        <v>52</v>
      </c>
      <c r="AO2740">
        <v>0</v>
      </c>
      <c r="AP2740">
        <v>14</v>
      </c>
      <c r="AQ2740">
        <v>0</v>
      </c>
      <c r="AR2740">
        <v>0</v>
      </c>
      <c r="AS2740">
        <v>0</v>
      </c>
      <c r="AT2740" t="s">
        <v>90</v>
      </c>
      <c r="AU2740" s="1">
        <v>44201.645590277774</v>
      </c>
      <c r="AV2740">
        <v>3</v>
      </c>
      <c r="AW2740">
        <v>0</v>
      </c>
      <c r="AX2740">
        <v>0</v>
      </c>
      <c r="AY2740">
        <v>0</v>
      </c>
      <c r="AZ2740">
        <v>52</v>
      </c>
      <c r="BA2740">
        <v>0</v>
      </c>
      <c r="BB2740">
        <v>14</v>
      </c>
      <c r="BC2740">
        <v>0</v>
      </c>
      <c r="BD2740">
        <v>0</v>
      </c>
      <c r="BE2740">
        <v>0</v>
      </c>
    </row>
    <row r="2741" spans="1:57" x14ac:dyDescent="0.45">
      <c r="A2741" t="s">
        <v>6539</v>
      </c>
      <c r="B2741" t="s">
        <v>79</v>
      </c>
      <c r="C2741" t="s">
        <v>6540</v>
      </c>
      <c r="D2741" t="s">
        <v>81</v>
      </c>
      <c r="E2741" s="2" t="str">
        <f>HYPERLINK("capsilon://?command=openfolder&amp;siteaddress=FAM.docvelocity-na8.net&amp;folderid=FXA0D89B80-32BA-155D-441F-6953A9562DA1","FX201116391")</f>
        <v>FX201116391</v>
      </c>
      <c r="F2741" t="s">
        <v>19</v>
      </c>
      <c r="G2741" t="s">
        <v>19</v>
      </c>
      <c r="H2741" t="s">
        <v>82</v>
      </c>
      <c r="I2741" t="s">
        <v>6541</v>
      </c>
      <c r="J2741">
        <v>66</v>
      </c>
      <c r="K2741" t="s">
        <v>84</v>
      </c>
      <c r="L2741" t="s">
        <v>85</v>
      </c>
      <c r="M2741" t="s">
        <v>86</v>
      </c>
      <c r="N2741">
        <v>3</v>
      </c>
      <c r="O2741" s="1">
        <v>44222.613344907404</v>
      </c>
      <c r="P2741" s="1">
        <v>44222.624444444446</v>
      </c>
      <c r="Q2741">
        <v>193</v>
      </c>
      <c r="R2741">
        <v>766</v>
      </c>
      <c r="S2741" t="b">
        <v>0</v>
      </c>
      <c r="T2741" t="s">
        <v>87</v>
      </c>
      <c r="U2741" t="b">
        <v>0</v>
      </c>
      <c r="V2741" t="s">
        <v>168</v>
      </c>
      <c r="W2741" s="1">
        <v>44222.621388888889</v>
      </c>
      <c r="X2741">
        <v>694</v>
      </c>
      <c r="Y2741">
        <v>38</v>
      </c>
      <c r="Z2741">
        <v>0</v>
      </c>
      <c r="AA2741">
        <v>38</v>
      </c>
      <c r="AB2741">
        <v>0</v>
      </c>
      <c r="AC2741">
        <v>14</v>
      </c>
      <c r="AD2741">
        <v>28</v>
      </c>
      <c r="AE2741">
        <v>0</v>
      </c>
      <c r="AF2741">
        <v>0</v>
      </c>
      <c r="AG2741">
        <v>0</v>
      </c>
      <c r="AH2741" t="s">
        <v>132</v>
      </c>
      <c r="AI2741" s="1">
        <v>44222.623993055553</v>
      </c>
      <c r="AJ2741">
        <v>65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28</v>
      </c>
      <c r="AQ2741">
        <v>0</v>
      </c>
      <c r="AR2741">
        <v>0</v>
      </c>
      <c r="AS2741">
        <v>0</v>
      </c>
      <c r="AT2741" t="s">
        <v>90</v>
      </c>
      <c r="AU2741" s="1">
        <v>44222.624444444446</v>
      </c>
      <c r="AV2741">
        <v>7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28</v>
      </c>
      <c r="BC2741">
        <v>0</v>
      </c>
      <c r="BD2741">
        <v>0</v>
      </c>
      <c r="BE2741">
        <v>0</v>
      </c>
    </row>
    <row r="2742" spans="1:57" x14ac:dyDescent="0.45">
      <c r="A2742" t="s">
        <v>6542</v>
      </c>
      <c r="B2742" t="s">
        <v>79</v>
      </c>
      <c r="C2742" t="s">
        <v>6540</v>
      </c>
      <c r="D2742" t="s">
        <v>81</v>
      </c>
      <c r="E2742" s="2" t="str">
        <f>HYPERLINK("capsilon://?command=openfolder&amp;siteaddress=FAM.docvelocity-na8.net&amp;folderid=FXA0D89B80-32BA-155D-441F-6953A9562DA1","FX201116391")</f>
        <v>FX201116391</v>
      </c>
      <c r="F2742" t="s">
        <v>19</v>
      </c>
      <c r="G2742" t="s">
        <v>19</v>
      </c>
      <c r="H2742" t="s">
        <v>82</v>
      </c>
      <c r="I2742" t="s">
        <v>6543</v>
      </c>
      <c r="J2742">
        <v>51</v>
      </c>
      <c r="K2742" t="s">
        <v>84</v>
      </c>
      <c r="L2742" t="s">
        <v>85</v>
      </c>
      <c r="M2742" t="s">
        <v>86</v>
      </c>
      <c r="N2742">
        <v>3</v>
      </c>
      <c r="O2742" s="1">
        <v>44222.613749999997</v>
      </c>
      <c r="P2742" s="1">
        <v>44222.624351851853</v>
      </c>
      <c r="Q2742">
        <v>288</v>
      </c>
      <c r="R2742">
        <v>628</v>
      </c>
      <c r="S2742" t="b">
        <v>0</v>
      </c>
      <c r="T2742" t="s">
        <v>87</v>
      </c>
      <c r="U2742" t="b">
        <v>0</v>
      </c>
      <c r="V2742" t="s">
        <v>160</v>
      </c>
      <c r="W2742" s="1">
        <v>44222.619756944441</v>
      </c>
      <c r="X2742">
        <v>514</v>
      </c>
      <c r="Y2742">
        <v>38</v>
      </c>
      <c r="Z2742">
        <v>0</v>
      </c>
      <c r="AA2742">
        <v>38</v>
      </c>
      <c r="AB2742">
        <v>0</v>
      </c>
      <c r="AC2742">
        <v>26</v>
      </c>
      <c r="AD2742">
        <v>13</v>
      </c>
      <c r="AE2742">
        <v>0</v>
      </c>
      <c r="AF2742">
        <v>0</v>
      </c>
      <c r="AG2742">
        <v>0</v>
      </c>
      <c r="AH2742" t="s">
        <v>132</v>
      </c>
      <c r="AI2742" s="1">
        <v>44222.621168981481</v>
      </c>
      <c r="AJ2742">
        <v>70</v>
      </c>
      <c r="AK2742">
        <v>2</v>
      </c>
      <c r="AL2742">
        <v>0</v>
      </c>
      <c r="AM2742">
        <v>2</v>
      </c>
      <c r="AN2742">
        <v>0</v>
      </c>
      <c r="AO2742">
        <v>1</v>
      </c>
      <c r="AP2742">
        <v>11</v>
      </c>
      <c r="AQ2742">
        <v>0</v>
      </c>
      <c r="AR2742">
        <v>0</v>
      </c>
      <c r="AS2742">
        <v>0</v>
      </c>
      <c r="AT2742" t="s">
        <v>90</v>
      </c>
      <c r="AU2742" s="1">
        <v>44222.624351851853</v>
      </c>
      <c r="AV2742">
        <v>44</v>
      </c>
      <c r="AW2742">
        <v>0</v>
      </c>
      <c r="AX2742">
        <v>0</v>
      </c>
      <c r="AY2742">
        <v>0</v>
      </c>
      <c r="AZ2742">
        <v>38</v>
      </c>
      <c r="BA2742">
        <v>0</v>
      </c>
      <c r="BB2742">
        <v>11</v>
      </c>
      <c r="BC2742">
        <v>0</v>
      </c>
      <c r="BD2742">
        <v>0</v>
      </c>
      <c r="BE2742">
        <v>0</v>
      </c>
    </row>
    <row r="2743" spans="1:57" x14ac:dyDescent="0.45">
      <c r="A2743" t="s">
        <v>6544</v>
      </c>
      <c r="B2743" t="s">
        <v>79</v>
      </c>
      <c r="C2743" t="s">
        <v>6540</v>
      </c>
      <c r="D2743" t="s">
        <v>81</v>
      </c>
      <c r="E2743" s="2" t="str">
        <f>HYPERLINK("capsilon://?command=openfolder&amp;siteaddress=FAM.docvelocity-na8.net&amp;folderid=FXA0D89B80-32BA-155D-441F-6953A9562DA1","FX201116391")</f>
        <v>FX201116391</v>
      </c>
      <c r="F2743" t="s">
        <v>19</v>
      </c>
      <c r="G2743" t="s">
        <v>19</v>
      </c>
      <c r="H2743" t="s">
        <v>82</v>
      </c>
      <c r="I2743" t="s">
        <v>6545</v>
      </c>
      <c r="J2743">
        <v>61</v>
      </c>
      <c r="K2743" t="s">
        <v>84</v>
      </c>
      <c r="L2743" t="s">
        <v>85</v>
      </c>
      <c r="M2743" t="s">
        <v>86</v>
      </c>
      <c r="N2743">
        <v>3</v>
      </c>
      <c r="O2743" s="1">
        <v>44222.614270833335</v>
      </c>
      <c r="P2743" s="1">
        <v>44222.624502314815</v>
      </c>
      <c r="Q2743">
        <v>547</v>
      </c>
      <c r="R2743">
        <v>337</v>
      </c>
      <c r="S2743" t="b">
        <v>0</v>
      </c>
      <c r="T2743" t="s">
        <v>87</v>
      </c>
      <c r="U2743" t="b">
        <v>0</v>
      </c>
      <c r="V2743" t="s">
        <v>255</v>
      </c>
      <c r="W2743" s="1">
        <v>44222.617349537039</v>
      </c>
      <c r="X2743">
        <v>254</v>
      </c>
      <c r="Y2743">
        <v>38</v>
      </c>
      <c r="Z2743">
        <v>0</v>
      </c>
      <c r="AA2743">
        <v>38</v>
      </c>
      <c r="AB2743">
        <v>0</v>
      </c>
      <c r="AC2743">
        <v>14</v>
      </c>
      <c r="AD2743">
        <v>23</v>
      </c>
      <c r="AE2743">
        <v>0</v>
      </c>
      <c r="AF2743">
        <v>0</v>
      </c>
      <c r="AG2743">
        <v>0</v>
      </c>
      <c r="AH2743" t="s">
        <v>132</v>
      </c>
      <c r="AI2743" s="1">
        <v>44222.619525462964</v>
      </c>
      <c r="AJ2743">
        <v>78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23</v>
      </c>
      <c r="AQ2743">
        <v>0</v>
      </c>
      <c r="AR2743">
        <v>0</v>
      </c>
      <c r="AS2743">
        <v>0</v>
      </c>
      <c r="AT2743" t="s">
        <v>90</v>
      </c>
      <c r="AU2743" s="1">
        <v>44222.624502314815</v>
      </c>
      <c r="AV2743">
        <v>5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23</v>
      </c>
      <c r="BC2743">
        <v>0</v>
      </c>
      <c r="BD2743">
        <v>0</v>
      </c>
      <c r="BE2743">
        <v>0</v>
      </c>
    </row>
    <row r="2744" spans="1:57" x14ac:dyDescent="0.45">
      <c r="A2744" t="s">
        <v>6546</v>
      </c>
      <c r="B2744" t="s">
        <v>79</v>
      </c>
      <c r="C2744" t="s">
        <v>6540</v>
      </c>
      <c r="D2744" t="s">
        <v>81</v>
      </c>
      <c r="E2744" s="2" t="str">
        <f>HYPERLINK("capsilon://?command=openfolder&amp;siteaddress=FAM.docvelocity-na8.net&amp;folderid=FXA0D89B80-32BA-155D-441F-6953A9562DA1","FX201116391")</f>
        <v>FX201116391</v>
      </c>
      <c r="F2744" t="s">
        <v>19</v>
      </c>
      <c r="G2744" t="s">
        <v>19</v>
      </c>
      <c r="H2744" t="s">
        <v>82</v>
      </c>
      <c r="I2744" t="s">
        <v>6547</v>
      </c>
      <c r="J2744">
        <v>56</v>
      </c>
      <c r="K2744" t="s">
        <v>84</v>
      </c>
      <c r="L2744" t="s">
        <v>85</v>
      </c>
      <c r="M2744" t="s">
        <v>86</v>
      </c>
      <c r="N2744">
        <v>3</v>
      </c>
      <c r="O2744" s="1">
        <v>44222.614583333336</v>
      </c>
      <c r="P2744" s="1">
        <v>44222.624548611115</v>
      </c>
      <c r="Q2744">
        <v>609</v>
      </c>
      <c r="R2744">
        <v>252</v>
      </c>
      <c r="S2744" t="b">
        <v>0</v>
      </c>
      <c r="T2744" t="s">
        <v>87</v>
      </c>
      <c r="U2744" t="b">
        <v>0</v>
      </c>
      <c r="V2744" t="s">
        <v>255</v>
      </c>
      <c r="W2744" s="1">
        <v>44222.619432870371</v>
      </c>
      <c r="X2744">
        <v>179</v>
      </c>
      <c r="Y2744">
        <v>38</v>
      </c>
      <c r="Z2744">
        <v>0</v>
      </c>
      <c r="AA2744">
        <v>38</v>
      </c>
      <c r="AB2744">
        <v>0</v>
      </c>
      <c r="AC2744">
        <v>14</v>
      </c>
      <c r="AD2744">
        <v>18</v>
      </c>
      <c r="AE2744">
        <v>0</v>
      </c>
      <c r="AF2744">
        <v>0</v>
      </c>
      <c r="AG2744">
        <v>0</v>
      </c>
      <c r="AH2744" t="s">
        <v>132</v>
      </c>
      <c r="AI2744" s="1">
        <v>44222.620347222219</v>
      </c>
      <c r="AJ2744">
        <v>70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18</v>
      </c>
      <c r="AQ2744">
        <v>0</v>
      </c>
      <c r="AR2744">
        <v>0</v>
      </c>
      <c r="AS2744">
        <v>0</v>
      </c>
      <c r="AT2744" t="s">
        <v>90</v>
      </c>
      <c r="AU2744" s="1">
        <v>44222.624548611115</v>
      </c>
      <c r="AV2744">
        <v>3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18</v>
      </c>
      <c r="BC2744">
        <v>0</v>
      </c>
      <c r="BD2744">
        <v>0</v>
      </c>
      <c r="BE2744">
        <v>0</v>
      </c>
    </row>
    <row r="2745" spans="1:57" x14ac:dyDescent="0.45">
      <c r="A2745" t="s">
        <v>6548</v>
      </c>
      <c r="B2745" t="s">
        <v>79</v>
      </c>
      <c r="C2745" t="s">
        <v>6549</v>
      </c>
      <c r="D2745" t="s">
        <v>81</v>
      </c>
      <c r="E2745" s="2" t="str">
        <f>HYPERLINK("capsilon://?command=openfolder&amp;siteaddress=FAM.docvelocity-na8.net&amp;folderid=FXD410547D-448A-6F50-1433-0970F16EF445","FX20126154")</f>
        <v>FX20126154</v>
      </c>
      <c r="F2745" t="s">
        <v>19</v>
      </c>
      <c r="G2745" t="s">
        <v>19</v>
      </c>
      <c r="H2745" t="s">
        <v>82</v>
      </c>
      <c r="I2745" t="s">
        <v>6550</v>
      </c>
      <c r="J2745">
        <v>66</v>
      </c>
      <c r="K2745" t="s">
        <v>84</v>
      </c>
      <c r="L2745" t="s">
        <v>85</v>
      </c>
      <c r="M2745" t="s">
        <v>86</v>
      </c>
      <c r="N2745">
        <v>3</v>
      </c>
      <c r="O2745" s="1">
        <v>44222.618622685186</v>
      </c>
      <c r="P2745" s="1">
        <v>44222.656284722223</v>
      </c>
      <c r="Q2745">
        <v>1676</v>
      </c>
      <c r="R2745">
        <v>1578</v>
      </c>
      <c r="S2745" t="b">
        <v>0</v>
      </c>
      <c r="T2745" t="s">
        <v>87</v>
      </c>
      <c r="U2745" t="b">
        <v>0</v>
      </c>
      <c r="V2745" t="s">
        <v>146</v>
      </c>
      <c r="W2745" s="1">
        <v>44222.634201388886</v>
      </c>
      <c r="X2745">
        <v>1344</v>
      </c>
      <c r="Y2745">
        <v>52</v>
      </c>
      <c r="Z2745">
        <v>0</v>
      </c>
      <c r="AA2745">
        <v>52</v>
      </c>
      <c r="AB2745">
        <v>0</v>
      </c>
      <c r="AC2745">
        <v>28</v>
      </c>
      <c r="AD2745">
        <v>14</v>
      </c>
      <c r="AE2745">
        <v>0</v>
      </c>
      <c r="AF2745">
        <v>0</v>
      </c>
      <c r="AG2745">
        <v>0</v>
      </c>
      <c r="AH2745" t="s">
        <v>128</v>
      </c>
      <c r="AI2745" s="1">
        <v>44222.637731481482</v>
      </c>
      <c r="AJ2745">
        <v>163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14</v>
      </c>
      <c r="AQ2745">
        <v>0</v>
      </c>
      <c r="AR2745">
        <v>0</v>
      </c>
      <c r="AS2745">
        <v>0</v>
      </c>
      <c r="AT2745" t="s">
        <v>90</v>
      </c>
      <c r="AU2745" s="1">
        <v>44222.656284722223</v>
      </c>
      <c r="AV2745">
        <v>71</v>
      </c>
      <c r="AW2745">
        <v>3</v>
      </c>
      <c r="AX2745">
        <v>0</v>
      </c>
      <c r="AY2745">
        <v>3</v>
      </c>
      <c r="AZ2745">
        <v>0</v>
      </c>
      <c r="BA2745">
        <v>3</v>
      </c>
      <c r="BB2745">
        <v>11</v>
      </c>
      <c r="BC2745">
        <v>0</v>
      </c>
      <c r="BD2745">
        <v>0</v>
      </c>
      <c r="BE2745">
        <v>0</v>
      </c>
    </row>
    <row r="2746" spans="1:57" hidden="1" x14ac:dyDescent="0.45">
      <c r="A2746" t="s">
        <v>6551</v>
      </c>
      <c r="B2746" t="s">
        <v>79</v>
      </c>
      <c r="C2746" t="s">
        <v>4356</v>
      </c>
      <c r="D2746" t="s">
        <v>81</v>
      </c>
      <c r="E2746" s="2" t="str">
        <f>HYPERLINK("capsilon://?command=openfolder&amp;siteaddress=FAM.docvelocity-na8.net&amp;folderid=FX05DFFCE0-0402-FA3D-499B-9C4BFD84A0B8","FX21017547")</f>
        <v>FX21017547</v>
      </c>
      <c r="F2746" t="s">
        <v>19</v>
      </c>
      <c r="G2746" t="s">
        <v>19</v>
      </c>
      <c r="H2746" t="s">
        <v>82</v>
      </c>
      <c r="I2746" t="s">
        <v>6552</v>
      </c>
      <c r="J2746">
        <v>20</v>
      </c>
      <c r="K2746" t="s">
        <v>84</v>
      </c>
      <c r="L2746" t="s">
        <v>85</v>
      </c>
      <c r="M2746" t="s">
        <v>86</v>
      </c>
      <c r="N2746">
        <v>3</v>
      </c>
      <c r="O2746" s="1">
        <v>44222.618657407409</v>
      </c>
      <c r="P2746" s="1">
        <v>44222.624594907407</v>
      </c>
      <c r="Q2746">
        <v>393</v>
      </c>
      <c r="R2746">
        <v>120</v>
      </c>
      <c r="S2746" t="b">
        <v>0</v>
      </c>
      <c r="T2746" t="s">
        <v>87</v>
      </c>
      <c r="U2746" t="b">
        <v>0</v>
      </c>
      <c r="V2746" t="s">
        <v>259</v>
      </c>
      <c r="W2746" s="1">
        <v>44222.620219907411</v>
      </c>
      <c r="X2746">
        <v>105</v>
      </c>
      <c r="Y2746">
        <v>0</v>
      </c>
      <c r="Z2746">
        <v>0</v>
      </c>
      <c r="AA2746">
        <v>0</v>
      </c>
      <c r="AB2746">
        <v>9</v>
      </c>
      <c r="AC2746">
        <v>0</v>
      </c>
      <c r="AD2746">
        <v>20</v>
      </c>
      <c r="AE2746">
        <v>0</v>
      </c>
      <c r="AF2746">
        <v>0</v>
      </c>
      <c r="AG2746">
        <v>0</v>
      </c>
      <c r="AH2746" t="s">
        <v>132</v>
      </c>
      <c r="AI2746" s="1">
        <v>44222.621319444443</v>
      </c>
      <c r="AJ2746">
        <v>12</v>
      </c>
      <c r="AK2746">
        <v>0</v>
      </c>
      <c r="AL2746">
        <v>0</v>
      </c>
      <c r="AM2746">
        <v>0</v>
      </c>
      <c r="AN2746">
        <v>9</v>
      </c>
      <c r="AO2746">
        <v>0</v>
      </c>
      <c r="AP2746">
        <v>20</v>
      </c>
      <c r="AQ2746">
        <v>0</v>
      </c>
      <c r="AR2746">
        <v>0</v>
      </c>
      <c r="AS2746">
        <v>0</v>
      </c>
      <c r="AT2746" t="s">
        <v>90</v>
      </c>
      <c r="AU2746" s="1">
        <v>44222.624594907407</v>
      </c>
      <c r="AV2746">
        <v>3</v>
      </c>
      <c r="AW2746">
        <v>0</v>
      </c>
      <c r="AX2746">
        <v>0</v>
      </c>
      <c r="AY2746">
        <v>0</v>
      </c>
      <c r="AZ2746">
        <v>9</v>
      </c>
      <c r="BA2746">
        <v>0</v>
      </c>
      <c r="BB2746">
        <v>20</v>
      </c>
      <c r="BC2746">
        <v>0</v>
      </c>
      <c r="BD2746">
        <v>0</v>
      </c>
      <c r="BE2746">
        <v>0</v>
      </c>
    </row>
    <row r="2747" spans="1:57" x14ac:dyDescent="0.45">
      <c r="A2747" t="s">
        <v>6553</v>
      </c>
      <c r="B2747" t="s">
        <v>79</v>
      </c>
      <c r="C2747" t="s">
        <v>3212</v>
      </c>
      <c r="D2747" t="s">
        <v>81</v>
      </c>
      <c r="E2747" s="2" t="str">
        <f>HYPERLINK("capsilon://?command=openfolder&amp;siteaddress=FAM.docvelocity-na8.net&amp;folderid=FX17999682-DD5E-C102-11A9-2739FF93FCAC","FX21014310")</f>
        <v>FX21014310</v>
      </c>
      <c r="F2747" t="s">
        <v>19</v>
      </c>
      <c r="G2747" t="s">
        <v>19</v>
      </c>
      <c r="H2747" t="s">
        <v>82</v>
      </c>
      <c r="I2747" t="s">
        <v>6554</v>
      </c>
      <c r="J2747">
        <v>150</v>
      </c>
      <c r="K2747" t="s">
        <v>84</v>
      </c>
      <c r="L2747" t="s">
        <v>85</v>
      </c>
      <c r="M2747" t="s">
        <v>86</v>
      </c>
      <c r="N2747">
        <v>3</v>
      </c>
      <c r="O2747" s="1">
        <v>44222.624768518515</v>
      </c>
      <c r="P2747" s="1">
        <v>44222.656354166669</v>
      </c>
      <c r="Q2747">
        <v>1604</v>
      </c>
      <c r="R2747">
        <v>1125</v>
      </c>
      <c r="S2747" t="b">
        <v>0</v>
      </c>
      <c r="T2747" t="s">
        <v>87</v>
      </c>
      <c r="U2747" t="b">
        <v>0</v>
      </c>
      <c r="V2747" t="s">
        <v>168</v>
      </c>
      <c r="W2747" s="1">
        <v>44222.637083333335</v>
      </c>
      <c r="X2747">
        <v>1063</v>
      </c>
      <c r="Y2747">
        <v>21</v>
      </c>
      <c r="Z2747">
        <v>0</v>
      </c>
      <c r="AA2747">
        <v>21</v>
      </c>
      <c r="AB2747">
        <v>108</v>
      </c>
      <c r="AC2747">
        <v>13</v>
      </c>
      <c r="AD2747">
        <v>129</v>
      </c>
      <c r="AE2747">
        <v>0</v>
      </c>
      <c r="AF2747">
        <v>0</v>
      </c>
      <c r="AG2747">
        <v>0</v>
      </c>
      <c r="AH2747" t="s">
        <v>132</v>
      </c>
      <c r="AI2747" s="1">
        <v>44222.637824074074</v>
      </c>
      <c r="AJ2747">
        <v>57</v>
      </c>
      <c r="AK2747">
        <v>0</v>
      </c>
      <c r="AL2747">
        <v>0</v>
      </c>
      <c r="AM2747">
        <v>0</v>
      </c>
      <c r="AN2747">
        <v>108</v>
      </c>
      <c r="AO2747">
        <v>0</v>
      </c>
      <c r="AP2747">
        <v>129</v>
      </c>
      <c r="AQ2747">
        <v>0</v>
      </c>
      <c r="AR2747">
        <v>0</v>
      </c>
      <c r="AS2747">
        <v>0</v>
      </c>
      <c r="AT2747" t="s">
        <v>90</v>
      </c>
      <c r="AU2747" s="1">
        <v>44222.656354166669</v>
      </c>
      <c r="AV2747">
        <v>5</v>
      </c>
      <c r="AW2747">
        <v>0</v>
      </c>
      <c r="AX2747">
        <v>0</v>
      </c>
      <c r="AY2747">
        <v>0</v>
      </c>
      <c r="AZ2747">
        <v>108</v>
      </c>
      <c r="BA2747">
        <v>0</v>
      </c>
      <c r="BB2747">
        <v>129</v>
      </c>
      <c r="BC2747">
        <v>0</v>
      </c>
      <c r="BD2747">
        <v>0</v>
      </c>
      <c r="BE2747">
        <v>0</v>
      </c>
    </row>
    <row r="2748" spans="1:57" x14ac:dyDescent="0.45">
      <c r="A2748" t="s">
        <v>6555</v>
      </c>
      <c r="B2748" t="s">
        <v>79</v>
      </c>
      <c r="C2748" t="s">
        <v>6556</v>
      </c>
      <c r="D2748" t="s">
        <v>81</v>
      </c>
      <c r="E2748" s="2" t="str">
        <f>HYPERLINK("capsilon://?command=openfolder&amp;siteaddress=FAM.docvelocity-na8.net&amp;folderid=FX152C32AD-187B-25C6-F7CD-47811638EE2A","FX210116590")</f>
        <v>FX210116590</v>
      </c>
      <c r="F2748" t="s">
        <v>19</v>
      </c>
      <c r="G2748" t="s">
        <v>19</v>
      </c>
      <c r="H2748" t="s">
        <v>82</v>
      </c>
      <c r="I2748" t="s">
        <v>6557</v>
      </c>
      <c r="J2748">
        <v>38</v>
      </c>
      <c r="K2748" t="s">
        <v>84</v>
      </c>
      <c r="L2748" t="s">
        <v>85</v>
      </c>
      <c r="M2748" t="s">
        <v>86</v>
      </c>
      <c r="N2748">
        <v>3</v>
      </c>
      <c r="O2748" s="1">
        <v>44222.65179398148</v>
      </c>
      <c r="P2748" s="1">
        <v>44222.659907407404</v>
      </c>
      <c r="Q2748">
        <v>21</v>
      </c>
      <c r="R2748">
        <v>680</v>
      </c>
      <c r="S2748" t="b">
        <v>0</v>
      </c>
      <c r="T2748" t="s">
        <v>87</v>
      </c>
      <c r="U2748" t="b">
        <v>0</v>
      </c>
      <c r="V2748" t="s">
        <v>142</v>
      </c>
      <c r="W2748" s="1">
        <v>44222.658310185187</v>
      </c>
      <c r="X2748">
        <v>555</v>
      </c>
      <c r="Y2748">
        <v>37</v>
      </c>
      <c r="Z2748">
        <v>0</v>
      </c>
      <c r="AA2748">
        <v>37</v>
      </c>
      <c r="AB2748">
        <v>0</v>
      </c>
      <c r="AC2748">
        <v>8</v>
      </c>
      <c r="AD2748">
        <v>1</v>
      </c>
      <c r="AE2748">
        <v>0</v>
      </c>
      <c r="AF2748">
        <v>0</v>
      </c>
      <c r="AG2748">
        <v>0</v>
      </c>
      <c r="AH2748" t="s">
        <v>128</v>
      </c>
      <c r="AI2748" s="1">
        <v>44222.659687500003</v>
      </c>
      <c r="AJ2748">
        <v>117</v>
      </c>
      <c r="AK2748">
        <v>1</v>
      </c>
      <c r="AL2748">
        <v>0</v>
      </c>
      <c r="AM2748">
        <v>1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 t="s">
        <v>90</v>
      </c>
      <c r="AU2748" s="1">
        <v>44222.659907407404</v>
      </c>
      <c r="AV2748">
        <v>8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</row>
    <row r="2749" spans="1:57" x14ac:dyDescent="0.45">
      <c r="A2749" t="s">
        <v>6558</v>
      </c>
      <c r="B2749" t="s">
        <v>79</v>
      </c>
      <c r="C2749" t="s">
        <v>6559</v>
      </c>
      <c r="D2749" t="s">
        <v>81</v>
      </c>
      <c r="E2749" s="2" t="str">
        <f>HYPERLINK("capsilon://?command=openfolder&amp;siteaddress=FAM.docvelocity-na8.net&amp;folderid=FX803161DA-9B2C-39A1-BCFD-BEBD4C6944DA","FX201223187")</f>
        <v>FX201223187</v>
      </c>
      <c r="F2749" t="s">
        <v>19</v>
      </c>
      <c r="G2749" t="s">
        <v>19</v>
      </c>
      <c r="H2749" t="s">
        <v>82</v>
      </c>
      <c r="I2749" t="s">
        <v>6560</v>
      </c>
      <c r="J2749">
        <v>26</v>
      </c>
      <c r="K2749" t="s">
        <v>84</v>
      </c>
      <c r="L2749" t="s">
        <v>85</v>
      </c>
      <c r="M2749" t="s">
        <v>86</v>
      </c>
      <c r="N2749">
        <v>3</v>
      </c>
      <c r="O2749" s="1">
        <v>44222.652685185189</v>
      </c>
      <c r="P2749" s="1">
        <v>44222.65996527778</v>
      </c>
      <c r="Q2749">
        <v>331</v>
      </c>
      <c r="R2749">
        <v>298</v>
      </c>
      <c r="S2749" t="b">
        <v>0</v>
      </c>
      <c r="T2749" t="s">
        <v>87</v>
      </c>
      <c r="U2749" t="b">
        <v>0</v>
      </c>
      <c r="V2749" t="s">
        <v>242</v>
      </c>
      <c r="W2749" s="1">
        <v>44222.65452546296</v>
      </c>
      <c r="X2749">
        <v>119</v>
      </c>
      <c r="Y2749">
        <v>21</v>
      </c>
      <c r="Z2749">
        <v>0</v>
      </c>
      <c r="AA2749">
        <v>21</v>
      </c>
      <c r="AB2749">
        <v>0</v>
      </c>
      <c r="AC2749">
        <v>5</v>
      </c>
      <c r="AD2749">
        <v>5</v>
      </c>
      <c r="AE2749">
        <v>0</v>
      </c>
      <c r="AF2749">
        <v>0</v>
      </c>
      <c r="AG2749">
        <v>0</v>
      </c>
      <c r="AH2749" t="s">
        <v>128</v>
      </c>
      <c r="AI2749" s="1">
        <v>44222.658321759256</v>
      </c>
      <c r="AJ2749">
        <v>175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5</v>
      </c>
      <c r="AQ2749">
        <v>0</v>
      </c>
      <c r="AR2749">
        <v>0</v>
      </c>
      <c r="AS2749">
        <v>0</v>
      </c>
      <c r="AT2749" t="s">
        <v>90</v>
      </c>
      <c r="AU2749" s="1">
        <v>44222.65996527778</v>
      </c>
      <c r="AV2749">
        <v>4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5</v>
      </c>
      <c r="BC2749">
        <v>0</v>
      </c>
      <c r="BD2749">
        <v>0</v>
      </c>
      <c r="BE2749">
        <v>0</v>
      </c>
    </row>
    <row r="2750" spans="1:57" hidden="1" x14ac:dyDescent="0.45">
      <c r="A2750" t="s">
        <v>6561</v>
      </c>
      <c r="B2750" t="s">
        <v>79</v>
      </c>
      <c r="C2750" t="s">
        <v>1291</v>
      </c>
      <c r="D2750" t="s">
        <v>81</v>
      </c>
      <c r="E2750" s="2" t="str">
        <f>HYPERLINK("capsilon://?command=openfolder&amp;siteaddress=FAM.docvelocity-na8.net&amp;folderid=FX2EA5AFEA-C908-0F2E-4F48-0D89C3ABF5FE","FX20126763")</f>
        <v>FX20126763</v>
      </c>
      <c r="F2750" t="s">
        <v>19</v>
      </c>
      <c r="G2750" t="s">
        <v>19</v>
      </c>
      <c r="H2750" t="s">
        <v>82</v>
      </c>
      <c r="I2750" t="s">
        <v>6562</v>
      </c>
      <c r="J2750">
        <v>38</v>
      </c>
      <c r="K2750" t="s">
        <v>84</v>
      </c>
      <c r="L2750" t="s">
        <v>85</v>
      </c>
      <c r="M2750" t="s">
        <v>86</v>
      </c>
      <c r="N2750">
        <v>3</v>
      </c>
      <c r="O2750" s="1">
        <v>44222.657002314816</v>
      </c>
      <c r="P2750" s="1">
        <v>44222.66</v>
      </c>
      <c r="Q2750">
        <v>167</v>
      </c>
      <c r="R2750">
        <v>92</v>
      </c>
      <c r="S2750" t="b">
        <v>0</v>
      </c>
      <c r="T2750" t="s">
        <v>87</v>
      </c>
      <c r="U2750" t="b">
        <v>0</v>
      </c>
      <c r="V2750" t="s">
        <v>242</v>
      </c>
      <c r="W2750" s="1">
        <v>44222.65792824074</v>
      </c>
      <c r="X2750">
        <v>71</v>
      </c>
      <c r="Y2750">
        <v>0</v>
      </c>
      <c r="Z2750">
        <v>0</v>
      </c>
      <c r="AA2750">
        <v>0</v>
      </c>
      <c r="AB2750">
        <v>37</v>
      </c>
      <c r="AC2750">
        <v>0</v>
      </c>
      <c r="AD2750">
        <v>38</v>
      </c>
      <c r="AE2750">
        <v>0</v>
      </c>
      <c r="AF2750">
        <v>0</v>
      </c>
      <c r="AG2750">
        <v>0</v>
      </c>
      <c r="AH2750" t="s">
        <v>128</v>
      </c>
      <c r="AI2750" s="1">
        <v>44222.659907407404</v>
      </c>
      <c r="AJ2750">
        <v>18</v>
      </c>
      <c r="AK2750">
        <v>0</v>
      </c>
      <c r="AL2750">
        <v>0</v>
      </c>
      <c r="AM2750">
        <v>0</v>
      </c>
      <c r="AN2750">
        <v>37</v>
      </c>
      <c r="AO2750">
        <v>0</v>
      </c>
      <c r="AP2750">
        <v>38</v>
      </c>
      <c r="AQ2750">
        <v>0</v>
      </c>
      <c r="AR2750">
        <v>0</v>
      </c>
      <c r="AS2750">
        <v>0</v>
      </c>
      <c r="AT2750" t="s">
        <v>90</v>
      </c>
      <c r="AU2750" s="1">
        <v>44222.66</v>
      </c>
      <c r="AV2750">
        <v>3</v>
      </c>
      <c r="AW2750">
        <v>0</v>
      </c>
      <c r="AX2750">
        <v>0</v>
      </c>
      <c r="AY2750">
        <v>0</v>
      </c>
      <c r="AZ2750">
        <v>37</v>
      </c>
      <c r="BA2750">
        <v>0</v>
      </c>
      <c r="BB2750">
        <v>38</v>
      </c>
      <c r="BC2750">
        <v>0</v>
      </c>
      <c r="BD2750">
        <v>0</v>
      </c>
      <c r="BE2750">
        <v>0</v>
      </c>
    </row>
    <row r="2751" spans="1:57" hidden="1" x14ac:dyDescent="0.45">
      <c r="A2751" t="s">
        <v>6563</v>
      </c>
      <c r="B2751" t="s">
        <v>79</v>
      </c>
      <c r="C2751" t="s">
        <v>672</v>
      </c>
      <c r="D2751" t="s">
        <v>81</v>
      </c>
      <c r="E2751" s="2" t="str">
        <f>HYPERLINK("capsilon://?command=openfolder&amp;siteaddress=FAM.docvelocity-na8.net&amp;folderid=FXA5BBB99B-9D51-26C6-9B26-24EFBDF6F7DA","FX201229156")</f>
        <v>FX201229156</v>
      </c>
      <c r="F2751" t="s">
        <v>19</v>
      </c>
      <c r="G2751" t="s">
        <v>19</v>
      </c>
      <c r="H2751" t="s">
        <v>82</v>
      </c>
      <c r="I2751" t="s">
        <v>6564</v>
      </c>
      <c r="J2751">
        <v>104</v>
      </c>
      <c r="K2751" t="s">
        <v>84</v>
      </c>
      <c r="L2751" t="s">
        <v>85</v>
      </c>
      <c r="M2751" t="s">
        <v>86</v>
      </c>
      <c r="N2751">
        <v>1</v>
      </c>
      <c r="O2751" s="1">
        <v>44222.657581018517</v>
      </c>
      <c r="P2751" s="1">
        <v>44222.659548611111</v>
      </c>
      <c r="Q2751">
        <v>31</v>
      </c>
      <c r="R2751">
        <v>139</v>
      </c>
      <c r="S2751" t="b">
        <v>0</v>
      </c>
      <c r="T2751" t="s">
        <v>87</v>
      </c>
      <c r="U2751" t="b">
        <v>0</v>
      </c>
      <c r="V2751" t="s">
        <v>242</v>
      </c>
      <c r="W2751" s="1">
        <v>44222.659548611111</v>
      </c>
      <c r="X2751">
        <v>139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104</v>
      </c>
      <c r="AE2751">
        <v>96</v>
      </c>
      <c r="AF2751">
        <v>0</v>
      </c>
      <c r="AG2751">
        <v>3</v>
      </c>
      <c r="AH2751" t="s">
        <v>87</v>
      </c>
      <c r="AI2751" t="s">
        <v>87</v>
      </c>
      <c r="AJ2751" t="s">
        <v>87</v>
      </c>
      <c r="AK2751" t="s">
        <v>87</v>
      </c>
      <c r="AL2751" t="s">
        <v>87</v>
      </c>
      <c r="AM2751" t="s">
        <v>87</v>
      </c>
      <c r="AN2751" t="s">
        <v>87</v>
      </c>
      <c r="AO2751" t="s">
        <v>87</v>
      </c>
      <c r="AP2751" t="s">
        <v>87</v>
      </c>
      <c r="AQ2751" t="s">
        <v>87</v>
      </c>
      <c r="AR2751" t="s">
        <v>87</v>
      </c>
      <c r="AS2751" t="s">
        <v>87</v>
      </c>
      <c r="AT2751" t="s">
        <v>87</v>
      </c>
      <c r="AU2751" t="s">
        <v>87</v>
      </c>
      <c r="AV2751" t="s">
        <v>87</v>
      </c>
      <c r="AW2751" t="s">
        <v>87</v>
      </c>
      <c r="AX2751" t="s">
        <v>87</v>
      </c>
      <c r="AY2751" t="s">
        <v>87</v>
      </c>
      <c r="AZ2751" t="s">
        <v>87</v>
      </c>
      <c r="BA2751" t="s">
        <v>87</v>
      </c>
      <c r="BB2751" t="s">
        <v>87</v>
      </c>
      <c r="BC2751" t="s">
        <v>87</v>
      </c>
      <c r="BD2751" t="s">
        <v>87</v>
      </c>
      <c r="BE2751" t="s">
        <v>87</v>
      </c>
    </row>
    <row r="2752" spans="1:57" x14ac:dyDescent="0.45">
      <c r="A2752" t="s">
        <v>6565</v>
      </c>
      <c r="B2752" t="s">
        <v>79</v>
      </c>
      <c r="C2752" t="s">
        <v>672</v>
      </c>
      <c r="D2752" t="s">
        <v>81</v>
      </c>
      <c r="E2752" s="2" t="str">
        <f>HYPERLINK("capsilon://?command=openfolder&amp;siteaddress=FAM.docvelocity-na8.net&amp;folderid=FXA5BBB99B-9D51-26C6-9B26-24EFBDF6F7DA","FX201229156")</f>
        <v>FX201229156</v>
      </c>
      <c r="F2752" t="s">
        <v>19</v>
      </c>
      <c r="G2752" t="s">
        <v>19</v>
      </c>
      <c r="H2752" t="s">
        <v>82</v>
      </c>
      <c r="I2752" t="s">
        <v>6564</v>
      </c>
      <c r="J2752">
        <v>138</v>
      </c>
      <c r="K2752" t="s">
        <v>84</v>
      </c>
      <c r="L2752" t="s">
        <v>85</v>
      </c>
      <c r="M2752" t="s">
        <v>86</v>
      </c>
      <c r="N2752">
        <v>3</v>
      </c>
      <c r="O2752" s="1">
        <v>44222.660636574074</v>
      </c>
      <c r="P2752" s="1">
        <v>44222.682337962964</v>
      </c>
      <c r="Q2752">
        <v>403</v>
      </c>
      <c r="R2752">
        <v>1472</v>
      </c>
      <c r="S2752" t="b">
        <v>0</v>
      </c>
      <c r="T2752" t="s">
        <v>87</v>
      </c>
      <c r="U2752" t="b">
        <v>1</v>
      </c>
      <c r="V2752" t="s">
        <v>242</v>
      </c>
      <c r="W2752" s="1">
        <v>44222.672743055555</v>
      </c>
      <c r="X2752">
        <v>1039</v>
      </c>
      <c r="Y2752">
        <v>159</v>
      </c>
      <c r="Z2752">
        <v>0</v>
      </c>
      <c r="AA2752">
        <v>159</v>
      </c>
      <c r="AB2752">
        <v>0</v>
      </c>
      <c r="AC2752">
        <v>92</v>
      </c>
      <c r="AD2752">
        <v>-21</v>
      </c>
      <c r="AE2752">
        <v>0</v>
      </c>
      <c r="AF2752">
        <v>0</v>
      </c>
      <c r="AG2752">
        <v>0</v>
      </c>
      <c r="AH2752" t="s">
        <v>128</v>
      </c>
      <c r="AI2752" s="1">
        <v>44222.67827546296</v>
      </c>
      <c r="AJ2752">
        <v>407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-21</v>
      </c>
      <c r="AQ2752">
        <v>0</v>
      </c>
      <c r="AR2752">
        <v>0</v>
      </c>
      <c r="AS2752">
        <v>0</v>
      </c>
      <c r="AT2752" t="s">
        <v>90</v>
      </c>
      <c r="AU2752" s="1">
        <v>44222.682337962964</v>
      </c>
      <c r="AV2752">
        <v>26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-21</v>
      </c>
      <c r="BC2752">
        <v>0</v>
      </c>
      <c r="BD2752">
        <v>0</v>
      </c>
      <c r="BE2752">
        <v>0</v>
      </c>
    </row>
    <row r="2753" spans="1:57" x14ac:dyDescent="0.45">
      <c r="A2753" t="s">
        <v>6566</v>
      </c>
      <c r="B2753" t="s">
        <v>79</v>
      </c>
      <c r="C2753" t="s">
        <v>6567</v>
      </c>
      <c r="D2753" t="s">
        <v>81</v>
      </c>
      <c r="E2753" s="2" t="str">
        <f>HYPERLINK("capsilon://?command=openfolder&amp;siteaddress=FAM.docvelocity-na8.net&amp;folderid=FXF20C6C9C-6BEE-CCBA-9BB3-24089DF8D298","FX21019139")</f>
        <v>FX21019139</v>
      </c>
      <c r="F2753" t="s">
        <v>19</v>
      </c>
      <c r="G2753" t="s">
        <v>19</v>
      </c>
      <c r="H2753" t="s">
        <v>82</v>
      </c>
      <c r="I2753" t="s">
        <v>6568</v>
      </c>
      <c r="J2753">
        <v>125</v>
      </c>
      <c r="K2753" t="s">
        <v>84</v>
      </c>
      <c r="L2753" t="s">
        <v>85</v>
      </c>
      <c r="M2753" t="s">
        <v>86</v>
      </c>
      <c r="N2753">
        <v>3</v>
      </c>
      <c r="O2753" s="1">
        <v>44222.665509259263</v>
      </c>
      <c r="P2753" s="1">
        <v>44222.700127314813</v>
      </c>
      <c r="Q2753">
        <v>708</v>
      </c>
      <c r="R2753">
        <v>2283</v>
      </c>
      <c r="S2753" t="b">
        <v>0</v>
      </c>
      <c r="T2753" t="s">
        <v>87</v>
      </c>
      <c r="U2753" t="b">
        <v>0</v>
      </c>
      <c r="V2753" t="s">
        <v>160</v>
      </c>
      <c r="W2753" s="1">
        <v>44222.688078703701</v>
      </c>
      <c r="X2753">
        <v>1949</v>
      </c>
      <c r="Y2753">
        <v>130</v>
      </c>
      <c r="Z2753">
        <v>0</v>
      </c>
      <c r="AA2753">
        <v>130</v>
      </c>
      <c r="AB2753">
        <v>0</v>
      </c>
      <c r="AC2753">
        <v>92</v>
      </c>
      <c r="AD2753">
        <v>-5</v>
      </c>
      <c r="AE2753">
        <v>0</v>
      </c>
      <c r="AF2753">
        <v>0</v>
      </c>
      <c r="AG2753">
        <v>0</v>
      </c>
      <c r="AH2753" t="s">
        <v>132</v>
      </c>
      <c r="AI2753" s="1">
        <v>44222.695092592592</v>
      </c>
      <c r="AJ2753">
        <v>274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-5</v>
      </c>
      <c r="AQ2753">
        <v>0</v>
      </c>
      <c r="AR2753">
        <v>0</v>
      </c>
      <c r="AS2753">
        <v>0</v>
      </c>
      <c r="AT2753" t="s">
        <v>90</v>
      </c>
      <c r="AU2753" s="1">
        <v>44222.700127314813</v>
      </c>
      <c r="AV2753">
        <v>60</v>
      </c>
      <c r="AW2753">
        <v>2</v>
      </c>
      <c r="AX2753">
        <v>0</v>
      </c>
      <c r="AY2753">
        <v>2</v>
      </c>
      <c r="AZ2753">
        <v>0</v>
      </c>
      <c r="BA2753">
        <v>2</v>
      </c>
      <c r="BB2753">
        <v>-7</v>
      </c>
      <c r="BC2753">
        <v>0</v>
      </c>
      <c r="BD2753">
        <v>0</v>
      </c>
      <c r="BE2753">
        <v>0</v>
      </c>
    </row>
    <row r="2754" spans="1:57" hidden="1" x14ac:dyDescent="0.45">
      <c r="A2754" t="s">
        <v>6569</v>
      </c>
      <c r="B2754" t="s">
        <v>79</v>
      </c>
      <c r="C2754" t="s">
        <v>6567</v>
      </c>
      <c r="D2754" t="s">
        <v>81</v>
      </c>
      <c r="E2754" s="2" t="str">
        <f>HYPERLINK("capsilon://?command=openfolder&amp;siteaddress=FAM.docvelocity-na8.net&amp;folderid=FXF20C6C9C-6BEE-CCBA-9BB3-24089DF8D298","FX21019139")</f>
        <v>FX21019139</v>
      </c>
      <c r="F2754" t="s">
        <v>19</v>
      </c>
      <c r="G2754" t="s">
        <v>19</v>
      </c>
      <c r="H2754" t="s">
        <v>82</v>
      </c>
      <c r="I2754" t="s">
        <v>6570</v>
      </c>
      <c r="J2754">
        <v>26</v>
      </c>
      <c r="K2754" t="s">
        <v>84</v>
      </c>
      <c r="L2754" t="s">
        <v>85</v>
      </c>
      <c r="M2754" t="s">
        <v>86</v>
      </c>
      <c r="N2754">
        <v>1</v>
      </c>
      <c r="O2754" s="1">
        <v>44222.666377314818</v>
      </c>
      <c r="P2754" s="1">
        <v>44222.667326388888</v>
      </c>
      <c r="Q2754">
        <v>0</v>
      </c>
      <c r="R2754">
        <v>82</v>
      </c>
      <c r="S2754" t="b">
        <v>0</v>
      </c>
      <c r="T2754" t="s">
        <v>87</v>
      </c>
      <c r="U2754" t="b">
        <v>0</v>
      </c>
      <c r="V2754" t="s">
        <v>146</v>
      </c>
      <c r="W2754" s="1">
        <v>44222.667326388888</v>
      </c>
      <c r="X2754">
        <v>82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26</v>
      </c>
      <c r="AE2754">
        <v>21</v>
      </c>
      <c r="AF2754">
        <v>0</v>
      </c>
      <c r="AG2754">
        <v>2</v>
      </c>
      <c r="AH2754" t="s">
        <v>87</v>
      </c>
      <c r="AI2754" t="s">
        <v>87</v>
      </c>
      <c r="AJ2754" t="s">
        <v>87</v>
      </c>
      <c r="AK2754" t="s">
        <v>87</v>
      </c>
      <c r="AL2754" t="s">
        <v>87</v>
      </c>
      <c r="AM2754" t="s">
        <v>87</v>
      </c>
      <c r="AN2754" t="s">
        <v>87</v>
      </c>
      <c r="AO2754" t="s">
        <v>87</v>
      </c>
      <c r="AP2754" t="s">
        <v>87</v>
      </c>
      <c r="AQ2754" t="s">
        <v>87</v>
      </c>
      <c r="AR2754" t="s">
        <v>87</v>
      </c>
      <c r="AS2754" t="s">
        <v>87</v>
      </c>
      <c r="AT2754" t="s">
        <v>87</v>
      </c>
      <c r="AU2754" t="s">
        <v>87</v>
      </c>
      <c r="AV2754" t="s">
        <v>87</v>
      </c>
      <c r="AW2754" t="s">
        <v>87</v>
      </c>
      <c r="AX2754" t="s">
        <v>87</v>
      </c>
      <c r="AY2754" t="s">
        <v>87</v>
      </c>
      <c r="AZ2754" t="s">
        <v>87</v>
      </c>
      <c r="BA2754" t="s">
        <v>87</v>
      </c>
      <c r="BB2754" t="s">
        <v>87</v>
      </c>
      <c r="BC2754" t="s">
        <v>87</v>
      </c>
      <c r="BD2754" t="s">
        <v>87</v>
      </c>
      <c r="BE2754" t="s">
        <v>87</v>
      </c>
    </row>
    <row r="2755" spans="1:57" x14ac:dyDescent="0.45">
      <c r="A2755" t="s">
        <v>6571</v>
      </c>
      <c r="B2755" t="s">
        <v>79</v>
      </c>
      <c r="C2755" t="s">
        <v>4549</v>
      </c>
      <c r="D2755" t="s">
        <v>81</v>
      </c>
      <c r="E2755" s="2" t="str">
        <f>HYPERLINK("capsilon://?command=openfolder&amp;siteaddress=FAM.docvelocity-na8.net&amp;folderid=FX0B6A10F0-0AE7-F00F-3092-11A7DF897953","FX20114907")</f>
        <v>FX20114907</v>
      </c>
      <c r="F2755" t="s">
        <v>19</v>
      </c>
      <c r="G2755" t="s">
        <v>19</v>
      </c>
      <c r="H2755" t="s">
        <v>82</v>
      </c>
      <c r="I2755" t="s">
        <v>6572</v>
      </c>
      <c r="J2755">
        <v>29</v>
      </c>
      <c r="K2755" t="s">
        <v>84</v>
      </c>
      <c r="L2755" t="s">
        <v>85</v>
      </c>
      <c r="M2755" t="s">
        <v>86</v>
      </c>
      <c r="N2755">
        <v>3</v>
      </c>
      <c r="O2755" s="1">
        <v>44222.666805555556</v>
      </c>
      <c r="P2755" s="1">
        <v>44222.682627314818</v>
      </c>
      <c r="Q2755">
        <v>800</v>
      </c>
      <c r="R2755">
        <v>567</v>
      </c>
      <c r="S2755" t="b">
        <v>0</v>
      </c>
      <c r="T2755" t="s">
        <v>87</v>
      </c>
      <c r="U2755" t="b">
        <v>0</v>
      </c>
      <c r="V2755" t="s">
        <v>179</v>
      </c>
      <c r="W2755" s="1">
        <v>44222.672719907408</v>
      </c>
      <c r="X2755">
        <v>511</v>
      </c>
      <c r="Y2755">
        <v>15</v>
      </c>
      <c r="Z2755">
        <v>0</v>
      </c>
      <c r="AA2755">
        <v>15</v>
      </c>
      <c r="AB2755">
        <v>0</v>
      </c>
      <c r="AC2755">
        <v>10</v>
      </c>
      <c r="AD2755">
        <v>14</v>
      </c>
      <c r="AE2755">
        <v>0</v>
      </c>
      <c r="AF2755">
        <v>0</v>
      </c>
      <c r="AG2755">
        <v>0</v>
      </c>
      <c r="AH2755" t="s">
        <v>132</v>
      </c>
      <c r="AI2755" s="1">
        <v>44222.681435185186</v>
      </c>
      <c r="AJ2755">
        <v>51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14</v>
      </c>
      <c r="AQ2755">
        <v>0</v>
      </c>
      <c r="AR2755">
        <v>0</v>
      </c>
      <c r="AS2755">
        <v>0</v>
      </c>
      <c r="AT2755" t="s">
        <v>90</v>
      </c>
      <c r="AU2755" s="1">
        <v>44222.682627314818</v>
      </c>
      <c r="AV2755">
        <v>5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14</v>
      </c>
      <c r="BC2755">
        <v>0</v>
      </c>
      <c r="BD2755">
        <v>0</v>
      </c>
      <c r="BE2755">
        <v>0</v>
      </c>
    </row>
    <row r="2756" spans="1:57" x14ac:dyDescent="0.45">
      <c r="A2756" t="s">
        <v>6573</v>
      </c>
      <c r="B2756" t="s">
        <v>79</v>
      </c>
      <c r="C2756" t="s">
        <v>6567</v>
      </c>
      <c r="D2756" t="s">
        <v>81</v>
      </c>
      <c r="E2756" s="2" t="str">
        <f>HYPERLINK("capsilon://?command=openfolder&amp;siteaddress=FAM.docvelocity-na8.net&amp;folderid=FXF20C6C9C-6BEE-CCBA-9BB3-24089DF8D298","FX21019139")</f>
        <v>FX21019139</v>
      </c>
      <c r="F2756" t="s">
        <v>19</v>
      </c>
      <c r="G2756" t="s">
        <v>19</v>
      </c>
      <c r="H2756" t="s">
        <v>82</v>
      </c>
      <c r="I2756" t="s">
        <v>6570</v>
      </c>
      <c r="J2756">
        <v>52</v>
      </c>
      <c r="K2756" t="s">
        <v>84</v>
      </c>
      <c r="L2756" t="s">
        <v>85</v>
      </c>
      <c r="M2756" t="s">
        <v>86</v>
      </c>
      <c r="N2756">
        <v>3</v>
      </c>
      <c r="O2756" s="1">
        <v>44222.667766203704</v>
      </c>
      <c r="P2756" s="1">
        <v>44222.682442129626</v>
      </c>
      <c r="Q2756">
        <v>261</v>
      </c>
      <c r="R2756">
        <v>1007</v>
      </c>
      <c r="S2756" t="b">
        <v>0</v>
      </c>
      <c r="T2756" t="s">
        <v>87</v>
      </c>
      <c r="U2756" t="b">
        <v>1</v>
      </c>
      <c r="V2756" t="s">
        <v>146</v>
      </c>
      <c r="W2756" s="1">
        <v>44222.677777777775</v>
      </c>
      <c r="X2756">
        <v>864</v>
      </c>
      <c r="Y2756">
        <v>42</v>
      </c>
      <c r="Z2756">
        <v>0</v>
      </c>
      <c r="AA2756">
        <v>42</v>
      </c>
      <c r="AB2756">
        <v>0</v>
      </c>
      <c r="AC2756">
        <v>37</v>
      </c>
      <c r="AD2756">
        <v>10</v>
      </c>
      <c r="AE2756">
        <v>0</v>
      </c>
      <c r="AF2756">
        <v>0</v>
      </c>
      <c r="AG2756">
        <v>0</v>
      </c>
      <c r="AH2756" t="s">
        <v>128</v>
      </c>
      <c r="AI2756" s="1">
        <v>44222.679849537039</v>
      </c>
      <c r="AJ2756">
        <v>135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10</v>
      </c>
      <c r="AQ2756">
        <v>0</v>
      </c>
      <c r="AR2756">
        <v>0</v>
      </c>
      <c r="AS2756">
        <v>0</v>
      </c>
      <c r="AT2756" t="s">
        <v>90</v>
      </c>
      <c r="AU2756" s="1">
        <v>44222.682442129626</v>
      </c>
      <c r="AV2756">
        <v>8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10</v>
      </c>
      <c r="BC2756">
        <v>0</v>
      </c>
      <c r="BD2756">
        <v>0</v>
      </c>
      <c r="BE2756">
        <v>0</v>
      </c>
    </row>
    <row r="2757" spans="1:57" hidden="1" x14ac:dyDescent="0.45">
      <c r="A2757" t="s">
        <v>6574</v>
      </c>
      <c r="B2757" t="s">
        <v>79</v>
      </c>
      <c r="C2757" t="s">
        <v>2367</v>
      </c>
      <c r="D2757" t="s">
        <v>81</v>
      </c>
      <c r="E2757" s="2" t="str">
        <f>HYPERLINK("capsilon://?command=openfolder&amp;siteaddress=FAM.docvelocity-na8.net&amp;folderid=FX3B375AA4-C745-C380-808B-4B1197DDF9F4","FX20125273")</f>
        <v>FX20125273</v>
      </c>
      <c r="F2757" t="s">
        <v>19</v>
      </c>
      <c r="G2757" t="s">
        <v>19</v>
      </c>
      <c r="H2757" t="s">
        <v>82</v>
      </c>
      <c r="I2757" t="s">
        <v>6575</v>
      </c>
      <c r="J2757">
        <v>66</v>
      </c>
      <c r="K2757" t="s">
        <v>84</v>
      </c>
      <c r="L2757" t="s">
        <v>85</v>
      </c>
      <c r="M2757" t="s">
        <v>86</v>
      </c>
      <c r="N2757">
        <v>1</v>
      </c>
      <c r="O2757" s="1">
        <v>44222.669664351852</v>
      </c>
      <c r="P2757" s="1">
        <v>44222.670138888891</v>
      </c>
      <c r="Q2757">
        <v>1</v>
      </c>
      <c r="R2757">
        <v>40</v>
      </c>
      <c r="S2757" t="b">
        <v>0</v>
      </c>
      <c r="T2757" t="s">
        <v>87</v>
      </c>
      <c r="U2757" t="b">
        <v>0</v>
      </c>
      <c r="V2757" t="s">
        <v>171</v>
      </c>
      <c r="W2757" s="1">
        <v>44222.670138888891</v>
      </c>
      <c r="X2757">
        <v>40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66</v>
      </c>
      <c r="AE2757">
        <v>52</v>
      </c>
      <c r="AF2757">
        <v>0</v>
      </c>
      <c r="AG2757">
        <v>1</v>
      </c>
      <c r="AH2757" t="s">
        <v>87</v>
      </c>
      <c r="AI2757" t="s">
        <v>87</v>
      </c>
      <c r="AJ2757" t="s">
        <v>87</v>
      </c>
      <c r="AK2757" t="s">
        <v>87</v>
      </c>
      <c r="AL2757" t="s">
        <v>87</v>
      </c>
      <c r="AM2757" t="s">
        <v>87</v>
      </c>
      <c r="AN2757" t="s">
        <v>87</v>
      </c>
      <c r="AO2757" t="s">
        <v>87</v>
      </c>
      <c r="AP2757" t="s">
        <v>87</v>
      </c>
      <c r="AQ2757" t="s">
        <v>87</v>
      </c>
      <c r="AR2757" t="s">
        <v>87</v>
      </c>
      <c r="AS2757" t="s">
        <v>87</v>
      </c>
      <c r="AT2757" t="s">
        <v>87</v>
      </c>
      <c r="AU2757" t="s">
        <v>87</v>
      </c>
      <c r="AV2757" t="s">
        <v>87</v>
      </c>
      <c r="AW2757" t="s">
        <v>87</v>
      </c>
      <c r="AX2757" t="s">
        <v>87</v>
      </c>
      <c r="AY2757" t="s">
        <v>87</v>
      </c>
      <c r="AZ2757" t="s">
        <v>87</v>
      </c>
      <c r="BA2757" t="s">
        <v>87</v>
      </c>
      <c r="BB2757" t="s">
        <v>87</v>
      </c>
      <c r="BC2757" t="s">
        <v>87</v>
      </c>
      <c r="BD2757" t="s">
        <v>87</v>
      </c>
      <c r="BE2757" t="s">
        <v>87</v>
      </c>
    </row>
    <row r="2758" spans="1:57" x14ac:dyDescent="0.45">
      <c r="A2758" t="s">
        <v>6576</v>
      </c>
      <c r="B2758" t="s">
        <v>79</v>
      </c>
      <c r="C2758" t="s">
        <v>2367</v>
      </c>
      <c r="D2758" t="s">
        <v>81</v>
      </c>
      <c r="E2758" s="2" t="str">
        <f>HYPERLINK("capsilon://?command=openfolder&amp;siteaddress=FAM.docvelocity-na8.net&amp;folderid=FX3B375AA4-C745-C380-808B-4B1197DDF9F4","FX20125273")</f>
        <v>FX20125273</v>
      </c>
      <c r="F2758" t="s">
        <v>19</v>
      </c>
      <c r="G2758" t="s">
        <v>19</v>
      </c>
      <c r="H2758" t="s">
        <v>82</v>
      </c>
      <c r="I2758" t="s">
        <v>6575</v>
      </c>
      <c r="J2758">
        <v>38</v>
      </c>
      <c r="K2758" t="s">
        <v>84</v>
      </c>
      <c r="L2758" t="s">
        <v>85</v>
      </c>
      <c r="M2758" t="s">
        <v>86</v>
      </c>
      <c r="N2758">
        <v>3</v>
      </c>
      <c r="O2758" s="1">
        <v>44222.670405092591</v>
      </c>
      <c r="P2758" s="1">
        <v>44222.682557870372</v>
      </c>
      <c r="Q2758">
        <v>221</v>
      </c>
      <c r="R2758">
        <v>829</v>
      </c>
      <c r="S2758" t="b">
        <v>0</v>
      </c>
      <c r="T2758" t="s">
        <v>87</v>
      </c>
      <c r="U2758" t="b">
        <v>1</v>
      </c>
      <c r="V2758" t="s">
        <v>171</v>
      </c>
      <c r="W2758" s="1">
        <v>44222.678425925929</v>
      </c>
      <c r="X2758">
        <v>690</v>
      </c>
      <c r="Y2758">
        <v>37</v>
      </c>
      <c r="Z2758">
        <v>0</v>
      </c>
      <c r="AA2758">
        <v>37</v>
      </c>
      <c r="AB2758">
        <v>0</v>
      </c>
      <c r="AC2758">
        <v>35</v>
      </c>
      <c r="AD2758">
        <v>1</v>
      </c>
      <c r="AE2758">
        <v>0</v>
      </c>
      <c r="AF2758">
        <v>0</v>
      </c>
      <c r="AG2758">
        <v>0</v>
      </c>
      <c r="AH2758" t="s">
        <v>128</v>
      </c>
      <c r="AI2758" s="1">
        <v>44222.681354166663</v>
      </c>
      <c r="AJ2758">
        <v>130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 t="s">
        <v>90</v>
      </c>
      <c r="AU2758" s="1">
        <v>44222.682557870372</v>
      </c>
      <c r="AV2758">
        <v>9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0</v>
      </c>
      <c r="BE2758">
        <v>0</v>
      </c>
    </row>
    <row r="2759" spans="1:57" x14ac:dyDescent="0.45">
      <c r="A2759" t="s">
        <v>6577</v>
      </c>
      <c r="B2759" t="s">
        <v>79</v>
      </c>
      <c r="C2759" t="s">
        <v>6578</v>
      </c>
      <c r="D2759" t="s">
        <v>81</v>
      </c>
      <c r="E2759" s="2" t="str">
        <f>HYPERLINK("capsilon://?command=openfolder&amp;siteaddress=FAM.docvelocity-na8.net&amp;folderid=FXFEBD18ED-A50E-79F7-BA7A-4BEB57C6EE69","FX210112169")</f>
        <v>FX210112169</v>
      </c>
      <c r="F2759" t="s">
        <v>19</v>
      </c>
      <c r="G2759" t="s">
        <v>19</v>
      </c>
      <c r="H2759" t="s">
        <v>82</v>
      </c>
      <c r="I2759" t="s">
        <v>6579</v>
      </c>
      <c r="J2759">
        <v>213</v>
      </c>
      <c r="K2759" t="s">
        <v>84</v>
      </c>
      <c r="L2759" t="s">
        <v>85</v>
      </c>
      <c r="M2759" t="s">
        <v>86</v>
      </c>
      <c r="N2759">
        <v>3</v>
      </c>
      <c r="O2759" s="1">
        <v>44222.676747685182</v>
      </c>
      <c r="P2759" s="1">
        <v>44222.718668981484</v>
      </c>
      <c r="Q2759">
        <v>1060</v>
      </c>
      <c r="R2759">
        <v>2562</v>
      </c>
      <c r="S2759" t="b">
        <v>0</v>
      </c>
      <c r="T2759" t="s">
        <v>87</v>
      </c>
      <c r="U2759" t="b">
        <v>0</v>
      </c>
      <c r="V2759" t="s">
        <v>179</v>
      </c>
      <c r="W2759" s="1">
        <v>44222.703657407408</v>
      </c>
      <c r="X2759">
        <v>2324</v>
      </c>
      <c r="Y2759">
        <v>155</v>
      </c>
      <c r="Z2759">
        <v>0</v>
      </c>
      <c r="AA2759">
        <v>155</v>
      </c>
      <c r="AB2759">
        <v>0</v>
      </c>
      <c r="AC2759">
        <v>69</v>
      </c>
      <c r="AD2759">
        <v>58</v>
      </c>
      <c r="AE2759">
        <v>0</v>
      </c>
      <c r="AF2759">
        <v>0</v>
      </c>
      <c r="AG2759">
        <v>0</v>
      </c>
      <c r="AH2759" t="s">
        <v>132</v>
      </c>
      <c r="AI2759" s="1">
        <v>44222.713541666664</v>
      </c>
      <c r="AJ2759">
        <v>204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58</v>
      </c>
      <c r="AQ2759">
        <v>0</v>
      </c>
      <c r="AR2759">
        <v>0</v>
      </c>
      <c r="AS2759">
        <v>0</v>
      </c>
      <c r="AT2759" t="s">
        <v>90</v>
      </c>
      <c r="AU2759" s="1">
        <v>44222.718668981484</v>
      </c>
      <c r="AV2759">
        <v>34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58</v>
      </c>
      <c r="BC2759">
        <v>0</v>
      </c>
      <c r="BD2759">
        <v>0</v>
      </c>
      <c r="BE2759">
        <v>0</v>
      </c>
    </row>
    <row r="2760" spans="1:57" hidden="1" x14ac:dyDescent="0.45">
      <c r="A2760" t="s">
        <v>6580</v>
      </c>
      <c r="B2760" t="s">
        <v>79</v>
      </c>
      <c r="C2760" t="s">
        <v>6567</v>
      </c>
      <c r="D2760" t="s">
        <v>81</v>
      </c>
      <c r="E2760" s="2" t="str">
        <f>HYPERLINK("capsilon://?command=openfolder&amp;siteaddress=FAM.docvelocity-na8.net&amp;folderid=FXF20C6C9C-6BEE-CCBA-9BB3-24089DF8D298","FX21019139")</f>
        <v>FX21019139</v>
      </c>
      <c r="F2760" t="s">
        <v>19</v>
      </c>
      <c r="G2760" t="s">
        <v>19</v>
      </c>
      <c r="H2760" t="s">
        <v>82</v>
      </c>
      <c r="I2760" t="s">
        <v>6581</v>
      </c>
      <c r="J2760">
        <v>39</v>
      </c>
      <c r="K2760" t="s">
        <v>84</v>
      </c>
      <c r="L2760" t="s">
        <v>85</v>
      </c>
      <c r="M2760" t="s">
        <v>86</v>
      </c>
      <c r="N2760">
        <v>1</v>
      </c>
      <c r="O2760" s="1">
        <v>44222.679618055554</v>
      </c>
      <c r="P2760" s="1">
        <v>44222.682152777779</v>
      </c>
      <c r="Q2760">
        <v>170</v>
      </c>
      <c r="R2760">
        <v>49</v>
      </c>
      <c r="S2760" t="b">
        <v>0</v>
      </c>
      <c r="T2760" t="s">
        <v>87</v>
      </c>
      <c r="U2760" t="b">
        <v>0</v>
      </c>
      <c r="V2760" t="s">
        <v>168</v>
      </c>
      <c r="W2760" s="1">
        <v>44222.682152777779</v>
      </c>
      <c r="X2760">
        <v>14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39</v>
      </c>
      <c r="AE2760">
        <v>0</v>
      </c>
      <c r="AF2760">
        <v>0</v>
      </c>
      <c r="AG2760">
        <v>2</v>
      </c>
      <c r="AH2760" t="s">
        <v>87</v>
      </c>
      <c r="AI2760" t="s">
        <v>87</v>
      </c>
      <c r="AJ2760" t="s">
        <v>87</v>
      </c>
      <c r="AK2760" t="s">
        <v>87</v>
      </c>
      <c r="AL2760" t="s">
        <v>87</v>
      </c>
      <c r="AM2760" t="s">
        <v>87</v>
      </c>
      <c r="AN2760" t="s">
        <v>87</v>
      </c>
      <c r="AO2760" t="s">
        <v>87</v>
      </c>
      <c r="AP2760" t="s">
        <v>87</v>
      </c>
      <c r="AQ2760" t="s">
        <v>87</v>
      </c>
      <c r="AR2760" t="s">
        <v>87</v>
      </c>
      <c r="AS2760" t="s">
        <v>87</v>
      </c>
      <c r="AT2760" t="s">
        <v>87</v>
      </c>
      <c r="AU2760" t="s">
        <v>87</v>
      </c>
      <c r="AV2760" t="s">
        <v>87</v>
      </c>
      <c r="AW2760" t="s">
        <v>87</v>
      </c>
      <c r="AX2760" t="s">
        <v>87</v>
      </c>
      <c r="AY2760" t="s">
        <v>87</v>
      </c>
      <c r="AZ2760" t="s">
        <v>87</v>
      </c>
      <c r="BA2760" t="s">
        <v>87</v>
      </c>
      <c r="BB2760" t="s">
        <v>87</v>
      </c>
      <c r="BC2760" t="s">
        <v>87</v>
      </c>
      <c r="BD2760" t="s">
        <v>87</v>
      </c>
      <c r="BE2760" t="s">
        <v>87</v>
      </c>
    </row>
    <row r="2761" spans="1:57" hidden="1" x14ac:dyDescent="0.45">
      <c r="A2761" t="s">
        <v>6582</v>
      </c>
      <c r="B2761" t="s">
        <v>79</v>
      </c>
      <c r="C2761" t="s">
        <v>6583</v>
      </c>
      <c r="D2761" t="s">
        <v>81</v>
      </c>
      <c r="E2761" s="2" t="str">
        <f>HYPERLINK("capsilon://?command=openfolder&amp;siteaddress=FAM.docvelocity-na8.net&amp;folderid=FXBBC8333B-9864-9BEF-7F5B-88C3FD54D9DF","FX201116512")</f>
        <v>FX201116512</v>
      </c>
      <c r="F2761" t="s">
        <v>19</v>
      </c>
      <c r="G2761" t="s">
        <v>19</v>
      </c>
      <c r="H2761" t="s">
        <v>82</v>
      </c>
      <c r="I2761" t="s">
        <v>6584</v>
      </c>
      <c r="J2761">
        <v>66</v>
      </c>
      <c r="K2761" t="s">
        <v>84</v>
      </c>
      <c r="L2761" t="s">
        <v>85</v>
      </c>
      <c r="M2761" t="s">
        <v>86</v>
      </c>
      <c r="N2761">
        <v>1</v>
      </c>
      <c r="O2761" s="1">
        <v>44201.641932870371</v>
      </c>
      <c r="P2761" s="1">
        <v>44201.645613425928</v>
      </c>
      <c r="Q2761">
        <v>9</v>
      </c>
      <c r="R2761">
        <v>309</v>
      </c>
      <c r="S2761" t="b">
        <v>0</v>
      </c>
      <c r="T2761" t="s">
        <v>87</v>
      </c>
      <c r="U2761" t="b">
        <v>0</v>
      </c>
      <c r="V2761" t="s">
        <v>343</v>
      </c>
      <c r="W2761" s="1">
        <v>44201.645613425928</v>
      </c>
      <c r="X2761">
        <v>217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66</v>
      </c>
      <c r="AE2761">
        <v>52</v>
      </c>
      <c r="AF2761">
        <v>0</v>
      </c>
      <c r="AG2761">
        <v>1</v>
      </c>
      <c r="AH2761" t="s">
        <v>87</v>
      </c>
      <c r="AI2761" t="s">
        <v>87</v>
      </c>
      <c r="AJ2761" t="s">
        <v>87</v>
      </c>
      <c r="AK2761" t="s">
        <v>87</v>
      </c>
      <c r="AL2761" t="s">
        <v>87</v>
      </c>
      <c r="AM2761" t="s">
        <v>87</v>
      </c>
      <c r="AN2761" t="s">
        <v>87</v>
      </c>
      <c r="AO2761" t="s">
        <v>87</v>
      </c>
      <c r="AP2761" t="s">
        <v>87</v>
      </c>
      <c r="AQ2761" t="s">
        <v>87</v>
      </c>
      <c r="AR2761" t="s">
        <v>87</v>
      </c>
      <c r="AS2761" t="s">
        <v>87</v>
      </c>
      <c r="AT2761" t="s">
        <v>87</v>
      </c>
      <c r="AU2761" t="s">
        <v>87</v>
      </c>
      <c r="AV2761" t="s">
        <v>87</v>
      </c>
      <c r="AW2761" t="s">
        <v>87</v>
      </c>
      <c r="AX2761" t="s">
        <v>87</v>
      </c>
      <c r="AY2761" t="s">
        <v>87</v>
      </c>
      <c r="AZ2761" t="s">
        <v>87</v>
      </c>
      <c r="BA2761" t="s">
        <v>87</v>
      </c>
      <c r="BB2761" t="s">
        <v>87</v>
      </c>
      <c r="BC2761" t="s">
        <v>87</v>
      </c>
      <c r="BD2761" t="s">
        <v>87</v>
      </c>
      <c r="BE2761" t="s">
        <v>87</v>
      </c>
    </row>
    <row r="2762" spans="1:57" x14ac:dyDescent="0.45">
      <c r="A2762" t="s">
        <v>6585</v>
      </c>
      <c r="B2762" t="s">
        <v>79</v>
      </c>
      <c r="C2762" t="s">
        <v>6567</v>
      </c>
      <c r="D2762" t="s">
        <v>81</v>
      </c>
      <c r="E2762" s="2" t="str">
        <f>HYPERLINK("capsilon://?command=openfolder&amp;siteaddress=FAM.docvelocity-na8.net&amp;folderid=FXF20C6C9C-6BEE-CCBA-9BB3-24089DF8D298","FX21019139")</f>
        <v>FX21019139</v>
      </c>
      <c r="F2762" t="s">
        <v>19</v>
      </c>
      <c r="G2762" t="s">
        <v>19</v>
      </c>
      <c r="H2762" t="s">
        <v>82</v>
      </c>
      <c r="I2762" t="s">
        <v>6581</v>
      </c>
      <c r="J2762">
        <v>73</v>
      </c>
      <c r="K2762" t="s">
        <v>84</v>
      </c>
      <c r="L2762" t="s">
        <v>85</v>
      </c>
      <c r="M2762" t="s">
        <v>86</v>
      </c>
      <c r="N2762">
        <v>3</v>
      </c>
      <c r="O2762" s="1">
        <v>44222.683368055557</v>
      </c>
      <c r="P2762" s="1">
        <v>44223.336851851855</v>
      </c>
      <c r="Q2762">
        <v>51494</v>
      </c>
      <c r="R2762">
        <v>4967</v>
      </c>
      <c r="S2762" t="b">
        <v>0</v>
      </c>
      <c r="T2762" t="s">
        <v>87</v>
      </c>
      <c r="U2762" t="b">
        <v>1</v>
      </c>
      <c r="V2762" t="s">
        <v>259</v>
      </c>
      <c r="W2762" s="1">
        <v>44222.752754629626</v>
      </c>
      <c r="X2762">
        <v>4386</v>
      </c>
      <c r="Y2762">
        <v>117</v>
      </c>
      <c r="Z2762">
        <v>0</v>
      </c>
      <c r="AA2762">
        <v>117</v>
      </c>
      <c r="AB2762">
        <v>0</v>
      </c>
      <c r="AC2762">
        <v>65</v>
      </c>
      <c r="AD2762">
        <v>-44</v>
      </c>
      <c r="AE2762">
        <v>0</v>
      </c>
      <c r="AF2762">
        <v>0</v>
      </c>
      <c r="AG2762">
        <v>0</v>
      </c>
      <c r="AH2762" t="s">
        <v>128</v>
      </c>
      <c r="AI2762" s="1">
        <v>44222.760254629633</v>
      </c>
      <c r="AJ2762">
        <v>518</v>
      </c>
      <c r="AK2762">
        <v>4</v>
      </c>
      <c r="AL2762">
        <v>0</v>
      </c>
      <c r="AM2762">
        <v>4</v>
      </c>
      <c r="AN2762">
        <v>0</v>
      </c>
      <c r="AO2762">
        <v>4</v>
      </c>
      <c r="AP2762">
        <v>-48</v>
      </c>
      <c r="AQ2762">
        <v>0</v>
      </c>
      <c r="AR2762">
        <v>0</v>
      </c>
      <c r="AS2762">
        <v>0</v>
      </c>
      <c r="AT2762" t="s">
        <v>90</v>
      </c>
      <c r="AU2762" s="1">
        <v>44223.336851851855</v>
      </c>
      <c r="AV2762">
        <v>50</v>
      </c>
      <c r="AW2762">
        <v>2</v>
      </c>
      <c r="AX2762">
        <v>0</v>
      </c>
      <c r="AY2762">
        <v>2</v>
      </c>
      <c r="AZ2762">
        <v>0</v>
      </c>
      <c r="BA2762">
        <v>2</v>
      </c>
      <c r="BB2762">
        <v>-50</v>
      </c>
      <c r="BC2762">
        <v>0</v>
      </c>
      <c r="BD2762">
        <v>0</v>
      </c>
      <c r="BE2762">
        <v>0</v>
      </c>
    </row>
    <row r="2763" spans="1:57" x14ac:dyDescent="0.45">
      <c r="A2763" t="s">
        <v>6586</v>
      </c>
      <c r="B2763" t="s">
        <v>79</v>
      </c>
      <c r="C2763" t="s">
        <v>6587</v>
      </c>
      <c r="D2763" t="s">
        <v>81</v>
      </c>
      <c r="E2763" s="2" t="str">
        <f>HYPERLINK("capsilon://?command=openfolder&amp;siteaddress=FAM.docvelocity-na8.net&amp;folderid=FX1B374C6B-5149-2BD2-3FEB-DF5EFA48D2F0","FX201222359")</f>
        <v>FX201222359</v>
      </c>
      <c r="F2763" t="s">
        <v>19</v>
      </c>
      <c r="G2763" t="s">
        <v>19</v>
      </c>
      <c r="H2763" t="s">
        <v>82</v>
      </c>
      <c r="I2763" t="s">
        <v>6588</v>
      </c>
      <c r="J2763">
        <v>128</v>
      </c>
      <c r="K2763" t="s">
        <v>84</v>
      </c>
      <c r="L2763" t="s">
        <v>85</v>
      </c>
      <c r="M2763" t="s">
        <v>86</v>
      </c>
      <c r="N2763">
        <v>3</v>
      </c>
      <c r="O2763" s="1">
        <v>44222.685706018521</v>
      </c>
      <c r="P2763" s="1">
        <v>44222.700555555559</v>
      </c>
      <c r="Q2763">
        <v>603</v>
      </c>
      <c r="R2763">
        <v>680</v>
      </c>
      <c r="S2763" t="b">
        <v>0</v>
      </c>
      <c r="T2763" t="s">
        <v>87</v>
      </c>
      <c r="U2763" t="b">
        <v>0</v>
      </c>
      <c r="V2763" t="s">
        <v>242</v>
      </c>
      <c r="W2763" s="1">
        <v>44222.691296296296</v>
      </c>
      <c r="X2763">
        <v>476</v>
      </c>
      <c r="Y2763">
        <v>128</v>
      </c>
      <c r="Z2763">
        <v>0</v>
      </c>
      <c r="AA2763">
        <v>128</v>
      </c>
      <c r="AB2763">
        <v>0</v>
      </c>
      <c r="AC2763">
        <v>79</v>
      </c>
      <c r="AD2763">
        <v>0</v>
      </c>
      <c r="AE2763">
        <v>0</v>
      </c>
      <c r="AF2763">
        <v>0</v>
      </c>
      <c r="AG2763">
        <v>0</v>
      </c>
      <c r="AH2763" t="s">
        <v>132</v>
      </c>
      <c r="AI2763" s="1">
        <v>44222.698055555556</v>
      </c>
      <c r="AJ2763">
        <v>168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 t="s">
        <v>90</v>
      </c>
      <c r="AU2763" s="1">
        <v>44222.700555555559</v>
      </c>
      <c r="AV2763">
        <v>36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</row>
    <row r="2764" spans="1:57" hidden="1" x14ac:dyDescent="0.45">
      <c r="A2764" t="s">
        <v>6589</v>
      </c>
      <c r="B2764" t="s">
        <v>79</v>
      </c>
      <c r="C2764" t="s">
        <v>6590</v>
      </c>
      <c r="D2764" t="s">
        <v>81</v>
      </c>
      <c r="E2764" s="2" t="str">
        <f>HYPERLINK("capsilon://?command=openfolder&amp;siteaddress=FAM.docvelocity-na8.net&amp;folderid=FXA1671450-B49C-64B1-6A03-F96C2FA527BD","FX201221982")</f>
        <v>FX201221982</v>
      </c>
      <c r="F2764" t="s">
        <v>19</v>
      </c>
      <c r="G2764" t="s">
        <v>19</v>
      </c>
      <c r="H2764" t="s">
        <v>82</v>
      </c>
      <c r="I2764" t="s">
        <v>6591</v>
      </c>
      <c r="J2764">
        <v>66</v>
      </c>
      <c r="K2764" t="s">
        <v>84</v>
      </c>
      <c r="L2764" t="s">
        <v>85</v>
      </c>
      <c r="M2764" t="s">
        <v>86</v>
      </c>
      <c r="N2764">
        <v>1</v>
      </c>
      <c r="O2764" s="1">
        <v>44222.686909722222</v>
      </c>
      <c r="P2764" s="1">
        <v>44222.687673611108</v>
      </c>
      <c r="Q2764">
        <v>13</v>
      </c>
      <c r="R2764">
        <v>53</v>
      </c>
      <c r="S2764" t="b">
        <v>0</v>
      </c>
      <c r="T2764" t="s">
        <v>87</v>
      </c>
      <c r="U2764" t="b">
        <v>0</v>
      </c>
      <c r="V2764" t="s">
        <v>168</v>
      </c>
      <c r="W2764" s="1">
        <v>44222.687673611108</v>
      </c>
      <c r="X2764">
        <v>53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66</v>
      </c>
      <c r="AE2764">
        <v>52</v>
      </c>
      <c r="AF2764">
        <v>0</v>
      </c>
      <c r="AG2764">
        <v>1</v>
      </c>
      <c r="AH2764" t="s">
        <v>87</v>
      </c>
      <c r="AI2764" t="s">
        <v>87</v>
      </c>
      <c r="AJ2764" t="s">
        <v>87</v>
      </c>
      <c r="AK2764" t="s">
        <v>87</v>
      </c>
      <c r="AL2764" t="s">
        <v>87</v>
      </c>
      <c r="AM2764" t="s">
        <v>87</v>
      </c>
      <c r="AN2764" t="s">
        <v>87</v>
      </c>
      <c r="AO2764" t="s">
        <v>87</v>
      </c>
      <c r="AP2764" t="s">
        <v>87</v>
      </c>
      <c r="AQ2764" t="s">
        <v>87</v>
      </c>
      <c r="AR2764" t="s">
        <v>87</v>
      </c>
      <c r="AS2764" t="s">
        <v>87</v>
      </c>
      <c r="AT2764" t="s">
        <v>87</v>
      </c>
      <c r="AU2764" t="s">
        <v>87</v>
      </c>
      <c r="AV2764" t="s">
        <v>87</v>
      </c>
      <c r="AW2764" t="s">
        <v>87</v>
      </c>
      <c r="AX2764" t="s">
        <v>87</v>
      </c>
      <c r="AY2764" t="s">
        <v>87</v>
      </c>
      <c r="AZ2764" t="s">
        <v>87</v>
      </c>
      <c r="BA2764" t="s">
        <v>87</v>
      </c>
      <c r="BB2764" t="s">
        <v>87</v>
      </c>
      <c r="BC2764" t="s">
        <v>87</v>
      </c>
      <c r="BD2764" t="s">
        <v>87</v>
      </c>
      <c r="BE2764" t="s">
        <v>87</v>
      </c>
    </row>
    <row r="2765" spans="1:57" x14ac:dyDescent="0.45">
      <c r="A2765" t="s">
        <v>6592</v>
      </c>
      <c r="B2765" t="s">
        <v>79</v>
      </c>
      <c r="C2765" t="s">
        <v>6590</v>
      </c>
      <c r="D2765" t="s">
        <v>81</v>
      </c>
      <c r="E2765" s="2" t="str">
        <f>HYPERLINK("capsilon://?command=openfolder&amp;siteaddress=FAM.docvelocity-na8.net&amp;folderid=FXA1671450-B49C-64B1-6A03-F96C2FA527BD","FX201221982")</f>
        <v>FX201221982</v>
      </c>
      <c r="F2765" t="s">
        <v>19</v>
      </c>
      <c r="G2765" t="s">
        <v>19</v>
      </c>
      <c r="H2765" t="s">
        <v>82</v>
      </c>
      <c r="I2765" t="s">
        <v>6591</v>
      </c>
      <c r="J2765">
        <v>38</v>
      </c>
      <c r="K2765" t="s">
        <v>84</v>
      </c>
      <c r="L2765" t="s">
        <v>85</v>
      </c>
      <c r="M2765" t="s">
        <v>86</v>
      </c>
      <c r="N2765">
        <v>3</v>
      </c>
      <c r="O2765" s="1">
        <v>44222.688101851854</v>
      </c>
      <c r="P2765" s="1">
        <v>44222.699421296296</v>
      </c>
      <c r="Q2765">
        <v>656</v>
      </c>
      <c r="R2765">
        <v>322</v>
      </c>
      <c r="S2765" t="b">
        <v>0</v>
      </c>
      <c r="T2765" t="s">
        <v>87</v>
      </c>
      <c r="U2765" t="b">
        <v>1</v>
      </c>
      <c r="V2765" t="s">
        <v>142</v>
      </c>
      <c r="W2765" s="1">
        <v>44222.693564814814</v>
      </c>
      <c r="X2765">
        <v>202</v>
      </c>
      <c r="Y2765">
        <v>44</v>
      </c>
      <c r="Z2765">
        <v>0</v>
      </c>
      <c r="AA2765">
        <v>44</v>
      </c>
      <c r="AB2765">
        <v>0</v>
      </c>
      <c r="AC2765">
        <v>15</v>
      </c>
      <c r="AD2765">
        <v>-6</v>
      </c>
      <c r="AE2765">
        <v>0</v>
      </c>
      <c r="AF2765">
        <v>0</v>
      </c>
      <c r="AG2765">
        <v>0</v>
      </c>
      <c r="AH2765" t="s">
        <v>132</v>
      </c>
      <c r="AI2765" s="1">
        <v>44222.696111111109</v>
      </c>
      <c r="AJ2765">
        <v>87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-6</v>
      </c>
      <c r="AQ2765">
        <v>0</v>
      </c>
      <c r="AR2765">
        <v>0</v>
      </c>
      <c r="AS2765">
        <v>0</v>
      </c>
      <c r="AT2765" t="s">
        <v>90</v>
      </c>
      <c r="AU2765" s="1">
        <v>44222.699421296296</v>
      </c>
      <c r="AV2765">
        <v>12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-6</v>
      </c>
      <c r="BC2765">
        <v>0</v>
      </c>
      <c r="BD2765">
        <v>0</v>
      </c>
      <c r="BE2765">
        <v>0</v>
      </c>
    </row>
    <row r="2766" spans="1:57" hidden="1" x14ac:dyDescent="0.45">
      <c r="A2766" t="s">
        <v>6593</v>
      </c>
      <c r="B2766" t="s">
        <v>79</v>
      </c>
      <c r="C2766" t="s">
        <v>6587</v>
      </c>
      <c r="D2766" t="s">
        <v>81</v>
      </c>
      <c r="E2766" s="2" t="str">
        <f>HYPERLINK("capsilon://?command=openfolder&amp;siteaddress=FAM.docvelocity-na8.net&amp;folderid=FX1B374C6B-5149-2BD2-3FEB-DF5EFA48D2F0","FX201222359")</f>
        <v>FX201222359</v>
      </c>
      <c r="F2766" t="s">
        <v>19</v>
      </c>
      <c r="G2766" t="s">
        <v>19</v>
      </c>
      <c r="H2766" t="s">
        <v>82</v>
      </c>
      <c r="I2766" t="s">
        <v>6594</v>
      </c>
      <c r="J2766">
        <v>64</v>
      </c>
      <c r="K2766" t="s">
        <v>84</v>
      </c>
      <c r="L2766" t="s">
        <v>85</v>
      </c>
      <c r="M2766" t="s">
        <v>86</v>
      </c>
      <c r="N2766">
        <v>1</v>
      </c>
      <c r="O2766" s="1">
        <v>44222.688113425924</v>
      </c>
      <c r="P2766" s="1">
        <v>44222.691655092596</v>
      </c>
      <c r="Q2766">
        <v>36</v>
      </c>
      <c r="R2766">
        <v>270</v>
      </c>
      <c r="S2766" t="b">
        <v>0</v>
      </c>
      <c r="T2766" t="s">
        <v>87</v>
      </c>
      <c r="U2766" t="b">
        <v>0</v>
      </c>
      <c r="V2766" t="s">
        <v>142</v>
      </c>
      <c r="W2766" s="1">
        <v>44222.691655092596</v>
      </c>
      <c r="X2766">
        <v>270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64</v>
      </c>
      <c r="AE2766">
        <v>60</v>
      </c>
      <c r="AF2766">
        <v>0</v>
      </c>
      <c r="AG2766">
        <v>2</v>
      </c>
      <c r="AH2766" t="s">
        <v>87</v>
      </c>
      <c r="AI2766" t="s">
        <v>87</v>
      </c>
      <c r="AJ2766" t="s">
        <v>87</v>
      </c>
      <c r="AK2766" t="s">
        <v>87</v>
      </c>
      <c r="AL2766" t="s">
        <v>87</v>
      </c>
      <c r="AM2766" t="s">
        <v>87</v>
      </c>
      <c r="AN2766" t="s">
        <v>87</v>
      </c>
      <c r="AO2766" t="s">
        <v>87</v>
      </c>
      <c r="AP2766" t="s">
        <v>87</v>
      </c>
      <c r="AQ2766" t="s">
        <v>87</v>
      </c>
      <c r="AR2766" t="s">
        <v>87</v>
      </c>
      <c r="AS2766" t="s">
        <v>87</v>
      </c>
      <c r="AT2766" t="s">
        <v>87</v>
      </c>
      <c r="AU2766" t="s">
        <v>87</v>
      </c>
      <c r="AV2766" t="s">
        <v>87</v>
      </c>
      <c r="AW2766" t="s">
        <v>87</v>
      </c>
      <c r="AX2766" t="s">
        <v>87</v>
      </c>
      <c r="AY2766" t="s">
        <v>87</v>
      </c>
      <c r="AZ2766" t="s">
        <v>87</v>
      </c>
      <c r="BA2766" t="s">
        <v>87</v>
      </c>
      <c r="BB2766" t="s">
        <v>87</v>
      </c>
      <c r="BC2766" t="s">
        <v>87</v>
      </c>
      <c r="BD2766" t="s">
        <v>87</v>
      </c>
      <c r="BE2766" t="s">
        <v>87</v>
      </c>
    </row>
    <row r="2767" spans="1:57" x14ac:dyDescent="0.45">
      <c r="A2767" t="s">
        <v>6595</v>
      </c>
      <c r="B2767" t="s">
        <v>79</v>
      </c>
      <c r="C2767" t="s">
        <v>5673</v>
      </c>
      <c r="D2767" t="s">
        <v>81</v>
      </c>
      <c r="E2767" s="2" t="str">
        <f>HYPERLINK("capsilon://?command=openfolder&amp;siteaddress=FAM.docvelocity-na8.net&amp;folderid=FXEA271657-4728-8886-54D0-A3A52DC8B3E3","FX20127728")</f>
        <v>FX20127728</v>
      </c>
      <c r="F2767" t="s">
        <v>19</v>
      </c>
      <c r="G2767" t="s">
        <v>19</v>
      </c>
      <c r="H2767" t="s">
        <v>82</v>
      </c>
      <c r="I2767" t="s">
        <v>6596</v>
      </c>
      <c r="J2767">
        <v>38</v>
      </c>
      <c r="K2767" t="s">
        <v>84</v>
      </c>
      <c r="L2767" t="s">
        <v>85</v>
      </c>
      <c r="M2767" t="s">
        <v>86</v>
      </c>
      <c r="N2767">
        <v>3</v>
      </c>
      <c r="O2767" s="1">
        <v>44222.691435185188</v>
      </c>
      <c r="P2767" s="1">
        <v>44222.700648148151</v>
      </c>
      <c r="Q2767">
        <v>240</v>
      </c>
      <c r="R2767">
        <v>556</v>
      </c>
      <c r="S2767" t="b">
        <v>0</v>
      </c>
      <c r="T2767" t="s">
        <v>87</v>
      </c>
      <c r="U2767" t="b">
        <v>0</v>
      </c>
      <c r="V2767" t="s">
        <v>259</v>
      </c>
      <c r="W2767" s="1">
        <v>44222.697465277779</v>
      </c>
      <c r="X2767">
        <v>446</v>
      </c>
      <c r="Y2767">
        <v>37</v>
      </c>
      <c r="Z2767">
        <v>0</v>
      </c>
      <c r="AA2767">
        <v>37</v>
      </c>
      <c r="AB2767">
        <v>0</v>
      </c>
      <c r="AC2767">
        <v>34</v>
      </c>
      <c r="AD2767">
        <v>1</v>
      </c>
      <c r="AE2767">
        <v>0</v>
      </c>
      <c r="AF2767">
        <v>0</v>
      </c>
      <c r="AG2767">
        <v>0</v>
      </c>
      <c r="AH2767" t="s">
        <v>132</v>
      </c>
      <c r="AI2767" s="1">
        <v>44222.698773148149</v>
      </c>
      <c r="AJ2767">
        <v>61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 t="s">
        <v>90</v>
      </c>
      <c r="AU2767" s="1">
        <v>44222.700648148151</v>
      </c>
      <c r="AV2767">
        <v>8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1</v>
      </c>
      <c r="BC2767">
        <v>0</v>
      </c>
      <c r="BD2767">
        <v>0</v>
      </c>
      <c r="BE2767">
        <v>0</v>
      </c>
    </row>
    <row r="2768" spans="1:57" x14ac:dyDescent="0.45">
      <c r="A2768" t="s">
        <v>6597</v>
      </c>
      <c r="B2768" t="s">
        <v>79</v>
      </c>
      <c r="C2768" t="s">
        <v>6587</v>
      </c>
      <c r="D2768" t="s">
        <v>81</v>
      </c>
      <c r="E2768" s="2" t="str">
        <f>HYPERLINK("capsilon://?command=openfolder&amp;siteaddress=FAM.docvelocity-na8.net&amp;folderid=FX1B374C6B-5149-2BD2-3FEB-DF5EFA48D2F0","FX201222359")</f>
        <v>FX201222359</v>
      </c>
      <c r="F2768" t="s">
        <v>19</v>
      </c>
      <c r="G2768" t="s">
        <v>19</v>
      </c>
      <c r="H2768" t="s">
        <v>82</v>
      </c>
      <c r="I2768" t="s">
        <v>6594</v>
      </c>
      <c r="J2768">
        <v>128</v>
      </c>
      <c r="K2768" t="s">
        <v>84</v>
      </c>
      <c r="L2768" t="s">
        <v>85</v>
      </c>
      <c r="M2768" t="s">
        <v>86</v>
      </c>
      <c r="N2768">
        <v>3</v>
      </c>
      <c r="O2768" s="1">
        <v>44222.693078703705</v>
      </c>
      <c r="P2768" s="1">
        <v>44222.712939814817</v>
      </c>
      <c r="Q2768">
        <v>780</v>
      </c>
      <c r="R2768">
        <v>936</v>
      </c>
      <c r="S2768" t="b">
        <v>0</v>
      </c>
      <c r="T2768" t="s">
        <v>87</v>
      </c>
      <c r="U2768" t="b">
        <v>1</v>
      </c>
      <c r="V2768" t="s">
        <v>255</v>
      </c>
      <c r="W2768" s="1">
        <v>44222.701365740744</v>
      </c>
      <c r="X2768">
        <v>710</v>
      </c>
      <c r="Y2768">
        <v>128</v>
      </c>
      <c r="Z2768">
        <v>0</v>
      </c>
      <c r="AA2768">
        <v>128</v>
      </c>
      <c r="AB2768">
        <v>0</v>
      </c>
      <c r="AC2768">
        <v>95</v>
      </c>
      <c r="AD2768">
        <v>0</v>
      </c>
      <c r="AE2768">
        <v>0</v>
      </c>
      <c r="AF2768">
        <v>0</v>
      </c>
      <c r="AG2768">
        <v>0</v>
      </c>
      <c r="AH2768" t="s">
        <v>132</v>
      </c>
      <c r="AI2768" s="1">
        <v>44222.711168981485</v>
      </c>
      <c r="AJ2768">
        <v>195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 t="s">
        <v>90</v>
      </c>
      <c r="AU2768" s="1">
        <v>44222.712939814817</v>
      </c>
      <c r="AV2768">
        <v>17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</row>
    <row r="2769" spans="1:57" x14ac:dyDescent="0.45">
      <c r="A2769" t="s">
        <v>6598</v>
      </c>
      <c r="B2769" t="s">
        <v>79</v>
      </c>
      <c r="C2769" t="s">
        <v>3962</v>
      </c>
      <c r="D2769" t="s">
        <v>81</v>
      </c>
      <c r="E2769" s="2" t="str">
        <f>HYPERLINK("capsilon://?command=openfolder&amp;siteaddress=FAM.docvelocity-na8.net&amp;folderid=FXCA40F804-62E7-B55B-F1C0-B8879B453202","FX20127602")</f>
        <v>FX20127602</v>
      </c>
      <c r="F2769" t="s">
        <v>19</v>
      </c>
      <c r="G2769" t="s">
        <v>19</v>
      </c>
      <c r="H2769" t="s">
        <v>82</v>
      </c>
      <c r="I2769" t="s">
        <v>6599</v>
      </c>
      <c r="J2769">
        <v>69</v>
      </c>
      <c r="K2769" t="s">
        <v>84</v>
      </c>
      <c r="L2769" t="s">
        <v>85</v>
      </c>
      <c r="M2769" t="s">
        <v>86</v>
      </c>
      <c r="N2769">
        <v>3</v>
      </c>
      <c r="O2769" s="1">
        <v>44222.693159722221</v>
      </c>
      <c r="P2769" s="1">
        <v>44222.721747685187</v>
      </c>
      <c r="Q2769">
        <v>1508</v>
      </c>
      <c r="R2769">
        <v>962</v>
      </c>
      <c r="S2769" t="b">
        <v>0</v>
      </c>
      <c r="T2769" t="s">
        <v>87</v>
      </c>
      <c r="U2769" t="b">
        <v>0</v>
      </c>
      <c r="V2769" t="s">
        <v>142</v>
      </c>
      <c r="W2769" s="1">
        <v>44222.702268518522</v>
      </c>
      <c r="X2769">
        <v>751</v>
      </c>
      <c r="Y2769">
        <v>69</v>
      </c>
      <c r="Z2769">
        <v>0</v>
      </c>
      <c r="AA2769">
        <v>69</v>
      </c>
      <c r="AB2769">
        <v>0</v>
      </c>
      <c r="AC2769">
        <v>31</v>
      </c>
      <c r="AD2769">
        <v>0</v>
      </c>
      <c r="AE2769">
        <v>0</v>
      </c>
      <c r="AF2769">
        <v>0</v>
      </c>
      <c r="AG2769">
        <v>0</v>
      </c>
      <c r="AH2769" t="s">
        <v>128</v>
      </c>
      <c r="AI2769" s="1">
        <v>44222.717743055553</v>
      </c>
      <c r="AJ2769">
        <v>193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 t="s">
        <v>90</v>
      </c>
      <c r="AU2769" s="1">
        <v>44222.721747685187</v>
      </c>
      <c r="AV2769">
        <v>18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</row>
    <row r="2770" spans="1:57" x14ac:dyDescent="0.45">
      <c r="A2770" t="s">
        <v>6600</v>
      </c>
      <c r="B2770" t="s">
        <v>79</v>
      </c>
      <c r="C2770" t="s">
        <v>6601</v>
      </c>
      <c r="D2770" t="s">
        <v>81</v>
      </c>
      <c r="E2770" s="2" t="str">
        <f>HYPERLINK("capsilon://?command=openfolder&amp;siteaddress=FAM.docvelocity-na8.net&amp;folderid=FXCDE7FF5A-C189-EE87-9C38-A76D76ACDCD2","FX201222499")</f>
        <v>FX201222499</v>
      </c>
      <c r="F2770" t="s">
        <v>19</v>
      </c>
      <c r="G2770" t="s">
        <v>19</v>
      </c>
      <c r="H2770" t="s">
        <v>82</v>
      </c>
      <c r="I2770" t="s">
        <v>6602</v>
      </c>
      <c r="J2770">
        <v>390</v>
      </c>
      <c r="K2770" t="s">
        <v>84</v>
      </c>
      <c r="L2770" t="s">
        <v>85</v>
      </c>
      <c r="M2770" t="s">
        <v>86</v>
      </c>
      <c r="N2770">
        <v>3</v>
      </c>
      <c r="O2770" s="1">
        <v>44201.644872685189</v>
      </c>
      <c r="P2770" s="1">
        <v>44202.348715277774</v>
      </c>
      <c r="Q2770">
        <v>51846</v>
      </c>
      <c r="R2770">
        <v>8966</v>
      </c>
      <c r="S2770" t="b">
        <v>0</v>
      </c>
      <c r="T2770" t="s">
        <v>87</v>
      </c>
      <c r="U2770" t="b">
        <v>0</v>
      </c>
      <c r="V2770" t="s">
        <v>343</v>
      </c>
      <c r="W2770" s="1">
        <v>44201.729953703703</v>
      </c>
      <c r="X2770">
        <v>5852</v>
      </c>
      <c r="Y2770">
        <v>382</v>
      </c>
      <c r="Z2770">
        <v>0</v>
      </c>
      <c r="AA2770">
        <v>382</v>
      </c>
      <c r="AB2770">
        <v>37</v>
      </c>
      <c r="AC2770">
        <v>256</v>
      </c>
      <c r="AD2770">
        <v>8</v>
      </c>
      <c r="AE2770">
        <v>0</v>
      </c>
      <c r="AF2770">
        <v>0</v>
      </c>
      <c r="AG2770">
        <v>0</v>
      </c>
      <c r="AH2770" t="s">
        <v>128</v>
      </c>
      <c r="AI2770" s="1">
        <v>44201.761435185188</v>
      </c>
      <c r="AJ2770">
        <v>2102</v>
      </c>
      <c r="AK2770">
        <v>14</v>
      </c>
      <c r="AL2770">
        <v>0</v>
      </c>
      <c r="AM2770">
        <v>14</v>
      </c>
      <c r="AN2770">
        <v>37</v>
      </c>
      <c r="AO2770">
        <v>13</v>
      </c>
      <c r="AP2770">
        <v>-6</v>
      </c>
      <c r="AQ2770">
        <v>0</v>
      </c>
      <c r="AR2770">
        <v>0</v>
      </c>
      <c r="AS2770">
        <v>0</v>
      </c>
      <c r="AT2770" t="s">
        <v>90</v>
      </c>
      <c r="AU2770" s="1">
        <v>44202.348715277774</v>
      </c>
      <c r="AV2770">
        <v>130</v>
      </c>
      <c r="AW2770">
        <v>0</v>
      </c>
      <c r="AX2770">
        <v>0</v>
      </c>
      <c r="AY2770">
        <v>0</v>
      </c>
      <c r="AZ2770">
        <v>37</v>
      </c>
      <c r="BA2770">
        <v>0</v>
      </c>
      <c r="BB2770">
        <v>-6</v>
      </c>
      <c r="BC2770">
        <v>0</v>
      </c>
      <c r="BD2770">
        <v>0</v>
      </c>
      <c r="BE2770">
        <v>0</v>
      </c>
    </row>
    <row r="2771" spans="1:57" x14ac:dyDescent="0.45">
      <c r="A2771" t="s">
        <v>6603</v>
      </c>
      <c r="B2771" t="s">
        <v>79</v>
      </c>
      <c r="C2771" t="s">
        <v>6604</v>
      </c>
      <c r="D2771" t="s">
        <v>81</v>
      </c>
      <c r="E2771" s="2" t="str">
        <f>HYPERLINK("capsilon://?command=openfolder&amp;siteaddress=FAM.docvelocity-na8.net&amp;folderid=FX9F98C70E-9A48-E0BB-FD3D-057D83781803","FX210115621")</f>
        <v>FX210115621</v>
      </c>
      <c r="F2771" t="s">
        <v>19</v>
      </c>
      <c r="G2771" t="s">
        <v>19</v>
      </c>
      <c r="H2771" t="s">
        <v>82</v>
      </c>
      <c r="I2771" t="s">
        <v>6605</v>
      </c>
      <c r="J2771">
        <v>141</v>
      </c>
      <c r="K2771" t="s">
        <v>84</v>
      </c>
      <c r="L2771" t="s">
        <v>85</v>
      </c>
      <c r="M2771" t="s">
        <v>86</v>
      </c>
      <c r="N2771">
        <v>3</v>
      </c>
      <c r="O2771" s="1">
        <v>44222.695405092592</v>
      </c>
      <c r="P2771" s="1">
        <v>44223.340289351851</v>
      </c>
      <c r="Q2771">
        <v>52779</v>
      </c>
      <c r="R2771">
        <v>2939</v>
      </c>
      <c r="S2771" t="b">
        <v>0</v>
      </c>
      <c r="T2771" t="s">
        <v>87</v>
      </c>
      <c r="U2771" t="b">
        <v>0</v>
      </c>
      <c r="V2771" t="s">
        <v>259</v>
      </c>
      <c r="W2771" s="1">
        <v>44222.723506944443</v>
      </c>
      <c r="X2771">
        <v>2250</v>
      </c>
      <c r="Y2771">
        <v>174</v>
      </c>
      <c r="Z2771">
        <v>0</v>
      </c>
      <c r="AA2771">
        <v>174</v>
      </c>
      <c r="AB2771">
        <v>0</v>
      </c>
      <c r="AC2771">
        <v>150</v>
      </c>
      <c r="AD2771">
        <v>-33</v>
      </c>
      <c r="AE2771">
        <v>0</v>
      </c>
      <c r="AF2771">
        <v>0</v>
      </c>
      <c r="AG2771">
        <v>0</v>
      </c>
      <c r="AH2771" t="s">
        <v>128</v>
      </c>
      <c r="AI2771" s="1">
        <v>44222.749259259261</v>
      </c>
      <c r="AJ2771">
        <v>587</v>
      </c>
      <c r="AK2771">
        <v>1</v>
      </c>
      <c r="AL2771">
        <v>0</v>
      </c>
      <c r="AM2771">
        <v>1</v>
      </c>
      <c r="AN2771">
        <v>0</v>
      </c>
      <c r="AO2771">
        <v>1</v>
      </c>
      <c r="AP2771">
        <v>-34</v>
      </c>
      <c r="AQ2771">
        <v>0</v>
      </c>
      <c r="AR2771">
        <v>0</v>
      </c>
      <c r="AS2771">
        <v>0</v>
      </c>
      <c r="AT2771" t="s">
        <v>90</v>
      </c>
      <c r="AU2771" s="1">
        <v>44223.340289351851</v>
      </c>
      <c r="AV2771">
        <v>102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-34</v>
      </c>
      <c r="BC2771">
        <v>0</v>
      </c>
      <c r="BD2771">
        <v>0</v>
      </c>
      <c r="BE2771">
        <v>0</v>
      </c>
    </row>
    <row r="2772" spans="1:57" x14ac:dyDescent="0.45">
      <c r="A2772" t="s">
        <v>6606</v>
      </c>
      <c r="B2772" t="s">
        <v>79</v>
      </c>
      <c r="C2772" t="s">
        <v>6604</v>
      </c>
      <c r="D2772" t="s">
        <v>81</v>
      </c>
      <c r="E2772" s="2" t="str">
        <f>HYPERLINK("capsilon://?command=openfolder&amp;siteaddress=FAM.docvelocity-na8.net&amp;folderid=FX9F98C70E-9A48-E0BB-FD3D-057D83781803","FX210115621")</f>
        <v>FX210115621</v>
      </c>
      <c r="F2772" t="s">
        <v>19</v>
      </c>
      <c r="G2772" t="s">
        <v>19</v>
      </c>
      <c r="H2772" t="s">
        <v>82</v>
      </c>
      <c r="I2772" t="s">
        <v>6607</v>
      </c>
      <c r="J2772">
        <v>26</v>
      </c>
      <c r="K2772" t="s">
        <v>84</v>
      </c>
      <c r="L2772" t="s">
        <v>85</v>
      </c>
      <c r="M2772" t="s">
        <v>86</v>
      </c>
      <c r="N2772">
        <v>3</v>
      </c>
      <c r="O2772" s="1">
        <v>44222.696342592593</v>
      </c>
      <c r="P2772" s="1">
        <v>44222.72179398148</v>
      </c>
      <c r="Q2772">
        <v>1924</v>
      </c>
      <c r="R2772">
        <v>275</v>
      </c>
      <c r="S2772" t="b">
        <v>0</v>
      </c>
      <c r="T2772" t="s">
        <v>87</v>
      </c>
      <c r="U2772" t="b">
        <v>0</v>
      </c>
      <c r="V2772" t="s">
        <v>255</v>
      </c>
      <c r="W2772" s="1">
        <v>44222.703125</v>
      </c>
      <c r="X2772">
        <v>151</v>
      </c>
      <c r="Y2772">
        <v>21</v>
      </c>
      <c r="Z2772">
        <v>0</v>
      </c>
      <c r="AA2772">
        <v>21</v>
      </c>
      <c r="AB2772">
        <v>0</v>
      </c>
      <c r="AC2772">
        <v>6</v>
      </c>
      <c r="AD2772">
        <v>5</v>
      </c>
      <c r="AE2772">
        <v>0</v>
      </c>
      <c r="AF2772">
        <v>0</v>
      </c>
      <c r="AG2772">
        <v>0</v>
      </c>
      <c r="AH2772" t="s">
        <v>128</v>
      </c>
      <c r="AI2772" s="1">
        <v>44222.719143518516</v>
      </c>
      <c r="AJ2772">
        <v>120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5</v>
      </c>
      <c r="AQ2772">
        <v>0</v>
      </c>
      <c r="AR2772">
        <v>0</v>
      </c>
      <c r="AS2772">
        <v>0</v>
      </c>
      <c r="AT2772" t="s">
        <v>90</v>
      </c>
      <c r="AU2772" s="1">
        <v>44222.72179398148</v>
      </c>
      <c r="AV2772">
        <v>4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5</v>
      </c>
      <c r="BC2772">
        <v>0</v>
      </c>
      <c r="BD2772">
        <v>0</v>
      </c>
      <c r="BE2772">
        <v>0</v>
      </c>
    </row>
    <row r="2773" spans="1:57" hidden="1" x14ac:dyDescent="0.45">
      <c r="A2773" t="s">
        <v>6608</v>
      </c>
      <c r="B2773" t="s">
        <v>79</v>
      </c>
      <c r="C2773" t="s">
        <v>6567</v>
      </c>
      <c r="D2773" t="s">
        <v>81</v>
      </c>
      <c r="E2773" s="2" t="str">
        <f>HYPERLINK("capsilon://?command=openfolder&amp;siteaddress=FAM.docvelocity-na8.net&amp;folderid=FXF20C6C9C-6BEE-CCBA-9BB3-24089DF8D298","FX21019139")</f>
        <v>FX21019139</v>
      </c>
      <c r="F2773" t="s">
        <v>19</v>
      </c>
      <c r="G2773" t="s">
        <v>19</v>
      </c>
      <c r="H2773" t="s">
        <v>82</v>
      </c>
      <c r="I2773" t="s">
        <v>6609</v>
      </c>
      <c r="J2773">
        <v>39</v>
      </c>
      <c r="K2773" t="s">
        <v>84</v>
      </c>
      <c r="L2773" t="s">
        <v>85</v>
      </c>
      <c r="M2773" t="s">
        <v>86</v>
      </c>
      <c r="N2773">
        <v>1</v>
      </c>
      <c r="O2773" s="1">
        <v>44222.698240740741</v>
      </c>
      <c r="P2773" s="1">
        <v>44222.704756944448</v>
      </c>
      <c r="Q2773">
        <v>349</v>
      </c>
      <c r="R2773">
        <v>214</v>
      </c>
      <c r="S2773" t="b">
        <v>0</v>
      </c>
      <c r="T2773" t="s">
        <v>87</v>
      </c>
      <c r="U2773" t="b">
        <v>0</v>
      </c>
      <c r="V2773" t="s">
        <v>142</v>
      </c>
      <c r="W2773" s="1">
        <v>44222.704756944448</v>
      </c>
      <c r="X2773">
        <v>214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39</v>
      </c>
      <c r="AE2773">
        <v>35</v>
      </c>
      <c r="AF2773">
        <v>0</v>
      </c>
      <c r="AG2773">
        <v>2</v>
      </c>
      <c r="AH2773" t="s">
        <v>87</v>
      </c>
      <c r="AI2773" t="s">
        <v>87</v>
      </c>
      <c r="AJ2773" t="s">
        <v>87</v>
      </c>
      <c r="AK2773" t="s">
        <v>87</v>
      </c>
      <c r="AL2773" t="s">
        <v>87</v>
      </c>
      <c r="AM2773" t="s">
        <v>87</v>
      </c>
      <c r="AN2773" t="s">
        <v>87</v>
      </c>
      <c r="AO2773" t="s">
        <v>87</v>
      </c>
      <c r="AP2773" t="s">
        <v>87</v>
      </c>
      <c r="AQ2773" t="s">
        <v>87</v>
      </c>
      <c r="AR2773" t="s">
        <v>87</v>
      </c>
      <c r="AS2773" t="s">
        <v>87</v>
      </c>
      <c r="AT2773" t="s">
        <v>87</v>
      </c>
      <c r="AU2773" t="s">
        <v>87</v>
      </c>
      <c r="AV2773" t="s">
        <v>87</v>
      </c>
      <c r="AW2773" t="s">
        <v>87</v>
      </c>
      <c r="AX2773" t="s">
        <v>87</v>
      </c>
      <c r="AY2773" t="s">
        <v>87</v>
      </c>
      <c r="AZ2773" t="s">
        <v>87</v>
      </c>
      <c r="BA2773" t="s">
        <v>87</v>
      </c>
      <c r="BB2773" t="s">
        <v>87</v>
      </c>
      <c r="BC2773" t="s">
        <v>87</v>
      </c>
      <c r="BD2773" t="s">
        <v>87</v>
      </c>
      <c r="BE2773" t="s">
        <v>87</v>
      </c>
    </row>
    <row r="2774" spans="1:57" x14ac:dyDescent="0.45">
      <c r="A2774" t="s">
        <v>6610</v>
      </c>
      <c r="B2774" t="s">
        <v>79</v>
      </c>
      <c r="C2774" t="s">
        <v>6583</v>
      </c>
      <c r="D2774" t="s">
        <v>81</v>
      </c>
      <c r="E2774" s="2" t="str">
        <f>HYPERLINK("capsilon://?command=openfolder&amp;siteaddress=FAM.docvelocity-na8.net&amp;folderid=FXBBC8333B-9864-9BEF-7F5B-88C3FD54D9DF","FX201116512")</f>
        <v>FX201116512</v>
      </c>
      <c r="F2774" t="s">
        <v>19</v>
      </c>
      <c r="G2774" t="s">
        <v>19</v>
      </c>
      <c r="H2774" t="s">
        <v>82</v>
      </c>
      <c r="I2774" t="s">
        <v>6584</v>
      </c>
      <c r="J2774">
        <v>38</v>
      </c>
      <c r="K2774" t="s">
        <v>84</v>
      </c>
      <c r="L2774" t="s">
        <v>85</v>
      </c>
      <c r="M2774" t="s">
        <v>86</v>
      </c>
      <c r="N2774">
        <v>3</v>
      </c>
      <c r="O2774" s="1">
        <v>44201.645879629628</v>
      </c>
      <c r="P2774" s="1">
        <v>44201.658541666664</v>
      </c>
      <c r="Q2774">
        <v>284</v>
      </c>
      <c r="R2774">
        <v>810</v>
      </c>
      <c r="S2774" t="b">
        <v>0</v>
      </c>
      <c r="T2774" t="s">
        <v>87</v>
      </c>
      <c r="U2774" t="b">
        <v>1</v>
      </c>
      <c r="V2774" t="s">
        <v>343</v>
      </c>
      <c r="W2774" s="1">
        <v>44201.652222222219</v>
      </c>
      <c r="X2774">
        <v>545</v>
      </c>
      <c r="Y2774">
        <v>37</v>
      </c>
      <c r="Z2774">
        <v>0</v>
      </c>
      <c r="AA2774">
        <v>37</v>
      </c>
      <c r="AB2774">
        <v>0</v>
      </c>
      <c r="AC2774">
        <v>10</v>
      </c>
      <c r="AD2774">
        <v>1</v>
      </c>
      <c r="AE2774">
        <v>0</v>
      </c>
      <c r="AF2774">
        <v>0</v>
      </c>
      <c r="AG2774">
        <v>0</v>
      </c>
      <c r="AH2774" t="s">
        <v>128</v>
      </c>
      <c r="AI2774" s="1">
        <v>44201.655277777776</v>
      </c>
      <c r="AJ2774">
        <v>259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 t="s">
        <v>90</v>
      </c>
      <c r="AU2774" s="1">
        <v>44201.658541666664</v>
      </c>
      <c r="AV2774">
        <v>6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1</v>
      </c>
      <c r="BC2774">
        <v>0</v>
      </c>
      <c r="BD2774">
        <v>0</v>
      </c>
      <c r="BE2774">
        <v>0</v>
      </c>
    </row>
    <row r="2775" spans="1:57" hidden="1" x14ac:dyDescent="0.45">
      <c r="A2775" t="s">
        <v>6611</v>
      </c>
      <c r="B2775" t="s">
        <v>79</v>
      </c>
      <c r="C2775" t="s">
        <v>6612</v>
      </c>
      <c r="D2775" t="s">
        <v>81</v>
      </c>
      <c r="E2775" s="2" t="str">
        <f>HYPERLINK("capsilon://?command=openfolder&amp;siteaddress=FAM.docvelocity-na8.net&amp;folderid=FXA33F5163-8746-FD42-0F7D-637EB7D6AE20","FX200913779")</f>
        <v>FX200913779</v>
      </c>
      <c r="F2775" t="s">
        <v>19</v>
      </c>
      <c r="G2775" t="s">
        <v>19</v>
      </c>
      <c r="H2775" t="s">
        <v>82</v>
      </c>
      <c r="I2775" t="s">
        <v>6613</v>
      </c>
      <c r="J2775">
        <v>882</v>
      </c>
      <c r="K2775" t="s">
        <v>84</v>
      </c>
      <c r="L2775" t="s">
        <v>85</v>
      </c>
      <c r="M2775" t="s">
        <v>81</v>
      </c>
      <c r="N2775">
        <v>2</v>
      </c>
      <c r="O2775" s="1">
        <v>44222.702974537038</v>
      </c>
      <c r="P2775" s="1">
        <v>44222.707453703704</v>
      </c>
      <c r="Q2775">
        <v>271</v>
      </c>
      <c r="R2775">
        <v>116</v>
      </c>
      <c r="S2775" t="b">
        <v>0</v>
      </c>
      <c r="T2775" t="s">
        <v>6614</v>
      </c>
      <c r="U2775" t="b">
        <v>0</v>
      </c>
      <c r="V2775" t="s">
        <v>255</v>
      </c>
      <c r="W2775" s="1">
        <v>44222.704363425924</v>
      </c>
      <c r="X2775">
        <v>62</v>
      </c>
      <c r="Y2775">
        <v>0</v>
      </c>
      <c r="Z2775">
        <v>0</v>
      </c>
      <c r="AA2775">
        <v>0</v>
      </c>
      <c r="AB2775">
        <v>196</v>
      </c>
      <c r="AC2775">
        <v>0</v>
      </c>
      <c r="AD2775">
        <v>882</v>
      </c>
      <c r="AE2775">
        <v>0</v>
      </c>
      <c r="AF2775">
        <v>0</v>
      </c>
      <c r="AG2775">
        <v>0</v>
      </c>
      <c r="AH2775" t="s">
        <v>6614</v>
      </c>
      <c r="AI2775" s="1">
        <v>44222.707453703704</v>
      </c>
      <c r="AJ2775">
        <v>5</v>
      </c>
      <c r="AK2775">
        <v>0</v>
      </c>
      <c r="AL2775">
        <v>0</v>
      </c>
      <c r="AM2775">
        <v>0</v>
      </c>
      <c r="AN2775">
        <v>196</v>
      </c>
      <c r="AO2775">
        <v>0</v>
      </c>
      <c r="AP2775">
        <v>882</v>
      </c>
      <c r="AQ2775">
        <v>0</v>
      </c>
      <c r="AR2775">
        <v>0</v>
      </c>
      <c r="AS2775">
        <v>0</v>
      </c>
      <c r="AT2775" t="s">
        <v>87</v>
      </c>
      <c r="AU2775" t="s">
        <v>87</v>
      </c>
      <c r="AV2775" t="s">
        <v>87</v>
      </c>
      <c r="AW2775" t="s">
        <v>87</v>
      </c>
      <c r="AX2775" t="s">
        <v>87</v>
      </c>
      <c r="AY2775" t="s">
        <v>87</v>
      </c>
      <c r="AZ2775" t="s">
        <v>87</v>
      </c>
      <c r="BA2775" t="s">
        <v>87</v>
      </c>
      <c r="BB2775" t="s">
        <v>87</v>
      </c>
      <c r="BC2775" t="s">
        <v>87</v>
      </c>
      <c r="BD2775" t="s">
        <v>87</v>
      </c>
      <c r="BE2775" t="s">
        <v>87</v>
      </c>
    </row>
    <row r="2776" spans="1:57" hidden="1" x14ac:dyDescent="0.45">
      <c r="A2776" t="s">
        <v>6615</v>
      </c>
      <c r="B2776" t="s">
        <v>79</v>
      </c>
      <c r="C2776" t="s">
        <v>6616</v>
      </c>
      <c r="D2776" t="s">
        <v>81</v>
      </c>
      <c r="E2776" s="2" t="str">
        <f>HYPERLINK("capsilon://?command=openfolder&amp;siteaddress=FAM.docvelocity-na8.net&amp;folderid=FX7D3036B5-E1CE-0F76-3D7D-0A7CD14E7D96","FX20121978")</f>
        <v>FX20121978</v>
      </c>
      <c r="F2776" t="s">
        <v>19</v>
      </c>
      <c r="G2776" t="s">
        <v>19</v>
      </c>
      <c r="H2776" t="s">
        <v>82</v>
      </c>
      <c r="I2776" t="s">
        <v>6617</v>
      </c>
      <c r="J2776">
        <v>66</v>
      </c>
      <c r="K2776" t="s">
        <v>84</v>
      </c>
      <c r="L2776" t="s">
        <v>85</v>
      </c>
      <c r="M2776" t="s">
        <v>86</v>
      </c>
      <c r="N2776">
        <v>1</v>
      </c>
      <c r="O2776" s="1">
        <v>44222.705196759256</v>
      </c>
      <c r="P2776" s="1">
        <v>44222.708761574075</v>
      </c>
      <c r="Q2776">
        <v>3</v>
      </c>
      <c r="R2776">
        <v>305</v>
      </c>
      <c r="S2776" t="b">
        <v>0</v>
      </c>
      <c r="T2776" t="s">
        <v>87</v>
      </c>
      <c r="U2776" t="b">
        <v>0</v>
      </c>
      <c r="V2776" t="s">
        <v>255</v>
      </c>
      <c r="W2776" s="1">
        <v>44222.708761574075</v>
      </c>
      <c r="X2776">
        <v>305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66</v>
      </c>
      <c r="AE2776">
        <v>52</v>
      </c>
      <c r="AF2776">
        <v>0</v>
      </c>
      <c r="AG2776">
        <v>1</v>
      </c>
      <c r="AH2776" t="s">
        <v>87</v>
      </c>
      <c r="AI2776" t="s">
        <v>87</v>
      </c>
      <c r="AJ2776" t="s">
        <v>87</v>
      </c>
      <c r="AK2776" t="s">
        <v>87</v>
      </c>
      <c r="AL2776" t="s">
        <v>87</v>
      </c>
      <c r="AM2776" t="s">
        <v>87</v>
      </c>
      <c r="AN2776" t="s">
        <v>87</v>
      </c>
      <c r="AO2776" t="s">
        <v>87</v>
      </c>
      <c r="AP2776" t="s">
        <v>87</v>
      </c>
      <c r="AQ2776" t="s">
        <v>87</v>
      </c>
      <c r="AR2776" t="s">
        <v>87</v>
      </c>
      <c r="AS2776" t="s">
        <v>87</v>
      </c>
      <c r="AT2776" t="s">
        <v>87</v>
      </c>
      <c r="AU2776" t="s">
        <v>87</v>
      </c>
      <c r="AV2776" t="s">
        <v>87</v>
      </c>
      <c r="AW2776" t="s">
        <v>87</v>
      </c>
      <c r="AX2776" t="s">
        <v>87</v>
      </c>
      <c r="AY2776" t="s">
        <v>87</v>
      </c>
      <c r="AZ2776" t="s">
        <v>87</v>
      </c>
      <c r="BA2776" t="s">
        <v>87</v>
      </c>
      <c r="BB2776" t="s">
        <v>87</v>
      </c>
      <c r="BC2776" t="s">
        <v>87</v>
      </c>
      <c r="BD2776" t="s">
        <v>87</v>
      </c>
      <c r="BE2776" t="s">
        <v>87</v>
      </c>
    </row>
    <row r="2777" spans="1:57" x14ac:dyDescent="0.45">
      <c r="A2777" t="s">
        <v>6618</v>
      </c>
      <c r="B2777" t="s">
        <v>79</v>
      </c>
      <c r="C2777" t="s">
        <v>6567</v>
      </c>
      <c r="D2777" t="s">
        <v>81</v>
      </c>
      <c r="E2777" s="2" t="str">
        <f>HYPERLINK("capsilon://?command=openfolder&amp;siteaddress=FAM.docvelocity-na8.net&amp;folderid=FXF20C6C9C-6BEE-CCBA-9BB3-24089DF8D298","FX21019139")</f>
        <v>FX21019139</v>
      </c>
      <c r="F2777" t="s">
        <v>19</v>
      </c>
      <c r="G2777" t="s">
        <v>19</v>
      </c>
      <c r="H2777" t="s">
        <v>82</v>
      </c>
      <c r="I2777" t="s">
        <v>6609</v>
      </c>
      <c r="J2777">
        <v>73</v>
      </c>
      <c r="K2777" t="s">
        <v>84</v>
      </c>
      <c r="L2777" t="s">
        <v>85</v>
      </c>
      <c r="M2777" t="s">
        <v>86</v>
      </c>
      <c r="N2777">
        <v>3</v>
      </c>
      <c r="O2777" s="1">
        <v>44222.706053240741</v>
      </c>
      <c r="P2777" s="1">
        <v>44222.72152777778</v>
      </c>
      <c r="Q2777">
        <v>43</v>
      </c>
      <c r="R2777">
        <v>1294</v>
      </c>
      <c r="S2777" t="b">
        <v>0</v>
      </c>
      <c r="T2777" t="s">
        <v>87</v>
      </c>
      <c r="U2777" t="b">
        <v>1</v>
      </c>
      <c r="V2777" t="s">
        <v>242</v>
      </c>
      <c r="W2777" s="1">
        <v>44222.715868055559</v>
      </c>
      <c r="X2777">
        <v>816</v>
      </c>
      <c r="Y2777">
        <v>88</v>
      </c>
      <c r="Z2777">
        <v>0</v>
      </c>
      <c r="AA2777">
        <v>88</v>
      </c>
      <c r="AB2777">
        <v>0</v>
      </c>
      <c r="AC2777">
        <v>65</v>
      </c>
      <c r="AD2777">
        <v>-15</v>
      </c>
      <c r="AE2777">
        <v>0</v>
      </c>
      <c r="AF2777">
        <v>0</v>
      </c>
      <c r="AG2777">
        <v>0</v>
      </c>
      <c r="AH2777" t="s">
        <v>132</v>
      </c>
      <c r="AI2777" s="1">
        <v>44222.718634259261</v>
      </c>
      <c r="AJ2777">
        <v>231</v>
      </c>
      <c r="AK2777">
        <v>2</v>
      </c>
      <c r="AL2777">
        <v>0</v>
      </c>
      <c r="AM2777">
        <v>2</v>
      </c>
      <c r="AN2777">
        <v>0</v>
      </c>
      <c r="AO2777">
        <v>2</v>
      </c>
      <c r="AP2777">
        <v>-17</v>
      </c>
      <c r="AQ2777">
        <v>0</v>
      </c>
      <c r="AR2777">
        <v>0</v>
      </c>
      <c r="AS2777">
        <v>0</v>
      </c>
      <c r="AT2777" t="s">
        <v>90</v>
      </c>
      <c r="AU2777" s="1">
        <v>44222.72152777778</v>
      </c>
      <c r="AV2777">
        <v>247</v>
      </c>
      <c r="AW2777">
        <v>2</v>
      </c>
      <c r="AX2777">
        <v>0</v>
      </c>
      <c r="AY2777">
        <v>2</v>
      </c>
      <c r="AZ2777">
        <v>0</v>
      </c>
      <c r="BA2777">
        <v>2</v>
      </c>
      <c r="BB2777">
        <v>-19</v>
      </c>
      <c r="BC2777">
        <v>0</v>
      </c>
      <c r="BD2777">
        <v>0</v>
      </c>
      <c r="BE2777">
        <v>0</v>
      </c>
    </row>
    <row r="2778" spans="1:57" x14ac:dyDescent="0.45">
      <c r="A2778" t="s">
        <v>6619</v>
      </c>
      <c r="B2778" t="s">
        <v>79</v>
      </c>
      <c r="C2778" t="s">
        <v>6616</v>
      </c>
      <c r="D2778" t="s">
        <v>81</v>
      </c>
      <c r="E2778" s="2" t="str">
        <f>HYPERLINK("capsilon://?command=openfolder&amp;siteaddress=FAM.docvelocity-na8.net&amp;folderid=FX7D3036B5-E1CE-0F76-3D7D-0A7CD14E7D96","FX20121978")</f>
        <v>FX20121978</v>
      </c>
      <c r="F2778" t="s">
        <v>19</v>
      </c>
      <c r="G2778" t="s">
        <v>19</v>
      </c>
      <c r="H2778" t="s">
        <v>82</v>
      </c>
      <c r="I2778" t="s">
        <v>6617</v>
      </c>
      <c r="J2778">
        <v>38</v>
      </c>
      <c r="K2778" t="s">
        <v>84</v>
      </c>
      <c r="L2778" t="s">
        <v>85</v>
      </c>
      <c r="M2778" t="s">
        <v>86</v>
      </c>
      <c r="N2778">
        <v>3</v>
      </c>
      <c r="O2778" s="1">
        <v>44222.709108796298</v>
      </c>
      <c r="P2778" s="1">
        <v>44222.718275462961</v>
      </c>
      <c r="Q2778">
        <v>240</v>
      </c>
      <c r="R2778">
        <v>552</v>
      </c>
      <c r="S2778" t="b">
        <v>0</v>
      </c>
      <c r="T2778" t="s">
        <v>87</v>
      </c>
      <c r="U2778" t="b">
        <v>1</v>
      </c>
      <c r="V2778" t="s">
        <v>255</v>
      </c>
      <c r="W2778" s="1">
        <v>44222.71266203704</v>
      </c>
      <c r="X2778">
        <v>278</v>
      </c>
      <c r="Y2778">
        <v>37</v>
      </c>
      <c r="Z2778">
        <v>0</v>
      </c>
      <c r="AA2778">
        <v>37</v>
      </c>
      <c r="AB2778">
        <v>0</v>
      </c>
      <c r="AC2778">
        <v>17</v>
      </c>
      <c r="AD2778">
        <v>1</v>
      </c>
      <c r="AE2778">
        <v>0</v>
      </c>
      <c r="AF2778">
        <v>0</v>
      </c>
      <c r="AG2778">
        <v>0</v>
      </c>
      <c r="AH2778" t="s">
        <v>132</v>
      </c>
      <c r="AI2778" s="1">
        <v>44222.715949074074</v>
      </c>
      <c r="AJ2778">
        <v>207</v>
      </c>
      <c r="AK2778">
        <v>2</v>
      </c>
      <c r="AL2778">
        <v>0</v>
      </c>
      <c r="AM2778">
        <v>2</v>
      </c>
      <c r="AN2778">
        <v>0</v>
      </c>
      <c r="AO2778">
        <v>1</v>
      </c>
      <c r="AP2778">
        <v>-1</v>
      </c>
      <c r="AQ2778">
        <v>0</v>
      </c>
      <c r="AR2778">
        <v>0</v>
      </c>
      <c r="AS2778">
        <v>0</v>
      </c>
      <c r="AT2778" t="s">
        <v>90</v>
      </c>
      <c r="AU2778" s="1">
        <v>44222.718275462961</v>
      </c>
      <c r="AV2778">
        <v>67</v>
      </c>
      <c r="AW2778">
        <v>1</v>
      </c>
      <c r="AX2778">
        <v>0</v>
      </c>
      <c r="AY2778">
        <v>1</v>
      </c>
      <c r="AZ2778">
        <v>0</v>
      </c>
      <c r="BA2778">
        <v>1</v>
      </c>
      <c r="BB2778">
        <v>-2</v>
      </c>
      <c r="BC2778">
        <v>0</v>
      </c>
      <c r="BD2778">
        <v>0</v>
      </c>
      <c r="BE2778">
        <v>0</v>
      </c>
    </row>
    <row r="2779" spans="1:57" hidden="1" x14ac:dyDescent="0.45">
      <c r="A2779" t="s">
        <v>6620</v>
      </c>
      <c r="B2779" t="s">
        <v>79</v>
      </c>
      <c r="C2779" t="s">
        <v>6567</v>
      </c>
      <c r="D2779" t="s">
        <v>81</v>
      </c>
      <c r="E2779" s="2" t="str">
        <f>HYPERLINK("capsilon://?command=openfolder&amp;siteaddress=FAM.docvelocity-na8.net&amp;folderid=FXF20C6C9C-6BEE-CCBA-9BB3-24089DF8D298","FX21019139")</f>
        <v>FX21019139</v>
      </c>
      <c r="F2779" t="s">
        <v>19</v>
      </c>
      <c r="G2779" t="s">
        <v>19</v>
      </c>
      <c r="H2779" t="s">
        <v>82</v>
      </c>
      <c r="I2779" t="s">
        <v>6621</v>
      </c>
      <c r="J2779">
        <v>26</v>
      </c>
      <c r="K2779" t="s">
        <v>183</v>
      </c>
      <c r="L2779" t="s">
        <v>19</v>
      </c>
      <c r="M2779" t="s">
        <v>81</v>
      </c>
      <c r="N2779">
        <v>0</v>
      </c>
      <c r="O2779" s="1">
        <v>44222.710856481484</v>
      </c>
      <c r="P2779" s="1">
        <v>44222.713935185187</v>
      </c>
      <c r="Q2779">
        <v>266</v>
      </c>
      <c r="R2779">
        <v>0</v>
      </c>
      <c r="S2779" t="b">
        <v>0</v>
      </c>
      <c r="T2779" t="s">
        <v>87</v>
      </c>
      <c r="U2779" t="b">
        <v>0</v>
      </c>
      <c r="V2779" t="s">
        <v>87</v>
      </c>
      <c r="W2779" t="s">
        <v>87</v>
      </c>
      <c r="X2779" t="s">
        <v>87</v>
      </c>
      <c r="Y2779" t="s">
        <v>87</v>
      </c>
      <c r="Z2779" t="s">
        <v>87</v>
      </c>
      <c r="AA2779" t="s">
        <v>87</v>
      </c>
      <c r="AB2779" t="s">
        <v>87</v>
      </c>
      <c r="AC2779" t="s">
        <v>87</v>
      </c>
      <c r="AD2779" t="s">
        <v>87</v>
      </c>
      <c r="AE2779" t="s">
        <v>87</v>
      </c>
      <c r="AF2779" t="s">
        <v>87</v>
      </c>
      <c r="AG2779" t="s">
        <v>87</v>
      </c>
      <c r="AH2779" t="s">
        <v>87</v>
      </c>
      <c r="AI2779" t="s">
        <v>87</v>
      </c>
      <c r="AJ2779" t="s">
        <v>87</v>
      </c>
      <c r="AK2779" t="s">
        <v>87</v>
      </c>
      <c r="AL2779" t="s">
        <v>87</v>
      </c>
      <c r="AM2779" t="s">
        <v>87</v>
      </c>
      <c r="AN2779" t="s">
        <v>87</v>
      </c>
      <c r="AO2779" t="s">
        <v>87</v>
      </c>
      <c r="AP2779" t="s">
        <v>87</v>
      </c>
      <c r="AQ2779" t="s">
        <v>87</v>
      </c>
      <c r="AR2779" t="s">
        <v>87</v>
      </c>
      <c r="AS2779" t="s">
        <v>87</v>
      </c>
      <c r="AT2779" t="s">
        <v>87</v>
      </c>
      <c r="AU2779" t="s">
        <v>87</v>
      </c>
      <c r="AV2779" t="s">
        <v>87</v>
      </c>
      <c r="AW2779" t="s">
        <v>87</v>
      </c>
      <c r="AX2779" t="s">
        <v>87</v>
      </c>
      <c r="AY2779" t="s">
        <v>87</v>
      </c>
      <c r="AZ2779" t="s">
        <v>87</v>
      </c>
      <c r="BA2779" t="s">
        <v>87</v>
      </c>
      <c r="BB2779" t="s">
        <v>87</v>
      </c>
      <c r="BC2779" t="s">
        <v>87</v>
      </c>
      <c r="BD2779" t="s">
        <v>87</v>
      </c>
      <c r="BE2779" t="s">
        <v>87</v>
      </c>
    </row>
    <row r="2780" spans="1:57" hidden="1" x14ac:dyDescent="0.45">
      <c r="A2780" t="s">
        <v>6622</v>
      </c>
      <c r="B2780" t="s">
        <v>79</v>
      </c>
      <c r="C2780" t="s">
        <v>4558</v>
      </c>
      <c r="D2780" t="s">
        <v>81</v>
      </c>
      <c r="E2780" s="2" t="str">
        <f>HYPERLINK("capsilon://?command=openfolder&amp;siteaddress=FAM.docvelocity-na8.net&amp;folderid=FXB6953BC1-A179-3658-3D94-FC7A83A88109","FX201222502")</f>
        <v>FX201222502</v>
      </c>
      <c r="F2780" t="s">
        <v>19</v>
      </c>
      <c r="G2780" t="s">
        <v>19</v>
      </c>
      <c r="H2780" t="s">
        <v>82</v>
      </c>
      <c r="I2780" t="s">
        <v>6623</v>
      </c>
      <c r="J2780">
        <v>66</v>
      </c>
      <c r="K2780" t="s">
        <v>84</v>
      </c>
      <c r="L2780" t="s">
        <v>85</v>
      </c>
      <c r="M2780" t="s">
        <v>86</v>
      </c>
      <c r="N2780">
        <v>3</v>
      </c>
      <c r="O2780" s="1">
        <v>44222.711712962962</v>
      </c>
      <c r="P2780" s="1">
        <v>44222.72184027778</v>
      </c>
      <c r="Q2780">
        <v>751</v>
      </c>
      <c r="R2780">
        <v>124</v>
      </c>
      <c r="S2780" t="b">
        <v>0</v>
      </c>
      <c r="T2780" t="s">
        <v>87</v>
      </c>
      <c r="U2780" t="b">
        <v>0</v>
      </c>
      <c r="V2780" t="s">
        <v>255</v>
      </c>
      <c r="W2780" s="1">
        <v>44222.713530092595</v>
      </c>
      <c r="X2780">
        <v>74</v>
      </c>
      <c r="Y2780">
        <v>0</v>
      </c>
      <c r="Z2780">
        <v>0</v>
      </c>
      <c r="AA2780">
        <v>0</v>
      </c>
      <c r="AB2780">
        <v>52</v>
      </c>
      <c r="AC2780">
        <v>0</v>
      </c>
      <c r="AD2780">
        <v>66</v>
      </c>
      <c r="AE2780">
        <v>0</v>
      </c>
      <c r="AF2780">
        <v>0</v>
      </c>
      <c r="AG2780">
        <v>0</v>
      </c>
      <c r="AH2780" t="s">
        <v>132</v>
      </c>
      <c r="AI2780" s="1">
        <v>44222.719189814816</v>
      </c>
      <c r="AJ2780">
        <v>47</v>
      </c>
      <c r="AK2780">
        <v>0</v>
      </c>
      <c r="AL2780">
        <v>0</v>
      </c>
      <c r="AM2780">
        <v>0</v>
      </c>
      <c r="AN2780">
        <v>52</v>
      </c>
      <c r="AO2780">
        <v>0</v>
      </c>
      <c r="AP2780">
        <v>66</v>
      </c>
      <c r="AQ2780">
        <v>0</v>
      </c>
      <c r="AR2780">
        <v>0</v>
      </c>
      <c r="AS2780">
        <v>0</v>
      </c>
      <c r="AT2780" t="s">
        <v>90</v>
      </c>
      <c r="AU2780" s="1">
        <v>44222.72184027778</v>
      </c>
      <c r="AV2780">
        <v>3</v>
      </c>
      <c r="AW2780">
        <v>0</v>
      </c>
      <c r="AX2780">
        <v>0</v>
      </c>
      <c r="AY2780">
        <v>0</v>
      </c>
      <c r="AZ2780">
        <v>52</v>
      </c>
      <c r="BA2780">
        <v>0</v>
      </c>
      <c r="BB2780">
        <v>66</v>
      </c>
      <c r="BC2780">
        <v>0</v>
      </c>
      <c r="BD2780">
        <v>0</v>
      </c>
      <c r="BE2780">
        <v>0</v>
      </c>
    </row>
    <row r="2781" spans="1:57" hidden="1" x14ac:dyDescent="0.45">
      <c r="A2781" t="s">
        <v>6624</v>
      </c>
      <c r="B2781" t="s">
        <v>79</v>
      </c>
      <c r="C2781" t="s">
        <v>4558</v>
      </c>
      <c r="D2781" t="s">
        <v>81</v>
      </c>
      <c r="E2781" s="2" t="str">
        <f>HYPERLINK("capsilon://?command=openfolder&amp;siteaddress=FAM.docvelocity-na8.net&amp;folderid=FXB6953BC1-A179-3658-3D94-FC7A83A88109","FX201222502")</f>
        <v>FX201222502</v>
      </c>
      <c r="F2781" t="s">
        <v>19</v>
      </c>
      <c r="G2781" t="s">
        <v>19</v>
      </c>
      <c r="H2781" t="s">
        <v>82</v>
      </c>
      <c r="I2781" t="s">
        <v>6625</v>
      </c>
      <c r="J2781">
        <v>66</v>
      </c>
      <c r="K2781" t="s">
        <v>84</v>
      </c>
      <c r="L2781" t="s">
        <v>85</v>
      </c>
      <c r="M2781" t="s">
        <v>86</v>
      </c>
      <c r="N2781">
        <v>3</v>
      </c>
      <c r="O2781" s="1">
        <v>44222.712557870371</v>
      </c>
      <c r="P2781" s="1">
        <v>44222.721875000003</v>
      </c>
      <c r="Q2781">
        <v>721</v>
      </c>
      <c r="R2781">
        <v>84</v>
      </c>
      <c r="S2781" t="b">
        <v>0</v>
      </c>
      <c r="T2781" t="s">
        <v>87</v>
      </c>
      <c r="U2781" t="b">
        <v>0</v>
      </c>
      <c r="V2781" t="s">
        <v>255</v>
      </c>
      <c r="W2781" s="1">
        <v>44222.714282407411</v>
      </c>
      <c r="X2781">
        <v>64</v>
      </c>
      <c r="Y2781">
        <v>0</v>
      </c>
      <c r="Z2781">
        <v>0</v>
      </c>
      <c r="AA2781">
        <v>0</v>
      </c>
      <c r="AB2781">
        <v>52</v>
      </c>
      <c r="AC2781">
        <v>0</v>
      </c>
      <c r="AD2781">
        <v>66</v>
      </c>
      <c r="AE2781">
        <v>0</v>
      </c>
      <c r="AF2781">
        <v>0</v>
      </c>
      <c r="AG2781">
        <v>0</v>
      </c>
      <c r="AH2781" t="s">
        <v>128</v>
      </c>
      <c r="AI2781" s="1">
        <v>44222.719351851854</v>
      </c>
      <c r="AJ2781">
        <v>17</v>
      </c>
      <c r="AK2781">
        <v>0</v>
      </c>
      <c r="AL2781">
        <v>0</v>
      </c>
      <c r="AM2781">
        <v>0</v>
      </c>
      <c r="AN2781">
        <v>52</v>
      </c>
      <c r="AO2781">
        <v>0</v>
      </c>
      <c r="AP2781">
        <v>66</v>
      </c>
      <c r="AQ2781">
        <v>0</v>
      </c>
      <c r="AR2781">
        <v>0</v>
      </c>
      <c r="AS2781">
        <v>0</v>
      </c>
      <c r="AT2781" t="s">
        <v>90</v>
      </c>
      <c r="AU2781" s="1">
        <v>44222.721875000003</v>
      </c>
      <c r="AV2781">
        <v>3</v>
      </c>
      <c r="AW2781">
        <v>0</v>
      </c>
      <c r="AX2781">
        <v>0</v>
      </c>
      <c r="AY2781">
        <v>0</v>
      </c>
      <c r="AZ2781">
        <v>52</v>
      </c>
      <c r="BA2781">
        <v>0</v>
      </c>
      <c r="BB2781">
        <v>66</v>
      </c>
      <c r="BC2781">
        <v>0</v>
      </c>
      <c r="BD2781">
        <v>0</v>
      </c>
      <c r="BE2781">
        <v>0</v>
      </c>
    </row>
    <row r="2782" spans="1:57" x14ac:dyDescent="0.45">
      <c r="A2782" t="s">
        <v>6626</v>
      </c>
      <c r="B2782" t="s">
        <v>79</v>
      </c>
      <c r="C2782" t="s">
        <v>6627</v>
      </c>
      <c r="D2782" t="s">
        <v>81</v>
      </c>
      <c r="E2782" s="2" t="str">
        <f>HYPERLINK("capsilon://?command=openfolder&amp;siteaddress=FAM.docvelocity-na8.net&amp;folderid=FX9E7E2493-9FD9-7F46-172E-B04AA7F59A7A","FX20128447")</f>
        <v>FX20128447</v>
      </c>
      <c r="F2782" t="s">
        <v>19</v>
      </c>
      <c r="G2782" t="s">
        <v>19</v>
      </c>
      <c r="H2782" t="s">
        <v>82</v>
      </c>
      <c r="I2782" t="s">
        <v>6628</v>
      </c>
      <c r="J2782">
        <v>54</v>
      </c>
      <c r="K2782" t="s">
        <v>84</v>
      </c>
      <c r="L2782" t="s">
        <v>85</v>
      </c>
      <c r="M2782" t="s">
        <v>86</v>
      </c>
      <c r="N2782">
        <v>3</v>
      </c>
      <c r="O2782" s="1">
        <v>44222.715428240743</v>
      </c>
      <c r="P2782" s="1">
        <v>44222.722650462965</v>
      </c>
      <c r="Q2782">
        <v>53</v>
      </c>
      <c r="R2782">
        <v>571</v>
      </c>
      <c r="S2782" t="b">
        <v>0</v>
      </c>
      <c r="T2782" t="s">
        <v>87</v>
      </c>
      <c r="U2782" t="b">
        <v>0</v>
      </c>
      <c r="V2782" t="s">
        <v>255</v>
      </c>
      <c r="W2782" s="1">
        <v>44222.719537037039</v>
      </c>
      <c r="X2782">
        <v>323</v>
      </c>
      <c r="Y2782">
        <v>66</v>
      </c>
      <c r="Z2782">
        <v>0</v>
      </c>
      <c r="AA2782">
        <v>66</v>
      </c>
      <c r="AB2782">
        <v>0</v>
      </c>
      <c r="AC2782">
        <v>46</v>
      </c>
      <c r="AD2782">
        <v>-12</v>
      </c>
      <c r="AE2782">
        <v>0</v>
      </c>
      <c r="AF2782">
        <v>0</v>
      </c>
      <c r="AG2782">
        <v>0</v>
      </c>
      <c r="AH2782" t="s">
        <v>128</v>
      </c>
      <c r="AI2782" s="1">
        <v>44222.721736111111</v>
      </c>
      <c r="AJ2782">
        <v>182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-12</v>
      </c>
      <c r="AQ2782">
        <v>0</v>
      </c>
      <c r="AR2782">
        <v>0</v>
      </c>
      <c r="AS2782">
        <v>0</v>
      </c>
      <c r="AT2782" t="s">
        <v>90</v>
      </c>
      <c r="AU2782" s="1">
        <v>44222.722650462965</v>
      </c>
      <c r="AV2782">
        <v>66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-12</v>
      </c>
      <c r="BC2782">
        <v>0</v>
      </c>
      <c r="BD2782">
        <v>0</v>
      </c>
      <c r="BE2782">
        <v>0</v>
      </c>
    </row>
    <row r="2783" spans="1:57" x14ac:dyDescent="0.45">
      <c r="A2783" t="s">
        <v>6629</v>
      </c>
      <c r="B2783" t="s">
        <v>79</v>
      </c>
      <c r="C2783" t="s">
        <v>6630</v>
      </c>
      <c r="D2783" t="s">
        <v>81</v>
      </c>
      <c r="E2783" s="2" t="str">
        <f>HYPERLINK("capsilon://?command=openfolder&amp;siteaddress=FAM.docvelocity-na8.net&amp;folderid=FXDD49A08E-F89D-AB78-0815-C67C73088B88","FX210116311")</f>
        <v>FX210116311</v>
      </c>
      <c r="F2783" t="s">
        <v>19</v>
      </c>
      <c r="G2783" t="s">
        <v>19</v>
      </c>
      <c r="H2783" t="s">
        <v>82</v>
      </c>
      <c r="I2783" t="s">
        <v>6631</v>
      </c>
      <c r="J2783">
        <v>194</v>
      </c>
      <c r="K2783" t="s">
        <v>84</v>
      </c>
      <c r="L2783" t="s">
        <v>85</v>
      </c>
      <c r="M2783" t="s">
        <v>86</v>
      </c>
      <c r="N2783">
        <v>3</v>
      </c>
      <c r="O2783" s="1">
        <v>44222.719270833331</v>
      </c>
      <c r="P2783" s="1">
        <v>44223.341145833336</v>
      </c>
      <c r="Q2783">
        <v>48683</v>
      </c>
      <c r="R2783">
        <v>5047</v>
      </c>
      <c r="S2783" t="b">
        <v>0</v>
      </c>
      <c r="T2783" t="s">
        <v>87</v>
      </c>
      <c r="U2783" t="b">
        <v>0</v>
      </c>
      <c r="V2783" t="s">
        <v>179</v>
      </c>
      <c r="W2783" s="1">
        <v>44222.77138888889</v>
      </c>
      <c r="X2783">
        <v>4502</v>
      </c>
      <c r="Y2783">
        <v>150</v>
      </c>
      <c r="Z2783">
        <v>0</v>
      </c>
      <c r="AA2783">
        <v>150</v>
      </c>
      <c r="AB2783">
        <v>0</v>
      </c>
      <c r="AC2783">
        <v>98</v>
      </c>
      <c r="AD2783">
        <v>44</v>
      </c>
      <c r="AE2783">
        <v>0</v>
      </c>
      <c r="AF2783">
        <v>0</v>
      </c>
      <c r="AG2783">
        <v>0</v>
      </c>
      <c r="AH2783" t="s">
        <v>128</v>
      </c>
      <c r="AI2783" s="1">
        <v>44222.777141203704</v>
      </c>
      <c r="AJ2783">
        <v>471</v>
      </c>
      <c r="AK2783">
        <v>3</v>
      </c>
      <c r="AL2783">
        <v>0</v>
      </c>
      <c r="AM2783">
        <v>3</v>
      </c>
      <c r="AN2783">
        <v>0</v>
      </c>
      <c r="AO2783">
        <v>3</v>
      </c>
      <c r="AP2783">
        <v>41</v>
      </c>
      <c r="AQ2783">
        <v>0</v>
      </c>
      <c r="AR2783">
        <v>0</v>
      </c>
      <c r="AS2783">
        <v>0</v>
      </c>
      <c r="AT2783" t="s">
        <v>90</v>
      </c>
      <c r="AU2783" s="1">
        <v>44223.341145833336</v>
      </c>
      <c r="AV2783">
        <v>74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41</v>
      </c>
      <c r="BC2783">
        <v>0</v>
      </c>
      <c r="BD2783">
        <v>0</v>
      </c>
      <c r="BE2783">
        <v>0</v>
      </c>
    </row>
    <row r="2784" spans="1:57" hidden="1" x14ac:dyDescent="0.45">
      <c r="A2784" t="s">
        <v>6632</v>
      </c>
      <c r="B2784" t="s">
        <v>79</v>
      </c>
      <c r="C2784" t="s">
        <v>4549</v>
      </c>
      <c r="D2784" t="s">
        <v>81</v>
      </c>
      <c r="E2784" s="2" t="str">
        <f>HYPERLINK("capsilon://?command=openfolder&amp;siteaddress=FAM.docvelocity-na8.net&amp;folderid=FX0B6A10F0-0AE7-F00F-3092-11A7DF897953","FX20114907")</f>
        <v>FX20114907</v>
      </c>
      <c r="F2784" t="s">
        <v>19</v>
      </c>
      <c r="G2784" t="s">
        <v>19</v>
      </c>
      <c r="H2784" t="s">
        <v>82</v>
      </c>
      <c r="I2784" t="s">
        <v>6633</v>
      </c>
      <c r="J2784">
        <v>20</v>
      </c>
      <c r="K2784" t="s">
        <v>84</v>
      </c>
      <c r="L2784" t="s">
        <v>85</v>
      </c>
      <c r="M2784" t="s">
        <v>86</v>
      </c>
      <c r="N2784">
        <v>3</v>
      </c>
      <c r="O2784" s="1">
        <v>44222.723773148151</v>
      </c>
      <c r="P2784" s="1">
        <v>44223.341192129628</v>
      </c>
      <c r="Q2784">
        <v>53230</v>
      </c>
      <c r="R2784">
        <v>115</v>
      </c>
      <c r="S2784" t="b">
        <v>0</v>
      </c>
      <c r="T2784" t="s">
        <v>87</v>
      </c>
      <c r="U2784" t="b">
        <v>0</v>
      </c>
      <c r="V2784" t="s">
        <v>146</v>
      </c>
      <c r="W2784" s="1">
        <v>44222.724965277775</v>
      </c>
      <c r="X2784">
        <v>102</v>
      </c>
      <c r="Y2784">
        <v>0</v>
      </c>
      <c r="Z2784">
        <v>0</v>
      </c>
      <c r="AA2784">
        <v>0</v>
      </c>
      <c r="AB2784">
        <v>9</v>
      </c>
      <c r="AC2784">
        <v>0</v>
      </c>
      <c r="AD2784">
        <v>20</v>
      </c>
      <c r="AE2784">
        <v>0</v>
      </c>
      <c r="AF2784">
        <v>0</v>
      </c>
      <c r="AG2784">
        <v>0</v>
      </c>
      <c r="AH2784" t="s">
        <v>128</v>
      </c>
      <c r="AI2784" s="1">
        <v>44222.749386574076</v>
      </c>
      <c r="AJ2784">
        <v>10</v>
      </c>
      <c r="AK2784">
        <v>0</v>
      </c>
      <c r="AL2784">
        <v>0</v>
      </c>
      <c r="AM2784">
        <v>0</v>
      </c>
      <c r="AN2784">
        <v>9</v>
      </c>
      <c r="AO2784">
        <v>0</v>
      </c>
      <c r="AP2784">
        <v>20</v>
      </c>
      <c r="AQ2784">
        <v>0</v>
      </c>
      <c r="AR2784">
        <v>0</v>
      </c>
      <c r="AS2784">
        <v>0</v>
      </c>
      <c r="AT2784" t="s">
        <v>90</v>
      </c>
      <c r="AU2784" s="1">
        <v>44223.341192129628</v>
      </c>
      <c r="AV2784">
        <v>3</v>
      </c>
      <c r="AW2784">
        <v>0</v>
      </c>
      <c r="AX2784">
        <v>0</v>
      </c>
      <c r="AY2784">
        <v>0</v>
      </c>
      <c r="AZ2784">
        <v>9</v>
      </c>
      <c r="BA2784">
        <v>0</v>
      </c>
      <c r="BB2784">
        <v>20</v>
      </c>
      <c r="BC2784">
        <v>0</v>
      </c>
      <c r="BD2784">
        <v>0</v>
      </c>
      <c r="BE2784">
        <v>0</v>
      </c>
    </row>
    <row r="2785" spans="1:57" hidden="1" x14ac:dyDescent="0.45">
      <c r="A2785" t="s">
        <v>6634</v>
      </c>
      <c r="B2785" t="s">
        <v>79</v>
      </c>
      <c r="C2785" t="s">
        <v>4549</v>
      </c>
      <c r="D2785" t="s">
        <v>81</v>
      </c>
      <c r="E2785" s="2" t="str">
        <f>HYPERLINK("capsilon://?command=openfolder&amp;siteaddress=FAM.docvelocity-na8.net&amp;folderid=FX0B6A10F0-0AE7-F00F-3092-11A7DF897953","FX20114907")</f>
        <v>FX20114907</v>
      </c>
      <c r="F2785" t="s">
        <v>19</v>
      </c>
      <c r="G2785" t="s">
        <v>19</v>
      </c>
      <c r="H2785" t="s">
        <v>82</v>
      </c>
      <c r="I2785" t="s">
        <v>6635</v>
      </c>
      <c r="J2785">
        <v>20</v>
      </c>
      <c r="K2785" t="s">
        <v>84</v>
      </c>
      <c r="L2785" t="s">
        <v>85</v>
      </c>
      <c r="M2785" t="s">
        <v>86</v>
      </c>
      <c r="N2785">
        <v>3</v>
      </c>
      <c r="O2785" s="1">
        <v>44222.723969907405</v>
      </c>
      <c r="P2785" s="1">
        <v>44223.341226851851</v>
      </c>
      <c r="Q2785">
        <v>53210</v>
      </c>
      <c r="R2785">
        <v>121</v>
      </c>
      <c r="S2785" t="b">
        <v>0</v>
      </c>
      <c r="T2785" t="s">
        <v>87</v>
      </c>
      <c r="U2785" t="b">
        <v>0</v>
      </c>
      <c r="V2785" t="s">
        <v>171</v>
      </c>
      <c r="W2785" s="1">
        <v>44222.725231481483</v>
      </c>
      <c r="X2785">
        <v>108</v>
      </c>
      <c r="Y2785">
        <v>0</v>
      </c>
      <c r="Z2785">
        <v>0</v>
      </c>
      <c r="AA2785">
        <v>0</v>
      </c>
      <c r="AB2785">
        <v>9</v>
      </c>
      <c r="AC2785">
        <v>0</v>
      </c>
      <c r="AD2785">
        <v>20</v>
      </c>
      <c r="AE2785">
        <v>0</v>
      </c>
      <c r="AF2785">
        <v>0</v>
      </c>
      <c r="AG2785">
        <v>0</v>
      </c>
      <c r="AH2785" t="s">
        <v>128</v>
      </c>
      <c r="AI2785" s="1">
        <v>44222.749513888892</v>
      </c>
      <c r="AJ2785">
        <v>10</v>
      </c>
      <c r="AK2785">
        <v>0</v>
      </c>
      <c r="AL2785">
        <v>0</v>
      </c>
      <c r="AM2785">
        <v>0</v>
      </c>
      <c r="AN2785">
        <v>9</v>
      </c>
      <c r="AO2785">
        <v>0</v>
      </c>
      <c r="AP2785">
        <v>20</v>
      </c>
      <c r="AQ2785">
        <v>0</v>
      </c>
      <c r="AR2785">
        <v>0</v>
      </c>
      <c r="AS2785">
        <v>0</v>
      </c>
      <c r="AT2785" t="s">
        <v>90</v>
      </c>
      <c r="AU2785" s="1">
        <v>44223.341226851851</v>
      </c>
      <c r="AV2785">
        <v>3</v>
      </c>
      <c r="AW2785">
        <v>0</v>
      </c>
      <c r="AX2785">
        <v>0</v>
      </c>
      <c r="AY2785">
        <v>0</v>
      </c>
      <c r="AZ2785">
        <v>9</v>
      </c>
      <c r="BA2785">
        <v>0</v>
      </c>
      <c r="BB2785">
        <v>20</v>
      </c>
      <c r="BC2785">
        <v>0</v>
      </c>
      <c r="BD2785">
        <v>0</v>
      </c>
      <c r="BE2785">
        <v>0</v>
      </c>
    </row>
    <row r="2786" spans="1:57" hidden="1" x14ac:dyDescent="0.45">
      <c r="A2786" t="s">
        <v>6636</v>
      </c>
      <c r="B2786" t="s">
        <v>79</v>
      </c>
      <c r="C2786" t="s">
        <v>4549</v>
      </c>
      <c r="D2786" t="s">
        <v>81</v>
      </c>
      <c r="E2786" s="2" t="str">
        <f>HYPERLINK("capsilon://?command=openfolder&amp;siteaddress=FAM.docvelocity-na8.net&amp;folderid=FX0B6A10F0-0AE7-F00F-3092-11A7DF897953","FX20114907")</f>
        <v>FX20114907</v>
      </c>
      <c r="F2786" t="s">
        <v>19</v>
      </c>
      <c r="G2786" t="s">
        <v>19</v>
      </c>
      <c r="H2786" t="s">
        <v>82</v>
      </c>
      <c r="I2786" t="s">
        <v>6637</v>
      </c>
      <c r="J2786">
        <v>20</v>
      </c>
      <c r="K2786" t="s">
        <v>84</v>
      </c>
      <c r="L2786" t="s">
        <v>85</v>
      </c>
      <c r="M2786" t="s">
        <v>86</v>
      </c>
      <c r="N2786">
        <v>3</v>
      </c>
      <c r="O2786" s="1">
        <v>44222.725706018522</v>
      </c>
      <c r="P2786" s="1">
        <v>44223.341249999998</v>
      </c>
      <c r="Q2786">
        <v>53056</v>
      </c>
      <c r="R2786">
        <v>127</v>
      </c>
      <c r="S2786" t="b">
        <v>0</v>
      </c>
      <c r="T2786" t="s">
        <v>87</v>
      </c>
      <c r="U2786" t="b">
        <v>0</v>
      </c>
      <c r="V2786" t="s">
        <v>160</v>
      </c>
      <c r="W2786" s="1">
        <v>44222.727129629631</v>
      </c>
      <c r="X2786">
        <v>115</v>
      </c>
      <c r="Y2786">
        <v>0</v>
      </c>
      <c r="Z2786">
        <v>0</v>
      </c>
      <c r="AA2786">
        <v>0</v>
      </c>
      <c r="AB2786">
        <v>9</v>
      </c>
      <c r="AC2786">
        <v>0</v>
      </c>
      <c r="AD2786">
        <v>20</v>
      </c>
      <c r="AE2786">
        <v>0</v>
      </c>
      <c r="AF2786">
        <v>0</v>
      </c>
      <c r="AG2786">
        <v>0</v>
      </c>
      <c r="AH2786" t="s">
        <v>128</v>
      </c>
      <c r="AI2786" s="1">
        <v>44222.749641203707</v>
      </c>
      <c r="AJ2786">
        <v>10</v>
      </c>
      <c r="AK2786">
        <v>0</v>
      </c>
      <c r="AL2786">
        <v>0</v>
      </c>
      <c r="AM2786">
        <v>0</v>
      </c>
      <c r="AN2786">
        <v>9</v>
      </c>
      <c r="AO2786">
        <v>0</v>
      </c>
      <c r="AP2786">
        <v>20</v>
      </c>
      <c r="AQ2786">
        <v>0</v>
      </c>
      <c r="AR2786">
        <v>0</v>
      </c>
      <c r="AS2786">
        <v>0</v>
      </c>
      <c r="AT2786" t="s">
        <v>90</v>
      </c>
      <c r="AU2786" s="1">
        <v>44223.341249999998</v>
      </c>
      <c r="AV2786">
        <v>2</v>
      </c>
      <c r="AW2786">
        <v>0</v>
      </c>
      <c r="AX2786">
        <v>0</v>
      </c>
      <c r="AY2786">
        <v>0</v>
      </c>
      <c r="AZ2786">
        <v>9</v>
      </c>
      <c r="BA2786">
        <v>0</v>
      </c>
      <c r="BB2786">
        <v>20</v>
      </c>
      <c r="BC2786">
        <v>0</v>
      </c>
      <c r="BD2786">
        <v>0</v>
      </c>
      <c r="BE2786">
        <v>0</v>
      </c>
    </row>
    <row r="2787" spans="1:57" x14ac:dyDescent="0.45">
      <c r="A2787" t="s">
        <v>6638</v>
      </c>
      <c r="B2787" t="s">
        <v>79</v>
      </c>
      <c r="C2787" t="s">
        <v>4549</v>
      </c>
      <c r="D2787" t="s">
        <v>81</v>
      </c>
      <c r="E2787" s="2" t="str">
        <f>HYPERLINK("capsilon://?command=openfolder&amp;siteaddress=FAM.docvelocity-na8.net&amp;folderid=FX0B6A10F0-0AE7-F00F-3092-11A7DF897953","FX20114907")</f>
        <v>FX20114907</v>
      </c>
      <c r="F2787" t="s">
        <v>19</v>
      </c>
      <c r="G2787" t="s">
        <v>19</v>
      </c>
      <c r="H2787" t="s">
        <v>82</v>
      </c>
      <c r="I2787" t="s">
        <v>6639</v>
      </c>
      <c r="J2787">
        <v>20</v>
      </c>
      <c r="K2787" t="s">
        <v>84</v>
      </c>
      <c r="L2787" t="s">
        <v>85</v>
      </c>
      <c r="M2787" t="s">
        <v>86</v>
      </c>
      <c r="N2787">
        <v>3</v>
      </c>
      <c r="O2787" s="1">
        <v>44222.725972222222</v>
      </c>
      <c r="P2787" s="1">
        <v>44223.341296296298</v>
      </c>
      <c r="Q2787">
        <v>53100</v>
      </c>
      <c r="R2787">
        <v>64</v>
      </c>
      <c r="S2787" t="b">
        <v>0</v>
      </c>
      <c r="T2787" t="s">
        <v>87</v>
      </c>
      <c r="U2787" t="b">
        <v>0</v>
      </c>
      <c r="V2787" t="s">
        <v>171</v>
      </c>
      <c r="W2787" s="1">
        <v>44222.726574074077</v>
      </c>
      <c r="X2787">
        <v>51</v>
      </c>
      <c r="Y2787">
        <v>9</v>
      </c>
      <c r="Z2787">
        <v>0</v>
      </c>
      <c r="AA2787">
        <v>9</v>
      </c>
      <c r="AB2787">
        <v>9</v>
      </c>
      <c r="AC2787">
        <v>0</v>
      </c>
      <c r="AD2787">
        <v>11</v>
      </c>
      <c r="AE2787">
        <v>0</v>
      </c>
      <c r="AF2787">
        <v>0</v>
      </c>
      <c r="AG2787">
        <v>0</v>
      </c>
      <c r="AH2787" t="s">
        <v>128</v>
      </c>
      <c r="AI2787" s="1">
        <v>44222.749768518515</v>
      </c>
      <c r="AJ2787">
        <v>10</v>
      </c>
      <c r="AK2787">
        <v>0</v>
      </c>
      <c r="AL2787">
        <v>0</v>
      </c>
      <c r="AM2787">
        <v>0</v>
      </c>
      <c r="AN2787">
        <v>9</v>
      </c>
      <c r="AO2787">
        <v>0</v>
      </c>
      <c r="AP2787">
        <v>11</v>
      </c>
      <c r="AQ2787">
        <v>0</v>
      </c>
      <c r="AR2787">
        <v>0</v>
      </c>
      <c r="AS2787">
        <v>0</v>
      </c>
      <c r="AT2787" t="s">
        <v>90</v>
      </c>
      <c r="AU2787" s="1">
        <v>44223.341296296298</v>
      </c>
      <c r="AV2787">
        <v>3</v>
      </c>
      <c r="AW2787">
        <v>0</v>
      </c>
      <c r="AX2787">
        <v>0</v>
      </c>
      <c r="AY2787">
        <v>0</v>
      </c>
      <c r="AZ2787">
        <v>9</v>
      </c>
      <c r="BA2787">
        <v>0</v>
      </c>
      <c r="BB2787">
        <v>11</v>
      </c>
      <c r="BC2787">
        <v>0</v>
      </c>
      <c r="BD2787">
        <v>0</v>
      </c>
      <c r="BE2787">
        <v>0</v>
      </c>
    </row>
    <row r="2788" spans="1:57" x14ac:dyDescent="0.45">
      <c r="A2788" t="s">
        <v>6640</v>
      </c>
      <c r="B2788" t="s">
        <v>79</v>
      </c>
      <c r="C2788" t="s">
        <v>6379</v>
      </c>
      <c r="D2788" t="s">
        <v>81</v>
      </c>
      <c r="E2788" s="2" t="str">
        <f>HYPERLINK("capsilon://?command=openfolder&amp;siteaddress=FAM.docvelocity-na8.net&amp;folderid=FX6792A536-B2FC-EF1C-621F-362F52F10970","FX210113701")</f>
        <v>FX210113701</v>
      </c>
      <c r="F2788" t="s">
        <v>19</v>
      </c>
      <c r="G2788" t="s">
        <v>19</v>
      </c>
      <c r="H2788" t="s">
        <v>82</v>
      </c>
      <c r="I2788" t="s">
        <v>6641</v>
      </c>
      <c r="J2788">
        <v>102</v>
      </c>
      <c r="K2788" t="s">
        <v>84</v>
      </c>
      <c r="L2788" t="s">
        <v>85</v>
      </c>
      <c r="M2788" t="s">
        <v>86</v>
      </c>
      <c r="N2788">
        <v>3</v>
      </c>
      <c r="O2788" s="1">
        <v>44222.73159722222</v>
      </c>
      <c r="P2788" s="1">
        <v>44223.341493055559</v>
      </c>
      <c r="Q2788">
        <v>51092</v>
      </c>
      <c r="R2788">
        <v>1603</v>
      </c>
      <c r="S2788" t="b">
        <v>0</v>
      </c>
      <c r="T2788" t="s">
        <v>87</v>
      </c>
      <c r="U2788" t="b">
        <v>0</v>
      </c>
      <c r="V2788" t="s">
        <v>160</v>
      </c>
      <c r="W2788" s="1">
        <v>44222.747361111113</v>
      </c>
      <c r="X2788">
        <v>1362</v>
      </c>
      <c r="Y2788">
        <v>74</v>
      </c>
      <c r="Z2788">
        <v>0</v>
      </c>
      <c r="AA2788">
        <v>74</v>
      </c>
      <c r="AB2788">
        <v>0</v>
      </c>
      <c r="AC2788">
        <v>44</v>
      </c>
      <c r="AD2788">
        <v>28</v>
      </c>
      <c r="AE2788">
        <v>0</v>
      </c>
      <c r="AF2788">
        <v>0</v>
      </c>
      <c r="AG2788">
        <v>0</v>
      </c>
      <c r="AH2788" t="s">
        <v>128</v>
      </c>
      <c r="AI2788" s="1">
        <v>44222.75236111111</v>
      </c>
      <c r="AJ2788">
        <v>224</v>
      </c>
      <c r="AK2788">
        <v>1</v>
      </c>
      <c r="AL2788">
        <v>0</v>
      </c>
      <c r="AM2788">
        <v>1</v>
      </c>
      <c r="AN2788">
        <v>0</v>
      </c>
      <c r="AO2788">
        <v>1</v>
      </c>
      <c r="AP2788">
        <v>27</v>
      </c>
      <c r="AQ2788">
        <v>0</v>
      </c>
      <c r="AR2788">
        <v>0</v>
      </c>
      <c r="AS2788">
        <v>0</v>
      </c>
      <c r="AT2788" t="s">
        <v>90</v>
      </c>
      <c r="AU2788" s="1">
        <v>44223.341493055559</v>
      </c>
      <c r="AV2788">
        <v>17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27</v>
      </c>
      <c r="BC2788">
        <v>0</v>
      </c>
      <c r="BD2788">
        <v>0</v>
      </c>
      <c r="BE2788">
        <v>0</v>
      </c>
    </row>
    <row r="2789" spans="1:57" hidden="1" x14ac:dyDescent="0.45">
      <c r="A2789" t="s">
        <v>6642</v>
      </c>
      <c r="B2789" t="s">
        <v>79</v>
      </c>
      <c r="C2789" t="s">
        <v>6604</v>
      </c>
      <c r="D2789" t="s">
        <v>81</v>
      </c>
      <c r="E2789" s="2" t="str">
        <f>HYPERLINK("capsilon://?command=openfolder&amp;siteaddress=FAM.docvelocity-na8.net&amp;folderid=FX9F98C70E-9A48-E0BB-FD3D-057D83781803","FX210115621")</f>
        <v>FX210115621</v>
      </c>
      <c r="F2789" t="s">
        <v>19</v>
      </c>
      <c r="G2789" t="s">
        <v>19</v>
      </c>
      <c r="H2789" t="s">
        <v>82</v>
      </c>
      <c r="I2789" t="s">
        <v>6643</v>
      </c>
      <c r="J2789">
        <v>26</v>
      </c>
      <c r="K2789" t="s">
        <v>84</v>
      </c>
      <c r="L2789" t="s">
        <v>85</v>
      </c>
      <c r="M2789" t="s">
        <v>86</v>
      </c>
      <c r="N2789">
        <v>1</v>
      </c>
      <c r="O2789" s="1">
        <v>44222.731886574074</v>
      </c>
      <c r="P2789" s="1">
        <v>44222.73232638889</v>
      </c>
      <c r="Q2789">
        <v>1</v>
      </c>
      <c r="R2789">
        <v>37</v>
      </c>
      <c r="S2789" t="b">
        <v>0</v>
      </c>
      <c r="T2789" t="s">
        <v>87</v>
      </c>
      <c r="U2789" t="b">
        <v>0</v>
      </c>
      <c r="V2789" t="s">
        <v>171</v>
      </c>
      <c r="W2789" s="1">
        <v>44222.73232638889</v>
      </c>
      <c r="X2789">
        <v>37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26</v>
      </c>
      <c r="AE2789">
        <v>21</v>
      </c>
      <c r="AF2789">
        <v>0</v>
      </c>
      <c r="AG2789">
        <v>1</v>
      </c>
      <c r="AH2789" t="s">
        <v>87</v>
      </c>
      <c r="AI2789" t="s">
        <v>87</v>
      </c>
      <c r="AJ2789" t="s">
        <v>87</v>
      </c>
      <c r="AK2789" t="s">
        <v>87</v>
      </c>
      <c r="AL2789" t="s">
        <v>87</v>
      </c>
      <c r="AM2789" t="s">
        <v>87</v>
      </c>
      <c r="AN2789" t="s">
        <v>87</v>
      </c>
      <c r="AO2789" t="s">
        <v>87</v>
      </c>
      <c r="AP2789" t="s">
        <v>87</v>
      </c>
      <c r="AQ2789" t="s">
        <v>87</v>
      </c>
      <c r="AR2789" t="s">
        <v>87</v>
      </c>
      <c r="AS2789" t="s">
        <v>87</v>
      </c>
      <c r="AT2789" t="s">
        <v>87</v>
      </c>
      <c r="AU2789" t="s">
        <v>87</v>
      </c>
      <c r="AV2789" t="s">
        <v>87</v>
      </c>
      <c r="AW2789" t="s">
        <v>87</v>
      </c>
      <c r="AX2789" t="s">
        <v>87</v>
      </c>
      <c r="AY2789" t="s">
        <v>87</v>
      </c>
      <c r="AZ2789" t="s">
        <v>87</v>
      </c>
      <c r="BA2789" t="s">
        <v>87</v>
      </c>
      <c r="BB2789" t="s">
        <v>87</v>
      </c>
      <c r="BC2789" t="s">
        <v>87</v>
      </c>
      <c r="BD2789" t="s">
        <v>87</v>
      </c>
      <c r="BE2789" t="s">
        <v>87</v>
      </c>
    </row>
    <row r="2790" spans="1:57" x14ac:dyDescent="0.45">
      <c r="A2790" t="s">
        <v>6644</v>
      </c>
      <c r="B2790" t="s">
        <v>79</v>
      </c>
      <c r="C2790" t="s">
        <v>6379</v>
      </c>
      <c r="D2790" t="s">
        <v>81</v>
      </c>
      <c r="E2790" s="2" t="str">
        <f>HYPERLINK("capsilon://?command=openfolder&amp;siteaddress=FAM.docvelocity-na8.net&amp;folderid=FX6792A536-B2FC-EF1C-621F-362F52F10970","FX210113701")</f>
        <v>FX210113701</v>
      </c>
      <c r="F2790" t="s">
        <v>19</v>
      </c>
      <c r="G2790" t="s">
        <v>19</v>
      </c>
      <c r="H2790" t="s">
        <v>82</v>
      </c>
      <c r="I2790" t="s">
        <v>6645</v>
      </c>
      <c r="J2790">
        <v>133</v>
      </c>
      <c r="K2790" t="s">
        <v>84</v>
      </c>
      <c r="L2790" t="s">
        <v>85</v>
      </c>
      <c r="M2790" t="s">
        <v>86</v>
      </c>
      <c r="N2790">
        <v>3</v>
      </c>
      <c r="O2790" s="1">
        <v>44222.732268518521</v>
      </c>
      <c r="P2790" s="1">
        <v>44223.341631944444</v>
      </c>
      <c r="Q2790">
        <v>49683</v>
      </c>
      <c r="R2790">
        <v>2966</v>
      </c>
      <c r="S2790" t="b">
        <v>0</v>
      </c>
      <c r="T2790" t="s">
        <v>87</v>
      </c>
      <c r="U2790" t="b">
        <v>0</v>
      </c>
      <c r="V2790" t="s">
        <v>146</v>
      </c>
      <c r="W2790" s="1">
        <v>44222.764733796299</v>
      </c>
      <c r="X2790">
        <v>2804</v>
      </c>
      <c r="Y2790">
        <v>100</v>
      </c>
      <c r="Z2790">
        <v>0</v>
      </c>
      <c r="AA2790">
        <v>100</v>
      </c>
      <c r="AB2790">
        <v>0</v>
      </c>
      <c r="AC2790">
        <v>50</v>
      </c>
      <c r="AD2790">
        <v>33</v>
      </c>
      <c r="AE2790">
        <v>0</v>
      </c>
      <c r="AF2790">
        <v>0</v>
      </c>
      <c r="AG2790">
        <v>0</v>
      </c>
      <c r="AH2790" t="s">
        <v>132</v>
      </c>
      <c r="AI2790" s="1">
        <v>44222.767083333332</v>
      </c>
      <c r="AJ2790">
        <v>151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33</v>
      </c>
      <c r="AQ2790">
        <v>0</v>
      </c>
      <c r="AR2790">
        <v>0</v>
      </c>
      <c r="AS2790">
        <v>0</v>
      </c>
      <c r="AT2790" t="s">
        <v>90</v>
      </c>
      <c r="AU2790" s="1">
        <v>44223.341631944444</v>
      </c>
      <c r="AV2790">
        <v>11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33</v>
      </c>
      <c r="BC2790">
        <v>0</v>
      </c>
      <c r="BD2790">
        <v>0</v>
      </c>
      <c r="BE2790">
        <v>0</v>
      </c>
    </row>
    <row r="2791" spans="1:57" x14ac:dyDescent="0.45">
      <c r="A2791" t="s">
        <v>6646</v>
      </c>
      <c r="B2791" t="s">
        <v>79</v>
      </c>
      <c r="C2791" t="s">
        <v>6604</v>
      </c>
      <c r="D2791" t="s">
        <v>81</v>
      </c>
      <c r="E2791" s="2" t="str">
        <f>HYPERLINK("capsilon://?command=openfolder&amp;siteaddress=FAM.docvelocity-na8.net&amp;folderid=FX9F98C70E-9A48-E0BB-FD3D-057D83781803","FX210115621")</f>
        <v>FX210115621</v>
      </c>
      <c r="F2791" t="s">
        <v>19</v>
      </c>
      <c r="G2791" t="s">
        <v>19</v>
      </c>
      <c r="H2791" t="s">
        <v>82</v>
      </c>
      <c r="I2791" t="s">
        <v>6643</v>
      </c>
      <c r="J2791">
        <v>26</v>
      </c>
      <c r="K2791" t="s">
        <v>84</v>
      </c>
      <c r="L2791" t="s">
        <v>85</v>
      </c>
      <c r="M2791" t="s">
        <v>86</v>
      </c>
      <c r="N2791">
        <v>3</v>
      </c>
      <c r="O2791" s="1">
        <v>44222.732789351852</v>
      </c>
      <c r="P2791" s="1">
        <v>44223.336944444447</v>
      </c>
      <c r="Q2791">
        <v>50046</v>
      </c>
      <c r="R2791">
        <v>2153</v>
      </c>
      <c r="S2791" t="b">
        <v>0</v>
      </c>
      <c r="T2791" t="s">
        <v>87</v>
      </c>
      <c r="U2791" t="b">
        <v>1</v>
      </c>
      <c r="V2791" t="s">
        <v>171</v>
      </c>
      <c r="W2791" s="1">
        <v>44222.756319444445</v>
      </c>
      <c r="X2791">
        <v>2032</v>
      </c>
      <c r="Y2791">
        <v>21</v>
      </c>
      <c r="Z2791">
        <v>0</v>
      </c>
      <c r="AA2791">
        <v>21</v>
      </c>
      <c r="AB2791">
        <v>0</v>
      </c>
      <c r="AC2791">
        <v>6</v>
      </c>
      <c r="AD2791">
        <v>5</v>
      </c>
      <c r="AE2791">
        <v>0</v>
      </c>
      <c r="AF2791">
        <v>0</v>
      </c>
      <c r="AG2791">
        <v>0</v>
      </c>
      <c r="AH2791" t="s">
        <v>128</v>
      </c>
      <c r="AI2791" s="1">
        <v>44222.761574074073</v>
      </c>
      <c r="AJ2791">
        <v>113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5</v>
      </c>
      <c r="AQ2791">
        <v>0</v>
      </c>
      <c r="AR2791">
        <v>0</v>
      </c>
      <c r="AS2791">
        <v>0</v>
      </c>
      <c r="AT2791" t="s">
        <v>90</v>
      </c>
      <c r="AU2791" s="1">
        <v>44223.336944444447</v>
      </c>
      <c r="AV2791">
        <v>8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5</v>
      </c>
      <c r="BC2791">
        <v>0</v>
      </c>
      <c r="BD2791">
        <v>0</v>
      </c>
      <c r="BE2791">
        <v>0</v>
      </c>
    </row>
    <row r="2792" spans="1:57" x14ac:dyDescent="0.45">
      <c r="A2792" t="s">
        <v>6647</v>
      </c>
      <c r="B2792" t="s">
        <v>79</v>
      </c>
      <c r="C2792" t="s">
        <v>6648</v>
      </c>
      <c r="D2792" t="s">
        <v>81</v>
      </c>
      <c r="E2792" s="2" t="str">
        <f>HYPERLINK("capsilon://?command=openfolder&amp;siteaddress=FAM.docvelocity-na8.net&amp;folderid=FX96B02D03-0CC2-496C-D57B-13EDC57F7B3C","FX210116269")</f>
        <v>FX210116269</v>
      </c>
      <c r="F2792" t="s">
        <v>19</v>
      </c>
      <c r="G2792" t="s">
        <v>19</v>
      </c>
      <c r="H2792" t="s">
        <v>82</v>
      </c>
      <c r="I2792" t="s">
        <v>6649</v>
      </c>
      <c r="J2792">
        <v>242</v>
      </c>
      <c r="K2792" t="s">
        <v>84</v>
      </c>
      <c r="L2792" t="s">
        <v>85</v>
      </c>
      <c r="M2792" t="s">
        <v>86</v>
      </c>
      <c r="N2792">
        <v>3</v>
      </c>
      <c r="O2792" s="1">
        <v>44222.734259259261</v>
      </c>
      <c r="P2792" s="1">
        <v>44223.34275462963</v>
      </c>
      <c r="Q2792">
        <v>49479</v>
      </c>
      <c r="R2792">
        <v>3095</v>
      </c>
      <c r="S2792" t="b">
        <v>0</v>
      </c>
      <c r="T2792" t="s">
        <v>87</v>
      </c>
      <c r="U2792" t="b">
        <v>0</v>
      </c>
      <c r="V2792" t="s">
        <v>160</v>
      </c>
      <c r="W2792" s="1">
        <v>44222.776203703703</v>
      </c>
      <c r="X2792">
        <v>2491</v>
      </c>
      <c r="Y2792">
        <v>213</v>
      </c>
      <c r="Z2792">
        <v>0</v>
      </c>
      <c r="AA2792">
        <v>213</v>
      </c>
      <c r="AB2792">
        <v>0</v>
      </c>
      <c r="AC2792">
        <v>154</v>
      </c>
      <c r="AD2792">
        <v>29</v>
      </c>
      <c r="AE2792">
        <v>0</v>
      </c>
      <c r="AF2792">
        <v>0</v>
      </c>
      <c r="AG2792">
        <v>0</v>
      </c>
      <c r="AH2792" t="s">
        <v>128</v>
      </c>
      <c r="AI2792" s="1">
        <v>44222.783032407409</v>
      </c>
      <c r="AJ2792">
        <v>508</v>
      </c>
      <c r="AK2792">
        <v>1</v>
      </c>
      <c r="AL2792">
        <v>0</v>
      </c>
      <c r="AM2792">
        <v>1</v>
      </c>
      <c r="AN2792">
        <v>0</v>
      </c>
      <c r="AO2792">
        <v>1</v>
      </c>
      <c r="AP2792">
        <v>28</v>
      </c>
      <c r="AQ2792">
        <v>0</v>
      </c>
      <c r="AR2792">
        <v>0</v>
      </c>
      <c r="AS2792">
        <v>0</v>
      </c>
      <c r="AT2792" t="s">
        <v>90</v>
      </c>
      <c r="AU2792" s="1">
        <v>44223.34275462963</v>
      </c>
      <c r="AV2792">
        <v>96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28</v>
      </c>
      <c r="BC2792">
        <v>0</v>
      </c>
      <c r="BD2792">
        <v>0</v>
      </c>
      <c r="BE2792">
        <v>0</v>
      </c>
    </row>
    <row r="2793" spans="1:57" x14ac:dyDescent="0.45">
      <c r="A2793" t="s">
        <v>6650</v>
      </c>
      <c r="B2793" t="s">
        <v>79</v>
      </c>
      <c r="C2793" t="s">
        <v>672</v>
      </c>
      <c r="D2793" t="s">
        <v>81</v>
      </c>
      <c r="E2793" s="2" t="str">
        <f>HYPERLINK("capsilon://?command=openfolder&amp;siteaddress=FAM.docvelocity-na8.net&amp;folderid=FXA5BBB99B-9D51-26C6-9B26-24EFBDF6F7DA","FX201229156")</f>
        <v>FX201229156</v>
      </c>
      <c r="F2793" t="s">
        <v>19</v>
      </c>
      <c r="G2793" t="s">
        <v>19</v>
      </c>
      <c r="H2793" t="s">
        <v>82</v>
      </c>
      <c r="I2793" t="s">
        <v>6651</v>
      </c>
      <c r="J2793">
        <v>38</v>
      </c>
      <c r="K2793" t="s">
        <v>84</v>
      </c>
      <c r="L2793" t="s">
        <v>85</v>
      </c>
      <c r="M2793" t="s">
        <v>86</v>
      </c>
      <c r="N2793">
        <v>3</v>
      </c>
      <c r="O2793" s="1">
        <v>44222.74113425926</v>
      </c>
      <c r="P2793" s="1">
        <v>44223.342881944445</v>
      </c>
      <c r="Q2793">
        <v>51414</v>
      </c>
      <c r="R2793">
        <v>577</v>
      </c>
      <c r="S2793" t="b">
        <v>0</v>
      </c>
      <c r="T2793" t="s">
        <v>87</v>
      </c>
      <c r="U2793" t="b">
        <v>0</v>
      </c>
      <c r="V2793" t="s">
        <v>259</v>
      </c>
      <c r="W2793" s="1">
        <v>44222.757638888892</v>
      </c>
      <c r="X2793">
        <v>421</v>
      </c>
      <c r="Y2793">
        <v>37</v>
      </c>
      <c r="Z2793">
        <v>0</v>
      </c>
      <c r="AA2793">
        <v>37</v>
      </c>
      <c r="AB2793">
        <v>0</v>
      </c>
      <c r="AC2793">
        <v>17</v>
      </c>
      <c r="AD2793">
        <v>1</v>
      </c>
      <c r="AE2793">
        <v>0</v>
      </c>
      <c r="AF2793">
        <v>0</v>
      </c>
      <c r="AG2793">
        <v>0</v>
      </c>
      <c r="AH2793" t="s">
        <v>128</v>
      </c>
      <c r="AI2793" s="1">
        <v>44222.763275462959</v>
      </c>
      <c r="AJ2793">
        <v>146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1</v>
      </c>
      <c r="AQ2793">
        <v>0</v>
      </c>
      <c r="AR2793">
        <v>0</v>
      </c>
      <c r="AS2793">
        <v>0</v>
      </c>
      <c r="AT2793" t="s">
        <v>90</v>
      </c>
      <c r="AU2793" s="1">
        <v>44223.342881944445</v>
      </c>
      <c r="AV2793">
        <v>10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1</v>
      </c>
      <c r="BC2793">
        <v>0</v>
      </c>
      <c r="BD2793">
        <v>0</v>
      </c>
      <c r="BE2793">
        <v>0</v>
      </c>
    </row>
    <row r="2794" spans="1:57" x14ac:dyDescent="0.45">
      <c r="A2794" t="s">
        <v>6652</v>
      </c>
      <c r="B2794" t="s">
        <v>79</v>
      </c>
      <c r="C2794" t="s">
        <v>4982</v>
      </c>
      <c r="D2794" t="s">
        <v>81</v>
      </c>
      <c r="E2794" s="2" t="str">
        <f>HYPERLINK("capsilon://?command=openfolder&amp;siteaddress=FAM.docvelocity-na8.net&amp;folderid=FXEB353DF6-9D7F-80FF-B31A-8B1AA2B44FB9","FX21012505")</f>
        <v>FX21012505</v>
      </c>
      <c r="F2794" t="s">
        <v>19</v>
      </c>
      <c r="G2794" t="s">
        <v>19</v>
      </c>
      <c r="H2794" t="s">
        <v>82</v>
      </c>
      <c r="I2794" t="s">
        <v>6653</v>
      </c>
      <c r="J2794">
        <v>66</v>
      </c>
      <c r="K2794" t="s">
        <v>84</v>
      </c>
      <c r="L2794" t="s">
        <v>85</v>
      </c>
      <c r="M2794" t="s">
        <v>86</v>
      </c>
      <c r="N2794">
        <v>3</v>
      </c>
      <c r="O2794" s="1">
        <v>44222.741851851853</v>
      </c>
      <c r="P2794" s="1">
        <v>44223.342997685184</v>
      </c>
      <c r="Q2794">
        <v>50461</v>
      </c>
      <c r="R2794">
        <v>1478</v>
      </c>
      <c r="S2794" t="b">
        <v>0</v>
      </c>
      <c r="T2794" t="s">
        <v>87</v>
      </c>
      <c r="U2794" t="b">
        <v>0</v>
      </c>
      <c r="V2794" t="s">
        <v>171</v>
      </c>
      <c r="W2794" s="1">
        <v>44222.772349537037</v>
      </c>
      <c r="X2794">
        <v>1384</v>
      </c>
      <c r="Y2794">
        <v>52</v>
      </c>
      <c r="Z2794">
        <v>0</v>
      </c>
      <c r="AA2794">
        <v>52</v>
      </c>
      <c r="AB2794">
        <v>0</v>
      </c>
      <c r="AC2794">
        <v>32</v>
      </c>
      <c r="AD2794">
        <v>14</v>
      </c>
      <c r="AE2794">
        <v>0</v>
      </c>
      <c r="AF2794">
        <v>0</v>
      </c>
      <c r="AG2794">
        <v>0</v>
      </c>
      <c r="AH2794" t="s">
        <v>132</v>
      </c>
      <c r="AI2794" s="1">
        <v>44222.773472222223</v>
      </c>
      <c r="AJ2794">
        <v>85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14</v>
      </c>
      <c r="AQ2794">
        <v>0</v>
      </c>
      <c r="AR2794">
        <v>0</v>
      </c>
      <c r="AS2794">
        <v>0</v>
      </c>
      <c r="AT2794" t="s">
        <v>90</v>
      </c>
      <c r="AU2794" s="1">
        <v>44223.342997685184</v>
      </c>
      <c r="AV2794">
        <v>9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14</v>
      </c>
      <c r="BC2794">
        <v>0</v>
      </c>
      <c r="BD2794">
        <v>0</v>
      </c>
      <c r="BE2794">
        <v>0</v>
      </c>
    </row>
    <row r="2795" spans="1:57" x14ac:dyDescent="0.45">
      <c r="A2795" t="s">
        <v>6654</v>
      </c>
      <c r="B2795" t="s">
        <v>79</v>
      </c>
      <c r="C2795" t="s">
        <v>6655</v>
      </c>
      <c r="D2795" t="s">
        <v>81</v>
      </c>
      <c r="E2795" s="2" t="str">
        <f>HYPERLINK("capsilon://?command=openfolder&amp;siteaddress=FAM.docvelocity-na8.net&amp;folderid=FX828591C6-B650-5488-8A78-0695EF04B5F0","FX210114938")</f>
        <v>FX210114938</v>
      </c>
      <c r="F2795" t="s">
        <v>19</v>
      </c>
      <c r="G2795" t="s">
        <v>19</v>
      </c>
      <c r="H2795" t="s">
        <v>82</v>
      </c>
      <c r="I2795" t="s">
        <v>6656</v>
      </c>
      <c r="J2795">
        <v>38</v>
      </c>
      <c r="K2795" t="s">
        <v>84</v>
      </c>
      <c r="L2795" t="s">
        <v>85</v>
      </c>
      <c r="M2795" t="s">
        <v>86</v>
      </c>
      <c r="N2795">
        <v>3</v>
      </c>
      <c r="O2795" s="1">
        <v>44222.743414351855</v>
      </c>
      <c r="P2795" s="1">
        <v>44223.343055555553</v>
      </c>
      <c r="Q2795">
        <v>51293</v>
      </c>
      <c r="R2795">
        <v>516</v>
      </c>
      <c r="S2795" t="b">
        <v>0</v>
      </c>
      <c r="T2795" t="s">
        <v>87</v>
      </c>
      <c r="U2795" t="b">
        <v>0</v>
      </c>
      <c r="V2795" t="s">
        <v>259</v>
      </c>
      <c r="W2795" s="1">
        <v>44222.762129629627</v>
      </c>
      <c r="X2795">
        <v>387</v>
      </c>
      <c r="Y2795">
        <v>37</v>
      </c>
      <c r="Z2795">
        <v>0</v>
      </c>
      <c r="AA2795">
        <v>37</v>
      </c>
      <c r="AB2795">
        <v>0</v>
      </c>
      <c r="AC2795">
        <v>15</v>
      </c>
      <c r="AD2795">
        <v>1</v>
      </c>
      <c r="AE2795">
        <v>0</v>
      </c>
      <c r="AF2795">
        <v>0</v>
      </c>
      <c r="AG2795">
        <v>0</v>
      </c>
      <c r="AH2795" t="s">
        <v>128</v>
      </c>
      <c r="AI2795" s="1">
        <v>44222.764722222222</v>
      </c>
      <c r="AJ2795">
        <v>124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 t="s">
        <v>90</v>
      </c>
      <c r="AU2795" s="1">
        <v>44223.343055555553</v>
      </c>
      <c r="AV2795">
        <v>5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1</v>
      </c>
      <c r="BC2795">
        <v>0</v>
      </c>
      <c r="BD2795">
        <v>0</v>
      </c>
      <c r="BE2795">
        <v>0</v>
      </c>
    </row>
    <row r="2796" spans="1:57" x14ac:dyDescent="0.45">
      <c r="A2796" t="s">
        <v>6657</v>
      </c>
      <c r="B2796" t="s">
        <v>79</v>
      </c>
      <c r="C2796" t="s">
        <v>3113</v>
      </c>
      <c r="D2796" t="s">
        <v>81</v>
      </c>
      <c r="E2796" s="2" t="str">
        <f>HYPERLINK("capsilon://?command=openfolder&amp;siteaddress=FAM.docvelocity-na8.net&amp;folderid=FX5E40E3A8-0C24-418B-1741-FADB178B6E25","FX21016183")</f>
        <v>FX21016183</v>
      </c>
      <c r="F2796" t="s">
        <v>19</v>
      </c>
      <c r="G2796" t="s">
        <v>19</v>
      </c>
      <c r="H2796" t="s">
        <v>82</v>
      </c>
      <c r="I2796" t="s">
        <v>6658</v>
      </c>
      <c r="J2796">
        <v>60</v>
      </c>
      <c r="K2796" t="s">
        <v>84</v>
      </c>
      <c r="L2796" t="s">
        <v>85</v>
      </c>
      <c r="M2796" t="s">
        <v>86</v>
      </c>
      <c r="N2796">
        <v>3</v>
      </c>
      <c r="O2796" s="1">
        <v>44222.744814814818</v>
      </c>
      <c r="P2796" s="1">
        <v>44223.343668981484</v>
      </c>
      <c r="Q2796">
        <v>51291</v>
      </c>
      <c r="R2796">
        <v>450</v>
      </c>
      <c r="S2796" t="b">
        <v>0</v>
      </c>
      <c r="T2796" t="s">
        <v>87</v>
      </c>
      <c r="U2796" t="b">
        <v>0</v>
      </c>
      <c r="V2796" t="s">
        <v>259</v>
      </c>
      <c r="W2796" s="1">
        <v>44222.764305555553</v>
      </c>
      <c r="X2796">
        <v>187</v>
      </c>
      <c r="Y2796">
        <v>41</v>
      </c>
      <c r="Z2796">
        <v>0</v>
      </c>
      <c r="AA2796">
        <v>41</v>
      </c>
      <c r="AB2796">
        <v>0</v>
      </c>
      <c r="AC2796">
        <v>13</v>
      </c>
      <c r="AD2796">
        <v>19</v>
      </c>
      <c r="AE2796">
        <v>0</v>
      </c>
      <c r="AF2796">
        <v>0</v>
      </c>
      <c r="AG2796">
        <v>0</v>
      </c>
      <c r="AH2796" t="s">
        <v>128</v>
      </c>
      <c r="AI2796" s="1">
        <v>44222.767175925925</v>
      </c>
      <c r="AJ2796">
        <v>211</v>
      </c>
      <c r="AK2796">
        <v>1</v>
      </c>
      <c r="AL2796">
        <v>0</v>
      </c>
      <c r="AM2796">
        <v>1</v>
      </c>
      <c r="AN2796">
        <v>0</v>
      </c>
      <c r="AO2796">
        <v>1</v>
      </c>
      <c r="AP2796">
        <v>18</v>
      </c>
      <c r="AQ2796">
        <v>0</v>
      </c>
      <c r="AR2796">
        <v>0</v>
      </c>
      <c r="AS2796">
        <v>0</v>
      </c>
      <c r="AT2796" t="s">
        <v>90</v>
      </c>
      <c r="AU2796" s="1">
        <v>44223.343668981484</v>
      </c>
      <c r="AV2796">
        <v>52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18</v>
      </c>
      <c r="BC2796">
        <v>0</v>
      </c>
      <c r="BD2796">
        <v>0</v>
      </c>
      <c r="BE2796">
        <v>0</v>
      </c>
    </row>
    <row r="2797" spans="1:57" x14ac:dyDescent="0.45">
      <c r="A2797" t="s">
        <v>6659</v>
      </c>
      <c r="B2797" t="s">
        <v>79</v>
      </c>
      <c r="C2797" t="s">
        <v>3113</v>
      </c>
      <c r="D2797" t="s">
        <v>81</v>
      </c>
      <c r="E2797" s="2" t="str">
        <f>HYPERLINK("capsilon://?command=openfolder&amp;siteaddress=FAM.docvelocity-na8.net&amp;folderid=FX5E40E3A8-0C24-418B-1741-FADB178B6E25","FX21016183")</f>
        <v>FX21016183</v>
      </c>
      <c r="F2797" t="s">
        <v>19</v>
      </c>
      <c r="G2797" t="s">
        <v>19</v>
      </c>
      <c r="H2797" t="s">
        <v>82</v>
      </c>
      <c r="I2797" t="s">
        <v>6660</v>
      </c>
      <c r="J2797">
        <v>26</v>
      </c>
      <c r="K2797" t="s">
        <v>84</v>
      </c>
      <c r="L2797" t="s">
        <v>85</v>
      </c>
      <c r="M2797" t="s">
        <v>86</v>
      </c>
      <c r="N2797">
        <v>3</v>
      </c>
      <c r="O2797" s="1">
        <v>44222.745162037034</v>
      </c>
      <c r="P2797" s="1">
        <v>44223.343738425923</v>
      </c>
      <c r="Q2797">
        <v>51453</v>
      </c>
      <c r="R2797">
        <v>264</v>
      </c>
      <c r="S2797" t="b">
        <v>0</v>
      </c>
      <c r="T2797" t="s">
        <v>87</v>
      </c>
      <c r="U2797" t="b">
        <v>0</v>
      </c>
      <c r="V2797" t="s">
        <v>262</v>
      </c>
      <c r="W2797" s="1">
        <v>44222.76630787037</v>
      </c>
      <c r="X2797">
        <v>198</v>
      </c>
      <c r="Y2797">
        <v>21</v>
      </c>
      <c r="Z2797">
        <v>0</v>
      </c>
      <c r="AA2797">
        <v>21</v>
      </c>
      <c r="AB2797">
        <v>0</v>
      </c>
      <c r="AC2797">
        <v>1</v>
      </c>
      <c r="AD2797">
        <v>5</v>
      </c>
      <c r="AE2797">
        <v>0</v>
      </c>
      <c r="AF2797">
        <v>0</v>
      </c>
      <c r="AG2797">
        <v>0</v>
      </c>
      <c r="AH2797" t="s">
        <v>132</v>
      </c>
      <c r="AI2797" s="1">
        <v>44222.767789351848</v>
      </c>
      <c r="AJ2797">
        <v>61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5</v>
      </c>
      <c r="AQ2797">
        <v>0</v>
      </c>
      <c r="AR2797">
        <v>0</v>
      </c>
      <c r="AS2797">
        <v>0</v>
      </c>
      <c r="AT2797" t="s">
        <v>90</v>
      </c>
      <c r="AU2797" s="1">
        <v>44223.343738425923</v>
      </c>
      <c r="AV2797">
        <v>5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5</v>
      </c>
      <c r="BC2797">
        <v>0</v>
      </c>
      <c r="BD2797">
        <v>0</v>
      </c>
      <c r="BE2797">
        <v>0</v>
      </c>
    </row>
    <row r="2798" spans="1:57" x14ac:dyDescent="0.45">
      <c r="A2798" t="s">
        <v>6661</v>
      </c>
      <c r="B2798" t="s">
        <v>79</v>
      </c>
      <c r="C2798" t="s">
        <v>3113</v>
      </c>
      <c r="D2798" t="s">
        <v>81</v>
      </c>
      <c r="E2798" s="2" t="str">
        <f>HYPERLINK("capsilon://?command=openfolder&amp;siteaddress=FAM.docvelocity-na8.net&amp;folderid=FX5E40E3A8-0C24-418B-1741-FADB178B6E25","FX21016183")</f>
        <v>FX21016183</v>
      </c>
      <c r="F2798" t="s">
        <v>19</v>
      </c>
      <c r="G2798" t="s">
        <v>19</v>
      </c>
      <c r="H2798" t="s">
        <v>82</v>
      </c>
      <c r="I2798" t="s">
        <v>6662</v>
      </c>
      <c r="J2798">
        <v>68</v>
      </c>
      <c r="K2798" t="s">
        <v>84</v>
      </c>
      <c r="L2798" t="s">
        <v>85</v>
      </c>
      <c r="M2798" t="s">
        <v>86</v>
      </c>
      <c r="N2798">
        <v>3</v>
      </c>
      <c r="O2798" s="1">
        <v>44222.745196759257</v>
      </c>
      <c r="P2798" s="1">
        <v>44223.343854166669</v>
      </c>
      <c r="Q2798">
        <v>51366</v>
      </c>
      <c r="R2798">
        <v>358</v>
      </c>
      <c r="S2798" t="b">
        <v>0</v>
      </c>
      <c r="T2798" t="s">
        <v>87</v>
      </c>
      <c r="U2798" t="b">
        <v>0</v>
      </c>
      <c r="V2798" t="s">
        <v>255</v>
      </c>
      <c r="W2798" s="1">
        <v>44222.766539351855</v>
      </c>
      <c r="X2798">
        <v>199</v>
      </c>
      <c r="Y2798">
        <v>46</v>
      </c>
      <c r="Z2798">
        <v>0</v>
      </c>
      <c r="AA2798">
        <v>46</v>
      </c>
      <c r="AB2798">
        <v>0</v>
      </c>
      <c r="AC2798">
        <v>16</v>
      </c>
      <c r="AD2798">
        <v>22</v>
      </c>
      <c r="AE2798">
        <v>0</v>
      </c>
      <c r="AF2798">
        <v>0</v>
      </c>
      <c r="AG2798">
        <v>0</v>
      </c>
      <c r="AH2798" t="s">
        <v>128</v>
      </c>
      <c r="AI2798" s="1">
        <v>44222.768923611111</v>
      </c>
      <c r="AJ2798">
        <v>150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22</v>
      </c>
      <c r="AQ2798">
        <v>0</v>
      </c>
      <c r="AR2798">
        <v>0</v>
      </c>
      <c r="AS2798">
        <v>0</v>
      </c>
      <c r="AT2798" t="s">
        <v>90</v>
      </c>
      <c r="AU2798" s="1">
        <v>44223.343854166669</v>
      </c>
      <c r="AV2798">
        <v>9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22</v>
      </c>
      <c r="BC2798">
        <v>0</v>
      </c>
      <c r="BD2798">
        <v>0</v>
      </c>
      <c r="BE2798">
        <v>0</v>
      </c>
    </row>
    <row r="2799" spans="1:57" x14ac:dyDescent="0.45">
      <c r="A2799" t="s">
        <v>6663</v>
      </c>
      <c r="B2799" t="s">
        <v>79</v>
      </c>
      <c r="C2799" t="s">
        <v>5945</v>
      </c>
      <c r="D2799" t="s">
        <v>81</v>
      </c>
      <c r="E2799" s="2" t="str">
        <f>HYPERLINK("capsilon://?command=openfolder&amp;siteaddress=FAM.docvelocity-na8.net&amp;folderid=FX6D148520-82EC-FAA4-3432-30A66C456F94","FX210111693")</f>
        <v>FX210111693</v>
      </c>
      <c r="F2799" t="s">
        <v>19</v>
      </c>
      <c r="G2799" t="s">
        <v>19</v>
      </c>
      <c r="H2799" t="s">
        <v>82</v>
      </c>
      <c r="I2799" t="s">
        <v>6664</v>
      </c>
      <c r="J2799">
        <v>66</v>
      </c>
      <c r="K2799" t="s">
        <v>84</v>
      </c>
      <c r="L2799" t="s">
        <v>85</v>
      </c>
      <c r="M2799" t="s">
        <v>86</v>
      </c>
      <c r="N2799">
        <v>3</v>
      </c>
      <c r="O2799" s="1">
        <v>44222.745462962965</v>
      </c>
      <c r="P2799" s="1">
        <v>44223.344351851854</v>
      </c>
      <c r="Q2799">
        <v>51069</v>
      </c>
      <c r="R2799">
        <v>675</v>
      </c>
      <c r="S2799" t="b">
        <v>0</v>
      </c>
      <c r="T2799" t="s">
        <v>87</v>
      </c>
      <c r="U2799" t="b">
        <v>0</v>
      </c>
      <c r="V2799" t="s">
        <v>259</v>
      </c>
      <c r="W2799" s="1">
        <v>44222.769780092596</v>
      </c>
      <c r="X2799">
        <v>472</v>
      </c>
      <c r="Y2799">
        <v>52</v>
      </c>
      <c r="Z2799">
        <v>0</v>
      </c>
      <c r="AA2799">
        <v>52</v>
      </c>
      <c r="AB2799">
        <v>0</v>
      </c>
      <c r="AC2799">
        <v>29</v>
      </c>
      <c r="AD2799">
        <v>14</v>
      </c>
      <c r="AE2799">
        <v>0</v>
      </c>
      <c r="AF2799">
        <v>0</v>
      </c>
      <c r="AG2799">
        <v>0</v>
      </c>
      <c r="AH2799" t="s">
        <v>128</v>
      </c>
      <c r="AI2799" s="1">
        <v>44222.771678240744</v>
      </c>
      <c r="AJ2799">
        <v>161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14</v>
      </c>
      <c r="AQ2799">
        <v>0</v>
      </c>
      <c r="AR2799">
        <v>0</v>
      </c>
      <c r="AS2799">
        <v>0</v>
      </c>
      <c r="AT2799" t="s">
        <v>90</v>
      </c>
      <c r="AU2799" s="1">
        <v>44223.344351851854</v>
      </c>
      <c r="AV2799">
        <v>42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14</v>
      </c>
      <c r="BC2799">
        <v>0</v>
      </c>
      <c r="BD2799">
        <v>0</v>
      </c>
      <c r="BE2799">
        <v>0</v>
      </c>
    </row>
    <row r="2800" spans="1:57" x14ac:dyDescent="0.45">
      <c r="A2800" t="s">
        <v>6665</v>
      </c>
      <c r="B2800" t="s">
        <v>79</v>
      </c>
      <c r="C2800" t="s">
        <v>3113</v>
      </c>
      <c r="D2800" t="s">
        <v>81</v>
      </c>
      <c r="E2800" s="2" t="str">
        <f>HYPERLINK("capsilon://?command=openfolder&amp;siteaddress=FAM.docvelocity-na8.net&amp;folderid=FX5E40E3A8-0C24-418B-1741-FADB178B6E25","FX21016183")</f>
        <v>FX21016183</v>
      </c>
      <c r="F2800" t="s">
        <v>19</v>
      </c>
      <c r="G2800" t="s">
        <v>19</v>
      </c>
      <c r="H2800" t="s">
        <v>82</v>
      </c>
      <c r="I2800" t="s">
        <v>6666</v>
      </c>
      <c r="J2800">
        <v>68</v>
      </c>
      <c r="K2800" t="s">
        <v>84</v>
      </c>
      <c r="L2800" t="s">
        <v>85</v>
      </c>
      <c r="M2800" t="s">
        <v>86</v>
      </c>
      <c r="N2800">
        <v>3</v>
      </c>
      <c r="O2800" s="1">
        <v>44222.746099537035</v>
      </c>
      <c r="P2800" s="1">
        <v>44223.344456018516</v>
      </c>
      <c r="Q2800">
        <v>50521</v>
      </c>
      <c r="R2800">
        <v>1177</v>
      </c>
      <c r="S2800" t="b">
        <v>0</v>
      </c>
      <c r="T2800" t="s">
        <v>87</v>
      </c>
      <c r="U2800" t="b">
        <v>0</v>
      </c>
      <c r="V2800" t="s">
        <v>146</v>
      </c>
      <c r="W2800" s="1">
        <v>44222.776817129627</v>
      </c>
      <c r="X2800">
        <v>1043</v>
      </c>
      <c r="Y2800">
        <v>41</v>
      </c>
      <c r="Z2800">
        <v>0</v>
      </c>
      <c r="AA2800">
        <v>41</v>
      </c>
      <c r="AB2800">
        <v>0</v>
      </c>
      <c r="AC2800">
        <v>22</v>
      </c>
      <c r="AD2800">
        <v>27</v>
      </c>
      <c r="AE2800">
        <v>0</v>
      </c>
      <c r="AF2800">
        <v>0</v>
      </c>
      <c r="AG2800">
        <v>0</v>
      </c>
      <c r="AH2800" t="s">
        <v>128</v>
      </c>
      <c r="AI2800" s="1">
        <v>44222.784490740742</v>
      </c>
      <c r="AJ2800">
        <v>125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27</v>
      </c>
      <c r="AQ2800">
        <v>0</v>
      </c>
      <c r="AR2800">
        <v>0</v>
      </c>
      <c r="AS2800">
        <v>0</v>
      </c>
      <c r="AT2800" t="s">
        <v>90</v>
      </c>
      <c r="AU2800" s="1">
        <v>44223.344456018516</v>
      </c>
      <c r="AV2800">
        <v>9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27</v>
      </c>
      <c r="BC2800">
        <v>0</v>
      </c>
      <c r="BD2800">
        <v>0</v>
      </c>
      <c r="BE2800">
        <v>0</v>
      </c>
    </row>
    <row r="2801" spans="1:57" x14ac:dyDescent="0.45">
      <c r="A2801" t="s">
        <v>6667</v>
      </c>
      <c r="B2801" t="s">
        <v>79</v>
      </c>
      <c r="C2801" t="s">
        <v>6616</v>
      </c>
      <c r="D2801" t="s">
        <v>81</v>
      </c>
      <c r="E2801" s="2" t="str">
        <f>HYPERLINK("capsilon://?command=openfolder&amp;siteaddress=FAM.docvelocity-na8.net&amp;folderid=FX7D3036B5-E1CE-0F76-3D7D-0A7CD14E7D96","FX20121978")</f>
        <v>FX20121978</v>
      </c>
      <c r="F2801" t="s">
        <v>19</v>
      </c>
      <c r="G2801" t="s">
        <v>19</v>
      </c>
      <c r="H2801" t="s">
        <v>82</v>
      </c>
      <c r="I2801" t="s">
        <v>6668</v>
      </c>
      <c r="J2801">
        <v>66</v>
      </c>
      <c r="K2801" t="s">
        <v>84</v>
      </c>
      <c r="L2801" t="s">
        <v>85</v>
      </c>
      <c r="M2801" t="s">
        <v>86</v>
      </c>
      <c r="N2801">
        <v>3</v>
      </c>
      <c r="O2801" s="1">
        <v>44222.746412037035</v>
      </c>
      <c r="P2801" s="1">
        <v>44223.344675925924</v>
      </c>
      <c r="Q2801">
        <v>50563</v>
      </c>
      <c r="R2801">
        <v>1127</v>
      </c>
      <c r="S2801" t="b">
        <v>0</v>
      </c>
      <c r="T2801" t="s">
        <v>87</v>
      </c>
      <c r="U2801" t="b">
        <v>0</v>
      </c>
      <c r="V2801" t="s">
        <v>262</v>
      </c>
      <c r="W2801" s="1">
        <v>44222.776886574073</v>
      </c>
      <c r="X2801">
        <v>913</v>
      </c>
      <c r="Y2801">
        <v>52</v>
      </c>
      <c r="Z2801">
        <v>0</v>
      </c>
      <c r="AA2801">
        <v>52</v>
      </c>
      <c r="AB2801">
        <v>0</v>
      </c>
      <c r="AC2801">
        <v>34</v>
      </c>
      <c r="AD2801">
        <v>14</v>
      </c>
      <c r="AE2801">
        <v>0</v>
      </c>
      <c r="AF2801">
        <v>0</v>
      </c>
      <c r="AG2801">
        <v>0</v>
      </c>
      <c r="AH2801" t="s">
        <v>128</v>
      </c>
      <c r="AI2801" s="1">
        <v>44222.786770833336</v>
      </c>
      <c r="AJ2801">
        <v>196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14</v>
      </c>
      <c r="AQ2801">
        <v>0</v>
      </c>
      <c r="AR2801">
        <v>0</v>
      </c>
      <c r="AS2801">
        <v>0</v>
      </c>
      <c r="AT2801" t="s">
        <v>90</v>
      </c>
      <c r="AU2801" s="1">
        <v>44223.344675925924</v>
      </c>
      <c r="AV2801">
        <v>18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14</v>
      </c>
      <c r="BC2801">
        <v>0</v>
      </c>
      <c r="BD2801">
        <v>0</v>
      </c>
      <c r="BE2801">
        <v>0</v>
      </c>
    </row>
    <row r="2802" spans="1:57" hidden="1" x14ac:dyDescent="0.45">
      <c r="A2802" t="s">
        <v>6669</v>
      </c>
      <c r="B2802" t="s">
        <v>79</v>
      </c>
      <c r="C2802" t="s">
        <v>2089</v>
      </c>
      <c r="D2802" t="s">
        <v>81</v>
      </c>
      <c r="E2802" s="2" t="str">
        <f>HYPERLINK("capsilon://?command=openfolder&amp;siteaddress=FAM.docvelocity-na8.net&amp;folderid=FX76B3561E-9B67-9F1D-54DE-D55854B33678","FX20123251")</f>
        <v>FX20123251</v>
      </c>
      <c r="F2802" t="s">
        <v>19</v>
      </c>
      <c r="G2802" t="s">
        <v>19</v>
      </c>
      <c r="H2802" t="s">
        <v>82</v>
      </c>
      <c r="I2802" t="s">
        <v>6670</v>
      </c>
      <c r="J2802">
        <v>66</v>
      </c>
      <c r="K2802" t="s">
        <v>84</v>
      </c>
      <c r="L2802" t="s">
        <v>85</v>
      </c>
      <c r="M2802" t="s">
        <v>86</v>
      </c>
      <c r="N2802">
        <v>3</v>
      </c>
      <c r="O2802" s="1">
        <v>44222.748888888891</v>
      </c>
      <c r="P2802" s="1">
        <v>44223.344710648147</v>
      </c>
      <c r="Q2802">
        <v>51390</v>
      </c>
      <c r="R2802">
        <v>89</v>
      </c>
      <c r="S2802" t="b">
        <v>0</v>
      </c>
      <c r="T2802" t="s">
        <v>87</v>
      </c>
      <c r="U2802" t="b">
        <v>0</v>
      </c>
      <c r="V2802" t="s">
        <v>255</v>
      </c>
      <c r="W2802" s="1">
        <v>44222.767152777778</v>
      </c>
      <c r="X2802">
        <v>52</v>
      </c>
      <c r="Y2802">
        <v>0</v>
      </c>
      <c r="Z2802">
        <v>0</v>
      </c>
      <c r="AA2802">
        <v>0</v>
      </c>
      <c r="AB2802">
        <v>52</v>
      </c>
      <c r="AC2802">
        <v>0</v>
      </c>
      <c r="AD2802">
        <v>66</v>
      </c>
      <c r="AE2802">
        <v>0</v>
      </c>
      <c r="AF2802">
        <v>0</v>
      </c>
      <c r="AG2802">
        <v>0</v>
      </c>
      <c r="AH2802" t="s">
        <v>132</v>
      </c>
      <c r="AI2802" s="1">
        <v>44222.768194444441</v>
      </c>
      <c r="AJ2802">
        <v>35</v>
      </c>
      <c r="AK2802">
        <v>0</v>
      </c>
      <c r="AL2802">
        <v>0</v>
      </c>
      <c r="AM2802">
        <v>0</v>
      </c>
      <c r="AN2802">
        <v>52</v>
      </c>
      <c r="AO2802">
        <v>0</v>
      </c>
      <c r="AP2802">
        <v>66</v>
      </c>
      <c r="AQ2802">
        <v>0</v>
      </c>
      <c r="AR2802">
        <v>0</v>
      </c>
      <c r="AS2802">
        <v>0</v>
      </c>
      <c r="AT2802" t="s">
        <v>90</v>
      </c>
      <c r="AU2802" s="1">
        <v>44223.344710648147</v>
      </c>
      <c r="AV2802">
        <v>2</v>
      </c>
      <c r="AW2802">
        <v>0</v>
      </c>
      <c r="AX2802">
        <v>0</v>
      </c>
      <c r="AY2802">
        <v>0</v>
      </c>
      <c r="AZ2802">
        <v>52</v>
      </c>
      <c r="BA2802">
        <v>0</v>
      </c>
      <c r="BB2802">
        <v>66</v>
      </c>
      <c r="BC2802">
        <v>0</v>
      </c>
      <c r="BD2802">
        <v>0</v>
      </c>
      <c r="BE2802">
        <v>0</v>
      </c>
    </row>
    <row r="2803" spans="1:57" hidden="1" x14ac:dyDescent="0.45">
      <c r="A2803" t="s">
        <v>6671</v>
      </c>
      <c r="B2803" t="s">
        <v>79</v>
      </c>
      <c r="C2803" t="s">
        <v>6604</v>
      </c>
      <c r="D2803" t="s">
        <v>81</v>
      </c>
      <c r="E2803" s="2" t="str">
        <f>HYPERLINK("capsilon://?command=openfolder&amp;siteaddress=FAM.docvelocity-na8.net&amp;folderid=FX9F98C70E-9A48-E0BB-FD3D-057D83781803","FX210115621")</f>
        <v>FX210115621</v>
      </c>
      <c r="F2803" t="s">
        <v>19</v>
      </c>
      <c r="G2803" t="s">
        <v>19</v>
      </c>
      <c r="H2803" t="s">
        <v>82</v>
      </c>
      <c r="I2803" t="s">
        <v>6672</v>
      </c>
      <c r="J2803">
        <v>26</v>
      </c>
      <c r="K2803" t="s">
        <v>84</v>
      </c>
      <c r="L2803" t="s">
        <v>85</v>
      </c>
      <c r="M2803" t="s">
        <v>86</v>
      </c>
      <c r="N2803">
        <v>1</v>
      </c>
      <c r="O2803" s="1">
        <v>44222.75341435185</v>
      </c>
      <c r="P2803" s="1">
        <v>44222.767870370371</v>
      </c>
      <c r="Q2803">
        <v>1188</v>
      </c>
      <c r="R2803">
        <v>61</v>
      </c>
      <c r="S2803" t="b">
        <v>0</v>
      </c>
      <c r="T2803" t="s">
        <v>87</v>
      </c>
      <c r="U2803" t="b">
        <v>0</v>
      </c>
      <c r="V2803" t="s">
        <v>255</v>
      </c>
      <c r="W2803" s="1">
        <v>44222.767870370371</v>
      </c>
      <c r="X2803">
        <v>61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26</v>
      </c>
      <c r="AE2803">
        <v>21</v>
      </c>
      <c r="AF2803">
        <v>0</v>
      </c>
      <c r="AG2803">
        <v>1</v>
      </c>
      <c r="AH2803" t="s">
        <v>87</v>
      </c>
      <c r="AI2803" t="s">
        <v>87</v>
      </c>
      <c r="AJ2803" t="s">
        <v>87</v>
      </c>
      <c r="AK2803" t="s">
        <v>87</v>
      </c>
      <c r="AL2803" t="s">
        <v>87</v>
      </c>
      <c r="AM2803" t="s">
        <v>87</v>
      </c>
      <c r="AN2803" t="s">
        <v>87</v>
      </c>
      <c r="AO2803" t="s">
        <v>87</v>
      </c>
      <c r="AP2803" t="s">
        <v>87</v>
      </c>
      <c r="AQ2803" t="s">
        <v>87</v>
      </c>
      <c r="AR2803" t="s">
        <v>87</v>
      </c>
      <c r="AS2803" t="s">
        <v>87</v>
      </c>
      <c r="AT2803" t="s">
        <v>87</v>
      </c>
      <c r="AU2803" t="s">
        <v>87</v>
      </c>
      <c r="AV2803" t="s">
        <v>87</v>
      </c>
      <c r="AW2803" t="s">
        <v>87</v>
      </c>
      <c r="AX2803" t="s">
        <v>87</v>
      </c>
      <c r="AY2803" t="s">
        <v>87</v>
      </c>
      <c r="AZ2803" t="s">
        <v>87</v>
      </c>
      <c r="BA2803" t="s">
        <v>87</v>
      </c>
      <c r="BB2803" t="s">
        <v>87</v>
      </c>
      <c r="BC2803" t="s">
        <v>87</v>
      </c>
      <c r="BD2803" t="s">
        <v>87</v>
      </c>
      <c r="BE2803" t="s">
        <v>87</v>
      </c>
    </row>
    <row r="2804" spans="1:57" hidden="1" x14ac:dyDescent="0.45">
      <c r="A2804" t="s">
        <v>6673</v>
      </c>
      <c r="B2804" t="s">
        <v>79</v>
      </c>
      <c r="C2804" t="s">
        <v>5220</v>
      </c>
      <c r="D2804" t="s">
        <v>81</v>
      </c>
      <c r="E2804" s="2" t="str">
        <f>HYPERLINK("capsilon://?command=openfolder&amp;siteaddress=FAM.docvelocity-na8.net&amp;folderid=FX3364F0CD-AE50-3E72-9419-41E9DBC31E7F","FX201225838")</f>
        <v>FX201225838</v>
      </c>
      <c r="F2804" t="s">
        <v>19</v>
      </c>
      <c r="G2804" t="s">
        <v>19</v>
      </c>
      <c r="H2804" t="s">
        <v>82</v>
      </c>
      <c r="I2804" t="s">
        <v>6674</v>
      </c>
      <c r="J2804">
        <v>66</v>
      </c>
      <c r="K2804" t="s">
        <v>84</v>
      </c>
      <c r="L2804" t="s">
        <v>85</v>
      </c>
      <c r="M2804" t="s">
        <v>86</v>
      </c>
      <c r="N2804">
        <v>3</v>
      </c>
      <c r="O2804" s="1">
        <v>44201.651550925926</v>
      </c>
      <c r="P2804" s="1">
        <v>44201.658587962964</v>
      </c>
      <c r="Q2804">
        <v>284</v>
      </c>
      <c r="R2804">
        <v>324</v>
      </c>
      <c r="S2804" t="b">
        <v>0</v>
      </c>
      <c r="T2804" t="s">
        <v>87</v>
      </c>
      <c r="U2804" t="b">
        <v>0</v>
      </c>
      <c r="V2804" t="s">
        <v>168</v>
      </c>
      <c r="W2804" s="1">
        <v>44201.655173611114</v>
      </c>
      <c r="X2804">
        <v>231</v>
      </c>
      <c r="Y2804">
        <v>0</v>
      </c>
      <c r="Z2804">
        <v>0</v>
      </c>
      <c r="AA2804">
        <v>0</v>
      </c>
      <c r="AB2804">
        <v>52</v>
      </c>
      <c r="AC2804">
        <v>0</v>
      </c>
      <c r="AD2804">
        <v>66</v>
      </c>
      <c r="AE2804">
        <v>0</v>
      </c>
      <c r="AF2804">
        <v>0</v>
      </c>
      <c r="AG2804">
        <v>0</v>
      </c>
      <c r="AH2804" t="s">
        <v>128</v>
      </c>
      <c r="AI2804" s="1">
        <v>44201.656331018516</v>
      </c>
      <c r="AJ2804">
        <v>90</v>
      </c>
      <c r="AK2804">
        <v>0</v>
      </c>
      <c r="AL2804">
        <v>0</v>
      </c>
      <c r="AM2804">
        <v>0</v>
      </c>
      <c r="AN2804">
        <v>52</v>
      </c>
      <c r="AO2804">
        <v>0</v>
      </c>
      <c r="AP2804">
        <v>66</v>
      </c>
      <c r="AQ2804">
        <v>0</v>
      </c>
      <c r="AR2804">
        <v>0</v>
      </c>
      <c r="AS2804">
        <v>0</v>
      </c>
      <c r="AT2804" t="s">
        <v>90</v>
      </c>
      <c r="AU2804" s="1">
        <v>44201.658587962964</v>
      </c>
      <c r="AV2804">
        <v>3</v>
      </c>
      <c r="AW2804">
        <v>0</v>
      </c>
      <c r="AX2804">
        <v>0</v>
      </c>
      <c r="AY2804">
        <v>0</v>
      </c>
      <c r="AZ2804">
        <v>52</v>
      </c>
      <c r="BA2804">
        <v>0</v>
      </c>
      <c r="BB2804">
        <v>66</v>
      </c>
      <c r="BC2804">
        <v>0</v>
      </c>
      <c r="BD2804">
        <v>0</v>
      </c>
      <c r="BE2804">
        <v>0</v>
      </c>
    </row>
    <row r="2805" spans="1:57" hidden="1" x14ac:dyDescent="0.45">
      <c r="A2805" t="s">
        <v>6675</v>
      </c>
      <c r="B2805" t="s">
        <v>79</v>
      </c>
      <c r="C2805" t="s">
        <v>6676</v>
      </c>
      <c r="D2805" t="s">
        <v>81</v>
      </c>
      <c r="E2805" s="2" t="str">
        <f>HYPERLINK("capsilon://?command=openfolder&amp;siteaddress=FAM.docvelocity-na8.net&amp;folderid=FX43C0F455-5736-081B-B3B3-5C6297BF31A9","FX20125966")</f>
        <v>FX20125966</v>
      </c>
      <c r="F2805" t="s">
        <v>19</v>
      </c>
      <c r="G2805" t="s">
        <v>19</v>
      </c>
      <c r="H2805" t="s">
        <v>82</v>
      </c>
      <c r="I2805" t="s">
        <v>6677</v>
      </c>
      <c r="J2805">
        <v>66</v>
      </c>
      <c r="K2805" t="s">
        <v>84</v>
      </c>
      <c r="L2805" t="s">
        <v>85</v>
      </c>
      <c r="M2805" t="s">
        <v>86</v>
      </c>
      <c r="N2805">
        <v>3</v>
      </c>
      <c r="O2805" s="1">
        <v>44222.761064814818</v>
      </c>
      <c r="P2805" s="1">
        <v>44223.34474537037</v>
      </c>
      <c r="Q2805">
        <v>50350</v>
      </c>
      <c r="R2805">
        <v>80</v>
      </c>
      <c r="S2805" t="b">
        <v>0</v>
      </c>
      <c r="T2805" t="s">
        <v>87</v>
      </c>
      <c r="U2805" t="b">
        <v>0</v>
      </c>
      <c r="V2805" t="s">
        <v>255</v>
      </c>
      <c r="W2805" s="1">
        <v>44222.76840277778</v>
      </c>
      <c r="X2805">
        <v>44</v>
      </c>
      <c r="Y2805">
        <v>0</v>
      </c>
      <c r="Z2805">
        <v>0</v>
      </c>
      <c r="AA2805">
        <v>0</v>
      </c>
      <c r="AB2805">
        <v>52</v>
      </c>
      <c r="AC2805">
        <v>0</v>
      </c>
      <c r="AD2805">
        <v>66</v>
      </c>
      <c r="AE2805">
        <v>0</v>
      </c>
      <c r="AF2805">
        <v>0</v>
      </c>
      <c r="AG2805">
        <v>0</v>
      </c>
      <c r="AH2805" t="s">
        <v>128</v>
      </c>
      <c r="AI2805" s="1">
        <v>44222.769317129627</v>
      </c>
      <c r="AJ2805">
        <v>34</v>
      </c>
      <c r="AK2805">
        <v>0</v>
      </c>
      <c r="AL2805">
        <v>0</v>
      </c>
      <c r="AM2805">
        <v>0</v>
      </c>
      <c r="AN2805">
        <v>52</v>
      </c>
      <c r="AO2805">
        <v>0</v>
      </c>
      <c r="AP2805">
        <v>66</v>
      </c>
      <c r="AQ2805">
        <v>0</v>
      </c>
      <c r="AR2805">
        <v>0</v>
      </c>
      <c r="AS2805">
        <v>0</v>
      </c>
      <c r="AT2805" t="s">
        <v>90</v>
      </c>
      <c r="AU2805" s="1">
        <v>44223.34474537037</v>
      </c>
      <c r="AV2805">
        <v>2</v>
      </c>
      <c r="AW2805">
        <v>0</v>
      </c>
      <c r="AX2805">
        <v>0</v>
      </c>
      <c r="AY2805">
        <v>0</v>
      </c>
      <c r="AZ2805">
        <v>52</v>
      </c>
      <c r="BA2805">
        <v>0</v>
      </c>
      <c r="BB2805">
        <v>66</v>
      </c>
      <c r="BC2805">
        <v>0</v>
      </c>
      <c r="BD2805">
        <v>0</v>
      </c>
      <c r="BE2805">
        <v>0</v>
      </c>
    </row>
    <row r="2806" spans="1:57" hidden="1" x14ac:dyDescent="0.45">
      <c r="A2806" t="s">
        <v>6678</v>
      </c>
      <c r="B2806" t="s">
        <v>79</v>
      </c>
      <c r="C2806" t="s">
        <v>5220</v>
      </c>
      <c r="D2806" t="s">
        <v>81</v>
      </c>
      <c r="E2806" s="2" t="str">
        <f>HYPERLINK("capsilon://?command=openfolder&amp;siteaddress=FAM.docvelocity-na8.net&amp;folderid=FX3364F0CD-AE50-3E72-9419-41E9DBC31E7F","FX201225838")</f>
        <v>FX201225838</v>
      </c>
      <c r="F2806" t="s">
        <v>19</v>
      </c>
      <c r="G2806" t="s">
        <v>19</v>
      </c>
      <c r="H2806" t="s">
        <v>82</v>
      </c>
      <c r="I2806" t="s">
        <v>6679</v>
      </c>
      <c r="J2806">
        <v>66</v>
      </c>
      <c r="K2806" t="s">
        <v>84</v>
      </c>
      <c r="L2806" t="s">
        <v>85</v>
      </c>
      <c r="M2806" t="s">
        <v>86</v>
      </c>
      <c r="N2806">
        <v>3</v>
      </c>
      <c r="O2806" s="1">
        <v>44201.652060185188</v>
      </c>
      <c r="P2806" s="1">
        <v>44201.674699074072</v>
      </c>
      <c r="Q2806">
        <v>1605</v>
      </c>
      <c r="R2806">
        <v>351</v>
      </c>
      <c r="S2806" t="b">
        <v>0</v>
      </c>
      <c r="T2806" t="s">
        <v>87</v>
      </c>
      <c r="U2806" t="b">
        <v>0</v>
      </c>
      <c r="V2806" t="s">
        <v>146</v>
      </c>
      <c r="W2806" s="1">
        <v>44201.657002314816</v>
      </c>
      <c r="X2806">
        <v>310</v>
      </c>
      <c r="Y2806">
        <v>0</v>
      </c>
      <c r="Z2806">
        <v>0</v>
      </c>
      <c r="AA2806">
        <v>0</v>
      </c>
      <c r="AB2806">
        <v>208</v>
      </c>
      <c r="AC2806">
        <v>0</v>
      </c>
      <c r="AD2806">
        <v>66</v>
      </c>
      <c r="AE2806">
        <v>0</v>
      </c>
      <c r="AF2806">
        <v>0</v>
      </c>
      <c r="AG2806">
        <v>0</v>
      </c>
      <c r="AH2806" t="s">
        <v>94</v>
      </c>
      <c r="AI2806" s="1">
        <v>44201.667708333334</v>
      </c>
      <c r="AJ2806">
        <v>38</v>
      </c>
      <c r="AK2806">
        <v>0</v>
      </c>
      <c r="AL2806">
        <v>0</v>
      </c>
      <c r="AM2806">
        <v>0</v>
      </c>
      <c r="AN2806">
        <v>52</v>
      </c>
      <c r="AO2806">
        <v>0</v>
      </c>
      <c r="AP2806">
        <v>66</v>
      </c>
      <c r="AQ2806">
        <v>0</v>
      </c>
      <c r="AR2806">
        <v>0</v>
      </c>
      <c r="AS2806">
        <v>0</v>
      </c>
      <c r="AT2806" t="s">
        <v>90</v>
      </c>
      <c r="AU2806" s="1">
        <v>44201.674699074072</v>
      </c>
      <c r="AV2806">
        <v>3</v>
      </c>
      <c r="AW2806">
        <v>0</v>
      </c>
      <c r="AX2806">
        <v>0</v>
      </c>
      <c r="AY2806">
        <v>0</v>
      </c>
      <c r="AZ2806">
        <v>52</v>
      </c>
      <c r="BA2806">
        <v>0</v>
      </c>
      <c r="BB2806">
        <v>66</v>
      </c>
      <c r="BC2806">
        <v>0</v>
      </c>
      <c r="BD2806">
        <v>0</v>
      </c>
      <c r="BE2806">
        <v>0</v>
      </c>
    </row>
    <row r="2807" spans="1:57" x14ac:dyDescent="0.45">
      <c r="A2807" t="s">
        <v>6680</v>
      </c>
      <c r="B2807" t="s">
        <v>79</v>
      </c>
      <c r="C2807" t="s">
        <v>6604</v>
      </c>
      <c r="D2807" t="s">
        <v>81</v>
      </c>
      <c r="E2807" s="2" t="str">
        <f>HYPERLINK("capsilon://?command=openfolder&amp;siteaddress=FAM.docvelocity-na8.net&amp;folderid=FX9F98C70E-9A48-E0BB-FD3D-057D83781803","FX210115621")</f>
        <v>FX210115621</v>
      </c>
      <c r="F2807" t="s">
        <v>19</v>
      </c>
      <c r="G2807" t="s">
        <v>19</v>
      </c>
      <c r="H2807" t="s">
        <v>82</v>
      </c>
      <c r="I2807" t="s">
        <v>6672</v>
      </c>
      <c r="J2807">
        <v>26</v>
      </c>
      <c r="K2807" t="s">
        <v>84</v>
      </c>
      <c r="L2807" t="s">
        <v>85</v>
      </c>
      <c r="M2807" t="s">
        <v>86</v>
      </c>
      <c r="N2807">
        <v>3</v>
      </c>
      <c r="O2807" s="1">
        <v>44222.768171296295</v>
      </c>
      <c r="P2807" s="1">
        <v>44223.337002314816</v>
      </c>
      <c r="Q2807">
        <v>48887</v>
      </c>
      <c r="R2807">
        <v>260</v>
      </c>
      <c r="S2807" t="b">
        <v>0</v>
      </c>
      <c r="T2807" t="s">
        <v>87</v>
      </c>
      <c r="U2807" t="b">
        <v>1</v>
      </c>
      <c r="V2807" t="s">
        <v>255</v>
      </c>
      <c r="W2807" s="1">
        <v>44222.770543981482</v>
      </c>
      <c r="X2807">
        <v>184</v>
      </c>
      <c r="Y2807">
        <v>21</v>
      </c>
      <c r="Z2807">
        <v>0</v>
      </c>
      <c r="AA2807">
        <v>21</v>
      </c>
      <c r="AB2807">
        <v>0</v>
      </c>
      <c r="AC2807">
        <v>7</v>
      </c>
      <c r="AD2807">
        <v>5</v>
      </c>
      <c r="AE2807">
        <v>0</v>
      </c>
      <c r="AF2807">
        <v>0</v>
      </c>
      <c r="AG2807">
        <v>0</v>
      </c>
      <c r="AH2807" t="s">
        <v>132</v>
      </c>
      <c r="AI2807" s="1">
        <v>44222.772326388891</v>
      </c>
      <c r="AJ2807">
        <v>71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5</v>
      </c>
      <c r="AQ2807">
        <v>0</v>
      </c>
      <c r="AR2807">
        <v>0</v>
      </c>
      <c r="AS2807">
        <v>0</v>
      </c>
      <c r="AT2807" t="s">
        <v>90</v>
      </c>
      <c r="AU2807" s="1">
        <v>44223.337002314816</v>
      </c>
      <c r="AV2807">
        <v>5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5</v>
      </c>
      <c r="BC2807">
        <v>0</v>
      </c>
      <c r="BD2807">
        <v>0</v>
      </c>
      <c r="BE2807">
        <v>0</v>
      </c>
    </row>
    <row r="2808" spans="1:57" x14ac:dyDescent="0.45">
      <c r="A2808" t="s">
        <v>6681</v>
      </c>
      <c r="B2808" t="s">
        <v>79</v>
      </c>
      <c r="C2808" t="s">
        <v>1399</v>
      </c>
      <c r="D2808" t="s">
        <v>81</v>
      </c>
      <c r="E2808" s="2" t="str">
        <f>HYPERLINK("capsilon://?command=openfolder&amp;siteaddress=FAM.docvelocity-na8.net&amp;folderid=FX84E84093-383A-B025-766B-259A024D4397","FX2012887")</f>
        <v>FX2012887</v>
      </c>
      <c r="F2808" t="s">
        <v>19</v>
      </c>
      <c r="G2808" t="s">
        <v>19</v>
      </c>
      <c r="H2808" t="s">
        <v>82</v>
      </c>
      <c r="I2808" t="s">
        <v>6682</v>
      </c>
      <c r="J2808">
        <v>95</v>
      </c>
      <c r="K2808" t="s">
        <v>84</v>
      </c>
      <c r="L2808" t="s">
        <v>85</v>
      </c>
      <c r="M2808" t="s">
        <v>86</v>
      </c>
      <c r="N2808">
        <v>3</v>
      </c>
      <c r="O2808" s="1">
        <v>44201.654074074075</v>
      </c>
      <c r="P2808" s="1">
        <v>44201.674942129626</v>
      </c>
      <c r="Q2808">
        <v>676</v>
      </c>
      <c r="R2808">
        <v>1127</v>
      </c>
      <c r="S2808" t="b">
        <v>0</v>
      </c>
      <c r="T2808" t="s">
        <v>87</v>
      </c>
      <c r="U2808" t="b">
        <v>0</v>
      </c>
      <c r="V2808" t="s">
        <v>160</v>
      </c>
      <c r="W2808" s="1">
        <v>44201.665868055556</v>
      </c>
      <c r="X2808">
        <v>924</v>
      </c>
      <c r="Y2808">
        <v>67</v>
      </c>
      <c r="Z2808">
        <v>0</v>
      </c>
      <c r="AA2808">
        <v>67</v>
      </c>
      <c r="AB2808">
        <v>0</v>
      </c>
      <c r="AC2808">
        <v>10</v>
      </c>
      <c r="AD2808">
        <v>28</v>
      </c>
      <c r="AE2808">
        <v>0</v>
      </c>
      <c r="AF2808">
        <v>0</v>
      </c>
      <c r="AG2808">
        <v>0</v>
      </c>
      <c r="AH2808" t="s">
        <v>94</v>
      </c>
      <c r="AI2808" s="1">
        <v>44201.66982638889</v>
      </c>
      <c r="AJ2808">
        <v>183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28</v>
      </c>
      <c r="AQ2808">
        <v>0</v>
      </c>
      <c r="AR2808">
        <v>0</v>
      </c>
      <c r="AS2808">
        <v>0</v>
      </c>
      <c r="AT2808" t="s">
        <v>90</v>
      </c>
      <c r="AU2808" s="1">
        <v>44201.674942129626</v>
      </c>
      <c r="AV2808">
        <v>20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28</v>
      </c>
      <c r="BC2808">
        <v>0</v>
      </c>
      <c r="BD2808">
        <v>0</v>
      </c>
      <c r="BE2808">
        <v>0</v>
      </c>
    </row>
    <row r="2809" spans="1:57" x14ac:dyDescent="0.45">
      <c r="A2809" t="s">
        <v>6683</v>
      </c>
      <c r="B2809" t="s">
        <v>79</v>
      </c>
      <c r="C2809" t="s">
        <v>6684</v>
      </c>
      <c r="D2809" t="s">
        <v>81</v>
      </c>
      <c r="E2809" s="2" t="str">
        <f>HYPERLINK("capsilon://?command=openfolder&amp;siteaddress=FAM.docvelocity-na8.net&amp;folderid=FXBB46D31B-75AF-71C7-998F-DE78014B12C7","FX210117011")</f>
        <v>FX210117011</v>
      </c>
      <c r="F2809" t="s">
        <v>19</v>
      </c>
      <c r="G2809" t="s">
        <v>19</v>
      </c>
      <c r="H2809" t="s">
        <v>82</v>
      </c>
      <c r="I2809" t="s">
        <v>6685</v>
      </c>
      <c r="J2809">
        <v>38</v>
      </c>
      <c r="K2809" t="s">
        <v>84</v>
      </c>
      <c r="L2809" t="s">
        <v>85</v>
      </c>
      <c r="M2809" t="s">
        <v>86</v>
      </c>
      <c r="N2809">
        <v>3</v>
      </c>
      <c r="O2809" s="1">
        <v>44222.770868055559</v>
      </c>
      <c r="P2809" s="1">
        <v>44223.344826388886</v>
      </c>
      <c r="Q2809">
        <v>49343</v>
      </c>
      <c r="R2809">
        <v>247</v>
      </c>
      <c r="S2809" t="b">
        <v>0</v>
      </c>
      <c r="T2809" t="s">
        <v>87</v>
      </c>
      <c r="U2809" t="b">
        <v>0</v>
      </c>
      <c r="V2809" t="s">
        <v>259</v>
      </c>
      <c r="W2809" s="1">
        <v>44222.773229166669</v>
      </c>
      <c r="X2809">
        <v>184</v>
      </c>
      <c r="Y2809">
        <v>37</v>
      </c>
      <c r="Z2809">
        <v>0</v>
      </c>
      <c r="AA2809">
        <v>37</v>
      </c>
      <c r="AB2809">
        <v>0</v>
      </c>
      <c r="AC2809">
        <v>11</v>
      </c>
      <c r="AD2809">
        <v>1</v>
      </c>
      <c r="AE2809">
        <v>0</v>
      </c>
      <c r="AF2809">
        <v>0</v>
      </c>
      <c r="AG2809">
        <v>0</v>
      </c>
      <c r="AH2809" t="s">
        <v>132</v>
      </c>
      <c r="AI2809" s="1">
        <v>44222.774143518516</v>
      </c>
      <c r="AJ2809">
        <v>57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 t="s">
        <v>90</v>
      </c>
      <c r="AU2809" s="1">
        <v>44223.344826388886</v>
      </c>
      <c r="AV2809">
        <v>6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1</v>
      </c>
      <c r="BC2809">
        <v>0</v>
      </c>
      <c r="BD2809">
        <v>0</v>
      </c>
      <c r="BE2809">
        <v>0</v>
      </c>
    </row>
    <row r="2810" spans="1:57" x14ac:dyDescent="0.45">
      <c r="A2810" t="s">
        <v>6686</v>
      </c>
      <c r="B2810" t="s">
        <v>79</v>
      </c>
      <c r="C2810" t="s">
        <v>1236</v>
      </c>
      <c r="D2810" t="s">
        <v>81</v>
      </c>
      <c r="E2810" s="2" t="str">
        <f>HYPERLINK("capsilon://?command=openfolder&amp;siteaddress=FAM.docvelocity-na8.net&amp;folderid=FXD6964E4E-52DF-6929-931D-2881725D54B3","FX201228603")</f>
        <v>FX201228603</v>
      </c>
      <c r="F2810" t="s">
        <v>19</v>
      </c>
      <c r="G2810" t="s">
        <v>19</v>
      </c>
      <c r="H2810" t="s">
        <v>82</v>
      </c>
      <c r="I2810" t="s">
        <v>6687</v>
      </c>
      <c r="J2810">
        <v>66</v>
      </c>
      <c r="K2810" t="s">
        <v>84</v>
      </c>
      <c r="L2810" t="s">
        <v>85</v>
      </c>
      <c r="M2810" t="s">
        <v>86</v>
      </c>
      <c r="N2810">
        <v>3</v>
      </c>
      <c r="O2810" s="1">
        <v>44201.654490740744</v>
      </c>
      <c r="P2810" s="1">
        <v>44201.68074074074</v>
      </c>
      <c r="Q2810">
        <v>307</v>
      </c>
      <c r="R2810">
        <v>1961</v>
      </c>
      <c r="S2810" t="b">
        <v>0</v>
      </c>
      <c r="T2810" t="s">
        <v>87</v>
      </c>
      <c r="U2810" t="b">
        <v>0</v>
      </c>
      <c r="V2810" t="s">
        <v>168</v>
      </c>
      <c r="W2810" s="1">
        <v>44201.676608796297</v>
      </c>
      <c r="X2810">
        <v>1851</v>
      </c>
      <c r="Y2810">
        <v>52</v>
      </c>
      <c r="Z2810">
        <v>0</v>
      </c>
      <c r="AA2810">
        <v>52</v>
      </c>
      <c r="AB2810">
        <v>0</v>
      </c>
      <c r="AC2810">
        <v>41</v>
      </c>
      <c r="AD2810">
        <v>14</v>
      </c>
      <c r="AE2810">
        <v>0</v>
      </c>
      <c r="AF2810">
        <v>0</v>
      </c>
      <c r="AG2810">
        <v>0</v>
      </c>
      <c r="AH2810" t="s">
        <v>267</v>
      </c>
      <c r="AI2810" s="1">
        <v>44201.67863425926</v>
      </c>
      <c r="AJ2810">
        <v>76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14</v>
      </c>
      <c r="AQ2810">
        <v>0</v>
      </c>
      <c r="AR2810">
        <v>0</v>
      </c>
      <c r="AS2810">
        <v>0</v>
      </c>
      <c r="AT2810" t="s">
        <v>90</v>
      </c>
      <c r="AU2810" s="1">
        <v>44201.68074074074</v>
      </c>
      <c r="AV2810">
        <v>34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14</v>
      </c>
      <c r="BC2810">
        <v>0</v>
      </c>
      <c r="BD2810">
        <v>0</v>
      </c>
      <c r="BE2810">
        <v>0</v>
      </c>
    </row>
    <row r="2811" spans="1:57" hidden="1" x14ac:dyDescent="0.45">
      <c r="A2811" t="s">
        <v>6688</v>
      </c>
      <c r="B2811" t="s">
        <v>79</v>
      </c>
      <c r="C2811" t="s">
        <v>305</v>
      </c>
      <c r="D2811" t="s">
        <v>81</v>
      </c>
      <c r="E2811" s="2" t="str">
        <f>HYPERLINK("capsilon://?command=openfolder&amp;siteaddress=FAM.docvelocity-na8.net&amp;folderid=FX1668A7E5-4B33-63B3-32BE-EBE758011AFA","FX201013660")</f>
        <v>FX201013660</v>
      </c>
      <c r="F2811" t="s">
        <v>19</v>
      </c>
      <c r="G2811" t="s">
        <v>19</v>
      </c>
      <c r="H2811" t="s">
        <v>82</v>
      </c>
      <c r="I2811" t="s">
        <v>6689</v>
      </c>
      <c r="J2811">
        <v>31</v>
      </c>
      <c r="K2811" t="s">
        <v>84</v>
      </c>
      <c r="L2811" t="s">
        <v>85</v>
      </c>
      <c r="M2811" t="s">
        <v>86</v>
      </c>
      <c r="N2811">
        <v>1</v>
      </c>
      <c r="O2811" s="1">
        <v>44201.655439814815</v>
      </c>
      <c r="P2811" s="1">
        <v>44201.671435185184</v>
      </c>
      <c r="Q2811">
        <v>337</v>
      </c>
      <c r="R2811">
        <v>1045</v>
      </c>
      <c r="S2811" t="b">
        <v>0</v>
      </c>
      <c r="T2811" t="s">
        <v>87</v>
      </c>
      <c r="U2811" t="b">
        <v>0</v>
      </c>
      <c r="V2811" t="s">
        <v>160</v>
      </c>
      <c r="W2811" s="1">
        <v>44201.671435185184</v>
      </c>
      <c r="X2811">
        <v>921</v>
      </c>
      <c r="Y2811">
        <v>3</v>
      </c>
      <c r="Z2811">
        <v>0</v>
      </c>
      <c r="AA2811">
        <v>3</v>
      </c>
      <c r="AB2811">
        <v>0</v>
      </c>
      <c r="AC2811">
        <v>5</v>
      </c>
      <c r="AD2811">
        <v>28</v>
      </c>
      <c r="AE2811">
        <v>27</v>
      </c>
      <c r="AF2811">
        <v>0</v>
      </c>
      <c r="AG2811">
        <v>4</v>
      </c>
      <c r="AH2811" t="s">
        <v>87</v>
      </c>
      <c r="AI2811" t="s">
        <v>87</v>
      </c>
      <c r="AJ2811" t="s">
        <v>87</v>
      </c>
      <c r="AK2811" t="s">
        <v>87</v>
      </c>
      <c r="AL2811" t="s">
        <v>87</v>
      </c>
      <c r="AM2811" t="s">
        <v>87</v>
      </c>
      <c r="AN2811" t="s">
        <v>87</v>
      </c>
      <c r="AO2811" t="s">
        <v>87</v>
      </c>
      <c r="AP2811" t="s">
        <v>87</v>
      </c>
      <c r="AQ2811" t="s">
        <v>87</v>
      </c>
      <c r="AR2811" t="s">
        <v>87</v>
      </c>
      <c r="AS2811" t="s">
        <v>87</v>
      </c>
      <c r="AT2811" t="s">
        <v>87</v>
      </c>
      <c r="AU2811" t="s">
        <v>87</v>
      </c>
      <c r="AV2811" t="s">
        <v>87</v>
      </c>
      <c r="AW2811" t="s">
        <v>87</v>
      </c>
      <c r="AX2811" t="s">
        <v>87</v>
      </c>
      <c r="AY2811" t="s">
        <v>87</v>
      </c>
      <c r="AZ2811" t="s">
        <v>87</v>
      </c>
      <c r="BA2811" t="s">
        <v>87</v>
      </c>
      <c r="BB2811" t="s">
        <v>87</v>
      </c>
      <c r="BC2811" t="s">
        <v>87</v>
      </c>
      <c r="BD2811" t="s">
        <v>87</v>
      </c>
      <c r="BE2811" t="s">
        <v>87</v>
      </c>
    </row>
    <row r="2812" spans="1:57" x14ac:dyDescent="0.45">
      <c r="A2812" t="s">
        <v>6690</v>
      </c>
      <c r="B2812" t="s">
        <v>79</v>
      </c>
      <c r="C2812" t="s">
        <v>305</v>
      </c>
      <c r="D2812" t="s">
        <v>81</v>
      </c>
      <c r="E2812" s="2" t="str">
        <f>HYPERLINK("capsilon://?command=openfolder&amp;siteaddress=FAM.docvelocity-na8.net&amp;folderid=FX1668A7E5-4B33-63B3-32BE-EBE758011AFA","FX201013660")</f>
        <v>FX201013660</v>
      </c>
      <c r="F2812" t="s">
        <v>19</v>
      </c>
      <c r="G2812" t="s">
        <v>19</v>
      </c>
      <c r="H2812" t="s">
        <v>82</v>
      </c>
      <c r="I2812" t="s">
        <v>6691</v>
      </c>
      <c r="J2812">
        <v>68</v>
      </c>
      <c r="K2812" t="s">
        <v>84</v>
      </c>
      <c r="L2812" t="s">
        <v>85</v>
      </c>
      <c r="M2812" t="s">
        <v>86</v>
      </c>
      <c r="N2812">
        <v>3</v>
      </c>
      <c r="O2812" s="1">
        <v>44201.655868055554</v>
      </c>
      <c r="P2812" s="1">
        <v>44201.680833333332</v>
      </c>
      <c r="Q2812">
        <v>671</v>
      </c>
      <c r="R2812">
        <v>1486</v>
      </c>
      <c r="S2812" t="b">
        <v>0</v>
      </c>
      <c r="T2812" t="s">
        <v>87</v>
      </c>
      <c r="U2812" t="b">
        <v>0</v>
      </c>
      <c r="V2812" t="s">
        <v>146</v>
      </c>
      <c r="W2812" s="1">
        <v>44201.673356481479</v>
      </c>
      <c r="X2812">
        <v>1412</v>
      </c>
      <c r="Y2812">
        <v>49</v>
      </c>
      <c r="Z2812">
        <v>0</v>
      </c>
      <c r="AA2812">
        <v>49</v>
      </c>
      <c r="AB2812">
        <v>0</v>
      </c>
      <c r="AC2812">
        <v>16</v>
      </c>
      <c r="AD2812">
        <v>19</v>
      </c>
      <c r="AE2812">
        <v>0</v>
      </c>
      <c r="AF2812">
        <v>0</v>
      </c>
      <c r="AG2812">
        <v>0</v>
      </c>
      <c r="AH2812" t="s">
        <v>267</v>
      </c>
      <c r="AI2812" s="1">
        <v>44201.679409722223</v>
      </c>
      <c r="AJ2812">
        <v>66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19</v>
      </c>
      <c r="AQ2812">
        <v>0</v>
      </c>
      <c r="AR2812">
        <v>0</v>
      </c>
      <c r="AS2812">
        <v>0</v>
      </c>
      <c r="AT2812" t="s">
        <v>90</v>
      </c>
      <c r="AU2812" s="1">
        <v>44201.680833333332</v>
      </c>
      <c r="AV2812">
        <v>8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19</v>
      </c>
      <c r="BC2812">
        <v>0</v>
      </c>
      <c r="BD2812">
        <v>0</v>
      </c>
      <c r="BE2812">
        <v>0</v>
      </c>
    </row>
    <row r="2813" spans="1:57" x14ac:dyDescent="0.45">
      <c r="A2813" t="s">
        <v>6692</v>
      </c>
      <c r="B2813" t="s">
        <v>79</v>
      </c>
      <c r="C2813" t="s">
        <v>6693</v>
      </c>
      <c r="D2813" t="s">
        <v>81</v>
      </c>
      <c r="E2813" s="2" t="str">
        <f>HYPERLINK("capsilon://?command=openfolder&amp;siteaddress=FAM.docvelocity-na8.net&amp;folderid=FX305F5E39-B988-1047-641B-F128BA60825C","FX210116612")</f>
        <v>FX210116612</v>
      </c>
      <c r="F2813" t="s">
        <v>19</v>
      </c>
      <c r="G2813" t="s">
        <v>19</v>
      </c>
      <c r="H2813" t="s">
        <v>82</v>
      </c>
      <c r="I2813" t="s">
        <v>6694</v>
      </c>
      <c r="J2813">
        <v>116</v>
      </c>
      <c r="K2813" t="s">
        <v>84</v>
      </c>
      <c r="L2813" t="s">
        <v>85</v>
      </c>
      <c r="M2813" t="s">
        <v>86</v>
      </c>
      <c r="N2813">
        <v>3</v>
      </c>
      <c r="O2813" s="1">
        <v>44222.787245370368</v>
      </c>
      <c r="P2813" s="1">
        <v>44223.344942129632</v>
      </c>
      <c r="Q2813">
        <v>46374</v>
      </c>
      <c r="R2813">
        <v>1811</v>
      </c>
      <c r="S2813" t="b">
        <v>0</v>
      </c>
      <c r="T2813" t="s">
        <v>87</v>
      </c>
      <c r="U2813" t="b">
        <v>0</v>
      </c>
      <c r="V2813" t="s">
        <v>262</v>
      </c>
      <c r="W2813" s="1">
        <v>44222.832476851851</v>
      </c>
      <c r="X2813">
        <v>1395</v>
      </c>
      <c r="Y2813">
        <v>100</v>
      </c>
      <c r="Z2813">
        <v>0</v>
      </c>
      <c r="AA2813">
        <v>100</v>
      </c>
      <c r="AB2813">
        <v>0</v>
      </c>
      <c r="AC2813">
        <v>66</v>
      </c>
      <c r="AD2813">
        <v>16</v>
      </c>
      <c r="AE2813">
        <v>0</v>
      </c>
      <c r="AF2813">
        <v>0</v>
      </c>
      <c r="AG2813">
        <v>0</v>
      </c>
      <c r="AH2813" t="s">
        <v>132</v>
      </c>
      <c r="AI2813" s="1">
        <v>44222.836412037039</v>
      </c>
      <c r="AJ2813">
        <v>333</v>
      </c>
      <c r="AK2813">
        <v>2</v>
      </c>
      <c r="AL2813">
        <v>0</v>
      </c>
      <c r="AM2813">
        <v>2</v>
      </c>
      <c r="AN2813">
        <v>0</v>
      </c>
      <c r="AO2813">
        <v>1</v>
      </c>
      <c r="AP2813">
        <v>14</v>
      </c>
      <c r="AQ2813">
        <v>0</v>
      </c>
      <c r="AR2813">
        <v>0</v>
      </c>
      <c r="AS2813">
        <v>0</v>
      </c>
      <c r="AT2813" t="s">
        <v>90</v>
      </c>
      <c r="AU2813" s="1">
        <v>44223.344942129632</v>
      </c>
      <c r="AV2813">
        <v>10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14</v>
      </c>
      <c r="BC2813">
        <v>0</v>
      </c>
      <c r="BD2813">
        <v>0</v>
      </c>
      <c r="BE2813">
        <v>0</v>
      </c>
    </row>
    <row r="2814" spans="1:57" x14ac:dyDescent="0.45">
      <c r="A2814" t="s">
        <v>6695</v>
      </c>
      <c r="B2814" t="s">
        <v>79</v>
      </c>
      <c r="C2814" t="s">
        <v>6379</v>
      </c>
      <c r="D2814" t="s">
        <v>81</v>
      </c>
      <c r="E2814" s="2" t="str">
        <f>HYPERLINK("capsilon://?command=openfolder&amp;siteaddress=FAM.docvelocity-na8.net&amp;folderid=FX6792A536-B2FC-EF1C-621F-362F52F10970","FX210113701")</f>
        <v>FX210113701</v>
      </c>
      <c r="F2814" t="s">
        <v>19</v>
      </c>
      <c r="G2814" t="s">
        <v>19</v>
      </c>
      <c r="H2814" t="s">
        <v>82</v>
      </c>
      <c r="I2814" t="s">
        <v>6696</v>
      </c>
      <c r="J2814">
        <v>26</v>
      </c>
      <c r="K2814" t="s">
        <v>84</v>
      </c>
      <c r="L2814" t="s">
        <v>85</v>
      </c>
      <c r="M2814" t="s">
        <v>86</v>
      </c>
      <c r="N2814">
        <v>3</v>
      </c>
      <c r="O2814" s="1">
        <v>44222.790069444447</v>
      </c>
      <c r="P2814" s="1">
        <v>44223.345000000001</v>
      </c>
      <c r="Q2814">
        <v>47776</v>
      </c>
      <c r="R2814">
        <v>170</v>
      </c>
      <c r="S2814" t="b">
        <v>0</v>
      </c>
      <c r="T2814" t="s">
        <v>87</v>
      </c>
      <c r="U2814" t="b">
        <v>0</v>
      </c>
      <c r="V2814" t="s">
        <v>255</v>
      </c>
      <c r="W2814" s="1">
        <v>44222.828715277778</v>
      </c>
      <c r="X2814">
        <v>74</v>
      </c>
      <c r="Y2814">
        <v>21</v>
      </c>
      <c r="Z2814">
        <v>0</v>
      </c>
      <c r="AA2814">
        <v>21</v>
      </c>
      <c r="AB2814">
        <v>0</v>
      </c>
      <c r="AC2814">
        <v>0</v>
      </c>
      <c r="AD2814">
        <v>5</v>
      </c>
      <c r="AE2814">
        <v>0</v>
      </c>
      <c r="AF2814">
        <v>0</v>
      </c>
      <c r="AG2814">
        <v>0</v>
      </c>
      <c r="AH2814" t="s">
        <v>132</v>
      </c>
      <c r="AI2814" s="1">
        <v>44222.830370370371</v>
      </c>
      <c r="AJ2814">
        <v>92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5</v>
      </c>
      <c r="AQ2814">
        <v>0</v>
      </c>
      <c r="AR2814">
        <v>0</v>
      </c>
      <c r="AS2814">
        <v>0</v>
      </c>
      <c r="AT2814" t="s">
        <v>90</v>
      </c>
      <c r="AU2814" s="1">
        <v>44223.345000000001</v>
      </c>
      <c r="AV2814">
        <v>4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5</v>
      </c>
      <c r="BC2814">
        <v>0</v>
      </c>
      <c r="BD2814">
        <v>0</v>
      </c>
      <c r="BE2814">
        <v>0</v>
      </c>
    </row>
    <row r="2815" spans="1:57" x14ac:dyDescent="0.45">
      <c r="A2815" t="s">
        <v>6697</v>
      </c>
      <c r="B2815" t="s">
        <v>79</v>
      </c>
      <c r="C2815" t="s">
        <v>6379</v>
      </c>
      <c r="D2815" t="s">
        <v>81</v>
      </c>
      <c r="E2815" s="2" t="str">
        <f>HYPERLINK("capsilon://?command=openfolder&amp;siteaddress=FAM.docvelocity-na8.net&amp;folderid=FX6792A536-B2FC-EF1C-621F-362F52F10970","FX210113701")</f>
        <v>FX210113701</v>
      </c>
      <c r="F2815" t="s">
        <v>19</v>
      </c>
      <c r="G2815" t="s">
        <v>19</v>
      </c>
      <c r="H2815" t="s">
        <v>82</v>
      </c>
      <c r="I2815" t="s">
        <v>6698</v>
      </c>
      <c r="J2815">
        <v>26</v>
      </c>
      <c r="K2815" t="s">
        <v>84</v>
      </c>
      <c r="L2815" t="s">
        <v>85</v>
      </c>
      <c r="M2815" t="s">
        <v>86</v>
      </c>
      <c r="N2815">
        <v>3</v>
      </c>
      <c r="O2815" s="1">
        <v>44222.793900462966</v>
      </c>
      <c r="P2815" s="1">
        <v>44223.345069444447</v>
      </c>
      <c r="Q2815">
        <v>47488</v>
      </c>
      <c r="R2815">
        <v>133</v>
      </c>
      <c r="S2815" t="b">
        <v>0</v>
      </c>
      <c r="T2815" t="s">
        <v>87</v>
      </c>
      <c r="U2815" t="b">
        <v>0</v>
      </c>
      <c r="V2815" t="s">
        <v>255</v>
      </c>
      <c r="W2815" s="1">
        <v>44222.829479166663</v>
      </c>
      <c r="X2815">
        <v>65</v>
      </c>
      <c r="Y2815">
        <v>21</v>
      </c>
      <c r="Z2815">
        <v>0</v>
      </c>
      <c r="AA2815">
        <v>21</v>
      </c>
      <c r="AB2815">
        <v>0</v>
      </c>
      <c r="AC2815">
        <v>0</v>
      </c>
      <c r="AD2815">
        <v>5</v>
      </c>
      <c r="AE2815">
        <v>0</v>
      </c>
      <c r="AF2815">
        <v>0</v>
      </c>
      <c r="AG2815">
        <v>0</v>
      </c>
      <c r="AH2815" t="s">
        <v>132</v>
      </c>
      <c r="AI2815" s="1">
        <v>44222.831111111111</v>
      </c>
      <c r="AJ2815">
        <v>63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5</v>
      </c>
      <c r="AQ2815">
        <v>0</v>
      </c>
      <c r="AR2815">
        <v>0</v>
      </c>
      <c r="AS2815">
        <v>0</v>
      </c>
      <c r="AT2815" t="s">
        <v>90</v>
      </c>
      <c r="AU2815" s="1">
        <v>44223.345069444447</v>
      </c>
      <c r="AV2815">
        <v>5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5</v>
      </c>
      <c r="BC2815">
        <v>0</v>
      </c>
      <c r="BD2815">
        <v>0</v>
      </c>
      <c r="BE2815">
        <v>0</v>
      </c>
    </row>
    <row r="2816" spans="1:57" x14ac:dyDescent="0.45">
      <c r="A2816" t="s">
        <v>6699</v>
      </c>
      <c r="B2816" t="s">
        <v>79</v>
      </c>
      <c r="C2816" t="s">
        <v>305</v>
      </c>
      <c r="D2816" t="s">
        <v>81</v>
      </c>
      <c r="E2816" s="2" t="str">
        <f>HYPERLINK("capsilon://?command=openfolder&amp;siteaddress=FAM.docvelocity-na8.net&amp;folderid=FX1668A7E5-4B33-63B3-32BE-EBE758011AFA","FX201013660")</f>
        <v>FX201013660</v>
      </c>
      <c r="F2816" t="s">
        <v>19</v>
      </c>
      <c r="G2816" t="s">
        <v>19</v>
      </c>
      <c r="H2816" t="s">
        <v>82</v>
      </c>
      <c r="I2816" t="s">
        <v>6700</v>
      </c>
      <c r="J2816">
        <v>68</v>
      </c>
      <c r="K2816" t="s">
        <v>84</v>
      </c>
      <c r="L2816" t="s">
        <v>85</v>
      </c>
      <c r="M2816" t="s">
        <v>86</v>
      </c>
      <c r="N2816">
        <v>3</v>
      </c>
      <c r="O2816" s="1">
        <v>44201.656770833331</v>
      </c>
      <c r="P2816" s="1">
        <v>44201.67560185185</v>
      </c>
      <c r="Q2816">
        <v>939</v>
      </c>
      <c r="R2816">
        <v>688</v>
      </c>
      <c r="S2816" t="b">
        <v>0</v>
      </c>
      <c r="T2816" t="s">
        <v>87</v>
      </c>
      <c r="U2816" t="b">
        <v>0</v>
      </c>
      <c r="V2816" t="s">
        <v>179</v>
      </c>
      <c r="W2816" s="1">
        <v>44201.663263888891</v>
      </c>
      <c r="X2816">
        <v>476</v>
      </c>
      <c r="Y2816">
        <v>49</v>
      </c>
      <c r="Z2816">
        <v>0</v>
      </c>
      <c r="AA2816">
        <v>49</v>
      </c>
      <c r="AB2816">
        <v>0</v>
      </c>
      <c r="AC2816">
        <v>11</v>
      </c>
      <c r="AD2816">
        <v>19</v>
      </c>
      <c r="AE2816">
        <v>0</v>
      </c>
      <c r="AF2816">
        <v>0</v>
      </c>
      <c r="AG2816">
        <v>0</v>
      </c>
      <c r="AH2816" t="s">
        <v>94</v>
      </c>
      <c r="AI2816" s="1">
        <v>44201.671643518515</v>
      </c>
      <c r="AJ2816">
        <v>156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19</v>
      </c>
      <c r="AQ2816">
        <v>0</v>
      </c>
      <c r="AR2816">
        <v>0</v>
      </c>
      <c r="AS2816">
        <v>0</v>
      </c>
      <c r="AT2816" t="s">
        <v>90</v>
      </c>
      <c r="AU2816" s="1">
        <v>44201.67560185185</v>
      </c>
      <c r="AV2816">
        <v>56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19</v>
      </c>
      <c r="BC2816">
        <v>0</v>
      </c>
      <c r="BD2816">
        <v>0</v>
      </c>
      <c r="BE2816">
        <v>0</v>
      </c>
    </row>
    <row r="2817" spans="1:57" x14ac:dyDescent="0.45">
      <c r="A2817" t="s">
        <v>6701</v>
      </c>
      <c r="B2817" t="s">
        <v>79</v>
      </c>
      <c r="C2817" t="s">
        <v>6379</v>
      </c>
      <c r="D2817" t="s">
        <v>81</v>
      </c>
      <c r="E2817" s="2" t="str">
        <f>HYPERLINK("capsilon://?command=openfolder&amp;siteaddress=FAM.docvelocity-na8.net&amp;folderid=FX6792A536-B2FC-EF1C-621F-362F52F10970","FX210113701")</f>
        <v>FX210113701</v>
      </c>
      <c r="F2817" t="s">
        <v>19</v>
      </c>
      <c r="G2817" t="s">
        <v>19</v>
      </c>
      <c r="H2817" t="s">
        <v>82</v>
      </c>
      <c r="I2817" t="s">
        <v>6702</v>
      </c>
      <c r="J2817">
        <v>102</v>
      </c>
      <c r="K2817" t="s">
        <v>84</v>
      </c>
      <c r="L2817" t="s">
        <v>85</v>
      </c>
      <c r="M2817" t="s">
        <v>86</v>
      </c>
      <c r="N2817">
        <v>3</v>
      </c>
      <c r="O2817" s="1">
        <v>44222.794374999998</v>
      </c>
      <c r="P2817" s="1">
        <v>44223.34542824074</v>
      </c>
      <c r="Q2817">
        <v>46932</v>
      </c>
      <c r="R2817">
        <v>679</v>
      </c>
      <c r="S2817" t="b">
        <v>0</v>
      </c>
      <c r="T2817" t="s">
        <v>87</v>
      </c>
      <c r="U2817" t="b">
        <v>0</v>
      </c>
      <c r="V2817" t="s">
        <v>262</v>
      </c>
      <c r="W2817" s="1">
        <v>44222.838460648149</v>
      </c>
      <c r="X2817">
        <v>517</v>
      </c>
      <c r="Y2817">
        <v>74</v>
      </c>
      <c r="Z2817">
        <v>0</v>
      </c>
      <c r="AA2817">
        <v>74</v>
      </c>
      <c r="AB2817">
        <v>0</v>
      </c>
      <c r="AC2817">
        <v>36</v>
      </c>
      <c r="AD2817">
        <v>28</v>
      </c>
      <c r="AE2817">
        <v>0</v>
      </c>
      <c r="AF2817">
        <v>0</v>
      </c>
      <c r="AG2817">
        <v>0</v>
      </c>
      <c r="AH2817" t="s">
        <v>132</v>
      </c>
      <c r="AI2817" s="1">
        <v>44222.840150462966</v>
      </c>
      <c r="AJ2817">
        <v>124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28</v>
      </c>
      <c r="AQ2817">
        <v>0</v>
      </c>
      <c r="AR2817">
        <v>0</v>
      </c>
      <c r="AS2817">
        <v>0</v>
      </c>
      <c r="AT2817" t="s">
        <v>90</v>
      </c>
      <c r="AU2817" s="1">
        <v>44223.34542824074</v>
      </c>
      <c r="AV2817">
        <v>31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28</v>
      </c>
      <c r="BC2817">
        <v>0</v>
      </c>
      <c r="BD2817">
        <v>0</v>
      </c>
      <c r="BE2817">
        <v>0</v>
      </c>
    </row>
    <row r="2818" spans="1:57" x14ac:dyDescent="0.45">
      <c r="A2818" t="s">
        <v>6703</v>
      </c>
      <c r="B2818" t="s">
        <v>79</v>
      </c>
      <c r="C2818" t="s">
        <v>1399</v>
      </c>
      <c r="D2818" t="s">
        <v>81</v>
      </c>
      <c r="E2818" s="2" t="str">
        <f>HYPERLINK("capsilon://?command=openfolder&amp;siteaddress=FAM.docvelocity-na8.net&amp;folderid=FX84E84093-383A-B025-766B-259A024D4397","FX2012887")</f>
        <v>FX2012887</v>
      </c>
      <c r="F2818" t="s">
        <v>19</v>
      </c>
      <c r="G2818" t="s">
        <v>19</v>
      </c>
      <c r="H2818" t="s">
        <v>82</v>
      </c>
      <c r="I2818" t="s">
        <v>6704</v>
      </c>
      <c r="J2818">
        <v>31</v>
      </c>
      <c r="K2818" t="s">
        <v>84</v>
      </c>
      <c r="L2818" t="s">
        <v>85</v>
      </c>
      <c r="M2818" t="s">
        <v>86</v>
      </c>
      <c r="N2818">
        <v>3</v>
      </c>
      <c r="O2818" s="1">
        <v>44201.656898148147</v>
      </c>
      <c r="P2818" s="1">
        <v>44202.350798611114</v>
      </c>
      <c r="Q2818">
        <v>57741</v>
      </c>
      <c r="R2818">
        <v>2212</v>
      </c>
      <c r="S2818" t="b">
        <v>0</v>
      </c>
      <c r="T2818" t="s">
        <v>87</v>
      </c>
      <c r="U2818" t="b">
        <v>0</v>
      </c>
      <c r="V2818" t="s">
        <v>171</v>
      </c>
      <c r="W2818" s="1">
        <v>44201.685300925928</v>
      </c>
      <c r="X2818">
        <v>1893</v>
      </c>
      <c r="Y2818">
        <v>33</v>
      </c>
      <c r="Z2818">
        <v>0</v>
      </c>
      <c r="AA2818">
        <v>33</v>
      </c>
      <c r="AB2818">
        <v>0</v>
      </c>
      <c r="AC2818">
        <v>26</v>
      </c>
      <c r="AD2818">
        <v>-2</v>
      </c>
      <c r="AE2818">
        <v>0</v>
      </c>
      <c r="AF2818">
        <v>0</v>
      </c>
      <c r="AG2818">
        <v>0</v>
      </c>
      <c r="AH2818" t="s">
        <v>267</v>
      </c>
      <c r="AI2818" s="1">
        <v>44201.687881944446</v>
      </c>
      <c r="AJ2818">
        <v>139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-2</v>
      </c>
      <c r="AQ2818">
        <v>0</v>
      </c>
      <c r="AR2818">
        <v>0</v>
      </c>
      <c r="AS2818">
        <v>0</v>
      </c>
      <c r="AT2818" t="s">
        <v>90</v>
      </c>
      <c r="AU2818" s="1">
        <v>44202.350798611114</v>
      </c>
      <c r="AV2818">
        <v>180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-2</v>
      </c>
      <c r="BC2818">
        <v>0</v>
      </c>
      <c r="BD2818">
        <v>0</v>
      </c>
      <c r="BE2818">
        <v>0</v>
      </c>
    </row>
    <row r="2819" spans="1:57" hidden="1" x14ac:dyDescent="0.45">
      <c r="A2819" t="s">
        <v>6705</v>
      </c>
      <c r="B2819" t="s">
        <v>79</v>
      </c>
      <c r="C2819" t="s">
        <v>3654</v>
      </c>
      <c r="D2819" t="s">
        <v>81</v>
      </c>
      <c r="E2819" s="2" t="str">
        <f>HYPERLINK("capsilon://?command=openfolder&amp;siteaddress=FAM.docvelocity-na8.net&amp;folderid=FX80F961AF-BBBF-7F45-FE84-AABB2897F0B3","FX21015747")</f>
        <v>FX21015747</v>
      </c>
      <c r="F2819" t="s">
        <v>19</v>
      </c>
      <c r="G2819" t="s">
        <v>19</v>
      </c>
      <c r="H2819" t="s">
        <v>82</v>
      </c>
      <c r="I2819" t="s">
        <v>6706</v>
      </c>
      <c r="J2819">
        <v>38</v>
      </c>
      <c r="K2819" t="s">
        <v>84</v>
      </c>
      <c r="L2819" t="s">
        <v>85</v>
      </c>
      <c r="M2819" t="s">
        <v>86</v>
      </c>
      <c r="N2819">
        <v>1</v>
      </c>
      <c r="O2819" s="1">
        <v>44222.798009259262</v>
      </c>
      <c r="P2819" s="1">
        <v>44222.836354166669</v>
      </c>
      <c r="Q2819">
        <v>3235</v>
      </c>
      <c r="R2819">
        <v>78</v>
      </c>
      <c r="S2819" t="b">
        <v>0</v>
      </c>
      <c r="T2819" t="s">
        <v>87</v>
      </c>
      <c r="U2819" t="b">
        <v>0</v>
      </c>
      <c r="V2819" t="s">
        <v>242</v>
      </c>
      <c r="W2819" s="1">
        <v>44222.836354166669</v>
      </c>
      <c r="X2819">
        <v>78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38</v>
      </c>
      <c r="AE2819">
        <v>37</v>
      </c>
      <c r="AF2819">
        <v>0</v>
      </c>
      <c r="AG2819">
        <v>1</v>
      </c>
      <c r="AH2819" t="s">
        <v>87</v>
      </c>
      <c r="AI2819" t="s">
        <v>87</v>
      </c>
      <c r="AJ2819" t="s">
        <v>87</v>
      </c>
      <c r="AK2819" t="s">
        <v>87</v>
      </c>
      <c r="AL2819" t="s">
        <v>87</v>
      </c>
      <c r="AM2819" t="s">
        <v>87</v>
      </c>
      <c r="AN2819" t="s">
        <v>87</v>
      </c>
      <c r="AO2819" t="s">
        <v>87</v>
      </c>
      <c r="AP2819" t="s">
        <v>87</v>
      </c>
      <c r="AQ2819" t="s">
        <v>87</v>
      </c>
      <c r="AR2819" t="s">
        <v>87</v>
      </c>
      <c r="AS2819" t="s">
        <v>87</v>
      </c>
      <c r="AT2819" t="s">
        <v>87</v>
      </c>
      <c r="AU2819" t="s">
        <v>87</v>
      </c>
      <c r="AV2819" t="s">
        <v>87</v>
      </c>
      <c r="AW2819" t="s">
        <v>87</v>
      </c>
      <c r="AX2819" t="s">
        <v>87</v>
      </c>
      <c r="AY2819" t="s">
        <v>87</v>
      </c>
      <c r="AZ2819" t="s">
        <v>87</v>
      </c>
      <c r="BA2819" t="s">
        <v>87</v>
      </c>
      <c r="BB2819" t="s">
        <v>87</v>
      </c>
      <c r="BC2819" t="s">
        <v>87</v>
      </c>
      <c r="BD2819" t="s">
        <v>87</v>
      </c>
      <c r="BE2819" t="s">
        <v>87</v>
      </c>
    </row>
    <row r="2820" spans="1:57" hidden="1" x14ac:dyDescent="0.45">
      <c r="A2820" t="s">
        <v>6707</v>
      </c>
      <c r="B2820" t="s">
        <v>79</v>
      </c>
      <c r="C2820" t="s">
        <v>1604</v>
      </c>
      <c r="D2820" t="s">
        <v>81</v>
      </c>
      <c r="E2820" s="2" t="str">
        <f>HYPERLINK("capsilon://?command=openfolder&amp;siteaddress=FAM.docvelocity-na8.net&amp;folderid=FX49B7D733-E332-5CDA-00C9-21F9F48A407C","FX21012970")</f>
        <v>FX21012970</v>
      </c>
      <c r="F2820" t="s">
        <v>19</v>
      </c>
      <c r="G2820" t="s">
        <v>19</v>
      </c>
      <c r="H2820" t="s">
        <v>82</v>
      </c>
      <c r="I2820" t="s">
        <v>6708</v>
      </c>
      <c r="J2820">
        <v>66</v>
      </c>
      <c r="K2820" t="s">
        <v>84</v>
      </c>
      <c r="L2820" t="s">
        <v>85</v>
      </c>
      <c r="M2820" t="s">
        <v>86</v>
      </c>
      <c r="N2820">
        <v>1</v>
      </c>
      <c r="O2820" s="1">
        <v>44222.801678240743</v>
      </c>
      <c r="P2820" s="1">
        <v>44222.837164351855</v>
      </c>
      <c r="Q2820">
        <v>2996</v>
      </c>
      <c r="R2820">
        <v>70</v>
      </c>
      <c r="S2820" t="b">
        <v>0</v>
      </c>
      <c r="T2820" t="s">
        <v>87</v>
      </c>
      <c r="U2820" t="b">
        <v>0</v>
      </c>
      <c r="V2820" t="s">
        <v>242</v>
      </c>
      <c r="W2820" s="1">
        <v>44222.837164351855</v>
      </c>
      <c r="X2820">
        <v>70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66</v>
      </c>
      <c r="AE2820">
        <v>52</v>
      </c>
      <c r="AF2820">
        <v>0</v>
      </c>
      <c r="AG2820">
        <v>1</v>
      </c>
      <c r="AH2820" t="s">
        <v>87</v>
      </c>
      <c r="AI2820" t="s">
        <v>87</v>
      </c>
      <c r="AJ2820" t="s">
        <v>87</v>
      </c>
      <c r="AK2820" t="s">
        <v>87</v>
      </c>
      <c r="AL2820" t="s">
        <v>87</v>
      </c>
      <c r="AM2820" t="s">
        <v>87</v>
      </c>
      <c r="AN2820" t="s">
        <v>87</v>
      </c>
      <c r="AO2820" t="s">
        <v>87</v>
      </c>
      <c r="AP2820" t="s">
        <v>87</v>
      </c>
      <c r="AQ2820" t="s">
        <v>87</v>
      </c>
      <c r="AR2820" t="s">
        <v>87</v>
      </c>
      <c r="AS2820" t="s">
        <v>87</v>
      </c>
      <c r="AT2820" t="s">
        <v>87</v>
      </c>
      <c r="AU2820" t="s">
        <v>87</v>
      </c>
      <c r="AV2820" t="s">
        <v>87</v>
      </c>
      <c r="AW2820" t="s">
        <v>87</v>
      </c>
      <c r="AX2820" t="s">
        <v>87</v>
      </c>
      <c r="AY2820" t="s">
        <v>87</v>
      </c>
      <c r="AZ2820" t="s">
        <v>87</v>
      </c>
      <c r="BA2820" t="s">
        <v>87</v>
      </c>
      <c r="BB2820" t="s">
        <v>87</v>
      </c>
      <c r="BC2820" t="s">
        <v>87</v>
      </c>
      <c r="BD2820" t="s">
        <v>87</v>
      </c>
      <c r="BE2820" t="s">
        <v>87</v>
      </c>
    </row>
    <row r="2821" spans="1:57" x14ac:dyDescent="0.45">
      <c r="A2821" t="s">
        <v>6709</v>
      </c>
      <c r="B2821" t="s">
        <v>79</v>
      </c>
      <c r="C2821" t="s">
        <v>6710</v>
      </c>
      <c r="D2821" t="s">
        <v>81</v>
      </c>
      <c r="E2821" s="2" t="str">
        <f>HYPERLINK("capsilon://?command=openfolder&amp;siteaddress=FAM.docvelocity-na8.net&amp;folderid=FX1D04B24A-2022-7A0D-FF6C-6619F9E46A19","FX201220849")</f>
        <v>FX201220849</v>
      </c>
      <c r="F2821" t="s">
        <v>19</v>
      </c>
      <c r="G2821" t="s">
        <v>19</v>
      </c>
      <c r="H2821" t="s">
        <v>82</v>
      </c>
      <c r="I2821" t="s">
        <v>6711</v>
      </c>
      <c r="J2821">
        <v>109</v>
      </c>
      <c r="K2821" t="s">
        <v>84</v>
      </c>
      <c r="L2821" t="s">
        <v>85</v>
      </c>
      <c r="M2821" t="s">
        <v>86</v>
      </c>
      <c r="N2821">
        <v>3</v>
      </c>
      <c r="O2821" s="1">
        <v>44222.805509259262</v>
      </c>
      <c r="P2821" s="1">
        <v>44223.345636574071</v>
      </c>
      <c r="Q2821">
        <v>45995</v>
      </c>
      <c r="R2821">
        <v>672</v>
      </c>
      <c r="S2821" t="b">
        <v>0</v>
      </c>
      <c r="T2821" t="s">
        <v>87</v>
      </c>
      <c r="U2821" t="b">
        <v>0</v>
      </c>
      <c r="V2821" t="s">
        <v>242</v>
      </c>
      <c r="W2821" s="1">
        <v>44222.846516203703</v>
      </c>
      <c r="X2821">
        <v>405</v>
      </c>
      <c r="Y2821">
        <v>101</v>
      </c>
      <c r="Z2821">
        <v>0</v>
      </c>
      <c r="AA2821">
        <v>101</v>
      </c>
      <c r="AB2821">
        <v>0</v>
      </c>
      <c r="AC2821">
        <v>43</v>
      </c>
      <c r="AD2821">
        <v>8</v>
      </c>
      <c r="AE2821">
        <v>0</v>
      </c>
      <c r="AF2821">
        <v>0</v>
      </c>
      <c r="AG2821">
        <v>0</v>
      </c>
      <c r="AH2821" t="s">
        <v>132</v>
      </c>
      <c r="AI2821" s="1">
        <v>44222.849826388891</v>
      </c>
      <c r="AJ2821">
        <v>250</v>
      </c>
      <c r="AK2821">
        <v>2</v>
      </c>
      <c r="AL2821">
        <v>0</v>
      </c>
      <c r="AM2821">
        <v>2</v>
      </c>
      <c r="AN2821">
        <v>0</v>
      </c>
      <c r="AO2821">
        <v>2</v>
      </c>
      <c r="AP2821">
        <v>6</v>
      </c>
      <c r="AQ2821">
        <v>0</v>
      </c>
      <c r="AR2821">
        <v>0</v>
      </c>
      <c r="AS2821">
        <v>0</v>
      </c>
      <c r="AT2821" t="s">
        <v>90</v>
      </c>
      <c r="AU2821" s="1">
        <v>44223.345636574071</v>
      </c>
      <c r="AV2821">
        <v>17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6</v>
      </c>
      <c r="BC2821">
        <v>0</v>
      </c>
      <c r="BD2821">
        <v>0</v>
      </c>
      <c r="BE2821">
        <v>0</v>
      </c>
    </row>
    <row r="2822" spans="1:57" x14ac:dyDescent="0.45">
      <c r="A2822" t="s">
        <v>6712</v>
      </c>
      <c r="B2822" t="s">
        <v>79</v>
      </c>
      <c r="C2822" t="s">
        <v>6379</v>
      </c>
      <c r="D2822" t="s">
        <v>81</v>
      </c>
      <c r="E2822" s="2" t="str">
        <f>HYPERLINK("capsilon://?command=openfolder&amp;siteaddress=FAM.docvelocity-na8.net&amp;folderid=FX6792A536-B2FC-EF1C-621F-362F52F10970","FX210113701")</f>
        <v>FX210113701</v>
      </c>
      <c r="F2822" t="s">
        <v>19</v>
      </c>
      <c r="G2822" t="s">
        <v>19</v>
      </c>
      <c r="H2822" t="s">
        <v>82</v>
      </c>
      <c r="I2822" t="s">
        <v>6713</v>
      </c>
      <c r="J2822">
        <v>107</v>
      </c>
      <c r="K2822" t="s">
        <v>84</v>
      </c>
      <c r="L2822" t="s">
        <v>85</v>
      </c>
      <c r="M2822" t="s">
        <v>86</v>
      </c>
      <c r="N2822">
        <v>3</v>
      </c>
      <c r="O2822" s="1">
        <v>44222.806817129633</v>
      </c>
      <c r="P2822" s="1">
        <v>44223.345717592594</v>
      </c>
      <c r="Q2822">
        <v>46148</v>
      </c>
      <c r="R2822">
        <v>413</v>
      </c>
      <c r="S2822" t="b">
        <v>0</v>
      </c>
      <c r="T2822" t="s">
        <v>87</v>
      </c>
      <c r="U2822" t="b">
        <v>0</v>
      </c>
      <c r="V2822" t="s">
        <v>242</v>
      </c>
      <c r="W2822" s="1">
        <v>44222.849849537037</v>
      </c>
      <c r="X2822">
        <v>287</v>
      </c>
      <c r="Y2822">
        <v>79</v>
      </c>
      <c r="Z2822">
        <v>0</v>
      </c>
      <c r="AA2822">
        <v>79</v>
      </c>
      <c r="AB2822">
        <v>0</v>
      </c>
      <c r="AC2822">
        <v>34</v>
      </c>
      <c r="AD2822">
        <v>28</v>
      </c>
      <c r="AE2822">
        <v>0</v>
      </c>
      <c r="AF2822">
        <v>0</v>
      </c>
      <c r="AG2822">
        <v>0</v>
      </c>
      <c r="AH2822" t="s">
        <v>132</v>
      </c>
      <c r="AI2822" s="1">
        <v>44222.851331018515</v>
      </c>
      <c r="AJ2822">
        <v>120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28</v>
      </c>
      <c r="AQ2822">
        <v>0</v>
      </c>
      <c r="AR2822">
        <v>0</v>
      </c>
      <c r="AS2822">
        <v>0</v>
      </c>
      <c r="AT2822" t="s">
        <v>90</v>
      </c>
      <c r="AU2822" s="1">
        <v>44223.345717592594</v>
      </c>
      <c r="AV2822">
        <v>6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28</v>
      </c>
      <c r="BC2822">
        <v>0</v>
      </c>
      <c r="BD2822">
        <v>0</v>
      </c>
      <c r="BE2822">
        <v>0</v>
      </c>
    </row>
    <row r="2823" spans="1:57" x14ac:dyDescent="0.45">
      <c r="A2823" t="s">
        <v>6714</v>
      </c>
      <c r="B2823" t="s">
        <v>79</v>
      </c>
      <c r="C2823" t="s">
        <v>6379</v>
      </c>
      <c r="D2823" t="s">
        <v>81</v>
      </c>
      <c r="E2823" s="2" t="str">
        <f>HYPERLINK("capsilon://?command=openfolder&amp;siteaddress=FAM.docvelocity-na8.net&amp;folderid=FX6792A536-B2FC-EF1C-621F-362F52F10970","FX210113701")</f>
        <v>FX210113701</v>
      </c>
      <c r="F2823" t="s">
        <v>19</v>
      </c>
      <c r="G2823" t="s">
        <v>19</v>
      </c>
      <c r="H2823" t="s">
        <v>82</v>
      </c>
      <c r="I2823" t="s">
        <v>6715</v>
      </c>
      <c r="J2823">
        <v>102</v>
      </c>
      <c r="K2823" t="s">
        <v>84</v>
      </c>
      <c r="L2823" t="s">
        <v>85</v>
      </c>
      <c r="M2823" t="s">
        <v>86</v>
      </c>
      <c r="N2823">
        <v>3</v>
      </c>
      <c r="O2823" s="1">
        <v>44222.815162037034</v>
      </c>
      <c r="P2823" s="1">
        <v>44223.345763888887</v>
      </c>
      <c r="Q2823">
        <v>45413</v>
      </c>
      <c r="R2823">
        <v>431</v>
      </c>
      <c r="S2823" t="b">
        <v>0</v>
      </c>
      <c r="T2823" t="s">
        <v>87</v>
      </c>
      <c r="U2823" t="b">
        <v>0</v>
      </c>
      <c r="V2823" t="s">
        <v>242</v>
      </c>
      <c r="W2823" s="1">
        <v>44222.853622685187</v>
      </c>
      <c r="X2823">
        <v>325</v>
      </c>
      <c r="Y2823">
        <v>74</v>
      </c>
      <c r="Z2823">
        <v>0</v>
      </c>
      <c r="AA2823">
        <v>74</v>
      </c>
      <c r="AB2823">
        <v>0</v>
      </c>
      <c r="AC2823">
        <v>35</v>
      </c>
      <c r="AD2823">
        <v>28</v>
      </c>
      <c r="AE2823">
        <v>0</v>
      </c>
      <c r="AF2823">
        <v>0</v>
      </c>
      <c r="AG2823">
        <v>0</v>
      </c>
      <c r="AH2823" t="s">
        <v>132</v>
      </c>
      <c r="AI2823" s="1">
        <v>44222.855266203704</v>
      </c>
      <c r="AJ2823">
        <v>103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28</v>
      </c>
      <c r="AQ2823">
        <v>0</v>
      </c>
      <c r="AR2823">
        <v>0</v>
      </c>
      <c r="AS2823">
        <v>0</v>
      </c>
      <c r="AT2823" t="s">
        <v>90</v>
      </c>
      <c r="AU2823" s="1">
        <v>44223.345763888887</v>
      </c>
      <c r="AV2823">
        <v>3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28</v>
      </c>
      <c r="BC2823">
        <v>0</v>
      </c>
      <c r="BD2823">
        <v>0</v>
      </c>
      <c r="BE2823">
        <v>0</v>
      </c>
    </row>
    <row r="2824" spans="1:57" x14ac:dyDescent="0.45">
      <c r="A2824" t="s">
        <v>6716</v>
      </c>
      <c r="B2824" t="s">
        <v>79</v>
      </c>
      <c r="C2824" t="s">
        <v>6379</v>
      </c>
      <c r="D2824" t="s">
        <v>81</v>
      </c>
      <c r="E2824" s="2" t="str">
        <f>HYPERLINK("capsilon://?command=openfolder&amp;siteaddress=FAM.docvelocity-na8.net&amp;folderid=FX6792A536-B2FC-EF1C-621F-362F52F10970","FX210113701")</f>
        <v>FX210113701</v>
      </c>
      <c r="F2824" t="s">
        <v>19</v>
      </c>
      <c r="G2824" t="s">
        <v>19</v>
      </c>
      <c r="H2824" t="s">
        <v>82</v>
      </c>
      <c r="I2824" t="s">
        <v>6717</v>
      </c>
      <c r="J2824">
        <v>107</v>
      </c>
      <c r="K2824" t="s">
        <v>84</v>
      </c>
      <c r="L2824" t="s">
        <v>85</v>
      </c>
      <c r="M2824" t="s">
        <v>86</v>
      </c>
      <c r="N2824">
        <v>3</v>
      </c>
      <c r="O2824" s="1">
        <v>44222.826180555552</v>
      </c>
      <c r="P2824" s="1">
        <v>44223.345810185187</v>
      </c>
      <c r="Q2824">
        <v>42833</v>
      </c>
      <c r="R2824">
        <v>2063</v>
      </c>
      <c r="S2824" t="b">
        <v>0</v>
      </c>
      <c r="T2824" t="s">
        <v>87</v>
      </c>
      <c r="U2824" t="b">
        <v>0</v>
      </c>
      <c r="V2824" t="s">
        <v>88</v>
      </c>
      <c r="W2824" s="1">
        <v>44223.16306712963</v>
      </c>
      <c r="X2824">
        <v>1543</v>
      </c>
      <c r="Y2824">
        <v>79</v>
      </c>
      <c r="Z2824">
        <v>0</v>
      </c>
      <c r="AA2824">
        <v>79</v>
      </c>
      <c r="AB2824">
        <v>0</v>
      </c>
      <c r="AC2824">
        <v>36</v>
      </c>
      <c r="AD2824">
        <v>28</v>
      </c>
      <c r="AE2824">
        <v>0</v>
      </c>
      <c r="AF2824">
        <v>0</v>
      </c>
      <c r="AG2824">
        <v>0</v>
      </c>
      <c r="AH2824" t="s">
        <v>89</v>
      </c>
      <c r="AI2824" s="1">
        <v>44223.174583333333</v>
      </c>
      <c r="AJ2824">
        <v>461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28</v>
      </c>
      <c r="AQ2824">
        <v>0</v>
      </c>
      <c r="AR2824">
        <v>0</v>
      </c>
      <c r="AS2824">
        <v>0</v>
      </c>
      <c r="AT2824" t="s">
        <v>90</v>
      </c>
      <c r="AU2824" s="1">
        <v>44223.345810185187</v>
      </c>
      <c r="AV2824">
        <v>3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28</v>
      </c>
      <c r="BC2824">
        <v>0</v>
      </c>
      <c r="BD2824">
        <v>0</v>
      </c>
      <c r="BE2824">
        <v>0</v>
      </c>
    </row>
    <row r="2825" spans="1:57" x14ac:dyDescent="0.45">
      <c r="A2825" t="s">
        <v>6718</v>
      </c>
      <c r="B2825" t="s">
        <v>79</v>
      </c>
      <c r="C2825" t="s">
        <v>442</v>
      </c>
      <c r="D2825" t="s">
        <v>81</v>
      </c>
      <c r="E2825" s="2" t="str">
        <f>HYPERLINK("capsilon://?command=openfolder&amp;siteaddress=FAM.docvelocity-na8.net&amp;folderid=FX4A1920FC-25A5-7C14-09FE-D4F5CF9E70C3","FX201225769")</f>
        <v>FX201225769</v>
      </c>
      <c r="F2825" t="s">
        <v>19</v>
      </c>
      <c r="G2825" t="s">
        <v>19</v>
      </c>
      <c r="H2825" t="s">
        <v>82</v>
      </c>
      <c r="I2825" t="s">
        <v>6719</v>
      </c>
      <c r="J2825">
        <v>86</v>
      </c>
      <c r="K2825" t="s">
        <v>84</v>
      </c>
      <c r="L2825" t="s">
        <v>85</v>
      </c>
      <c r="M2825" t="s">
        <v>86</v>
      </c>
      <c r="N2825">
        <v>3</v>
      </c>
      <c r="O2825" s="1">
        <v>44222.83421296296</v>
      </c>
      <c r="P2825" s="1">
        <v>44223.346122685187</v>
      </c>
      <c r="Q2825">
        <v>43037</v>
      </c>
      <c r="R2825">
        <v>1192</v>
      </c>
      <c r="S2825" t="b">
        <v>0</v>
      </c>
      <c r="T2825" t="s">
        <v>87</v>
      </c>
      <c r="U2825" t="b">
        <v>0</v>
      </c>
      <c r="V2825" t="s">
        <v>919</v>
      </c>
      <c r="W2825" s="1">
        <v>44223.152442129627</v>
      </c>
      <c r="X2825">
        <v>515</v>
      </c>
      <c r="Y2825">
        <v>78</v>
      </c>
      <c r="Z2825">
        <v>0</v>
      </c>
      <c r="AA2825">
        <v>78</v>
      </c>
      <c r="AB2825">
        <v>0</v>
      </c>
      <c r="AC2825">
        <v>12</v>
      </c>
      <c r="AD2825">
        <v>8</v>
      </c>
      <c r="AE2825">
        <v>0</v>
      </c>
      <c r="AF2825">
        <v>0</v>
      </c>
      <c r="AG2825">
        <v>0</v>
      </c>
      <c r="AH2825" t="s">
        <v>108</v>
      </c>
      <c r="AI2825" s="1">
        <v>44223.16138888889</v>
      </c>
      <c r="AJ2825">
        <v>650</v>
      </c>
      <c r="AK2825">
        <v>1</v>
      </c>
      <c r="AL2825">
        <v>0</v>
      </c>
      <c r="AM2825">
        <v>1</v>
      </c>
      <c r="AN2825">
        <v>0</v>
      </c>
      <c r="AO2825">
        <v>0</v>
      </c>
      <c r="AP2825">
        <v>7</v>
      </c>
      <c r="AQ2825">
        <v>0</v>
      </c>
      <c r="AR2825">
        <v>0</v>
      </c>
      <c r="AS2825">
        <v>0</v>
      </c>
      <c r="AT2825" t="s">
        <v>90</v>
      </c>
      <c r="AU2825" s="1">
        <v>44223.346122685187</v>
      </c>
      <c r="AV2825">
        <v>27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7</v>
      </c>
      <c r="BC2825">
        <v>0</v>
      </c>
      <c r="BD2825">
        <v>0</v>
      </c>
      <c r="BE2825">
        <v>0</v>
      </c>
    </row>
    <row r="2826" spans="1:57" x14ac:dyDescent="0.45">
      <c r="A2826" t="s">
        <v>6720</v>
      </c>
      <c r="B2826" t="s">
        <v>79</v>
      </c>
      <c r="C2826" t="s">
        <v>3654</v>
      </c>
      <c r="D2826" t="s">
        <v>81</v>
      </c>
      <c r="E2826" s="2" t="str">
        <f>HYPERLINK("capsilon://?command=openfolder&amp;siteaddress=FAM.docvelocity-na8.net&amp;folderid=FX80F961AF-BBBF-7F45-FE84-AABB2897F0B3","FX21015747")</f>
        <v>FX21015747</v>
      </c>
      <c r="F2826" t="s">
        <v>19</v>
      </c>
      <c r="G2826" t="s">
        <v>19</v>
      </c>
      <c r="H2826" t="s">
        <v>82</v>
      </c>
      <c r="I2826" t="s">
        <v>6706</v>
      </c>
      <c r="J2826">
        <v>66</v>
      </c>
      <c r="K2826" t="s">
        <v>84</v>
      </c>
      <c r="L2826" t="s">
        <v>85</v>
      </c>
      <c r="M2826" t="s">
        <v>86</v>
      </c>
      <c r="N2826">
        <v>3</v>
      </c>
      <c r="O2826" s="1">
        <v>44222.836851851855</v>
      </c>
      <c r="P2826" s="1">
        <v>44223.337500000001</v>
      </c>
      <c r="Q2826">
        <v>41720</v>
      </c>
      <c r="R2826">
        <v>1536</v>
      </c>
      <c r="S2826" t="b">
        <v>0</v>
      </c>
      <c r="T2826" t="s">
        <v>87</v>
      </c>
      <c r="U2826" t="b">
        <v>1</v>
      </c>
      <c r="V2826" t="s">
        <v>262</v>
      </c>
      <c r="W2826" s="1">
        <v>44222.854351851849</v>
      </c>
      <c r="X2826">
        <v>1372</v>
      </c>
      <c r="Y2826">
        <v>52</v>
      </c>
      <c r="Z2826">
        <v>0</v>
      </c>
      <c r="AA2826">
        <v>52</v>
      </c>
      <c r="AB2826">
        <v>0</v>
      </c>
      <c r="AC2826">
        <v>41</v>
      </c>
      <c r="AD2826">
        <v>14</v>
      </c>
      <c r="AE2826">
        <v>0</v>
      </c>
      <c r="AF2826">
        <v>0</v>
      </c>
      <c r="AG2826">
        <v>0</v>
      </c>
      <c r="AH2826" t="s">
        <v>132</v>
      </c>
      <c r="AI2826" s="1">
        <v>44222.856388888889</v>
      </c>
      <c r="AJ2826">
        <v>97</v>
      </c>
      <c r="AK2826">
        <v>2</v>
      </c>
      <c r="AL2826">
        <v>0</v>
      </c>
      <c r="AM2826">
        <v>2</v>
      </c>
      <c r="AN2826">
        <v>0</v>
      </c>
      <c r="AO2826">
        <v>1</v>
      </c>
      <c r="AP2826">
        <v>12</v>
      </c>
      <c r="AQ2826">
        <v>0</v>
      </c>
      <c r="AR2826">
        <v>0</v>
      </c>
      <c r="AS2826">
        <v>0</v>
      </c>
      <c r="AT2826" t="s">
        <v>90</v>
      </c>
      <c r="AU2826" s="1">
        <v>44223.337500000001</v>
      </c>
      <c r="AV2826">
        <v>43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12</v>
      </c>
      <c r="BC2826">
        <v>0</v>
      </c>
      <c r="BD2826">
        <v>0</v>
      </c>
      <c r="BE2826">
        <v>0</v>
      </c>
    </row>
    <row r="2827" spans="1:57" x14ac:dyDescent="0.45">
      <c r="A2827" t="s">
        <v>6721</v>
      </c>
      <c r="B2827" t="s">
        <v>79</v>
      </c>
      <c r="C2827" t="s">
        <v>1604</v>
      </c>
      <c r="D2827" t="s">
        <v>81</v>
      </c>
      <c r="E2827" s="2" t="str">
        <f>HYPERLINK("capsilon://?command=openfolder&amp;siteaddress=FAM.docvelocity-na8.net&amp;folderid=FX49B7D733-E332-5CDA-00C9-21F9F48A407C","FX21012970")</f>
        <v>FX21012970</v>
      </c>
      <c r="F2827" t="s">
        <v>19</v>
      </c>
      <c r="G2827" t="s">
        <v>19</v>
      </c>
      <c r="H2827" t="s">
        <v>82</v>
      </c>
      <c r="I2827" t="s">
        <v>6708</v>
      </c>
      <c r="J2827">
        <v>38</v>
      </c>
      <c r="K2827" t="s">
        <v>84</v>
      </c>
      <c r="L2827" t="s">
        <v>85</v>
      </c>
      <c r="M2827" t="s">
        <v>86</v>
      </c>
      <c r="N2827">
        <v>3</v>
      </c>
      <c r="O2827" s="1">
        <v>44222.837465277778</v>
      </c>
      <c r="P2827" s="1">
        <v>44223.338101851848</v>
      </c>
      <c r="Q2827">
        <v>42708</v>
      </c>
      <c r="R2827">
        <v>547</v>
      </c>
      <c r="S2827" t="b">
        <v>0</v>
      </c>
      <c r="T2827" t="s">
        <v>87</v>
      </c>
      <c r="U2827" t="b">
        <v>1</v>
      </c>
      <c r="V2827" t="s">
        <v>242</v>
      </c>
      <c r="W2827" s="1">
        <v>44222.841828703706</v>
      </c>
      <c r="X2827">
        <v>223</v>
      </c>
      <c r="Y2827">
        <v>37</v>
      </c>
      <c r="Z2827">
        <v>0</v>
      </c>
      <c r="AA2827">
        <v>37</v>
      </c>
      <c r="AB2827">
        <v>0</v>
      </c>
      <c r="AC2827">
        <v>17</v>
      </c>
      <c r="AD2827">
        <v>1</v>
      </c>
      <c r="AE2827">
        <v>0</v>
      </c>
      <c r="AF2827">
        <v>0</v>
      </c>
      <c r="AG2827">
        <v>0</v>
      </c>
      <c r="AH2827" t="s">
        <v>132</v>
      </c>
      <c r="AI2827" s="1">
        <v>44222.845636574071</v>
      </c>
      <c r="AJ2827">
        <v>273</v>
      </c>
      <c r="AK2827">
        <v>3</v>
      </c>
      <c r="AL2827">
        <v>0</v>
      </c>
      <c r="AM2827">
        <v>3</v>
      </c>
      <c r="AN2827">
        <v>0</v>
      </c>
      <c r="AO2827">
        <v>2</v>
      </c>
      <c r="AP2827">
        <v>-2</v>
      </c>
      <c r="AQ2827">
        <v>0</v>
      </c>
      <c r="AR2827">
        <v>0</v>
      </c>
      <c r="AS2827">
        <v>0</v>
      </c>
      <c r="AT2827" t="s">
        <v>90</v>
      </c>
      <c r="AU2827" s="1">
        <v>44223.338101851848</v>
      </c>
      <c r="AV2827">
        <v>51</v>
      </c>
      <c r="AW2827">
        <v>1</v>
      </c>
      <c r="AX2827">
        <v>0</v>
      </c>
      <c r="AY2827">
        <v>1</v>
      </c>
      <c r="AZ2827">
        <v>0</v>
      </c>
      <c r="BA2827">
        <v>1</v>
      </c>
      <c r="BB2827">
        <v>-3</v>
      </c>
      <c r="BC2827">
        <v>0</v>
      </c>
      <c r="BD2827">
        <v>0</v>
      </c>
      <c r="BE2827">
        <v>0</v>
      </c>
    </row>
    <row r="2828" spans="1:57" hidden="1" x14ac:dyDescent="0.45">
      <c r="A2828" t="s">
        <v>6722</v>
      </c>
      <c r="B2828" t="s">
        <v>79</v>
      </c>
      <c r="C2828" t="s">
        <v>1515</v>
      </c>
      <c r="D2828" t="s">
        <v>81</v>
      </c>
      <c r="E2828" s="2" t="str">
        <f>HYPERLINK("capsilon://?command=openfolder&amp;siteaddress=FAM.docvelocity-na8.net&amp;folderid=FX1A2AF279-EA22-C69F-3606-BD4B28FF389E","FX21012315")</f>
        <v>FX21012315</v>
      </c>
      <c r="F2828" t="s">
        <v>19</v>
      </c>
      <c r="G2828" t="s">
        <v>19</v>
      </c>
      <c r="H2828" t="s">
        <v>82</v>
      </c>
      <c r="I2828" t="s">
        <v>6723</v>
      </c>
      <c r="J2828">
        <v>66</v>
      </c>
      <c r="K2828" t="s">
        <v>84</v>
      </c>
      <c r="L2828" t="s">
        <v>85</v>
      </c>
      <c r="M2828" t="s">
        <v>86</v>
      </c>
      <c r="N2828">
        <v>1</v>
      </c>
      <c r="O2828" s="1">
        <v>44222.88590277778</v>
      </c>
      <c r="P2828" s="1">
        <v>44223.154178240744</v>
      </c>
      <c r="Q2828">
        <v>23030</v>
      </c>
      <c r="R2828">
        <v>149</v>
      </c>
      <c r="S2828" t="b">
        <v>0</v>
      </c>
      <c r="T2828" t="s">
        <v>87</v>
      </c>
      <c r="U2828" t="b">
        <v>0</v>
      </c>
      <c r="V2828" t="s">
        <v>919</v>
      </c>
      <c r="W2828" s="1">
        <v>44223.154178240744</v>
      </c>
      <c r="X2828">
        <v>149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66</v>
      </c>
      <c r="AE2828">
        <v>52</v>
      </c>
      <c r="AF2828">
        <v>0</v>
      </c>
      <c r="AG2828">
        <v>1</v>
      </c>
      <c r="AH2828" t="s">
        <v>87</v>
      </c>
      <c r="AI2828" t="s">
        <v>87</v>
      </c>
      <c r="AJ2828" t="s">
        <v>87</v>
      </c>
      <c r="AK2828" t="s">
        <v>87</v>
      </c>
      <c r="AL2828" t="s">
        <v>87</v>
      </c>
      <c r="AM2828" t="s">
        <v>87</v>
      </c>
      <c r="AN2828" t="s">
        <v>87</v>
      </c>
      <c r="AO2828" t="s">
        <v>87</v>
      </c>
      <c r="AP2828" t="s">
        <v>87</v>
      </c>
      <c r="AQ2828" t="s">
        <v>87</v>
      </c>
      <c r="AR2828" t="s">
        <v>87</v>
      </c>
      <c r="AS2828" t="s">
        <v>87</v>
      </c>
      <c r="AT2828" t="s">
        <v>87</v>
      </c>
      <c r="AU2828" t="s">
        <v>87</v>
      </c>
      <c r="AV2828" t="s">
        <v>87</v>
      </c>
      <c r="AW2828" t="s">
        <v>87</v>
      </c>
      <c r="AX2828" t="s">
        <v>87</v>
      </c>
      <c r="AY2828" t="s">
        <v>87</v>
      </c>
      <c r="AZ2828" t="s">
        <v>87</v>
      </c>
      <c r="BA2828" t="s">
        <v>87</v>
      </c>
      <c r="BB2828" t="s">
        <v>87</v>
      </c>
      <c r="BC2828" t="s">
        <v>87</v>
      </c>
      <c r="BD2828" t="s">
        <v>87</v>
      </c>
      <c r="BE2828" t="s">
        <v>87</v>
      </c>
    </row>
    <row r="2829" spans="1:57" x14ac:dyDescent="0.45">
      <c r="A2829" t="s">
        <v>6724</v>
      </c>
      <c r="B2829" t="s">
        <v>79</v>
      </c>
      <c r="C2829" t="s">
        <v>2052</v>
      </c>
      <c r="D2829" t="s">
        <v>81</v>
      </c>
      <c r="E2829" s="2" t="str">
        <f>HYPERLINK("capsilon://?command=openfolder&amp;siteaddress=FAM.docvelocity-na8.net&amp;folderid=FX10928785-14AF-1A43-3A68-B0B358F4B31E","FX201228472")</f>
        <v>FX201228472</v>
      </c>
      <c r="F2829" t="s">
        <v>19</v>
      </c>
      <c r="G2829" t="s">
        <v>19</v>
      </c>
      <c r="H2829" t="s">
        <v>82</v>
      </c>
      <c r="I2829" t="s">
        <v>6725</v>
      </c>
      <c r="J2829">
        <v>66</v>
      </c>
      <c r="K2829" t="s">
        <v>84</v>
      </c>
      <c r="L2829" t="s">
        <v>85</v>
      </c>
      <c r="M2829" t="s">
        <v>86</v>
      </c>
      <c r="N2829">
        <v>3</v>
      </c>
      <c r="O2829" s="1">
        <v>44201.664131944446</v>
      </c>
      <c r="P2829" s="1">
        <v>44201.685011574074</v>
      </c>
      <c r="Q2829">
        <v>380</v>
      </c>
      <c r="R2829">
        <v>1424</v>
      </c>
      <c r="S2829" t="b">
        <v>0</v>
      </c>
      <c r="T2829" t="s">
        <v>87</v>
      </c>
      <c r="U2829" t="b">
        <v>0</v>
      </c>
      <c r="V2829" t="s">
        <v>179</v>
      </c>
      <c r="W2829" s="1">
        <v>44201.681134259263</v>
      </c>
      <c r="X2829">
        <v>1314</v>
      </c>
      <c r="Y2829">
        <v>52</v>
      </c>
      <c r="Z2829">
        <v>0</v>
      </c>
      <c r="AA2829">
        <v>52</v>
      </c>
      <c r="AB2829">
        <v>0</v>
      </c>
      <c r="AC2829">
        <v>29</v>
      </c>
      <c r="AD2829">
        <v>14</v>
      </c>
      <c r="AE2829">
        <v>0</v>
      </c>
      <c r="AF2829">
        <v>0</v>
      </c>
      <c r="AG2829">
        <v>0</v>
      </c>
      <c r="AH2829" t="s">
        <v>267</v>
      </c>
      <c r="AI2829" s="1">
        <v>44201.683680555558</v>
      </c>
      <c r="AJ2829">
        <v>78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14</v>
      </c>
      <c r="AQ2829">
        <v>0</v>
      </c>
      <c r="AR2829">
        <v>0</v>
      </c>
      <c r="AS2829">
        <v>0</v>
      </c>
      <c r="AT2829" t="s">
        <v>90</v>
      </c>
      <c r="AU2829" s="1">
        <v>44201.685011574074</v>
      </c>
      <c r="AV2829">
        <v>32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14</v>
      </c>
      <c r="BC2829">
        <v>0</v>
      </c>
      <c r="BD2829">
        <v>0</v>
      </c>
      <c r="BE2829">
        <v>0</v>
      </c>
    </row>
    <row r="2830" spans="1:57" x14ac:dyDescent="0.45">
      <c r="A2830" t="s">
        <v>6726</v>
      </c>
      <c r="B2830" t="s">
        <v>79</v>
      </c>
      <c r="C2830" t="s">
        <v>1515</v>
      </c>
      <c r="D2830" t="s">
        <v>81</v>
      </c>
      <c r="E2830" s="2" t="str">
        <f>HYPERLINK("capsilon://?command=openfolder&amp;siteaddress=FAM.docvelocity-na8.net&amp;folderid=FX1A2AF279-EA22-C69F-3606-BD4B28FF389E","FX21012315")</f>
        <v>FX21012315</v>
      </c>
      <c r="F2830" t="s">
        <v>19</v>
      </c>
      <c r="G2830" t="s">
        <v>19</v>
      </c>
      <c r="H2830" t="s">
        <v>82</v>
      </c>
      <c r="I2830" t="s">
        <v>6723</v>
      </c>
      <c r="J2830">
        <v>38</v>
      </c>
      <c r="K2830" t="s">
        <v>84</v>
      </c>
      <c r="L2830" t="s">
        <v>85</v>
      </c>
      <c r="M2830" t="s">
        <v>86</v>
      </c>
      <c r="N2830">
        <v>3</v>
      </c>
      <c r="O2830" s="1">
        <v>44223.154421296298</v>
      </c>
      <c r="P2830" s="1">
        <v>44223.33834490741</v>
      </c>
      <c r="Q2830">
        <v>14209</v>
      </c>
      <c r="R2830">
        <v>1682</v>
      </c>
      <c r="S2830" t="b">
        <v>0</v>
      </c>
      <c r="T2830" t="s">
        <v>87</v>
      </c>
      <c r="U2830" t="b">
        <v>1</v>
      </c>
      <c r="V2830" t="s">
        <v>919</v>
      </c>
      <c r="W2830" s="1">
        <v>44223.170648148145</v>
      </c>
      <c r="X2830">
        <v>1401</v>
      </c>
      <c r="Y2830">
        <v>37</v>
      </c>
      <c r="Z2830">
        <v>0</v>
      </c>
      <c r="AA2830">
        <v>37</v>
      </c>
      <c r="AB2830">
        <v>0</v>
      </c>
      <c r="AC2830">
        <v>20</v>
      </c>
      <c r="AD2830">
        <v>1</v>
      </c>
      <c r="AE2830">
        <v>0</v>
      </c>
      <c r="AF2830">
        <v>0</v>
      </c>
      <c r="AG2830">
        <v>0</v>
      </c>
      <c r="AH2830" t="s">
        <v>108</v>
      </c>
      <c r="AI2830" s="1">
        <v>44223.174537037034</v>
      </c>
      <c r="AJ2830">
        <v>247</v>
      </c>
      <c r="AK2830">
        <v>2</v>
      </c>
      <c r="AL2830">
        <v>0</v>
      </c>
      <c r="AM2830">
        <v>2</v>
      </c>
      <c r="AN2830">
        <v>0</v>
      </c>
      <c r="AO2830">
        <v>0</v>
      </c>
      <c r="AP2830">
        <v>-1</v>
      </c>
      <c r="AQ2830">
        <v>0</v>
      </c>
      <c r="AR2830">
        <v>0</v>
      </c>
      <c r="AS2830">
        <v>0</v>
      </c>
      <c r="AT2830" t="s">
        <v>90</v>
      </c>
      <c r="AU2830" s="1">
        <v>44223.33834490741</v>
      </c>
      <c r="AV2830">
        <v>20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-1</v>
      </c>
      <c r="BC2830">
        <v>0</v>
      </c>
      <c r="BD2830">
        <v>0</v>
      </c>
      <c r="BE2830">
        <v>0</v>
      </c>
    </row>
    <row r="2831" spans="1:57" x14ac:dyDescent="0.45">
      <c r="A2831" t="s">
        <v>6727</v>
      </c>
      <c r="B2831" t="s">
        <v>79</v>
      </c>
      <c r="C2831" t="s">
        <v>2872</v>
      </c>
      <c r="D2831" t="s">
        <v>81</v>
      </c>
      <c r="E2831" s="2" t="str">
        <f>HYPERLINK("capsilon://?command=openfolder&amp;siteaddress=FAM.docvelocity-na8.net&amp;folderid=FXB2956453-2B80-097C-DFCB-AC27A0A7CBED","FX21017147")</f>
        <v>FX21017147</v>
      </c>
      <c r="F2831" t="s">
        <v>19</v>
      </c>
      <c r="G2831" t="s">
        <v>19</v>
      </c>
      <c r="H2831" t="s">
        <v>82</v>
      </c>
      <c r="I2831" t="s">
        <v>6728</v>
      </c>
      <c r="J2831">
        <v>66</v>
      </c>
      <c r="K2831" t="s">
        <v>84</v>
      </c>
      <c r="L2831" t="s">
        <v>85</v>
      </c>
      <c r="M2831" t="s">
        <v>86</v>
      </c>
      <c r="N2831">
        <v>3</v>
      </c>
      <c r="O2831" s="1">
        <v>44223.274722222224</v>
      </c>
      <c r="P2831" s="1">
        <v>44223.346238425926</v>
      </c>
      <c r="Q2831">
        <v>5005</v>
      </c>
      <c r="R2831">
        <v>1174</v>
      </c>
      <c r="S2831" t="b">
        <v>0</v>
      </c>
      <c r="T2831" t="s">
        <v>87</v>
      </c>
      <c r="U2831" t="b">
        <v>0</v>
      </c>
      <c r="V2831" t="s">
        <v>88</v>
      </c>
      <c r="W2831" s="1">
        <v>44223.281990740739</v>
      </c>
      <c r="X2831">
        <v>608</v>
      </c>
      <c r="Y2831">
        <v>52</v>
      </c>
      <c r="Z2831">
        <v>0</v>
      </c>
      <c r="AA2831">
        <v>52</v>
      </c>
      <c r="AB2831">
        <v>0</v>
      </c>
      <c r="AC2831">
        <v>40</v>
      </c>
      <c r="AD2831">
        <v>14</v>
      </c>
      <c r="AE2831">
        <v>0</v>
      </c>
      <c r="AF2831">
        <v>0</v>
      </c>
      <c r="AG2831">
        <v>0</v>
      </c>
      <c r="AH2831" t="s">
        <v>89</v>
      </c>
      <c r="AI2831" s="1">
        <v>44223.289398148147</v>
      </c>
      <c r="AJ2831">
        <v>557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14</v>
      </c>
      <c r="AQ2831">
        <v>0</v>
      </c>
      <c r="AR2831">
        <v>0</v>
      </c>
      <c r="AS2831">
        <v>0</v>
      </c>
      <c r="AT2831" t="s">
        <v>90</v>
      </c>
      <c r="AU2831" s="1">
        <v>44223.346238425926</v>
      </c>
      <c r="AV2831">
        <v>9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14</v>
      </c>
      <c r="BC2831">
        <v>0</v>
      </c>
      <c r="BD2831">
        <v>0</v>
      </c>
      <c r="BE2831">
        <v>0</v>
      </c>
    </row>
    <row r="2832" spans="1:57" hidden="1" x14ac:dyDescent="0.45">
      <c r="A2832" t="s">
        <v>6729</v>
      </c>
      <c r="B2832" t="s">
        <v>79</v>
      </c>
      <c r="C2832" t="s">
        <v>3654</v>
      </c>
      <c r="D2832" t="s">
        <v>81</v>
      </c>
      <c r="E2832" s="2" t="str">
        <f>HYPERLINK("capsilon://?command=openfolder&amp;siteaddress=FAM.docvelocity-na8.net&amp;folderid=FX80F961AF-BBBF-7F45-FE84-AABB2897F0B3","FX21015747")</f>
        <v>FX21015747</v>
      </c>
      <c r="F2832" t="s">
        <v>19</v>
      </c>
      <c r="G2832" t="s">
        <v>19</v>
      </c>
      <c r="H2832" t="s">
        <v>82</v>
      </c>
      <c r="I2832" t="s">
        <v>6730</v>
      </c>
      <c r="J2832">
        <v>66</v>
      </c>
      <c r="K2832" t="s">
        <v>84</v>
      </c>
      <c r="L2832" t="s">
        <v>85</v>
      </c>
      <c r="M2832" t="s">
        <v>86</v>
      </c>
      <c r="N2832">
        <v>1</v>
      </c>
      <c r="O2832" s="1">
        <v>44223.277060185188</v>
      </c>
      <c r="P2832" s="1">
        <v>44223.280856481484</v>
      </c>
      <c r="Q2832">
        <v>86</v>
      </c>
      <c r="R2832">
        <v>242</v>
      </c>
      <c r="S2832" t="b">
        <v>0</v>
      </c>
      <c r="T2832" t="s">
        <v>87</v>
      </c>
      <c r="U2832" t="b">
        <v>0</v>
      </c>
      <c r="V2832" t="s">
        <v>919</v>
      </c>
      <c r="W2832" s="1">
        <v>44223.280856481484</v>
      </c>
      <c r="X2832">
        <v>242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66</v>
      </c>
      <c r="AE2832">
        <v>52</v>
      </c>
      <c r="AF2832">
        <v>0</v>
      </c>
      <c r="AG2832">
        <v>1</v>
      </c>
      <c r="AH2832" t="s">
        <v>87</v>
      </c>
      <c r="AI2832" t="s">
        <v>87</v>
      </c>
      <c r="AJ2832" t="s">
        <v>87</v>
      </c>
      <c r="AK2832" t="s">
        <v>87</v>
      </c>
      <c r="AL2832" t="s">
        <v>87</v>
      </c>
      <c r="AM2832" t="s">
        <v>87</v>
      </c>
      <c r="AN2832" t="s">
        <v>87</v>
      </c>
      <c r="AO2832" t="s">
        <v>87</v>
      </c>
      <c r="AP2832" t="s">
        <v>87</v>
      </c>
      <c r="AQ2832" t="s">
        <v>87</v>
      </c>
      <c r="AR2832" t="s">
        <v>87</v>
      </c>
      <c r="AS2832" t="s">
        <v>87</v>
      </c>
      <c r="AT2832" t="s">
        <v>87</v>
      </c>
      <c r="AU2832" t="s">
        <v>87</v>
      </c>
      <c r="AV2832" t="s">
        <v>87</v>
      </c>
      <c r="AW2832" t="s">
        <v>87</v>
      </c>
      <c r="AX2832" t="s">
        <v>87</v>
      </c>
      <c r="AY2832" t="s">
        <v>87</v>
      </c>
      <c r="AZ2832" t="s">
        <v>87</v>
      </c>
      <c r="BA2832" t="s">
        <v>87</v>
      </c>
      <c r="BB2832" t="s">
        <v>87</v>
      </c>
      <c r="BC2832" t="s">
        <v>87</v>
      </c>
      <c r="BD2832" t="s">
        <v>87</v>
      </c>
      <c r="BE2832" t="s">
        <v>87</v>
      </c>
    </row>
    <row r="2833" spans="1:57" x14ac:dyDescent="0.45">
      <c r="A2833" t="s">
        <v>6731</v>
      </c>
      <c r="B2833" t="s">
        <v>79</v>
      </c>
      <c r="C2833" t="s">
        <v>3578</v>
      </c>
      <c r="D2833" t="s">
        <v>81</v>
      </c>
      <c r="E2833" s="2" t="str">
        <f>HYPERLINK("capsilon://?command=openfolder&amp;siteaddress=FAM.docvelocity-na8.net&amp;folderid=FXE4CB08D5-4892-D08F-C797-5B5A3B40D36F","FX21018455")</f>
        <v>FX21018455</v>
      </c>
      <c r="F2833" t="s">
        <v>19</v>
      </c>
      <c r="G2833" t="s">
        <v>19</v>
      </c>
      <c r="H2833" t="s">
        <v>82</v>
      </c>
      <c r="I2833" t="s">
        <v>6732</v>
      </c>
      <c r="J2833">
        <v>66</v>
      </c>
      <c r="K2833" t="s">
        <v>84</v>
      </c>
      <c r="L2833" t="s">
        <v>85</v>
      </c>
      <c r="M2833" t="s">
        <v>86</v>
      </c>
      <c r="N2833">
        <v>3</v>
      </c>
      <c r="O2833" s="1">
        <v>44223.279131944444</v>
      </c>
      <c r="P2833" s="1">
        <v>44223.346458333333</v>
      </c>
      <c r="Q2833">
        <v>3303</v>
      </c>
      <c r="R2833">
        <v>2514</v>
      </c>
      <c r="S2833" t="b">
        <v>0</v>
      </c>
      <c r="T2833" t="s">
        <v>87</v>
      </c>
      <c r="U2833" t="b">
        <v>0</v>
      </c>
      <c r="V2833" t="s">
        <v>88</v>
      </c>
      <c r="W2833" s="1">
        <v>44223.302210648151</v>
      </c>
      <c r="X2833">
        <v>1746</v>
      </c>
      <c r="Y2833">
        <v>52</v>
      </c>
      <c r="Z2833">
        <v>0</v>
      </c>
      <c r="AA2833">
        <v>52</v>
      </c>
      <c r="AB2833">
        <v>0</v>
      </c>
      <c r="AC2833">
        <v>42</v>
      </c>
      <c r="AD2833">
        <v>14</v>
      </c>
      <c r="AE2833">
        <v>0</v>
      </c>
      <c r="AF2833">
        <v>0</v>
      </c>
      <c r="AG2833">
        <v>0</v>
      </c>
      <c r="AH2833" t="s">
        <v>89</v>
      </c>
      <c r="AI2833" s="1">
        <v>44223.31490740741</v>
      </c>
      <c r="AJ2833">
        <v>707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14</v>
      </c>
      <c r="AQ2833">
        <v>0</v>
      </c>
      <c r="AR2833">
        <v>0</v>
      </c>
      <c r="AS2833">
        <v>0</v>
      </c>
      <c r="AT2833" t="s">
        <v>90</v>
      </c>
      <c r="AU2833" s="1">
        <v>44223.346458333333</v>
      </c>
      <c r="AV2833">
        <v>18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14</v>
      </c>
      <c r="BC2833">
        <v>0</v>
      </c>
      <c r="BD2833">
        <v>0</v>
      </c>
      <c r="BE2833">
        <v>0</v>
      </c>
    </row>
    <row r="2834" spans="1:57" x14ac:dyDescent="0.45">
      <c r="A2834" t="s">
        <v>6733</v>
      </c>
      <c r="B2834" t="s">
        <v>79</v>
      </c>
      <c r="C2834" t="s">
        <v>3654</v>
      </c>
      <c r="D2834" t="s">
        <v>81</v>
      </c>
      <c r="E2834" s="2" t="str">
        <f>HYPERLINK("capsilon://?command=openfolder&amp;siteaddress=FAM.docvelocity-na8.net&amp;folderid=FX80F961AF-BBBF-7F45-FE84-AABB2897F0B3","FX21015747")</f>
        <v>FX21015747</v>
      </c>
      <c r="F2834" t="s">
        <v>19</v>
      </c>
      <c r="G2834" t="s">
        <v>19</v>
      </c>
      <c r="H2834" t="s">
        <v>82</v>
      </c>
      <c r="I2834" t="s">
        <v>6730</v>
      </c>
      <c r="J2834">
        <v>66</v>
      </c>
      <c r="K2834" t="s">
        <v>84</v>
      </c>
      <c r="L2834" t="s">
        <v>85</v>
      </c>
      <c r="M2834" t="s">
        <v>86</v>
      </c>
      <c r="N2834">
        <v>3</v>
      </c>
      <c r="O2834" s="1">
        <v>44223.281342592592</v>
      </c>
      <c r="P2834" s="1">
        <v>44223.339108796295</v>
      </c>
      <c r="Q2834">
        <v>1567</v>
      </c>
      <c r="R2834">
        <v>3424</v>
      </c>
      <c r="S2834" t="b">
        <v>0</v>
      </c>
      <c r="T2834" t="s">
        <v>87</v>
      </c>
      <c r="U2834" t="b">
        <v>1</v>
      </c>
      <c r="V2834" t="s">
        <v>919</v>
      </c>
      <c r="W2834" s="1">
        <v>44223.30678240741</v>
      </c>
      <c r="X2834">
        <v>2187</v>
      </c>
      <c r="Y2834">
        <v>52</v>
      </c>
      <c r="Z2834">
        <v>0</v>
      </c>
      <c r="AA2834">
        <v>52</v>
      </c>
      <c r="AB2834">
        <v>0</v>
      </c>
      <c r="AC2834">
        <v>35</v>
      </c>
      <c r="AD2834">
        <v>14</v>
      </c>
      <c r="AE2834">
        <v>0</v>
      </c>
      <c r="AF2834">
        <v>0</v>
      </c>
      <c r="AG2834">
        <v>0</v>
      </c>
      <c r="AH2834" t="s">
        <v>108</v>
      </c>
      <c r="AI2834" s="1">
        <v>44223.324143518519</v>
      </c>
      <c r="AJ2834">
        <v>1136</v>
      </c>
      <c r="AK2834">
        <v>6</v>
      </c>
      <c r="AL2834">
        <v>0</v>
      </c>
      <c r="AM2834">
        <v>6</v>
      </c>
      <c r="AN2834">
        <v>0</v>
      </c>
      <c r="AO2834">
        <v>6</v>
      </c>
      <c r="AP2834">
        <v>8</v>
      </c>
      <c r="AQ2834">
        <v>0</v>
      </c>
      <c r="AR2834">
        <v>0</v>
      </c>
      <c r="AS2834">
        <v>0</v>
      </c>
      <c r="AT2834" t="s">
        <v>90</v>
      </c>
      <c r="AU2834" s="1">
        <v>44223.339108796295</v>
      </c>
      <c r="AV2834">
        <v>65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8</v>
      </c>
      <c r="BC2834">
        <v>0</v>
      </c>
      <c r="BD2834">
        <v>0</v>
      </c>
      <c r="BE2834">
        <v>0</v>
      </c>
    </row>
    <row r="2835" spans="1:57" x14ac:dyDescent="0.45">
      <c r="A2835" t="s">
        <v>6734</v>
      </c>
      <c r="B2835" t="s">
        <v>79</v>
      </c>
      <c r="C2835" t="s">
        <v>5077</v>
      </c>
      <c r="D2835" t="s">
        <v>81</v>
      </c>
      <c r="E2835" s="2" t="str">
        <f>HYPERLINK("capsilon://?command=openfolder&amp;siteaddress=FAM.docvelocity-na8.net&amp;folderid=FX2B15BBB9-4F1F-497C-6262-5F276803ACB2","FX210112568")</f>
        <v>FX210112568</v>
      </c>
      <c r="F2835" t="s">
        <v>19</v>
      </c>
      <c r="G2835" t="s">
        <v>19</v>
      </c>
      <c r="H2835" t="s">
        <v>82</v>
      </c>
      <c r="I2835" t="s">
        <v>6735</v>
      </c>
      <c r="J2835">
        <v>66</v>
      </c>
      <c r="K2835" t="s">
        <v>84</v>
      </c>
      <c r="L2835" t="s">
        <v>85</v>
      </c>
      <c r="M2835" t="s">
        <v>86</v>
      </c>
      <c r="N2835">
        <v>3</v>
      </c>
      <c r="O2835" s="1">
        <v>44223.281990740739</v>
      </c>
      <c r="P2835" s="1">
        <v>44223.346712962964</v>
      </c>
      <c r="Q2835">
        <v>3017</v>
      </c>
      <c r="R2835">
        <v>2575</v>
      </c>
      <c r="S2835" t="b">
        <v>0</v>
      </c>
      <c r="T2835" t="s">
        <v>87</v>
      </c>
      <c r="U2835" t="b">
        <v>0</v>
      </c>
      <c r="V2835" t="s">
        <v>112</v>
      </c>
      <c r="W2835" s="1">
        <v>44223.304305555554</v>
      </c>
      <c r="X2835">
        <v>1513</v>
      </c>
      <c r="Y2835">
        <v>52</v>
      </c>
      <c r="Z2835">
        <v>0</v>
      </c>
      <c r="AA2835">
        <v>52</v>
      </c>
      <c r="AB2835">
        <v>0</v>
      </c>
      <c r="AC2835">
        <v>39</v>
      </c>
      <c r="AD2835">
        <v>14</v>
      </c>
      <c r="AE2835">
        <v>0</v>
      </c>
      <c r="AF2835">
        <v>0</v>
      </c>
      <c r="AG2835">
        <v>0</v>
      </c>
      <c r="AH2835" t="s">
        <v>89</v>
      </c>
      <c r="AI2835" s="1">
        <v>44223.326967592591</v>
      </c>
      <c r="AJ2835">
        <v>1041</v>
      </c>
      <c r="AK2835">
        <v>2</v>
      </c>
      <c r="AL2835">
        <v>0</v>
      </c>
      <c r="AM2835">
        <v>2</v>
      </c>
      <c r="AN2835">
        <v>0</v>
      </c>
      <c r="AO2835">
        <v>1</v>
      </c>
      <c r="AP2835">
        <v>12</v>
      </c>
      <c r="AQ2835">
        <v>0</v>
      </c>
      <c r="AR2835">
        <v>0</v>
      </c>
      <c r="AS2835">
        <v>0</v>
      </c>
      <c r="AT2835" t="s">
        <v>90</v>
      </c>
      <c r="AU2835" s="1">
        <v>44223.346712962964</v>
      </c>
      <c r="AV2835">
        <v>21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12</v>
      </c>
      <c r="BC2835">
        <v>0</v>
      </c>
      <c r="BD2835">
        <v>0</v>
      </c>
      <c r="BE2835">
        <v>0</v>
      </c>
    </row>
    <row r="2836" spans="1:57" x14ac:dyDescent="0.45">
      <c r="A2836" t="s">
        <v>6736</v>
      </c>
      <c r="B2836" t="s">
        <v>79</v>
      </c>
      <c r="C2836" t="s">
        <v>6737</v>
      </c>
      <c r="D2836" t="s">
        <v>81</v>
      </c>
      <c r="E2836" s="2" t="str">
        <f>HYPERLINK("capsilon://?command=openfolder&amp;siteaddress=FAM.docvelocity-na8.net&amp;folderid=FX5AE03665-41CF-CBA1-F9CB-15C97051CE46","FX201223370")</f>
        <v>FX201223370</v>
      </c>
      <c r="F2836" t="s">
        <v>19</v>
      </c>
      <c r="G2836" t="s">
        <v>19</v>
      </c>
      <c r="H2836" t="s">
        <v>82</v>
      </c>
      <c r="I2836" t="s">
        <v>6738</v>
      </c>
      <c r="J2836">
        <v>38</v>
      </c>
      <c r="K2836" t="s">
        <v>84</v>
      </c>
      <c r="L2836" t="s">
        <v>85</v>
      </c>
      <c r="M2836" t="s">
        <v>86</v>
      </c>
      <c r="N2836">
        <v>3</v>
      </c>
      <c r="O2836" s="1">
        <v>44223.283495370371</v>
      </c>
      <c r="P2836" s="1">
        <v>44223.34684027778</v>
      </c>
      <c r="Q2836">
        <v>4234</v>
      </c>
      <c r="R2836">
        <v>1239</v>
      </c>
      <c r="S2836" t="b">
        <v>0</v>
      </c>
      <c r="T2836" t="s">
        <v>87</v>
      </c>
      <c r="U2836" t="b">
        <v>0</v>
      </c>
      <c r="V2836" t="s">
        <v>105</v>
      </c>
      <c r="W2836" s="1">
        <v>44223.297164351854</v>
      </c>
      <c r="X2836">
        <v>860</v>
      </c>
      <c r="Y2836">
        <v>37</v>
      </c>
      <c r="Z2836">
        <v>0</v>
      </c>
      <c r="AA2836">
        <v>37</v>
      </c>
      <c r="AB2836">
        <v>0</v>
      </c>
      <c r="AC2836">
        <v>33</v>
      </c>
      <c r="AD2836">
        <v>1</v>
      </c>
      <c r="AE2836">
        <v>0</v>
      </c>
      <c r="AF2836">
        <v>0</v>
      </c>
      <c r="AG2836">
        <v>0</v>
      </c>
      <c r="AH2836" t="s">
        <v>108</v>
      </c>
      <c r="AI2836" s="1">
        <v>44223.305069444446</v>
      </c>
      <c r="AJ2836">
        <v>368</v>
      </c>
      <c r="AK2836">
        <v>2</v>
      </c>
      <c r="AL2836">
        <v>0</v>
      </c>
      <c r="AM2836">
        <v>2</v>
      </c>
      <c r="AN2836">
        <v>0</v>
      </c>
      <c r="AO2836">
        <v>0</v>
      </c>
      <c r="AP2836">
        <v>-1</v>
      </c>
      <c r="AQ2836">
        <v>0</v>
      </c>
      <c r="AR2836">
        <v>0</v>
      </c>
      <c r="AS2836">
        <v>0</v>
      </c>
      <c r="AT2836" t="s">
        <v>90</v>
      </c>
      <c r="AU2836" s="1">
        <v>44223.34684027778</v>
      </c>
      <c r="AV2836">
        <v>11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-1</v>
      </c>
      <c r="BC2836">
        <v>0</v>
      </c>
      <c r="BD2836">
        <v>0</v>
      </c>
      <c r="BE2836">
        <v>0</v>
      </c>
    </row>
    <row r="2837" spans="1:57" hidden="1" x14ac:dyDescent="0.45">
      <c r="A2837" t="s">
        <v>6739</v>
      </c>
      <c r="B2837" t="s">
        <v>79</v>
      </c>
      <c r="C2837" t="s">
        <v>3528</v>
      </c>
      <c r="D2837" t="s">
        <v>81</v>
      </c>
      <c r="E2837" s="2" t="str">
        <f>HYPERLINK("capsilon://?command=openfolder&amp;siteaddress=FAM.docvelocity-na8.net&amp;folderid=FXF27FFFB8-3CCC-C971-5044-231D54194F84","FX201221995")</f>
        <v>FX201221995</v>
      </c>
      <c r="F2837" t="s">
        <v>19</v>
      </c>
      <c r="G2837" t="s">
        <v>19</v>
      </c>
      <c r="H2837" t="s">
        <v>82</v>
      </c>
      <c r="I2837" t="s">
        <v>6740</v>
      </c>
      <c r="J2837">
        <v>66</v>
      </c>
      <c r="K2837" t="s">
        <v>84</v>
      </c>
      <c r="L2837" t="s">
        <v>85</v>
      </c>
      <c r="M2837" t="s">
        <v>86</v>
      </c>
      <c r="N2837">
        <v>3</v>
      </c>
      <c r="O2837" s="1">
        <v>44223.283784722225</v>
      </c>
      <c r="P2837" s="1">
        <v>44223.346875000003</v>
      </c>
      <c r="Q2837">
        <v>5173</v>
      </c>
      <c r="R2837">
        <v>278</v>
      </c>
      <c r="S2837" t="b">
        <v>0</v>
      </c>
      <c r="T2837" t="s">
        <v>87</v>
      </c>
      <c r="U2837" t="b">
        <v>0</v>
      </c>
      <c r="V2837" t="s">
        <v>98</v>
      </c>
      <c r="W2837" s="1">
        <v>44223.290706018517</v>
      </c>
      <c r="X2837">
        <v>106</v>
      </c>
      <c r="Y2837">
        <v>0</v>
      </c>
      <c r="Z2837">
        <v>0</v>
      </c>
      <c r="AA2837">
        <v>0</v>
      </c>
      <c r="AB2837">
        <v>52</v>
      </c>
      <c r="AC2837">
        <v>0</v>
      </c>
      <c r="AD2837">
        <v>66</v>
      </c>
      <c r="AE2837">
        <v>0</v>
      </c>
      <c r="AF2837">
        <v>0</v>
      </c>
      <c r="AG2837">
        <v>0</v>
      </c>
      <c r="AH2837" t="s">
        <v>108</v>
      </c>
      <c r="AI2837" s="1">
        <v>44223.326111111113</v>
      </c>
      <c r="AJ2837">
        <v>170</v>
      </c>
      <c r="AK2837">
        <v>0</v>
      </c>
      <c r="AL2837">
        <v>0</v>
      </c>
      <c r="AM2837">
        <v>0</v>
      </c>
      <c r="AN2837">
        <v>52</v>
      </c>
      <c r="AO2837">
        <v>0</v>
      </c>
      <c r="AP2837">
        <v>66</v>
      </c>
      <c r="AQ2837">
        <v>0</v>
      </c>
      <c r="AR2837">
        <v>0</v>
      </c>
      <c r="AS2837">
        <v>0</v>
      </c>
      <c r="AT2837" t="s">
        <v>90</v>
      </c>
      <c r="AU2837" s="1">
        <v>44223.346875000003</v>
      </c>
      <c r="AV2837">
        <v>2</v>
      </c>
      <c r="AW2837">
        <v>0</v>
      </c>
      <c r="AX2837">
        <v>0</v>
      </c>
      <c r="AY2837">
        <v>0</v>
      </c>
      <c r="AZ2837">
        <v>52</v>
      </c>
      <c r="BA2837">
        <v>0</v>
      </c>
      <c r="BB2837">
        <v>66</v>
      </c>
      <c r="BC2837">
        <v>0</v>
      </c>
      <c r="BD2837">
        <v>0</v>
      </c>
      <c r="BE2837">
        <v>0</v>
      </c>
    </row>
    <row r="2838" spans="1:57" x14ac:dyDescent="0.45">
      <c r="A2838" t="s">
        <v>6741</v>
      </c>
      <c r="B2838" t="s">
        <v>79</v>
      </c>
      <c r="C2838" t="s">
        <v>5077</v>
      </c>
      <c r="D2838" t="s">
        <v>81</v>
      </c>
      <c r="E2838" s="2" t="str">
        <f>HYPERLINK("capsilon://?command=openfolder&amp;siteaddress=FAM.docvelocity-na8.net&amp;folderid=FX2B15BBB9-4F1F-497C-6262-5F276803ACB2","FX210112568")</f>
        <v>FX210112568</v>
      </c>
      <c r="F2838" t="s">
        <v>19</v>
      </c>
      <c r="G2838" t="s">
        <v>19</v>
      </c>
      <c r="H2838" t="s">
        <v>82</v>
      </c>
      <c r="I2838" t="s">
        <v>6742</v>
      </c>
      <c r="J2838">
        <v>66</v>
      </c>
      <c r="K2838" t="s">
        <v>84</v>
      </c>
      <c r="L2838" t="s">
        <v>85</v>
      </c>
      <c r="M2838" t="s">
        <v>86</v>
      </c>
      <c r="N2838">
        <v>3</v>
      </c>
      <c r="O2838" s="1">
        <v>44223.284097222226</v>
      </c>
      <c r="P2838" s="1">
        <v>44223.347187500003</v>
      </c>
      <c r="Q2838">
        <v>4174</v>
      </c>
      <c r="R2838">
        <v>1277</v>
      </c>
      <c r="S2838" t="b">
        <v>0</v>
      </c>
      <c r="T2838" t="s">
        <v>87</v>
      </c>
      <c r="U2838" t="b">
        <v>0</v>
      </c>
      <c r="V2838" t="s">
        <v>98</v>
      </c>
      <c r="W2838" s="1">
        <v>44223.299618055556</v>
      </c>
      <c r="X2838">
        <v>769</v>
      </c>
      <c r="Y2838">
        <v>52</v>
      </c>
      <c r="Z2838">
        <v>0</v>
      </c>
      <c r="AA2838">
        <v>52</v>
      </c>
      <c r="AB2838">
        <v>0</v>
      </c>
      <c r="AC2838">
        <v>32</v>
      </c>
      <c r="AD2838">
        <v>14</v>
      </c>
      <c r="AE2838">
        <v>0</v>
      </c>
      <c r="AF2838">
        <v>0</v>
      </c>
      <c r="AG2838">
        <v>0</v>
      </c>
      <c r="AH2838" t="s">
        <v>108</v>
      </c>
      <c r="AI2838" s="1">
        <v>44223.331701388888</v>
      </c>
      <c r="AJ2838">
        <v>482</v>
      </c>
      <c r="AK2838">
        <v>1</v>
      </c>
      <c r="AL2838">
        <v>0</v>
      </c>
      <c r="AM2838">
        <v>1</v>
      </c>
      <c r="AN2838">
        <v>0</v>
      </c>
      <c r="AO2838">
        <v>0</v>
      </c>
      <c r="AP2838">
        <v>13</v>
      </c>
      <c r="AQ2838">
        <v>0</v>
      </c>
      <c r="AR2838">
        <v>0</v>
      </c>
      <c r="AS2838">
        <v>0</v>
      </c>
      <c r="AT2838" t="s">
        <v>90</v>
      </c>
      <c r="AU2838" s="1">
        <v>44223.347187500003</v>
      </c>
      <c r="AV2838">
        <v>26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13</v>
      </c>
      <c r="BC2838">
        <v>0</v>
      </c>
      <c r="BD2838">
        <v>0</v>
      </c>
      <c r="BE2838">
        <v>0</v>
      </c>
    </row>
    <row r="2839" spans="1:57" x14ac:dyDescent="0.45">
      <c r="A2839" t="s">
        <v>6743</v>
      </c>
      <c r="B2839" t="s">
        <v>79</v>
      </c>
      <c r="C2839" t="s">
        <v>5077</v>
      </c>
      <c r="D2839" t="s">
        <v>81</v>
      </c>
      <c r="E2839" s="2" t="str">
        <f>HYPERLINK("capsilon://?command=openfolder&amp;siteaddress=FAM.docvelocity-na8.net&amp;folderid=FX2B15BBB9-4F1F-497C-6262-5F276803ACB2","FX210112568")</f>
        <v>FX210112568</v>
      </c>
      <c r="F2839" t="s">
        <v>19</v>
      </c>
      <c r="G2839" t="s">
        <v>19</v>
      </c>
      <c r="H2839" t="s">
        <v>82</v>
      </c>
      <c r="I2839" t="s">
        <v>6744</v>
      </c>
      <c r="J2839">
        <v>66</v>
      </c>
      <c r="K2839" t="s">
        <v>84</v>
      </c>
      <c r="L2839" t="s">
        <v>85</v>
      </c>
      <c r="M2839" t="s">
        <v>86</v>
      </c>
      <c r="N2839">
        <v>3</v>
      </c>
      <c r="O2839" s="1">
        <v>44223.284791666665</v>
      </c>
      <c r="P2839" s="1">
        <v>44223.347291666665</v>
      </c>
      <c r="Q2839">
        <v>3839</v>
      </c>
      <c r="R2839">
        <v>1561</v>
      </c>
      <c r="S2839" t="b">
        <v>0</v>
      </c>
      <c r="T2839" t="s">
        <v>87</v>
      </c>
      <c r="U2839" t="b">
        <v>0</v>
      </c>
      <c r="V2839" t="s">
        <v>105</v>
      </c>
      <c r="W2839" s="1">
        <v>44223.312349537038</v>
      </c>
      <c r="X2839">
        <v>1311</v>
      </c>
      <c r="Y2839">
        <v>52</v>
      </c>
      <c r="Z2839">
        <v>0</v>
      </c>
      <c r="AA2839">
        <v>52</v>
      </c>
      <c r="AB2839">
        <v>0</v>
      </c>
      <c r="AC2839">
        <v>36</v>
      </c>
      <c r="AD2839">
        <v>14</v>
      </c>
      <c r="AE2839">
        <v>0</v>
      </c>
      <c r="AF2839">
        <v>0</v>
      </c>
      <c r="AG2839">
        <v>0</v>
      </c>
      <c r="AH2839" t="s">
        <v>94</v>
      </c>
      <c r="AI2839" s="1">
        <v>44223.329108796293</v>
      </c>
      <c r="AJ2839">
        <v>241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14</v>
      </c>
      <c r="AQ2839">
        <v>0</v>
      </c>
      <c r="AR2839">
        <v>0</v>
      </c>
      <c r="AS2839">
        <v>0</v>
      </c>
      <c r="AT2839" t="s">
        <v>90</v>
      </c>
      <c r="AU2839" s="1">
        <v>44223.347291666665</v>
      </c>
      <c r="AV2839">
        <v>9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14</v>
      </c>
      <c r="BC2839">
        <v>0</v>
      </c>
      <c r="BD2839">
        <v>0</v>
      </c>
      <c r="BE2839">
        <v>0</v>
      </c>
    </row>
    <row r="2840" spans="1:57" x14ac:dyDescent="0.45">
      <c r="A2840" t="s">
        <v>6745</v>
      </c>
      <c r="B2840" t="s">
        <v>79</v>
      </c>
      <c r="C2840" t="s">
        <v>4040</v>
      </c>
      <c r="D2840" t="s">
        <v>81</v>
      </c>
      <c r="E2840" s="2" t="str">
        <f>HYPERLINK("capsilon://?command=openfolder&amp;siteaddress=FAM.docvelocity-na8.net&amp;folderid=FX7336D0CE-20EA-5729-7A23-1F2B28068DF2","FX21018439")</f>
        <v>FX21018439</v>
      </c>
      <c r="F2840" t="s">
        <v>19</v>
      </c>
      <c r="G2840" t="s">
        <v>19</v>
      </c>
      <c r="H2840" t="s">
        <v>82</v>
      </c>
      <c r="I2840" t="s">
        <v>6746</v>
      </c>
      <c r="J2840">
        <v>66</v>
      </c>
      <c r="K2840" t="s">
        <v>84</v>
      </c>
      <c r="L2840" t="s">
        <v>85</v>
      </c>
      <c r="M2840" t="s">
        <v>86</v>
      </c>
      <c r="N2840">
        <v>3</v>
      </c>
      <c r="O2840" s="1">
        <v>44223.291724537034</v>
      </c>
      <c r="P2840" s="1">
        <v>44223.347453703704</v>
      </c>
      <c r="Q2840">
        <v>3244</v>
      </c>
      <c r="R2840">
        <v>1571</v>
      </c>
      <c r="S2840" t="b">
        <v>0</v>
      </c>
      <c r="T2840" t="s">
        <v>87</v>
      </c>
      <c r="U2840" t="b">
        <v>0</v>
      </c>
      <c r="V2840" t="s">
        <v>98</v>
      </c>
      <c r="W2840" s="1">
        <v>44223.309641203705</v>
      </c>
      <c r="X2840">
        <v>865</v>
      </c>
      <c r="Y2840">
        <v>52</v>
      </c>
      <c r="Z2840">
        <v>0</v>
      </c>
      <c r="AA2840">
        <v>52</v>
      </c>
      <c r="AB2840">
        <v>0</v>
      </c>
      <c r="AC2840">
        <v>36</v>
      </c>
      <c r="AD2840">
        <v>14</v>
      </c>
      <c r="AE2840">
        <v>0</v>
      </c>
      <c r="AF2840">
        <v>0</v>
      </c>
      <c r="AG2840">
        <v>0</v>
      </c>
      <c r="AH2840" t="s">
        <v>89</v>
      </c>
      <c r="AI2840" s="1">
        <v>44223.334999999999</v>
      </c>
      <c r="AJ2840">
        <v>693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14</v>
      </c>
      <c r="AQ2840">
        <v>0</v>
      </c>
      <c r="AR2840">
        <v>0</v>
      </c>
      <c r="AS2840">
        <v>0</v>
      </c>
      <c r="AT2840" t="s">
        <v>90</v>
      </c>
      <c r="AU2840" s="1">
        <v>44223.347453703704</v>
      </c>
      <c r="AV2840">
        <v>13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14</v>
      </c>
      <c r="BC2840">
        <v>0</v>
      </c>
      <c r="BD2840">
        <v>0</v>
      </c>
      <c r="BE2840">
        <v>0</v>
      </c>
    </row>
    <row r="2841" spans="1:57" x14ac:dyDescent="0.45">
      <c r="A2841" t="s">
        <v>6747</v>
      </c>
      <c r="B2841" t="s">
        <v>79</v>
      </c>
      <c r="C2841" t="s">
        <v>3184</v>
      </c>
      <c r="D2841" t="s">
        <v>81</v>
      </c>
      <c r="E2841" s="2" t="str">
        <f>HYPERLINK("capsilon://?command=openfolder&amp;siteaddress=FAM.docvelocity-na8.net&amp;folderid=FX7E6B9C69-186F-4ECE-ED02-1511F2C4E07A","FX21014298")</f>
        <v>FX21014298</v>
      </c>
      <c r="F2841" t="s">
        <v>19</v>
      </c>
      <c r="G2841" t="s">
        <v>19</v>
      </c>
      <c r="H2841" t="s">
        <v>82</v>
      </c>
      <c r="I2841" t="s">
        <v>6748</v>
      </c>
      <c r="J2841">
        <v>66</v>
      </c>
      <c r="K2841" t="s">
        <v>84</v>
      </c>
      <c r="L2841" t="s">
        <v>85</v>
      </c>
      <c r="M2841" t="s">
        <v>86</v>
      </c>
      <c r="N2841">
        <v>3</v>
      </c>
      <c r="O2841" s="1">
        <v>44223.292500000003</v>
      </c>
      <c r="P2841" s="1">
        <v>44223.347662037035</v>
      </c>
      <c r="Q2841">
        <v>3523</v>
      </c>
      <c r="R2841">
        <v>1243</v>
      </c>
      <c r="S2841" t="b">
        <v>0</v>
      </c>
      <c r="T2841" t="s">
        <v>87</v>
      </c>
      <c r="U2841" t="b">
        <v>0</v>
      </c>
      <c r="V2841" t="s">
        <v>88</v>
      </c>
      <c r="W2841" s="1">
        <v>44223.313425925924</v>
      </c>
      <c r="X2841">
        <v>968</v>
      </c>
      <c r="Y2841">
        <v>52</v>
      </c>
      <c r="Z2841">
        <v>0</v>
      </c>
      <c r="AA2841">
        <v>52</v>
      </c>
      <c r="AB2841">
        <v>0</v>
      </c>
      <c r="AC2841">
        <v>27</v>
      </c>
      <c r="AD2841">
        <v>14</v>
      </c>
      <c r="AE2841">
        <v>0</v>
      </c>
      <c r="AF2841">
        <v>0</v>
      </c>
      <c r="AG2841">
        <v>0</v>
      </c>
      <c r="AH2841" t="s">
        <v>94</v>
      </c>
      <c r="AI2841" s="1">
        <v>44223.332106481481</v>
      </c>
      <c r="AJ2841">
        <v>258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14</v>
      </c>
      <c r="AQ2841">
        <v>0</v>
      </c>
      <c r="AR2841">
        <v>0</v>
      </c>
      <c r="AS2841">
        <v>0</v>
      </c>
      <c r="AT2841" t="s">
        <v>90</v>
      </c>
      <c r="AU2841" s="1">
        <v>44223.347662037035</v>
      </c>
      <c r="AV2841">
        <v>17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14</v>
      </c>
      <c r="BC2841">
        <v>0</v>
      </c>
      <c r="BD2841">
        <v>0</v>
      </c>
      <c r="BE2841">
        <v>0</v>
      </c>
    </row>
    <row r="2842" spans="1:57" x14ac:dyDescent="0.45">
      <c r="A2842" t="s">
        <v>6749</v>
      </c>
      <c r="B2842" t="s">
        <v>79</v>
      </c>
      <c r="C2842" t="s">
        <v>4858</v>
      </c>
      <c r="D2842" t="s">
        <v>81</v>
      </c>
      <c r="E2842" s="2" t="str">
        <f>HYPERLINK("capsilon://?command=openfolder&amp;siteaddress=FAM.docvelocity-na8.net&amp;folderid=FX387BD856-0010-0F79-6D06-B3ABBF360D85","FX210111668")</f>
        <v>FX210111668</v>
      </c>
      <c r="F2842" t="s">
        <v>19</v>
      </c>
      <c r="G2842" t="s">
        <v>19</v>
      </c>
      <c r="H2842" t="s">
        <v>82</v>
      </c>
      <c r="I2842" t="s">
        <v>6750</v>
      </c>
      <c r="J2842">
        <v>66</v>
      </c>
      <c r="K2842" t="s">
        <v>84</v>
      </c>
      <c r="L2842" t="s">
        <v>85</v>
      </c>
      <c r="M2842" t="s">
        <v>86</v>
      </c>
      <c r="N2842">
        <v>3</v>
      </c>
      <c r="O2842" s="1">
        <v>44223.294293981482</v>
      </c>
      <c r="P2842" s="1">
        <v>44223.348171296297</v>
      </c>
      <c r="Q2842">
        <v>3574</v>
      </c>
      <c r="R2842">
        <v>1081</v>
      </c>
      <c r="S2842" t="b">
        <v>0</v>
      </c>
      <c r="T2842" t="s">
        <v>87</v>
      </c>
      <c r="U2842" t="b">
        <v>0</v>
      </c>
      <c r="V2842" t="s">
        <v>112</v>
      </c>
      <c r="W2842" s="1">
        <v>44223.312581018516</v>
      </c>
      <c r="X2842">
        <v>714</v>
      </c>
      <c r="Y2842">
        <v>52</v>
      </c>
      <c r="Z2842">
        <v>0</v>
      </c>
      <c r="AA2842">
        <v>52</v>
      </c>
      <c r="AB2842">
        <v>0</v>
      </c>
      <c r="AC2842">
        <v>38</v>
      </c>
      <c r="AD2842">
        <v>14</v>
      </c>
      <c r="AE2842">
        <v>0</v>
      </c>
      <c r="AF2842">
        <v>0</v>
      </c>
      <c r="AG2842">
        <v>0</v>
      </c>
      <c r="AH2842" t="s">
        <v>108</v>
      </c>
      <c r="AI2842" s="1">
        <v>44223.335451388892</v>
      </c>
      <c r="AJ2842">
        <v>324</v>
      </c>
      <c r="AK2842">
        <v>1</v>
      </c>
      <c r="AL2842">
        <v>0</v>
      </c>
      <c r="AM2842">
        <v>1</v>
      </c>
      <c r="AN2842">
        <v>0</v>
      </c>
      <c r="AO2842">
        <v>0</v>
      </c>
      <c r="AP2842">
        <v>13</v>
      </c>
      <c r="AQ2842">
        <v>0</v>
      </c>
      <c r="AR2842">
        <v>0</v>
      </c>
      <c r="AS2842">
        <v>0</v>
      </c>
      <c r="AT2842" t="s">
        <v>90</v>
      </c>
      <c r="AU2842" s="1">
        <v>44223.348171296297</v>
      </c>
      <c r="AV2842">
        <v>43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13</v>
      </c>
      <c r="BC2842">
        <v>0</v>
      </c>
      <c r="BD2842">
        <v>0</v>
      </c>
      <c r="BE2842">
        <v>0</v>
      </c>
    </row>
    <row r="2843" spans="1:57" x14ac:dyDescent="0.45">
      <c r="A2843" t="s">
        <v>6751</v>
      </c>
      <c r="B2843" t="s">
        <v>79</v>
      </c>
      <c r="C2843" t="s">
        <v>5895</v>
      </c>
      <c r="D2843" t="s">
        <v>81</v>
      </c>
      <c r="E2843" s="2" t="str">
        <f>HYPERLINK("capsilon://?command=openfolder&amp;siteaddress=FAM.docvelocity-na8.net&amp;folderid=FX477A6155-D890-710B-0683-878272FEC43C","FX210111876")</f>
        <v>FX210111876</v>
      </c>
      <c r="F2843" t="s">
        <v>19</v>
      </c>
      <c r="G2843" t="s">
        <v>19</v>
      </c>
      <c r="H2843" t="s">
        <v>82</v>
      </c>
      <c r="I2843" t="s">
        <v>6752</v>
      </c>
      <c r="J2843">
        <v>66</v>
      </c>
      <c r="K2843" t="s">
        <v>84</v>
      </c>
      <c r="L2843" t="s">
        <v>85</v>
      </c>
      <c r="M2843" t="s">
        <v>86</v>
      </c>
      <c r="N2843">
        <v>3</v>
      </c>
      <c r="O2843" s="1">
        <v>44223.296331018515</v>
      </c>
      <c r="P2843" s="1">
        <v>44223.348252314812</v>
      </c>
      <c r="Q2843">
        <v>2775</v>
      </c>
      <c r="R2843">
        <v>1711</v>
      </c>
      <c r="S2843" t="b">
        <v>0</v>
      </c>
      <c r="T2843" t="s">
        <v>87</v>
      </c>
      <c r="U2843" t="b">
        <v>0</v>
      </c>
      <c r="V2843" t="s">
        <v>919</v>
      </c>
      <c r="W2843" s="1">
        <v>44223.321840277778</v>
      </c>
      <c r="X2843">
        <v>1300</v>
      </c>
      <c r="Y2843">
        <v>52</v>
      </c>
      <c r="Z2843">
        <v>0</v>
      </c>
      <c r="AA2843">
        <v>52</v>
      </c>
      <c r="AB2843">
        <v>0</v>
      </c>
      <c r="AC2843">
        <v>33</v>
      </c>
      <c r="AD2843">
        <v>14</v>
      </c>
      <c r="AE2843">
        <v>0</v>
      </c>
      <c r="AF2843">
        <v>0</v>
      </c>
      <c r="AG2843">
        <v>0</v>
      </c>
      <c r="AH2843" t="s">
        <v>94</v>
      </c>
      <c r="AI2843" s="1">
        <v>44223.336805555555</v>
      </c>
      <c r="AJ2843">
        <v>405</v>
      </c>
      <c r="AK2843">
        <v>1</v>
      </c>
      <c r="AL2843">
        <v>0</v>
      </c>
      <c r="AM2843">
        <v>1</v>
      </c>
      <c r="AN2843">
        <v>0</v>
      </c>
      <c r="AO2843">
        <v>1</v>
      </c>
      <c r="AP2843">
        <v>13</v>
      </c>
      <c r="AQ2843">
        <v>0</v>
      </c>
      <c r="AR2843">
        <v>0</v>
      </c>
      <c r="AS2843">
        <v>0</v>
      </c>
      <c r="AT2843" t="s">
        <v>90</v>
      </c>
      <c r="AU2843" s="1">
        <v>44223.348252314812</v>
      </c>
      <c r="AV2843">
        <v>6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13</v>
      </c>
      <c r="BC2843">
        <v>0</v>
      </c>
      <c r="BD2843">
        <v>0</v>
      </c>
      <c r="BE2843">
        <v>0</v>
      </c>
    </row>
    <row r="2844" spans="1:57" x14ac:dyDescent="0.45">
      <c r="A2844" t="s">
        <v>6753</v>
      </c>
      <c r="B2844" t="s">
        <v>79</v>
      </c>
      <c r="C2844" t="s">
        <v>6754</v>
      </c>
      <c r="D2844" t="s">
        <v>81</v>
      </c>
      <c r="E2844" s="2" t="str">
        <f>HYPERLINK("capsilon://?command=openfolder&amp;siteaddress=FAM.docvelocity-na8.net&amp;folderid=FXCFAD067D-5ABC-63CE-3EFD-8B5FE7CDE9C9","FX210115923")</f>
        <v>FX210115923</v>
      </c>
      <c r="F2844" t="s">
        <v>19</v>
      </c>
      <c r="G2844" t="s">
        <v>19</v>
      </c>
      <c r="H2844" t="s">
        <v>82</v>
      </c>
      <c r="I2844" t="s">
        <v>6755</v>
      </c>
      <c r="J2844">
        <v>212</v>
      </c>
      <c r="K2844" t="s">
        <v>84</v>
      </c>
      <c r="L2844" t="s">
        <v>85</v>
      </c>
      <c r="M2844" t="s">
        <v>86</v>
      </c>
      <c r="N2844">
        <v>3</v>
      </c>
      <c r="O2844" s="1">
        <v>44223.329583333332</v>
      </c>
      <c r="P2844" s="1">
        <v>44223.400671296295</v>
      </c>
      <c r="Q2844">
        <v>1568</v>
      </c>
      <c r="R2844">
        <v>4574</v>
      </c>
      <c r="S2844" t="b">
        <v>0</v>
      </c>
      <c r="T2844" t="s">
        <v>87</v>
      </c>
      <c r="U2844" t="b">
        <v>0</v>
      </c>
      <c r="V2844" t="s">
        <v>98</v>
      </c>
      <c r="W2844" s="1">
        <v>44223.354247685187</v>
      </c>
      <c r="X2844">
        <v>2086</v>
      </c>
      <c r="Y2844">
        <v>227</v>
      </c>
      <c r="Z2844">
        <v>0</v>
      </c>
      <c r="AA2844">
        <v>227</v>
      </c>
      <c r="AB2844">
        <v>0</v>
      </c>
      <c r="AC2844">
        <v>143</v>
      </c>
      <c r="AD2844">
        <v>-15</v>
      </c>
      <c r="AE2844">
        <v>0</v>
      </c>
      <c r="AF2844">
        <v>0</v>
      </c>
      <c r="AG2844">
        <v>0</v>
      </c>
      <c r="AH2844" t="s">
        <v>89</v>
      </c>
      <c r="AI2844" s="1">
        <v>44223.394120370373</v>
      </c>
      <c r="AJ2844">
        <v>2410</v>
      </c>
      <c r="AK2844">
        <v>2</v>
      </c>
      <c r="AL2844">
        <v>0</v>
      </c>
      <c r="AM2844">
        <v>2</v>
      </c>
      <c r="AN2844">
        <v>0</v>
      </c>
      <c r="AO2844">
        <v>0</v>
      </c>
      <c r="AP2844">
        <v>-17</v>
      </c>
      <c r="AQ2844">
        <v>0</v>
      </c>
      <c r="AR2844">
        <v>0</v>
      </c>
      <c r="AS2844">
        <v>0</v>
      </c>
      <c r="AT2844" t="s">
        <v>90</v>
      </c>
      <c r="AU2844" s="1">
        <v>44223.400671296295</v>
      </c>
      <c r="AV2844">
        <v>78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-17</v>
      </c>
      <c r="BC2844">
        <v>0</v>
      </c>
      <c r="BD2844">
        <v>0</v>
      </c>
      <c r="BE2844">
        <v>0</v>
      </c>
    </row>
    <row r="2845" spans="1:57" x14ac:dyDescent="0.45">
      <c r="A2845" t="s">
        <v>6756</v>
      </c>
      <c r="B2845" t="s">
        <v>79</v>
      </c>
      <c r="C2845" t="s">
        <v>6757</v>
      </c>
      <c r="D2845" t="s">
        <v>81</v>
      </c>
      <c r="E2845" s="2" t="str">
        <f>HYPERLINK("capsilon://?command=openfolder&amp;siteaddress=FAM.docvelocity-na8.net&amp;folderid=FXCF42FBEF-8251-1624-397F-0D9491C18087","FX210116708")</f>
        <v>FX210116708</v>
      </c>
      <c r="F2845" t="s">
        <v>19</v>
      </c>
      <c r="G2845" t="s">
        <v>19</v>
      </c>
      <c r="H2845" t="s">
        <v>82</v>
      </c>
      <c r="I2845" t="s">
        <v>6758</v>
      </c>
      <c r="J2845">
        <v>508</v>
      </c>
      <c r="K2845" t="s">
        <v>84</v>
      </c>
      <c r="L2845" t="s">
        <v>85</v>
      </c>
      <c r="M2845" t="s">
        <v>86</v>
      </c>
      <c r="N2845">
        <v>3</v>
      </c>
      <c r="O2845" s="1">
        <v>44223.335625</v>
      </c>
      <c r="P2845" s="1">
        <v>44223.515023148146</v>
      </c>
      <c r="Q2845">
        <v>7538</v>
      </c>
      <c r="R2845">
        <v>7962</v>
      </c>
      <c r="S2845" t="b">
        <v>0</v>
      </c>
      <c r="T2845" t="s">
        <v>87</v>
      </c>
      <c r="U2845" t="b">
        <v>0</v>
      </c>
      <c r="V2845" t="s">
        <v>88</v>
      </c>
      <c r="W2845" s="1">
        <v>44223.386041666665</v>
      </c>
      <c r="X2845">
        <v>4148</v>
      </c>
      <c r="Y2845">
        <v>347</v>
      </c>
      <c r="Z2845">
        <v>0</v>
      </c>
      <c r="AA2845">
        <v>347</v>
      </c>
      <c r="AB2845">
        <v>0</v>
      </c>
      <c r="AC2845">
        <v>159</v>
      </c>
      <c r="AD2845">
        <v>161</v>
      </c>
      <c r="AE2845">
        <v>0</v>
      </c>
      <c r="AF2845">
        <v>0</v>
      </c>
      <c r="AG2845">
        <v>0</v>
      </c>
      <c r="AH2845" t="s">
        <v>89</v>
      </c>
      <c r="AI2845" s="1">
        <v>44223.437418981484</v>
      </c>
      <c r="AJ2845">
        <v>3741</v>
      </c>
      <c r="AK2845">
        <v>2</v>
      </c>
      <c r="AL2845">
        <v>0</v>
      </c>
      <c r="AM2845">
        <v>2</v>
      </c>
      <c r="AN2845">
        <v>0</v>
      </c>
      <c r="AO2845">
        <v>1</v>
      </c>
      <c r="AP2845">
        <v>159</v>
      </c>
      <c r="AQ2845">
        <v>0</v>
      </c>
      <c r="AR2845">
        <v>0</v>
      </c>
      <c r="AS2845">
        <v>0</v>
      </c>
      <c r="AT2845" t="s">
        <v>90</v>
      </c>
      <c r="AU2845" s="1">
        <v>44223.515023148146</v>
      </c>
      <c r="AV2845">
        <v>37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159</v>
      </c>
      <c r="BC2845">
        <v>0</v>
      </c>
      <c r="BD2845">
        <v>0</v>
      </c>
      <c r="BE2845">
        <v>0</v>
      </c>
    </row>
    <row r="2846" spans="1:57" hidden="1" x14ac:dyDescent="0.45">
      <c r="A2846" t="s">
        <v>6759</v>
      </c>
      <c r="B2846" t="s">
        <v>79</v>
      </c>
      <c r="C2846" t="s">
        <v>4938</v>
      </c>
      <c r="D2846" t="s">
        <v>81</v>
      </c>
      <c r="E2846" s="2" t="str">
        <f>HYPERLINK("capsilon://?command=openfolder&amp;siteaddress=FAM.docvelocity-na8.net&amp;folderid=FX30DCFA27-5B4C-23A4-8127-2DA98FF4F398","FX210112344")</f>
        <v>FX210112344</v>
      </c>
      <c r="F2846" t="s">
        <v>19</v>
      </c>
      <c r="G2846" t="s">
        <v>19</v>
      </c>
      <c r="H2846" t="s">
        <v>82</v>
      </c>
      <c r="I2846" t="s">
        <v>6760</v>
      </c>
      <c r="J2846">
        <v>66</v>
      </c>
      <c r="K2846" t="s">
        <v>84</v>
      </c>
      <c r="L2846" t="s">
        <v>85</v>
      </c>
      <c r="M2846" t="s">
        <v>86</v>
      </c>
      <c r="N2846">
        <v>1</v>
      </c>
      <c r="O2846" s="1">
        <v>44223.337604166663</v>
      </c>
      <c r="P2846" s="1">
        <v>44223.36141203704</v>
      </c>
      <c r="Q2846">
        <v>282</v>
      </c>
      <c r="R2846">
        <v>1775</v>
      </c>
      <c r="S2846" t="b">
        <v>0</v>
      </c>
      <c r="T2846" t="s">
        <v>87</v>
      </c>
      <c r="U2846" t="b">
        <v>0</v>
      </c>
      <c r="V2846" t="s">
        <v>105</v>
      </c>
      <c r="W2846" s="1">
        <v>44223.36141203704</v>
      </c>
      <c r="X2846">
        <v>1610</v>
      </c>
      <c r="Y2846">
        <v>7</v>
      </c>
      <c r="Z2846">
        <v>0</v>
      </c>
      <c r="AA2846">
        <v>7</v>
      </c>
      <c r="AB2846">
        <v>0</v>
      </c>
      <c r="AC2846">
        <v>20</v>
      </c>
      <c r="AD2846">
        <v>59</v>
      </c>
      <c r="AE2846">
        <v>52</v>
      </c>
      <c r="AF2846">
        <v>0</v>
      </c>
      <c r="AG2846">
        <v>2</v>
      </c>
      <c r="AH2846" t="s">
        <v>87</v>
      </c>
      <c r="AI2846" t="s">
        <v>87</v>
      </c>
      <c r="AJ2846" t="s">
        <v>87</v>
      </c>
      <c r="AK2846" t="s">
        <v>87</v>
      </c>
      <c r="AL2846" t="s">
        <v>87</v>
      </c>
      <c r="AM2846" t="s">
        <v>87</v>
      </c>
      <c r="AN2846" t="s">
        <v>87</v>
      </c>
      <c r="AO2846" t="s">
        <v>87</v>
      </c>
      <c r="AP2846" t="s">
        <v>87</v>
      </c>
      <c r="AQ2846" t="s">
        <v>87</v>
      </c>
      <c r="AR2846" t="s">
        <v>87</v>
      </c>
      <c r="AS2846" t="s">
        <v>87</v>
      </c>
      <c r="AT2846" t="s">
        <v>87</v>
      </c>
      <c r="AU2846" t="s">
        <v>87</v>
      </c>
      <c r="AV2846" t="s">
        <v>87</v>
      </c>
      <c r="AW2846" t="s">
        <v>87</v>
      </c>
      <c r="AX2846" t="s">
        <v>87</v>
      </c>
      <c r="AY2846" t="s">
        <v>87</v>
      </c>
      <c r="AZ2846" t="s">
        <v>87</v>
      </c>
      <c r="BA2846" t="s">
        <v>87</v>
      </c>
      <c r="BB2846" t="s">
        <v>87</v>
      </c>
      <c r="BC2846" t="s">
        <v>87</v>
      </c>
      <c r="BD2846" t="s">
        <v>87</v>
      </c>
      <c r="BE2846" t="s">
        <v>87</v>
      </c>
    </row>
    <row r="2847" spans="1:57" x14ac:dyDescent="0.45">
      <c r="A2847" t="s">
        <v>6761</v>
      </c>
      <c r="B2847" t="s">
        <v>79</v>
      </c>
      <c r="C2847" t="s">
        <v>3456</v>
      </c>
      <c r="D2847" t="s">
        <v>81</v>
      </c>
      <c r="E2847" s="2" t="str">
        <f>HYPERLINK("capsilon://?command=openfolder&amp;siteaddress=FAM.docvelocity-na8.net&amp;folderid=FX8CDA4853-0274-1B85-B5C4-9F1D02886095","FX20122767")</f>
        <v>FX20122767</v>
      </c>
      <c r="F2847" t="s">
        <v>19</v>
      </c>
      <c r="G2847" t="s">
        <v>19</v>
      </c>
      <c r="H2847" t="s">
        <v>82</v>
      </c>
      <c r="I2847" t="s">
        <v>6762</v>
      </c>
      <c r="J2847">
        <v>57</v>
      </c>
      <c r="K2847" t="s">
        <v>84</v>
      </c>
      <c r="L2847" t="s">
        <v>85</v>
      </c>
      <c r="M2847" t="s">
        <v>86</v>
      </c>
      <c r="N2847">
        <v>3</v>
      </c>
      <c r="O2847" s="1">
        <v>44223.347199074073</v>
      </c>
      <c r="P2847" s="1">
        <v>44223.400879629633</v>
      </c>
      <c r="Q2847">
        <v>2425</v>
      </c>
      <c r="R2847">
        <v>2213</v>
      </c>
      <c r="S2847" t="b">
        <v>0</v>
      </c>
      <c r="T2847" t="s">
        <v>87</v>
      </c>
      <c r="U2847" t="b">
        <v>0</v>
      </c>
      <c r="V2847" t="s">
        <v>112</v>
      </c>
      <c r="W2847" s="1">
        <v>44223.363287037035</v>
      </c>
      <c r="X2847">
        <v>1130</v>
      </c>
      <c r="Y2847">
        <v>54</v>
      </c>
      <c r="Z2847">
        <v>0</v>
      </c>
      <c r="AA2847">
        <v>54</v>
      </c>
      <c r="AB2847">
        <v>0</v>
      </c>
      <c r="AC2847">
        <v>36</v>
      </c>
      <c r="AD2847">
        <v>3</v>
      </c>
      <c r="AE2847">
        <v>0</v>
      </c>
      <c r="AF2847">
        <v>0</v>
      </c>
      <c r="AG2847">
        <v>0</v>
      </c>
      <c r="AH2847" t="s">
        <v>108</v>
      </c>
      <c r="AI2847" s="1">
        <v>44223.381944444445</v>
      </c>
      <c r="AJ2847">
        <v>1066</v>
      </c>
      <c r="AK2847">
        <v>1</v>
      </c>
      <c r="AL2847">
        <v>0</v>
      </c>
      <c r="AM2847">
        <v>1</v>
      </c>
      <c r="AN2847">
        <v>0</v>
      </c>
      <c r="AO2847">
        <v>0</v>
      </c>
      <c r="AP2847">
        <v>2</v>
      </c>
      <c r="AQ2847">
        <v>0</v>
      </c>
      <c r="AR2847">
        <v>0</v>
      </c>
      <c r="AS2847">
        <v>0</v>
      </c>
      <c r="AT2847" t="s">
        <v>90</v>
      </c>
      <c r="AU2847" s="1">
        <v>44223.400879629633</v>
      </c>
      <c r="AV2847">
        <v>17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2</v>
      </c>
      <c r="BC2847">
        <v>0</v>
      </c>
      <c r="BD2847">
        <v>0</v>
      </c>
      <c r="BE2847">
        <v>0</v>
      </c>
    </row>
    <row r="2848" spans="1:57" x14ac:dyDescent="0.45">
      <c r="A2848" t="s">
        <v>6763</v>
      </c>
      <c r="B2848" t="s">
        <v>79</v>
      </c>
      <c r="C2848" t="s">
        <v>3686</v>
      </c>
      <c r="D2848" t="s">
        <v>81</v>
      </c>
      <c r="E2848" s="2" t="str">
        <f>HYPERLINK("capsilon://?command=openfolder&amp;siteaddress=FAM.docvelocity-na8.net&amp;folderid=FX77279E3E-AE0C-2184-4ECC-68B16AEF1219","FX21015001")</f>
        <v>FX21015001</v>
      </c>
      <c r="F2848" t="s">
        <v>19</v>
      </c>
      <c r="G2848" t="s">
        <v>19</v>
      </c>
      <c r="H2848" t="s">
        <v>82</v>
      </c>
      <c r="I2848" t="s">
        <v>6764</v>
      </c>
      <c r="J2848">
        <v>26</v>
      </c>
      <c r="K2848" t="s">
        <v>84</v>
      </c>
      <c r="L2848" t="s">
        <v>85</v>
      </c>
      <c r="M2848" t="s">
        <v>86</v>
      </c>
      <c r="N2848">
        <v>3</v>
      </c>
      <c r="O2848" s="1">
        <v>44223.347569444442</v>
      </c>
      <c r="P2848" s="1">
        <v>44223.400925925926</v>
      </c>
      <c r="Q2848">
        <v>3487</v>
      </c>
      <c r="R2848">
        <v>1123</v>
      </c>
      <c r="S2848" t="b">
        <v>0</v>
      </c>
      <c r="T2848" t="s">
        <v>87</v>
      </c>
      <c r="U2848" t="b">
        <v>0</v>
      </c>
      <c r="V2848" t="s">
        <v>98</v>
      </c>
      <c r="W2848" s="1">
        <v>44223.363599537035</v>
      </c>
      <c r="X2848">
        <v>807</v>
      </c>
      <c r="Y2848">
        <v>21</v>
      </c>
      <c r="Z2848">
        <v>0</v>
      </c>
      <c r="AA2848">
        <v>21</v>
      </c>
      <c r="AB2848">
        <v>0</v>
      </c>
      <c r="AC2848">
        <v>20</v>
      </c>
      <c r="AD2848">
        <v>5</v>
      </c>
      <c r="AE2848">
        <v>0</v>
      </c>
      <c r="AF2848">
        <v>0</v>
      </c>
      <c r="AG2848">
        <v>0</v>
      </c>
      <c r="AH2848" t="s">
        <v>94</v>
      </c>
      <c r="AI2848" s="1">
        <v>44223.381504629629</v>
      </c>
      <c r="AJ2848">
        <v>312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5</v>
      </c>
      <c r="AQ2848">
        <v>0</v>
      </c>
      <c r="AR2848">
        <v>0</v>
      </c>
      <c r="AS2848">
        <v>0</v>
      </c>
      <c r="AT2848" t="s">
        <v>90</v>
      </c>
      <c r="AU2848" s="1">
        <v>44223.400925925926</v>
      </c>
      <c r="AV2848">
        <v>4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5</v>
      </c>
      <c r="BC2848">
        <v>0</v>
      </c>
      <c r="BD2848">
        <v>0</v>
      </c>
      <c r="BE2848">
        <v>0</v>
      </c>
    </row>
    <row r="2849" spans="1:57" hidden="1" x14ac:dyDescent="0.45">
      <c r="A2849" t="s">
        <v>6765</v>
      </c>
      <c r="B2849" t="s">
        <v>79</v>
      </c>
      <c r="C2849" t="s">
        <v>2179</v>
      </c>
      <c r="D2849" t="s">
        <v>81</v>
      </c>
      <c r="E2849" s="2" t="str">
        <f>HYPERLINK("capsilon://?command=openfolder&amp;siteaddress=FAM.docvelocity-na8.net&amp;folderid=FXCA633015-5D3E-8DCC-C6A3-96175280A1C0","FX21014359")</f>
        <v>FX21014359</v>
      </c>
      <c r="F2849" t="s">
        <v>19</v>
      </c>
      <c r="G2849" t="s">
        <v>19</v>
      </c>
      <c r="H2849" t="s">
        <v>82</v>
      </c>
      <c r="I2849" t="s">
        <v>6766</v>
      </c>
      <c r="J2849">
        <v>66</v>
      </c>
      <c r="K2849" t="s">
        <v>84</v>
      </c>
      <c r="L2849" t="s">
        <v>85</v>
      </c>
      <c r="M2849" t="s">
        <v>86</v>
      </c>
      <c r="N2849">
        <v>3</v>
      </c>
      <c r="O2849" s="1">
        <v>44223.359560185185</v>
      </c>
      <c r="P2849" s="1">
        <v>44223.400960648149</v>
      </c>
      <c r="Q2849">
        <v>3318</v>
      </c>
      <c r="R2849">
        <v>259</v>
      </c>
      <c r="S2849" t="b">
        <v>0</v>
      </c>
      <c r="T2849" t="s">
        <v>87</v>
      </c>
      <c r="U2849" t="b">
        <v>0</v>
      </c>
      <c r="V2849" t="s">
        <v>105</v>
      </c>
      <c r="W2849" s="1">
        <v>44223.361516203702</v>
      </c>
      <c r="X2849">
        <v>9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66</v>
      </c>
      <c r="AE2849">
        <v>0</v>
      </c>
      <c r="AF2849">
        <v>0</v>
      </c>
      <c r="AG2849">
        <v>0</v>
      </c>
      <c r="AH2849" t="s">
        <v>108</v>
      </c>
      <c r="AI2849" s="1">
        <v>44223.384826388887</v>
      </c>
      <c r="AJ2849">
        <v>248</v>
      </c>
      <c r="AK2849">
        <v>0</v>
      </c>
      <c r="AL2849">
        <v>0</v>
      </c>
      <c r="AM2849">
        <v>0</v>
      </c>
      <c r="AN2849">
        <v>52</v>
      </c>
      <c r="AO2849">
        <v>0</v>
      </c>
      <c r="AP2849">
        <v>66</v>
      </c>
      <c r="AQ2849">
        <v>0</v>
      </c>
      <c r="AR2849">
        <v>0</v>
      </c>
      <c r="AS2849">
        <v>0</v>
      </c>
      <c r="AT2849" t="s">
        <v>90</v>
      </c>
      <c r="AU2849" s="1">
        <v>44223.400960648149</v>
      </c>
      <c r="AV2849">
        <v>2</v>
      </c>
      <c r="AW2849">
        <v>0</v>
      </c>
      <c r="AX2849">
        <v>0</v>
      </c>
      <c r="AY2849">
        <v>0</v>
      </c>
      <c r="AZ2849">
        <v>52</v>
      </c>
      <c r="BA2849">
        <v>0</v>
      </c>
      <c r="BB2849">
        <v>66</v>
      </c>
      <c r="BC2849">
        <v>0</v>
      </c>
      <c r="BD2849">
        <v>0</v>
      </c>
      <c r="BE2849">
        <v>0</v>
      </c>
    </row>
    <row r="2850" spans="1:57" x14ac:dyDescent="0.45">
      <c r="A2850" t="s">
        <v>6767</v>
      </c>
      <c r="B2850" t="s">
        <v>79</v>
      </c>
      <c r="C2850" t="s">
        <v>4938</v>
      </c>
      <c r="D2850" t="s">
        <v>81</v>
      </c>
      <c r="E2850" s="2" t="str">
        <f>HYPERLINK("capsilon://?command=openfolder&amp;siteaddress=FAM.docvelocity-na8.net&amp;folderid=FX30DCFA27-5B4C-23A4-8127-2DA98FF4F398","FX210112344")</f>
        <v>FX210112344</v>
      </c>
      <c r="F2850" t="s">
        <v>19</v>
      </c>
      <c r="G2850" t="s">
        <v>19</v>
      </c>
      <c r="H2850" t="s">
        <v>82</v>
      </c>
      <c r="I2850" t="s">
        <v>6760</v>
      </c>
      <c r="J2850">
        <v>104</v>
      </c>
      <c r="K2850" t="s">
        <v>84</v>
      </c>
      <c r="L2850" t="s">
        <v>85</v>
      </c>
      <c r="M2850" t="s">
        <v>86</v>
      </c>
      <c r="N2850">
        <v>3</v>
      </c>
      <c r="O2850" s="1">
        <v>44223.361712962964</v>
      </c>
      <c r="P2850" s="1">
        <v>44223.399756944447</v>
      </c>
      <c r="Q2850">
        <v>465</v>
      </c>
      <c r="R2850">
        <v>2822</v>
      </c>
      <c r="S2850" t="b">
        <v>0</v>
      </c>
      <c r="T2850" t="s">
        <v>87</v>
      </c>
      <c r="U2850" t="b">
        <v>1</v>
      </c>
      <c r="V2850" t="s">
        <v>105</v>
      </c>
      <c r="W2850" s="1">
        <v>44223.380219907405</v>
      </c>
      <c r="X2850">
        <v>1598</v>
      </c>
      <c r="Y2850">
        <v>89</v>
      </c>
      <c r="Z2850">
        <v>0</v>
      </c>
      <c r="AA2850">
        <v>89</v>
      </c>
      <c r="AB2850">
        <v>0</v>
      </c>
      <c r="AC2850">
        <v>60</v>
      </c>
      <c r="AD2850">
        <v>15</v>
      </c>
      <c r="AE2850">
        <v>0</v>
      </c>
      <c r="AF2850">
        <v>0</v>
      </c>
      <c r="AG2850">
        <v>0</v>
      </c>
      <c r="AH2850" t="s">
        <v>108</v>
      </c>
      <c r="AI2850" s="1">
        <v>44223.393599537034</v>
      </c>
      <c r="AJ2850">
        <v>679</v>
      </c>
      <c r="AK2850">
        <v>2</v>
      </c>
      <c r="AL2850">
        <v>0</v>
      </c>
      <c r="AM2850">
        <v>2</v>
      </c>
      <c r="AN2850">
        <v>0</v>
      </c>
      <c r="AO2850">
        <v>1</v>
      </c>
      <c r="AP2850">
        <v>13</v>
      </c>
      <c r="AQ2850">
        <v>0</v>
      </c>
      <c r="AR2850">
        <v>0</v>
      </c>
      <c r="AS2850">
        <v>0</v>
      </c>
      <c r="AT2850" t="s">
        <v>90</v>
      </c>
      <c r="AU2850" s="1">
        <v>44223.399756944447</v>
      </c>
      <c r="AV2850">
        <v>233</v>
      </c>
      <c r="AW2850">
        <v>1</v>
      </c>
      <c r="AX2850">
        <v>0</v>
      </c>
      <c r="AY2850">
        <v>1</v>
      </c>
      <c r="AZ2850">
        <v>52</v>
      </c>
      <c r="BA2850">
        <v>1</v>
      </c>
      <c r="BB2850">
        <v>12</v>
      </c>
      <c r="BC2850">
        <v>0</v>
      </c>
      <c r="BD2850">
        <v>0</v>
      </c>
      <c r="BE2850">
        <v>0</v>
      </c>
    </row>
    <row r="2851" spans="1:57" hidden="1" x14ac:dyDescent="0.45">
      <c r="A2851" t="s">
        <v>6768</v>
      </c>
      <c r="B2851" t="s">
        <v>79</v>
      </c>
      <c r="C2851" t="s">
        <v>2771</v>
      </c>
      <c r="D2851" t="s">
        <v>81</v>
      </c>
      <c r="E2851" s="2" t="str">
        <f>HYPERLINK("capsilon://?command=openfolder&amp;siteaddress=FAM.docvelocity-na8.net&amp;folderid=FXBD8786AC-1BDA-8D3A-8973-110DC5125145","FX20123784")</f>
        <v>FX20123784</v>
      </c>
      <c r="F2851" t="s">
        <v>19</v>
      </c>
      <c r="G2851" t="s">
        <v>19</v>
      </c>
      <c r="H2851" t="s">
        <v>82</v>
      </c>
      <c r="I2851" t="s">
        <v>6769</v>
      </c>
      <c r="J2851">
        <v>66</v>
      </c>
      <c r="K2851" t="s">
        <v>84</v>
      </c>
      <c r="L2851" t="s">
        <v>85</v>
      </c>
      <c r="M2851" t="s">
        <v>86</v>
      </c>
      <c r="N2851">
        <v>3</v>
      </c>
      <c r="O2851" s="1">
        <v>44223.36209490741</v>
      </c>
      <c r="P2851" s="1">
        <v>44223.401006944441</v>
      </c>
      <c r="Q2851">
        <v>2947</v>
      </c>
      <c r="R2851">
        <v>415</v>
      </c>
      <c r="S2851" t="b">
        <v>0</v>
      </c>
      <c r="T2851" t="s">
        <v>87</v>
      </c>
      <c r="U2851" t="b">
        <v>0</v>
      </c>
      <c r="V2851" t="s">
        <v>98</v>
      </c>
      <c r="W2851" s="1">
        <v>44223.373298611114</v>
      </c>
      <c r="X2851">
        <v>89</v>
      </c>
      <c r="Y2851">
        <v>0</v>
      </c>
      <c r="Z2851">
        <v>0</v>
      </c>
      <c r="AA2851">
        <v>0</v>
      </c>
      <c r="AB2851">
        <v>52</v>
      </c>
      <c r="AC2851">
        <v>0</v>
      </c>
      <c r="AD2851">
        <v>66</v>
      </c>
      <c r="AE2851">
        <v>0</v>
      </c>
      <c r="AF2851">
        <v>0</v>
      </c>
      <c r="AG2851">
        <v>0</v>
      </c>
      <c r="AH2851" t="s">
        <v>108</v>
      </c>
      <c r="AI2851" s="1">
        <v>44223.385729166665</v>
      </c>
      <c r="AJ2851">
        <v>77</v>
      </c>
      <c r="AK2851">
        <v>0</v>
      </c>
      <c r="AL2851">
        <v>0</v>
      </c>
      <c r="AM2851">
        <v>0</v>
      </c>
      <c r="AN2851">
        <v>52</v>
      </c>
      <c r="AO2851">
        <v>0</v>
      </c>
      <c r="AP2851">
        <v>66</v>
      </c>
      <c r="AQ2851">
        <v>0</v>
      </c>
      <c r="AR2851">
        <v>0</v>
      </c>
      <c r="AS2851">
        <v>0</v>
      </c>
      <c r="AT2851" t="s">
        <v>90</v>
      </c>
      <c r="AU2851" s="1">
        <v>44223.401006944441</v>
      </c>
      <c r="AV2851">
        <v>3</v>
      </c>
      <c r="AW2851">
        <v>0</v>
      </c>
      <c r="AX2851">
        <v>0</v>
      </c>
      <c r="AY2851">
        <v>0</v>
      </c>
      <c r="AZ2851">
        <v>52</v>
      </c>
      <c r="BA2851">
        <v>0</v>
      </c>
      <c r="BB2851">
        <v>66</v>
      </c>
      <c r="BC2851">
        <v>0</v>
      </c>
      <c r="BD2851">
        <v>0</v>
      </c>
      <c r="BE2851">
        <v>0</v>
      </c>
    </row>
    <row r="2852" spans="1:57" hidden="1" x14ac:dyDescent="0.45">
      <c r="A2852" t="s">
        <v>6770</v>
      </c>
      <c r="B2852" t="s">
        <v>79</v>
      </c>
      <c r="C2852" t="s">
        <v>6771</v>
      </c>
      <c r="D2852" t="s">
        <v>81</v>
      </c>
      <c r="E2852" s="2" t="str">
        <f>HYPERLINK("capsilon://?command=openfolder&amp;siteaddress=FAM.docvelocity-na8.net&amp;folderid=FXD1241076-5FD8-AEBE-CEA2-29BBA1C174A6","FX201115220")</f>
        <v>FX201115220</v>
      </c>
      <c r="F2852" t="s">
        <v>19</v>
      </c>
      <c r="G2852" t="s">
        <v>19</v>
      </c>
      <c r="H2852" t="s">
        <v>82</v>
      </c>
      <c r="I2852" t="s">
        <v>6772</v>
      </c>
      <c r="J2852">
        <v>441</v>
      </c>
      <c r="K2852" t="s">
        <v>84</v>
      </c>
      <c r="L2852" t="s">
        <v>85</v>
      </c>
      <c r="M2852" t="s">
        <v>86</v>
      </c>
      <c r="N2852">
        <v>3</v>
      </c>
      <c r="O2852" s="1">
        <v>44223.362962962965</v>
      </c>
      <c r="P2852" s="1">
        <v>44223.401053240741</v>
      </c>
      <c r="Q2852">
        <v>3196</v>
      </c>
      <c r="R2852">
        <v>95</v>
      </c>
      <c r="S2852" t="b">
        <v>0</v>
      </c>
      <c r="T2852" t="s">
        <v>87</v>
      </c>
      <c r="U2852" t="b">
        <v>0</v>
      </c>
      <c r="V2852" t="s">
        <v>112</v>
      </c>
      <c r="W2852" s="1">
        <v>44223.364131944443</v>
      </c>
      <c r="X2852">
        <v>73</v>
      </c>
      <c r="Y2852">
        <v>0</v>
      </c>
      <c r="Z2852">
        <v>0</v>
      </c>
      <c r="AA2852">
        <v>0</v>
      </c>
      <c r="AB2852">
        <v>98</v>
      </c>
      <c r="AC2852">
        <v>0</v>
      </c>
      <c r="AD2852">
        <v>441</v>
      </c>
      <c r="AE2852">
        <v>0</v>
      </c>
      <c r="AF2852">
        <v>0</v>
      </c>
      <c r="AG2852">
        <v>0</v>
      </c>
      <c r="AH2852" t="s">
        <v>94</v>
      </c>
      <c r="AI2852" s="1">
        <v>44223.386157407411</v>
      </c>
      <c r="AJ2852">
        <v>19</v>
      </c>
      <c r="AK2852">
        <v>0</v>
      </c>
      <c r="AL2852">
        <v>0</v>
      </c>
      <c r="AM2852">
        <v>0</v>
      </c>
      <c r="AN2852">
        <v>98</v>
      </c>
      <c r="AO2852">
        <v>0</v>
      </c>
      <c r="AP2852">
        <v>441</v>
      </c>
      <c r="AQ2852">
        <v>0</v>
      </c>
      <c r="AR2852">
        <v>0</v>
      </c>
      <c r="AS2852">
        <v>0</v>
      </c>
      <c r="AT2852" t="s">
        <v>90</v>
      </c>
      <c r="AU2852" s="1">
        <v>44223.401053240741</v>
      </c>
      <c r="AV2852">
        <v>3</v>
      </c>
      <c r="AW2852">
        <v>0</v>
      </c>
      <c r="AX2852">
        <v>0</v>
      </c>
      <c r="AY2852">
        <v>0</v>
      </c>
      <c r="AZ2852">
        <v>98</v>
      </c>
      <c r="BA2852">
        <v>0</v>
      </c>
      <c r="BB2852">
        <v>441</v>
      </c>
      <c r="BC2852">
        <v>0</v>
      </c>
      <c r="BD2852">
        <v>0</v>
      </c>
      <c r="BE2852">
        <v>0</v>
      </c>
    </row>
    <row r="2853" spans="1:57" hidden="1" x14ac:dyDescent="0.45">
      <c r="A2853" t="s">
        <v>6773</v>
      </c>
      <c r="B2853" t="s">
        <v>79</v>
      </c>
      <c r="C2853" t="s">
        <v>5236</v>
      </c>
      <c r="D2853" t="s">
        <v>81</v>
      </c>
      <c r="E2853" s="2" t="str">
        <f>HYPERLINK("capsilon://?command=openfolder&amp;siteaddress=FAM.docvelocity-na8.net&amp;folderid=FXC6DECC49-3295-AB3A-A2CA-8D19BC19193B","FX20126735")</f>
        <v>FX20126735</v>
      </c>
      <c r="F2853" t="s">
        <v>19</v>
      </c>
      <c r="G2853" t="s">
        <v>19</v>
      </c>
      <c r="H2853" t="s">
        <v>82</v>
      </c>
      <c r="I2853" t="s">
        <v>6774</v>
      </c>
      <c r="J2853">
        <v>66</v>
      </c>
      <c r="K2853" t="s">
        <v>84</v>
      </c>
      <c r="L2853" t="s">
        <v>85</v>
      </c>
      <c r="M2853" t="s">
        <v>86</v>
      </c>
      <c r="N2853">
        <v>3</v>
      </c>
      <c r="O2853" s="1">
        <v>44223.362986111111</v>
      </c>
      <c r="P2853" s="1">
        <v>44223.401087962964</v>
      </c>
      <c r="Q2853">
        <v>3142</v>
      </c>
      <c r="R2853">
        <v>150</v>
      </c>
      <c r="S2853" t="b">
        <v>0</v>
      </c>
      <c r="T2853" t="s">
        <v>87</v>
      </c>
      <c r="U2853" t="b">
        <v>0</v>
      </c>
      <c r="V2853" t="s">
        <v>98</v>
      </c>
      <c r="W2853" s="1">
        <v>44223.364664351851</v>
      </c>
      <c r="X2853">
        <v>92</v>
      </c>
      <c r="Y2853">
        <v>0</v>
      </c>
      <c r="Z2853">
        <v>0</v>
      </c>
      <c r="AA2853">
        <v>0</v>
      </c>
      <c r="AB2853">
        <v>52</v>
      </c>
      <c r="AC2853">
        <v>0</v>
      </c>
      <c r="AD2853">
        <v>66</v>
      </c>
      <c r="AE2853">
        <v>0</v>
      </c>
      <c r="AF2853">
        <v>0</v>
      </c>
      <c r="AG2853">
        <v>0</v>
      </c>
      <c r="AH2853" t="s">
        <v>94</v>
      </c>
      <c r="AI2853" s="1">
        <v>44223.397916666669</v>
      </c>
      <c r="AJ2853">
        <v>55</v>
      </c>
      <c r="AK2853">
        <v>0</v>
      </c>
      <c r="AL2853">
        <v>0</v>
      </c>
      <c r="AM2853">
        <v>0</v>
      </c>
      <c r="AN2853">
        <v>52</v>
      </c>
      <c r="AO2853">
        <v>0</v>
      </c>
      <c r="AP2853">
        <v>66</v>
      </c>
      <c r="AQ2853">
        <v>0</v>
      </c>
      <c r="AR2853">
        <v>0</v>
      </c>
      <c r="AS2853">
        <v>0</v>
      </c>
      <c r="AT2853" t="s">
        <v>90</v>
      </c>
      <c r="AU2853" s="1">
        <v>44223.401087962964</v>
      </c>
      <c r="AV2853">
        <v>3</v>
      </c>
      <c r="AW2853">
        <v>0</v>
      </c>
      <c r="AX2853">
        <v>0</v>
      </c>
      <c r="AY2853">
        <v>0</v>
      </c>
      <c r="AZ2853">
        <v>52</v>
      </c>
      <c r="BA2853">
        <v>0</v>
      </c>
      <c r="BB2853">
        <v>66</v>
      </c>
      <c r="BC2853">
        <v>0</v>
      </c>
      <c r="BD2853">
        <v>0</v>
      </c>
      <c r="BE2853">
        <v>0</v>
      </c>
    </row>
    <row r="2854" spans="1:57" x14ac:dyDescent="0.45">
      <c r="A2854" t="s">
        <v>6775</v>
      </c>
      <c r="B2854" t="s">
        <v>79</v>
      </c>
      <c r="C2854" t="s">
        <v>3962</v>
      </c>
      <c r="D2854" t="s">
        <v>81</v>
      </c>
      <c r="E2854" s="2" t="str">
        <f>HYPERLINK("capsilon://?command=openfolder&amp;siteaddress=FAM.docvelocity-na8.net&amp;folderid=FXCA40F804-62E7-B55B-F1C0-B8879B453202","FX20127602")</f>
        <v>FX20127602</v>
      </c>
      <c r="F2854" t="s">
        <v>19</v>
      </c>
      <c r="G2854" t="s">
        <v>19</v>
      </c>
      <c r="H2854" t="s">
        <v>82</v>
      </c>
      <c r="I2854" t="s">
        <v>6776</v>
      </c>
      <c r="J2854">
        <v>62</v>
      </c>
      <c r="K2854" t="s">
        <v>84</v>
      </c>
      <c r="L2854" t="s">
        <v>85</v>
      </c>
      <c r="M2854" t="s">
        <v>86</v>
      </c>
      <c r="N2854">
        <v>3</v>
      </c>
      <c r="O2854" s="1">
        <v>44223.363761574074</v>
      </c>
      <c r="P2854" s="1">
        <v>44223.434178240743</v>
      </c>
      <c r="Q2854">
        <v>2747</v>
      </c>
      <c r="R2854">
        <v>3337</v>
      </c>
      <c r="S2854" t="b">
        <v>0</v>
      </c>
      <c r="T2854" t="s">
        <v>87</v>
      </c>
      <c r="U2854" t="b">
        <v>0</v>
      </c>
      <c r="V2854" t="s">
        <v>112</v>
      </c>
      <c r="W2854" s="1">
        <v>44223.374097222222</v>
      </c>
      <c r="X2854">
        <v>860</v>
      </c>
      <c r="Y2854">
        <v>46</v>
      </c>
      <c r="Z2854">
        <v>0</v>
      </c>
      <c r="AA2854">
        <v>46</v>
      </c>
      <c r="AB2854">
        <v>0</v>
      </c>
      <c r="AC2854">
        <v>29</v>
      </c>
      <c r="AD2854">
        <v>16</v>
      </c>
      <c r="AE2854">
        <v>0</v>
      </c>
      <c r="AF2854">
        <v>0</v>
      </c>
      <c r="AG2854">
        <v>0</v>
      </c>
      <c r="AH2854" t="s">
        <v>94</v>
      </c>
      <c r="AI2854" s="1">
        <v>44223.426388888889</v>
      </c>
      <c r="AJ2854">
        <v>2459</v>
      </c>
      <c r="AK2854">
        <v>2</v>
      </c>
      <c r="AL2854">
        <v>0</v>
      </c>
      <c r="AM2854">
        <v>2</v>
      </c>
      <c r="AN2854">
        <v>0</v>
      </c>
      <c r="AO2854">
        <v>1</v>
      </c>
      <c r="AP2854">
        <v>14</v>
      </c>
      <c r="AQ2854">
        <v>0</v>
      </c>
      <c r="AR2854">
        <v>0</v>
      </c>
      <c r="AS2854">
        <v>0</v>
      </c>
      <c r="AT2854" t="s">
        <v>90</v>
      </c>
      <c r="AU2854" s="1">
        <v>44223.434178240743</v>
      </c>
      <c r="AV2854">
        <v>18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14</v>
      </c>
      <c r="BC2854">
        <v>0</v>
      </c>
      <c r="BD2854">
        <v>0</v>
      </c>
      <c r="BE2854">
        <v>0</v>
      </c>
    </row>
    <row r="2855" spans="1:57" x14ac:dyDescent="0.45">
      <c r="A2855" t="s">
        <v>6777</v>
      </c>
      <c r="B2855" t="s">
        <v>79</v>
      </c>
      <c r="C2855" t="s">
        <v>3962</v>
      </c>
      <c r="D2855" t="s">
        <v>81</v>
      </c>
      <c r="E2855" s="2" t="str">
        <f>HYPERLINK("capsilon://?command=openfolder&amp;siteaddress=FAM.docvelocity-na8.net&amp;folderid=FXCA40F804-62E7-B55B-F1C0-B8879B453202","FX20127602")</f>
        <v>FX20127602</v>
      </c>
      <c r="F2855" t="s">
        <v>19</v>
      </c>
      <c r="G2855" t="s">
        <v>19</v>
      </c>
      <c r="H2855" t="s">
        <v>82</v>
      </c>
      <c r="I2855" t="s">
        <v>6778</v>
      </c>
      <c r="J2855">
        <v>62</v>
      </c>
      <c r="K2855" t="s">
        <v>84</v>
      </c>
      <c r="L2855" t="s">
        <v>85</v>
      </c>
      <c r="M2855" t="s">
        <v>86</v>
      </c>
      <c r="N2855">
        <v>3</v>
      </c>
      <c r="O2855" s="1">
        <v>44223.364131944443</v>
      </c>
      <c r="P2855" s="1">
        <v>44223.434224537035</v>
      </c>
      <c r="Q2855">
        <v>4047</v>
      </c>
      <c r="R2855">
        <v>2009</v>
      </c>
      <c r="S2855" t="b">
        <v>0</v>
      </c>
      <c r="T2855" t="s">
        <v>87</v>
      </c>
      <c r="U2855" t="b">
        <v>0</v>
      </c>
      <c r="V2855" t="s">
        <v>98</v>
      </c>
      <c r="W2855" s="1">
        <v>44223.372256944444</v>
      </c>
      <c r="X2855">
        <v>656</v>
      </c>
      <c r="Y2855">
        <v>46</v>
      </c>
      <c r="Z2855">
        <v>0</v>
      </c>
      <c r="AA2855">
        <v>46</v>
      </c>
      <c r="AB2855">
        <v>0</v>
      </c>
      <c r="AC2855">
        <v>34</v>
      </c>
      <c r="AD2855">
        <v>16</v>
      </c>
      <c r="AE2855">
        <v>0</v>
      </c>
      <c r="AF2855">
        <v>0</v>
      </c>
      <c r="AG2855">
        <v>0</v>
      </c>
      <c r="AH2855" t="s">
        <v>108</v>
      </c>
      <c r="AI2855" s="1">
        <v>44223.426296296297</v>
      </c>
      <c r="AJ2855">
        <v>1349</v>
      </c>
      <c r="AK2855">
        <v>1</v>
      </c>
      <c r="AL2855">
        <v>0</v>
      </c>
      <c r="AM2855">
        <v>1</v>
      </c>
      <c r="AN2855">
        <v>0</v>
      </c>
      <c r="AO2855">
        <v>0</v>
      </c>
      <c r="AP2855">
        <v>15</v>
      </c>
      <c r="AQ2855">
        <v>0</v>
      </c>
      <c r="AR2855">
        <v>0</v>
      </c>
      <c r="AS2855">
        <v>0</v>
      </c>
      <c r="AT2855" t="s">
        <v>90</v>
      </c>
      <c r="AU2855" s="1">
        <v>44223.434224537035</v>
      </c>
      <c r="AV2855">
        <v>4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15</v>
      </c>
      <c r="BC2855">
        <v>0</v>
      </c>
      <c r="BD2855">
        <v>0</v>
      </c>
      <c r="BE2855">
        <v>0</v>
      </c>
    </row>
    <row r="2856" spans="1:57" hidden="1" x14ac:dyDescent="0.45">
      <c r="A2856" t="s">
        <v>6779</v>
      </c>
      <c r="B2856" t="s">
        <v>79</v>
      </c>
      <c r="C2856" t="s">
        <v>2554</v>
      </c>
      <c r="D2856" t="s">
        <v>81</v>
      </c>
      <c r="E2856" s="2" t="str">
        <f>HYPERLINK("capsilon://?command=openfolder&amp;siteaddress=FAM.docvelocity-na8.net&amp;folderid=FXC16B6975-5E66-D3A5-1DF1-6EC1B35FD0D6","FX20125168")</f>
        <v>FX20125168</v>
      </c>
      <c r="F2856" t="s">
        <v>19</v>
      </c>
      <c r="G2856" t="s">
        <v>19</v>
      </c>
      <c r="H2856" t="s">
        <v>82</v>
      </c>
      <c r="I2856" t="s">
        <v>6780</v>
      </c>
      <c r="J2856">
        <v>66</v>
      </c>
      <c r="K2856" t="s">
        <v>84</v>
      </c>
      <c r="L2856" t="s">
        <v>85</v>
      </c>
      <c r="M2856" t="s">
        <v>86</v>
      </c>
      <c r="N2856">
        <v>3</v>
      </c>
      <c r="O2856" s="1">
        <v>44223.369490740741</v>
      </c>
      <c r="P2856" s="1">
        <v>44223.434270833335</v>
      </c>
      <c r="Q2856">
        <v>5456</v>
      </c>
      <c r="R2856">
        <v>141</v>
      </c>
      <c r="S2856" t="b">
        <v>0</v>
      </c>
      <c r="T2856" t="s">
        <v>87</v>
      </c>
      <c r="U2856" t="b">
        <v>0</v>
      </c>
      <c r="V2856" t="s">
        <v>98</v>
      </c>
      <c r="W2856" s="1">
        <v>44223.374236111114</v>
      </c>
      <c r="X2856">
        <v>80</v>
      </c>
      <c r="Y2856">
        <v>0</v>
      </c>
      <c r="Z2856">
        <v>0</v>
      </c>
      <c r="AA2856">
        <v>0</v>
      </c>
      <c r="AB2856">
        <v>52</v>
      </c>
      <c r="AC2856">
        <v>0</v>
      </c>
      <c r="AD2856">
        <v>66</v>
      </c>
      <c r="AE2856">
        <v>0</v>
      </c>
      <c r="AF2856">
        <v>0</v>
      </c>
      <c r="AG2856">
        <v>0</v>
      </c>
      <c r="AH2856" t="s">
        <v>94</v>
      </c>
      <c r="AI2856" s="1">
        <v>44223.427060185182</v>
      </c>
      <c r="AJ2856">
        <v>58</v>
      </c>
      <c r="AK2856">
        <v>0</v>
      </c>
      <c r="AL2856">
        <v>0</v>
      </c>
      <c r="AM2856">
        <v>0</v>
      </c>
      <c r="AN2856">
        <v>52</v>
      </c>
      <c r="AO2856">
        <v>0</v>
      </c>
      <c r="AP2856">
        <v>66</v>
      </c>
      <c r="AQ2856">
        <v>0</v>
      </c>
      <c r="AR2856">
        <v>0</v>
      </c>
      <c r="AS2856">
        <v>0</v>
      </c>
      <c r="AT2856" t="s">
        <v>90</v>
      </c>
      <c r="AU2856" s="1">
        <v>44223.434270833335</v>
      </c>
      <c r="AV2856">
        <v>3</v>
      </c>
      <c r="AW2856">
        <v>0</v>
      </c>
      <c r="AX2856">
        <v>0</v>
      </c>
      <c r="AY2856">
        <v>0</v>
      </c>
      <c r="AZ2856">
        <v>52</v>
      </c>
      <c r="BA2856">
        <v>0</v>
      </c>
      <c r="BB2856">
        <v>66</v>
      </c>
      <c r="BC2856">
        <v>0</v>
      </c>
      <c r="BD2856">
        <v>0</v>
      </c>
      <c r="BE2856">
        <v>0</v>
      </c>
    </row>
    <row r="2857" spans="1:57" x14ac:dyDescent="0.45">
      <c r="A2857" t="s">
        <v>6781</v>
      </c>
      <c r="B2857" t="s">
        <v>79</v>
      </c>
      <c r="C2857" t="s">
        <v>6782</v>
      </c>
      <c r="D2857" t="s">
        <v>81</v>
      </c>
      <c r="E2857" s="2" t="str">
        <f>HYPERLINK("capsilon://?command=openfolder&amp;siteaddress=FAM.docvelocity-na8.net&amp;folderid=FXF5B79000-A44A-3AF4-96E0-FF36A4969E08","FX210113862")</f>
        <v>FX210113862</v>
      </c>
      <c r="F2857" t="s">
        <v>19</v>
      </c>
      <c r="G2857" t="s">
        <v>19</v>
      </c>
      <c r="H2857" t="s">
        <v>82</v>
      </c>
      <c r="I2857" t="s">
        <v>6783</v>
      </c>
      <c r="J2857">
        <v>195</v>
      </c>
      <c r="K2857" t="s">
        <v>84</v>
      </c>
      <c r="L2857" t="s">
        <v>85</v>
      </c>
      <c r="M2857" t="s">
        <v>86</v>
      </c>
      <c r="N2857">
        <v>3</v>
      </c>
      <c r="O2857" s="1">
        <v>44223.371203703704</v>
      </c>
      <c r="P2857" s="1">
        <v>44223.515416666669</v>
      </c>
      <c r="Q2857">
        <v>7877</v>
      </c>
      <c r="R2857">
        <v>4583</v>
      </c>
      <c r="S2857" t="b">
        <v>0</v>
      </c>
      <c r="T2857" t="s">
        <v>87</v>
      </c>
      <c r="U2857" t="b">
        <v>0</v>
      </c>
      <c r="V2857" t="s">
        <v>112</v>
      </c>
      <c r="W2857" s="1">
        <v>44223.405636574076</v>
      </c>
      <c r="X2857">
        <v>2724</v>
      </c>
      <c r="Y2857">
        <v>161</v>
      </c>
      <c r="Z2857">
        <v>0</v>
      </c>
      <c r="AA2857">
        <v>161</v>
      </c>
      <c r="AB2857">
        <v>37</v>
      </c>
      <c r="AC2857">
        <v>74</v>
      </c>
      <c r="AD2857">
        <v>34</v>
      </c>
      <c r="AE2857">
        <v>0</v>
      </c>
      <c r="AF2857">
        <v>0</v>
      </c>
      <c r="AG2857">
        <v>0</v>
      </c>
      <c r="AH2857" t="s">
        <v>89</v>
      </c>
      <c r="AI2857" s="1">
        <v>44223.458298611113</v>
      </c>
      <c r="AJ2857">
        <v>1803</v>
      </c>
      <c r="AK2857">
        <v>1</v>
      </c>
      <c r="AL2857">
        <v>0</v>
      </c>
      <c r="AM2857">
        <v>1</v>
      </c>
      <c r="AN2857">
        <v>37</v>
      </c>
      <c r="AO2857">
        <v>0</v>
      </c>
      <c r="AP2857">
        <v>33</v>
      </c>
      <c r="AQ2857">
        <v>0</v>
      </c>
      <c r="AR2857">
        <v>0</v>
      </c>
      <c r="AS2857">
        <v>0</v>
      </c>
      <c r="AT2857" t="s">
        <v>90</v>
      </c>
      <c r="AU2857" s="1">
        <v>44223.515416666669</v>
      </c>
      <c r="AV2857">
        <v>34</v>
      </c>
      <c r="AW2857">
        <v>0</v>
      </c>
      <c r="AX2857">
        <v>0</v>
      </c>
      <c r="AY2857">
        <v>0</v>
      </c>
      <c r="AZ2857">
        <v>37</v>
      </c>
      <c r="BA2857">
        <v>0</v>
      </c>
      <c r="BB2857">
        <v>33</v>
      </c>
      <c r="BC2857">
        <v>0</v>
      </c>
      <c r="BD2857">
        <v>0</v>
      </c>
      <c r="BE2857">
        <v>0</v>
      </c>
    </row>
    <row r="2858" spans="1:57" x14ac:dyDescent="0.45">
      <c r="A2858" t="s">
        <v>6784</v>
      </c>
      <c r="B2858" t="s">
        <v>79</v>
      </c>
      <c r="C2858" t="s">
        <v>6785</v>
      </c>
      <c r="D2858" t="s">
        <v>81</v>
      </c>
      <c r="E2858" s="2" t="str">
        <f>HYPERLINK("capsilon://?command=openfolder&amp;siteaddress=FAM.docvelocity-na8.net&amp;folderid=FX3004F275-49A5-0DBF-FB98-EF588E85FD26","FX201221559")</f>
        <v>FX201221559</v>
      </c>
      <c r="F2858" t="s">
        <v>19</v>
      </c>
      <c r="G2858" t="s">
        <v>19</v>
      </c>
      <c r="H2858" t="s">
        <v>82</v>
      </c>
      <c r="I2858" t="s">
        <v>6786</v>
      </c>
      <c r="J2858">
        <v>109</v>
      </c>
      <c r="K2858" t="s">
        <v>84</v>
      </c>
      <c r="L2858" t="s">
        <v>85</v>
      </c>
      <c r="M2858" t="s">
        <v>86</v>
      </c>
      <c r="N2858">
        <v>3</v>
      </c>
      <c r="O2858" s="1">
        <v>44223.381157407406</v>
      </c>
      <c r="P2858" s="1">
        <v>44223.516435185185</v>
      </c>
      <c r="Q2858">
        <v>10391</v>
      </c>
      <c r="R2858">
        <v>1297</v>
      </c>
      <c r="S2858" t="b">
        <v>0</v>
      </c>
      <c r="T2858" t="s">
        <v>87</v>
      </c>
      <c r="U2858" t="b">
        <v>0</v>
      </c>
      <c r="V2858" t="s">
        <v>105</v>
      </c>
      <c r="W2858" s="1">
        <v>44223.392372685186</v>
      </c>
      <c r="X2858">
        <v>958</v>
      </c>
      <c r="Y2858">
        <v>59</v>
      </c>
      <c r="Z2858">
        <v>0</v>
      </c>
      <c r="AA2858">
        <v>59</v>
      </c>
      <c r="AB2858">
        <v>0</v>
      </c>
      <c r="AC2858">
        <v>19</v>
      </c>
      <c r="AD2858">
        <v>50</v>
      </c>
      <c r="AE2858">
        <v>0</v>
      </c>
      <c r="AF2858">
        <v>0</v>
      </c>
      <c r="AG2858">
        <v>0</v>
      </c>
      <c r="AH2858" t="s">
        <v>128</v>
      </c>
      <c r="AI2858" s="1">
        <v>44223.456446759257</v>
      </c>
      <c r="AJ2858">
        <v>220</v>
      </c>
      <c r="AK2858">
        <v>9</v>
      </c>
      <c r="AL2858">
        <v>0</v>
      </c>
      <c r="AM2858">
        <v>9</v>
      </c>
      <c r="AN2858">
        <v>0</v>
      </c>
      <c r="AO2858">
        <v>9</v>
      </c>
      <c r="AP2858">
        <v>41</v>
      </c>
      <c r="AQ2858">
        <v>0</v>
      </c>
      <c r="AR2858">
        <v>0</v>
      </c>
      <c r="AS2858">
        <v>0</v>
      </c>
      <c r="AT2858" t="s">
        <v>90</v>
      </c>
      <c r="AU2858" s="1">
        <v>44223.516435185185</v>
      </c>
      <c r="AV2858">
        <v>87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41</v>
      </c>
      <c r="BC2858">
        <v>0</v>
      </c>
      <c r="BD2858">
        <v>0</v>
      </c>
      <c r="BE2858">
        <v>0</v>
      </c>
    </row>
    <row r="2859" spans="1:57" x14ac:dyDescent="0.45">
      <c r="A2859" t="s">
        <v>6787</v>
      </c>
      <c r="B2859" t="s">
        <v>79</v>
      </c>
      <c r="C2859" t="s">
        <v>809</v>
      </c>
      <c r="D2859" t="s">
        <v>81</v>
      </c>
      <c r="E2859" s="2" t="str">
        <f>HYPERLINK("capsilon://?command=openfolder&amp;siteaddress=FAM.docvelocity-na8.net&amp;folderid=FX00633463-7C58-5FDE-2EBE-6FF9646FD86A","FX21012421")</f>
        <v>FX21012421</v>
      </c>
      <c r="F2859" t="s">
        <v>19</v>
      </c>
      <c r="G2859" t="s">
        <v>19</v>
      </c>
      <c r="H2859" t="s">
        <v>82</v>
      </c>
      <c r="I2859" t="s">
        <v>6788</v>
      </c>
      <c r="J2859">
        <v>107</v>
      </c>
      <c r="K2859" t="s">
        <v>84</v>
      </c>
      <c r="L2859" t="s">
        <v>85</v>
      </c>
      <c r="M2859" t="s">
        <v>86</v>
      </c>
      <c r="N2859">
        <v>3</v>
      </c>
      <c r="O2859" s="1">
        <v>44223.383229166669</v>
      </c>
      <c r="P2859" s="1">
        <v>44223.518657407411</v>
      </c>
      <c r="Q2859">
        <v>9912</v>
      </c>
      <c r="R2859">
        <v>1789</v>
      </c>
      <c r="S2859" t="b">
        <v>0</v>
      </c>
      <c r="T2859" t="s">
        <v>87</v>
      </c>
      <c r="U2859" t="b">
        <v>0</v>
      </c>
      <c r="V2859" t="s">
        <v>98</v>
      </c>
      <c r="W2859" s="1">
        <v>44223.398495370369</v>
      </c>
      <c r="X2859">
        <v>1296</v>
      </c>
      <c r="Y2859">
        <v>109</v>
      </c>
      <c r="Z2859">
        <v>0</v>
      </c>
      <c r="AA2859">
        <v>109</v>
      </c>
      <c r="AB2859">
        <v>0</v>
      </c>
      <c r="AC2859">
        <v>27</v>
      </c>
      <c r="AD2859">
        <v>-2</v>
      </c>
      <c r="AE2859">
        <v>0</v>
      </c>
      <c r="AF2859">
        <v>0</v>
      </c>
      <c r="AG2859">
        <v>0</v>
      </c>
      <c r="AH2859" t="s">
        <v>128</v>
      </c>
      <c r="AI2859" s="1">
        <v>44223.459849537037</v>
      </c>
      <c r="AJ2859">
        <v>293</v>
      </c>
      <c r="AK2859">
        <v>2</v>
      </c>
      <c r="AL2859">
        <v>0</v>
      </c>
      <c r="AM2859">
        <v>2</v>
      </c>
      <c r="AN2859">
        <v>0</v>
      </c>
      <c r="AO2859">
        <v>2</v>
      </c>
      <c r="AP2859">
        <v>-4</v>
      </c>
      <c r="AQ2859">
        <v>0</v>
      </c>
      <c r="AR2859">
        <v>0</v>
      </c>
      <c r="AS2859">
        <v>0</v>
      </c>
      <c r="AT2859" t="s">
        <v>90</v>
      </c>
      <c r="AU2859" s="1">
        <v>44223.518657407411</v>
      </c>
      <c r="AV2859">
        <v>192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-4</v>
      </c>
      <c r="BC2859">
        <v>0</v>
      </c>
      <c r="BD2859">
        <v>0</v>
      </c>
      <c r="BE2859">
        <v>0</v>
      </c>
    </row>
    <row r="2860" spans="1:57" x14ac:dyDescent="0.45">
      <c r="A2860" t="s">
        <v>6789</v>
      </c>
      <c r="B2860" t="s">
        <v>79</v>
      </c>
      <c r="C2860" t="s">
        <v>809</v>
      </c>
      <c r="D2860" t="s">
        <v>81</v>
      </c>
      <c r="E2860" s="2" t="str">
        <f>HYPERLINK("capsilon://?command=openfolder&amp;siteaddress=FAM.docvelocity-na8.net&amp;folderid=FX00633463-7C58-5FDE-2EBE-6FF9646FD86A","FX21012421")</f>
        <v>FX21012421</v>
      </c>
      <c r="F2860" t="s">
        <v>19</v>
      </c>
      <c r="G2860" t="s">
        <v>19</v>
      </c>
      <c r="H2860" t="s">
        <v>82</v>
      </c>
      <c r="I2860" t="s">
        <v>6790</v>
      </c>
      <c r="J2860">
        <v>59</v>
      </c>
      <c r="K2860" t="s">
        <v>84</v>
      </c>
      <c r="L2860" t="s">
        <v>85</v>
      </c>
      <c r="M2860" t="s">
        <v>86</v>
      </c>
      <c r="N2860">
        <v>3</v>
      </c>
      <c r="O2860" s="1">
        <v>44223.384085648147</v>
      </c>
      <c r="P2860" s="1">
        <v>44223.518738425926</v>
      </c>
      <c r="Q2860">
        <v>10511</v>
      </c>
      <c r="R2860">
        <v>1123</v>
      </c>
      <c r="S2860" t="b">
        <v>0</v>
      </c>
      <c r="T2860" t="s">
        <v>87</v>
      </c>
      <c r="U2860" t="b">
        <v>0</v>
      </c>
      <c r="V2860" t="s">
        <v>88</v>
      </c>
      <c r="W2860" s="1">
        <v>44223.395219907405</v>
      </c>
      <c r="X2860">
        <v>792</v>
      </c>
      <c r="Y2860">
        <v>64</v>
      </c>
      <c r="Z2860">
        <v>0</v>
      </c>
      <c r="AA2860">
        <v>64</v>
      </c>
      <c r="AB2860">
        <v>0</v>
      </c>
      <c r="AC2860">
        <v>27</v>
      </c>
      <c r="AD2860">
        <v>-5</v>
      </c>
      <c r="AE2860">
        <v>0</v>
      </c>
      <c r="AF2860">
        <v>0</v>
      </c>
      <c r="AG2860">
        <v>0</v>
      </c>
      <c r="AH2860" t="s">
        <v>94</v>
      </c>
      <c r="AI2860" s="1">
        <v>44223.460520833331</v>
      </c>
      <c r="AJ2860">
        <v>325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-5</v>
      </c>
      <c r="AQ2860">
        <v>0</v>
      </c>
      <c r="AR2860">
        <v>0</v>
      </c>
      <c r="AS2860">
        <v>0</v>
      </c>
      <c r="AT2860" t="s">
        <v>90</v>
      </c>
      <c r="AU2860" s="1">
        <v>44223.518738425926</v>
      </c>
      <c r="AV2860">
        <v>6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-5</v>
      </c>
      <c r="BC2860">
        <v>0</v>
      </c>
      <c r="BD2860">
        <v>0</v>
      </c>
      <c r="BE2860">
        <v>0</v>
      </c>
    </row>
    <row r="2861" spans="1:57" x14ac:dyDescent="0.45">
      <c r="A2861" t="s">
        <v>6791</v>
      </c>
      <c r="B2861" t="s">
        <v>79</v>
      </c>
      <c r="C2861" t="s">
        <v>6792</v>
      </c>
      <c r="D2861" t="s">
        <v>81</v>
      </c>
      <c r="E2861" s="2" t="str">
        <f>HYPERLINK("capsilon://?command=openfolder&amp;siteaddress=FAM.docvelocity-na8.net&amp;folderid=FX3BD59492-5A1B-0779-0624-EFAFA3ED1F88","FX210117150")</f>
        <v>FX210117150</v>
      </c>
      <c r="F2861" t="s">
        <v>19</v>
      </c>
      <c r="G2861" t="s">
        <v>19</v>
      </c>
      <c r="H2861" t="s">
        <v>82</v>
      </c>
      <c r="I2861" t="s">
        <v>6793</v>
      </c>
      <c r="J2861">
        <v>184</v>
      </c>
      <c r="K2861" t="s">
        <v>84</v>
      </c>
      <c r="L2861" t="s">
        <v>85</v>
      </c>
      <c r="M2861" t="s">
        <v>86</v>
      </c>
      <c r="N2861">
        <v>3</v>
      </c>
      <c r="O2861" s="1">
        <v>44223.384629629632</v>
      </c>
      <c r="P2861" s="1">
        <v>44223.519062500003</v>
      </c>
      <c r="Q2861">
        <v>9303</v>
      </c>
      <c r="R2861">
        <v>2312</v>
      </c>
      <c r="S2861" t="b">
        <v>0</v>
      </c>
      <c r="T2861" t="s">
        <v>87</v>
      </c>
      <c r="U2861" t="b">
        <v>0</v>
      </c>
      <c r="V2861" t="s">
        <v>105</v>
      </c>
      <c r="W2861" s="1">
        <v>44223.411053240743</v>
      </c>
      <c r="X2861">
        <v>1614</v>
      </c>
      <c r="Y2861">
        <v>124</v>
      </c>
      <c r="Z2861">
        <v>0</v>
      </c>
      <c r="AA2861">
        <v>124</v>
      </c>
      <c r="AB2861">
        <v>0</v>
      </c>
      <c r="AC2861">
        <v>24</v>
      </c>
      <c r="AD2861">
        <v>60</v>
      </c>
      <c r="AE2861">
        <v>0</v>
      </c>
      <c r="AF2861">
        <v>0</v>
      </c>
      <c r="AG2861">
        <v>0</v>
      </c>
      <c r="AH2861" t="s">
        <v>108</v>
      </c>
      <c r="AI2861" s="1">
        <v>44223.466435185182</v>
      </c>
      <c r="AJ2861">
        <v>671</v>
      </c>
      <c r="AK2861">
        <v>1</v>
      </c>
      <c r="AL2861">
        <v>0</v>
      </c>
      <c r="AM2861">
        <v>1</v>
      </c>
      <c r="AN2861">
        <v>0</v>
      </c>
      <c r="AO2861">
        <v>0</v>
      </c>
      <c r="AP2861">
        <v>59</v>
      </c>
      <c r="AQ2861">
        <v>0</v>
      </c>
      <c r="AR2861">
        <v>0</v>
      </c>
      <c r="AS2861">
        <v>0</v>
      </c>
      <c r="AT2861" t="s">
        <v>90</v>
      </c>
      <c r="AU2861" s="1">
        <v>44223.519062500003</v>
      </c>
      <c r="AV2861">
        <v>27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59</v>
      </c>
      <c r="BC2861">
        <v>0</v>
      </c>
      <c r="BD2861">
        <v>0</v>
      </c>
      <c r="BE2861">
        <v>0</v>
      </c>
    </row>
    <row r="2862" spans="1:57" x14ac:dyDescent="0.45">
      <c r="A2862" t="s">
        <v>6794</v>
      </c>
      <c r="B2862" t="s">
        <v>79</v>
      </c>
      <c r="C2862" t="s">
        <v>4701</v>
      </c>
      <c r="D2862" t="s">
        <v>81</v>
      </c>
      <c r="E2862" s="2" t="str">
        <f>HYPERLINK("capsilon://?command=openfolder&amp;siteaddress=FAM.docvelocity-na8.net&amp;folderid=FXFE34F98A-2EA1-D39B-F9F7-93258D660901","FX21018646")</f>
        <v>FX21018646</v>
      </c>
      <c r="F2862" t="s">
        <v>19</v>
      </c>
      <c r="G2862" t="s">
        <v>19</v>
      </c>
      <c r="H2862" t="s">
        <v>82</v>
      </c>
      <c r="I2862" t="s">
        <v>6795</v>
      </c>
      <c r="J2862">
        <v>66</v>
      </c>
      <c r="K2862" t="s">
        <v>84</v>
      </c>
      <c r="L2862" t="s">
        <v>85</v>
      </c>
      <c r="M2862" t="s">
        <v>86</v>
      </c>
      <c r="N2862">
        <v>3</v>
      </c>
      <c r="O2862" s="1">
        <v>44223.385914351849</v>
      </c>
      <c r="P2862" s="1">
        <v>44223.519166666665</v>
      </c>
      <c r="Q2862">
        <v>10346</v>
      </c>
      <c r="R2862">
        <v>1167</v>
      </c>
      <c r="S2862" t="b">
        <v>0</v>
      </c>
      <c r="T2862" t="s">
        <v>87</v>
      </c>
      <c r="U2862" t="b">
        <v>0</v>
      </c>
      <c r="V2862" t="s">
        <v>88</v>
      </c>
      <c r="W2862" s="1">
        <v>44223.405995370369</v>
      </c>
      <c r="X2862">
        <v>930</v>
      </c>
      <c r="Y2862">
        <v>52</v>
      </c>
      <c r="Z2862">
        <v>0</v>
      </c>
      <c r="AA2862">
        <v>52</v>
      </c>
      <c r="AB2862">
        <v>0</v>
      </c>
      <c r="AC2862">
        <v>33</v>
      </c>
      <c r="AD2862">
        <v>14</v>
      </c>
      <c r="AE2862">
        <v>0</v>
      </c>
      <c r="AF2862">
        <v>0</v>
      </c>
      <c r="AG2862">
        <v>0</v>
      </c>
      <c r="AH2862" t="s">
        <v>128</v>
      </c>
      <c r="AI2862" s="1">
        <v>44223.462500000001</v>
      </c>
      <c r="AJ2862">
        <v>229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14</v>
      </c>
      <c r="AQ2862">
        <v>0</v>
      </c>
      <c r="AR2862">
        <v>0</v>
      </c>
      <c r="AS2862">
        <v>0</v>
      </c>
      <c r="AT2862" t="s">
        <v>90</v>
      </c>
      <c r="AU2862" s="1">
        <v>44223.519166666665</v>
      </c>
      <c r="AV2862">
        <v>8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14</v>
      </c>
      <c r="BC2862">
        <v>0</v>
      </c>
      <c r="BD2862">
        <v>0</v>
      </c>
      <c r="BE2862">
        <v>0</v>
      </c>
    </row>
    <row r="2863" spans="1:57" hidden="1" x14ac:dyDescent="0.45">
      <c r="A2863" t="s">
        <v>6796</v>
      </c>
      <c r="B2863" t="s">
        <v>79</v>
      </c>
      <c r="C2863" t="s">
        <v>1226</v>
      </c>
      <c r="D2863" t="s">
        <v>81</v>
      </c>
      <c r="E2863" s="2" t="str">
        <f>HYPERLINK("capsilon://?command=openfolder&amp;siteaddress=FAM.docvelocity-na8.net&amp;folderid=FX20638E3F-DC65-E459-B4A6-8522D3961AA9","FX20126938")</f>
        <v>FX20126938</v>
      </c>
      <c r="F2863" t="s">
        <v>19</v>
      </c>
      <c r="G2863" t="s">
        <v>19</v>
      </c>
      <c r="H2863" t="s">
        <v>82</v>
      </c>
      <c r="I2863" t="s">
        <v>6797</v>
      </c>
      <c r="J2863">
        <v>66</v>
      </c>
      <c r="K2863" t="s">
        <v>84</v>
      </c>
      <c r="L2863" t="s">
        <v>85</v>
      </c>
      <c r="M2863" t="s">
        <v>86</v>
      </c>
      <c r="N2863">
        <v>3</v>
      </c>
      <c r="O2863" s="1">
        <v>44223.391736111109</v>
      </c>
      <c r="P2863" s="1">
        <v>44223.519201388888</v>
      </c>
      <c r="Q2863">
        <v>10872</v>
      </c>
      <c r="R2863">
        <v>141</v>
      </c>
      <c r="S2863" t="b">
        <v>0</v>
      </c>
      <c r="T2863" t="s">
        <v>87</v>
      </c>
      <c r="U2863" t="b">
        <v>0</v>
      </c>
      <c r="V2863" t="s">
        <v>98</v>
      </c>
      <c r="W2863" s="1">
        <v>44223.399444444447</v>
      </c>
      <c r="X2863">
        <v>81</v>
      </c>
      <c r="Y2863">
        <v>0</v>
      </c>
      <c r="Z2863">
        <v>0</v>
      </c>
      <c r="AA2863">
        <v>0</v>
      </c>
      <c r="AB2863">
        <v>52</v>
      </c>
      <c r="AC2863">
        <v>0</v>
      </c>
      <c r="AD2863">
        <v>66</v>
      </c>
      <c r="AE2863">
        <v>0</v>
      </c>
      <c r="AF2863">
        <v>0</v>
      </c>
      <c r="AG2863">
        <v>0</v>
      </c>
      <c r="AH2863" t="s">
        <v>94</v>
      </c>
      <c r="AI2863" s="1">
        <v>44223.461180555554</v>
      </c>
      <c r="AJ2863">
        <v>57</v>
      </c>
      <c r="AK2863">
        <v>0</v>
      </c>
      <c r="AL2863">
        <v>0</v>
      </c>
      <c r="AM2863">
        <v>0</v>
      </c>
      <c r="AN2863">
        <v>52</v>
      </c>
      <c r="AO2863">
        <v>0</v>
      </c>
      <c r="AP2863">
        <v>66</v>
      </c>
      <c r="AQ2863">
        <v>0</v>
      </c>
      <c r="AR2863">
        <v>0</v>
      </c>
      <c r="AS2863">
        <v>0</v>
      </c>
      <c r="AT2863" t="s">
        <v>90</v>
      </c>
      <c r="AU2863" s="1">
        <v>44223.519201388888</v>
      </c>
      <c r="AV2863">
        <v>3</v>
      </c>
      <c r="AW2863">
        <v>0</v>
      </c>
      <c r="AX2863">
        <v>0</v>
      </c>
      <c r="AY2863">
        <v>0</v>
      </c>
      <c r="AZ2863">
        <v>52</v>
      </c>
      <c r="BA2863">
        <v>0</v>
      </c>
      <c r="BB2863">
        <v>66</v>
      </c>
      <c r="BC2863">
        <v>0</v>
      </c>
      <c r="BD2863">
        <v>0</v>
      </c>
      <c r="BE2863">
        <v>0</v>
      </c>
    </row>
    <row r="2864" spans="1:57" hidden="1" x14ac:dyDescent="0.45">
      <c r="A2864" t="s">
        <v>6798</v>
      </c>
      <c r="B2864" t="s">
        <v>79</v>
      </c>
      <c r="C2864" t="s">
        <v>5021</v>
      </c>
      <c r="D2864" t="s">
        <v>81</v>
      </c>
      <c r="E2864" s="2" t="str">
        <f>HYPERLINK("capsilon://?command=openfolder&amp;siteaddress=FAM.docvelocity-na8.net&amp;folderid=FX24CF20C8-728D-2D61-0D3A-346862CAA4E6","FX210111941")</f>
        <v>FX210111941</v>
      </c>
      <c r="F2864" t="s">
        <v>19</v>
      </c>
      <c r="G2864" t="s">
        <v>19</v>
      </c>
      <c r="H2864" t="s">
        <v>82</v>
      </c>
      <c r="I2864" t="s">
        <v>6799</v>
      </c>
      <c r="J2864">
        <v>66</v>
      </c>
      <c r="K2864" t="s">
        <v>84</v>
      </c>
      <c r="L2864" t="s">
        <v>85</v>
      </c>
      <c r="M2864" t="s">
        <v>86</v>
      </c>
      <c r="N2864">
        <v>1</v>
      </c>
      <c r="O2864" s="1">
        <v>44223.39570601852</v>
      </c>
      <c r="P2864" s="1">
        <v>44223.401736111111</v>
      </c>
      <c r="Q2864">
        <v>324</v>
      </c>
      <c r="R2864">
        <v>197</v>
      </c>
      <c r="S2864" t="b">
        <v>0</v>
      </c>
      <c r="T2864" t="s">
        <v>87</v>
      </c>
      <c r="U2864" t="b">
        <v>0</v>
      </c>
      <c r="V2864" t="s">
        <v>98</v>
      </c>
      <c r="W2864" s="1">
        <v>44223.401736111111</v>
      </c>
      <c r="X2864">
        <v>197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66</v>
      </c>
      <c r="AE2864">
        <v>52</v>
      </c>
      <c r="AF2864">
        <v>0</v>
      </c>
      <c r="AG2864">
        <v>1</v>
      </c>
      <c r="AH2864" t="s">
        <v>87</v>
      </c>
      <c r="AI2864" t="s">
        <v>87</v>
      </c>
      <c r="AJ2864" t="s">
        <v>87</v>
      </c>
      <c r="AK2864" t="s">
        <v>87</v>
      </c>
      <c r="AL2864" t="s">
        <v>87</v>
      </c>
      <c r="AM2864" t="s">
        <v>87</v>
      </c>
      <c r="AN2864" t="s">
        <v>87</v>
      </c>
      <c r="AO2864" t="s">
        <v>87</v>
      </c>
      <c r="AP2864" t="s">
        <v>87</v>
      </c>
      <c r="AQ2864" t="s">
        <v>87</v>
      </c>
      <c r="AR2864" t="s">
        <v>87</v>
      </c>
      <c r="AS2864" t="s">
        <v>87</v>
      </c>
      <c r="AT2864" t="s">
        <v>87</v>
      </c>
      <c r="AU2864" t="s">
        <v>87</v>
      </c>
      <c r="AV2864" t="s">
        <v>87</v>
      </c>
      <c r="AW2864" t="s">
        <v>87</v>
      </c>
      <c r="AX2864" t="s">
        <v>87</v>
      </c>
      <c r="AY2864" t="s">
        <v>87</v>
      </c>
      <c r="AZ2864" t="s">
        <v>87</v>
      </c>
      <c r="BA2864" t="s">
        <v>87</v>
      </c>
      <c r="BB2864" t="s">
        <v>87</v>
      </c>
      <c r="BC2864" t="s">
        <v>87</v>
      </c>
      <c r="BD2864" t="s">
        <v>87</v>
      </c>
      <c r="BE2864" t="s">
        <v>87</v>
      </c>
    </row>
    <row r="2865" spans="1:57" hidden="1" x14ac:dyDescent="0.45">
      <c r="A2865" t="s">
        <v>6800</v>
      </c>
      <c r="B2865" t="s">
        <v>79</v>
      </c>
      <c r="C2865" t="s">
        <v>6801</v>
      </c>
      <c r="D2865" t="s">
        <v>81</v>
      </c>
      <c r="E2865" s="2" t="str">
        <f>HYPERLINK("capsilon://?command=openfolder&amp;siteaddress=FAM.docvelocity-na8.net&amp;folderid=FXF7A9ED9A-9232-AE26-F5D4-EA177326F1D0","FX210114193")</f>
        <v>FX210114193</v>
      </c>
      <c r="F2865" t="s">
        <v>19</v>
      </c>
      <c r="G2865" t="s">
        <v>19</v>
      </c>
      <c r="H2865" t="s">
        <v>82</v>
      </c>
      <c r="I2865" t="s">
        <v>6802</v>
      </c>
      <c r="J2865">
        <v>180</v>
      </c>
      <c r="K2865" t="s">
        <v>84</v>
      </c>
      <c r="L2865" t="s">
        <v>85</v>
      </c>
      <c r="M2865" t="s">
        <v>86</v>
      </c>
      <c r="N2865">
        <v>1</v>
      </c>
      <c r="O2865" s="1">
        <v>44223.397418981483</v>
      </c>
      <c r="P2865" s="1">
        <v>44223.412488425929</v>
      </c>
      <c r="Q2865">
        <v>374</v>
      </c>
      <c r="R2865">
        <v>928</v>
      </c>
      <c r="S2865" t="b">
        <v>0</v>
      </c>
      <c r="T2865" t="s">
        <v>87</v>
      </c>
      <c r="U2865" t="b">
        <v>0</v>
      </c>
      <c r="V2865" t="s">
        <v>98</v>
      </c>
      <c r="W2865" s="1">
        <v>44223.412488425929</v>
      </c>
      <c r="X2865">
        <v>928</v>
      </c>
      <c r="Y2865">
        <v>137</v>
      </c>
      <c r="Z2865">
        <v>0</v>
      </c>
      <c r="AA2865">
        <v>137</v>
      </c>
      <c r="AB2865">
        <v>0</v>
      </c>
      <c r="AC2865">
        <v>0</v>
      </c>
      <c r="AD2865">
        <v>43</v>
      </c>
      <c r="AE2865">
        <v>21</v>
      </c>
      <c r="AF2865">
        <v>0</v>
      </c>
      <c r="AG2865">
        <v>2</v>
      </c>
      <c r="AH2865" t="s">
        <v>87</v>
      </c>
      <c r="AI2865" t="s">
        <v>87</v>
      </c>
      <c r="AJ2865" t="s">
        <v>87</v>
      </c>
      <c r="AK2865" t="s">
        <v>87</v>
      </c>
      <c r="AL2865" t="s">
        <v>87</v>
      </c>
      <c r="AM2865" t="s">
        <v>87</v>
      </c>
      <c r="AN2865" t="s">
        <v>87</v>
      </c>
      <c r="AO2865" t="s">
        <v>87</v>
      </c>
      <c r="AP2865" t="s">
        <v>87</v>
      </c>
      <c r="AQ2865" t="s">
        <v>87</v>
      </c>
      <c r="AR2865" t="s">
        <v>87</v>
      </c>
      <c r="AS2865" t="s">
        <v>87</v>
      </c>
      <c r="AT2865" t="s">
        <v>87</v>
      </c>
      <c r="AU2865" t="s">
        <v>87</v>
      </c>
      <c r="AV2865" t="s">
        <v>87</v>
      </c>
      <c r="AW2865" t="s">
        <v>87</v>
      </c>
      <c r="AX2865" t="s">
        <v>87</v>
      </c>
      <c r="AY2865" t="s">
        <v>87</v>
      </c>
      <c r="AZ2865" t="s">
        <v>87</v>
      </c>
      <c r="BA2865" t="s">
        <v>87</v>
      </c>
      <c r="BB2865" t="s">
        <v>87</v>
      </c>
      <c r="BC2865" t="s">
        <v>87</v>
      </c>
      <c r="BD2865" t="s">
        <v>87</v>
      </c>
      <c r="BE2865" t="s">
        <v>87</v>
      </c>
    </row>
    <row r="2866" spans="1:57" x14ac:dyDescent="0.45">
      <c r="A2866" t="s">
        <v>6803</v>
      </c>
      <c r="B2866" t="s">
        <v>79</v>
      </c>
      <c r="C2866" t="s">
        <v>5771</v>
      </c>
      <c r="D2866" t="s">
        <v>81</v>
      </c>
      <c r="E2866" s="2" t="str">
        <f>HYPERLINK("capsilon://?command=openfolder&amp;siteaddress=FAM.docvelocity-na8.net&amp;folderid=FX1FC4A212-9515-689C-E7E0-86BE59DAE8A9","FX210115597")</f>
        <v>FX210115597</v>
      </c>
      <c r="F2866" t="s">
        <v>19</v>
      </c>
      <c r="G2866" t="s">
        <v>19</v>
      </c>
      <c r="H2866" t="s">
        <v>82</v>
      </c>
      <c r="I2866" t="s">
        <v>6804</v>
      </c>
      <c r="J2866">
        <v>66</v>
      </c>
      <c r="K2866" t="s">
        <v>84</v>
      </c>
      <c r="L2866" t="s">
        <v>85</v>
      </c>
      <c r="M2866" t="s">
        <v>86</v>
      </c>
      <c r="N2866">
        <v>3</v>
      </c>
      <c r="O2866" s="1">
        <v>44223.400578703702</v>
      </c>
      <c r="P2866" s="1">
        <v>44223.519687499997</v>
      </c>
      <c r="Q2866">
        <v>9058</v>
      </c>
      <c r="R2866">
        <v>1233</v>
      </c>
      <c r="S2866" t="b">
        <v>0</v>
      </c>
      <c r="T2866" t="s">
        <v>87</v>
      </c>
      <c r="U2866" t="b">
        <v>0</v>
      </c>
      <c r="V2866" t="s">
        <v>88</v>
      </c>
      <c r="W2866" s="1">
        <v>44223.41741898148</v>
      </c>
      <c r="X2866">
        <v>986</v>
      </c>
      <c r="Y2866">
        <v>52</v>
      </c>
      <c r="Z2866">
        <v>0</v>
      </c>
      <c r="AA2866">
        <v>52</v>
      </c>
      <c r="AB2866">
        <v>0</v>
      </c>
      <c r="AC2866">
        <v>41</v>
      </c>
      <c r="AD2866">
        <v>14</v>
      </c>
      <c r="AE2866">
        <v>0</v>
      </c>
      <c r="AF2866">
        <v>0</v>
      </c>
      <c r="AG2866">
        <v>0</v>
      </c>
      <c r="AH2866" t="s">
        <v>94</v>
      </c>
      <c r="AI2866" s="1">
        <v>44223.463576388887</v>
      </c>
      <c r="AJ2866">
        <v>206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14</v>
      </c>
      <c r="AQ2866">
        <v>0</v>
      </c>
      <c r="AR2866">
        <v>0</v>
      </c>
      <c r="AS2866">
        <v>0</v>
      </c>
      <c r="AT2866" t="s">
        <v>90</v>
      </c>
      <c r="AU2866" s="1">
        <v>44223.519687499997</v>
      </c>
      <c r="AV2866">
        <v>41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14</v>
      </c>
      <c r="BC2866">
        <v>0</v>
      </c>
      <c r="BD2866">
        <v>0</v>
      </c>
      <c r="BE2866">
        <v>0</v>
      </c>
    </row>
    <row r="2867" spans="1:57" x14ac:dyDescent="0.45">
      <c r="A2867" t="s">
        <v>6805</v>
      </c>
      <c r="B2867" t="s">
        <v>79</v>
      </c>
      <c r="C2867" t="s">
        <v>5021</v>
      </c>
      <c r="D2867" t="s">
        <v>81</v>
      </c>
      <c r="E2867" s="2" t="str">
        <f>HYPERLINK("capsilon://?command=openfolder&amp;siteaddress=FAM.docvelocity-na8.net&amp;folderid=FX24CF20C8-728D-2D61-0D3A-346862CAA4E6","FX210111941")</f>
        <v>FX210111941</v>
      </c>
      <c r="F2867" t="s">
        <v>19</v>
      </c>
      <c r="G2867" t="s">
        <v>19</v>
      </c>
      <c r="H2867" t="s">
        <v>82</v>
      </c>
      <c r="I2867" t="s">
        <v>6799</v>
      </c>
      <c r="J2867">
        <v>66</v>
      </c>
      <c r="K2867" t="s">
        <v>84</v>
      </c>
      <c r="L2867" t="s">
        <v>85</v>
      </c>
      <c r="M2867" t="s">
        <v>86</v>
      </c>
      <c r="N2867">
        <v>3</v>
      </c>
      <c r="O2867" s="1">
        <v>44223.402106481481</v>
      </c>
      <c r="P2867" s="1">
        <v>44223.514317129629</v>
      </c>
      <c r="Q2867">
        <v>6821</v>
      </c>
      <c r="R2867">
        <v>2874</v>
      </c>
      <c r="S2867" t="b">
        <v>0</v>
      </c>
      <c r="T2867" t="s">
        <v>87</v>
      </c>
      <c r="U2867" t="b">
        <v>1</v>
      </c>
      <c r="V2867" t="s">
        <v>112</v>
      </c>
      <c r="W2867" s="1">
        <v>44223.420092592591</v>
      </c>
      <c r="X2867">
        <v>1249</v>
      </c>
      <c r="Y2867">
        <v>52</v>
      </c>
      <c r="Z2867">
        <v>0</v>
      </c>
      <c r="AA2867">
        <v>52</v>
      </c>
      <c r="AB2867">
        <v>0</v>
      </c>
      <c r="AC2867">
        <v>41</v>
      </c>
      <c r="AD2867">
        <v>14</v>
      </c>
      <c r="AE2867">
        <v>0</v>
      </c>
      <c r="AF2867">
        <v>0</v>
      </c>
      <c r="AG2867">
        <v>0</v>
      </c>
      <c r="AH2867" t="s">
        <v>108</v>
      </c>
      <c r="AI2867" s="1">
        <v>44223.445</v>
      </c>
      <c r="AJ2867">
        <v>1615</v>
      </c>
      <c r="AK2867">
        <v>31</v>
      </c>
      <c r="AL2867">
        <v>0</v>
      </c>
      <c r="AM2867">
        <v>31</v>
      </c>
      <c r="AN2867">
        <v>0</v>
      </c>
      <c r="AO2867">
        <v>29</v>
      </c>
      <c r="AP2867">
        <v>-17</v>
      </c>
      <c r="AQ2867">
        <v>0</v>
      </c>
      <c r="AR2867">
        <v>0</v>
      </c>
      <c r="AS2867">
        <v>0</v>
      </c>
      <c r="AT2867" t="s">
        <v>90</v>
      </c>
      <c r="AU2867" s="1">
        <v>44223.514317129629</v>
      </c>
      <c r="AV2867">
        <v>10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-17</v>
      </c>
      <c r="BC2867">
        <v>0</v>
      </c>
      <c r="BD2867">
        <v>0</v>
      </c>
      <c r="BE2867">
        <v>0</v>
      </c>
    </row>
    <row r="2868" spans="1:57" x14ac:dyDescent="0.45">
      <c r="A2868" t="s">
        <v>6806</v>
      </c>
      <c r="B2868" t="s">
        <v>79</v>
      </c>
      <c r="C2868" t="s">
        <v>6136</v>
      </c>
      <c r="D2868" t="s">
        <v>81</v>
      </c>
      <c r="E2868" s="2" t="str">
        <f>HYPERLINK("capsilon://?command=openfolder&amp;siteaddress=FAM.docvelocity-na8.net&amp;folderid=FX4BE60542-6B8A-1BE5-D187-034EE087F836","FX210111074")</f>
        <v>FX210111074</v>
      </c>
      <c r="F2868" t="s">
        <v>19</v>
      </c>
      <c r="G2868" t="s">
        <v>19</v>
      </c>
      <c r="H2868" t="s">
        <v>82</v>
      </c>
      <c r="I2868" t="s">
        <v>6807</v>
      </c>
      <c r="J2868">
        <v>66</v>
      </c>
      <c r="K2868" t="s">
        <v>84</v>
      </c>
      <c r="L2868" t="s">
        <v>85</v>
      </c>
      <c r="M2868" t="s">
        <v>86</v>
      </c>
      <c r="N2868">
        <v>3</v>
      </c>
      <c r="O2868" s="1">
        <v>44223.403136574074</v>
      </c>
      <c r="P2868" s="1">
        <v>44223.519918981481</v>
      </c>
      <c r="Q2868">
        <v>9099</v>
      </c>
      <c r="R2868">
        <v>991</v>
      </c>
      <c r="S2868" t="b">
        <v>0</v>
      </c>
      <c r="T2868" t="s">
        <v>87</v>
      </c>
      <c r="U2868" t="b">
        <v>0</v>
      </c>
      <c r="V2868" t="s">
        <v>105</v>
      </c>
      <c r="W2868" s="1">
        <v>44223.420069444444</v>
      </c>
      <c r="X2868">
        <v>778</v>
      </c>
      <c r="Y2868">
        <v>52</v>
      </c>
      <c r="Z2868">
        <v>0</v>
      </c>
      <c r="AA2868">
        <v>52</v>
      </c>
      <c r="AB2868">
        <v>0</v>
      </c>
      <c r="AC2868">
        <v>31</v>
      </c>
      <c r="AD2868">
        <v>14</v>
      </c>
      <c r="AE2868">
        <v>0</v>
      </c>
      <c r="AF2868">
        <v>0</v>
      </c>
      <c r="AG2868">
        <v>0</v>
      </c>
      <c r="AH2868" t="s">
        <v>128</v>
      </c>
      <c r="AI2868" s="1">
        <v>44223.464745370373</v>
      </c>
      <c r="AJ2868">
        <v>193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14</v>
      </c>
      <c r="AQ2868">
        <v>0</v>
      </c>
      <c r="AR2868">
        <v>0</v>
      </c>
      <c r="AS2868">
        <v>0</v>
      </c>
      <c r="AT2868" t="s">
        <v>90</v>
      </c>
      <c r="AU2868" s="1">
        <v>44223.519918981481</v>
      </c>
      <c r="AV2868">
        <v>20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14</v>
      </c>
      <c r="BC2868">
        <v>0</v>
      </c>
      <c r="BD2868">
        <v>0</v>
      </c>
      <c r="BE2868">
        <v>0</v>
      </c>
    </row>
    <row r="2869" spans="1:57" hidden="1" x14ac:dyDescent="0.45">
      <c r="A2869" t="s">
        <v>6808</v>
      </c>
      <c r="B2869" t="s">
        <v>79</v>
      </c>
      <c r="C2869" t="s">
        <v>5155</v>
      </c>
      <c r="D2869" t="s">
        <v>81</v>
      </c>
      <c r="E2869" s="2" t="str">
        <f>HYPERLINK("capsilon://?command=openfolder&amp;siteaddress=FAM.docvelocity-na8.net&amp;folderid=FXDCFA07DF-9C1C-05C4-3DA4-14D3EE560E26","FX201221159")</f>
        <v>FX201221159</v>
      </c>
      <c r="F2869" t="s">
        <v>19</v>
      </c>
      <c r="G2869" t="s">
        <v>19</v>
      </c>
      <c r="H2869" t="s">
        <v>82</v>
      </c>
      <c r="I2869" t="s">
        <v>6809</v>
      </c>
      <c r="J2869">
        <v>66</v>
      </c>
      <c r="K2869" t="s">
        <v>84</v>
      </c>
      <c r="L2869" t="s">
        <v>85</v>
      </c>
      <c r="M2869" t="s">
        <v>86</v>
      </c>
      <c r="N2869">
        <v>3</v>
      </c>
      <c r="O2869" s="1">
        <v>44223.406111111108</v>
      </c>
      <c r="P2869" s="1">
        <v>44223.519965277781</v>
      </c>
      <c r="Q2869">
        <v>9541</v>
      </c>
      <c r="R2869">
        <v>296</v>
      </c>
      <c r="S2869" t="b">
        <v>0</v>
      </c>
      <c r="T2869" t="s">
        <v>87</v>
      </c>
      <c r="U2869" t="b">
        <v>0</v>
      </c>
      <c r="V2869" t="s">
        <v>98</v>
      </c>
      <c r="W2869" s="1">
        <v>44223.415312500001</v>
      </c>
      <c r="X2869">
        <v>243</v>
      </c>
      <c r="Y2869">
        <v>0</v>
      </c>
      <c r="Z2869">
        <v>0</v>
      </c>
      <c r="AA2869">
        <v>0</v>
      </c>
      <c r="AB2869">
        <v>52</v>
      </c>
      <c r="AC2869">
        <v>0</v>
      </c>
      <c r="AD2869">
        <v>66</v>
      </c>
      <c r="AE2869">
        <v>0</v>
      </c>
      <c r="AF2869">
        <v>0</v>
      </c>
      <c r="AG2869">
        <v>0</v>
      </c>
      <c r="AH2869" t="s">
        <v>94</v>
      </c>
      <c r="AI2869" s="1">
        <v>44223.464166666665</v>
      </c>
      <c r="AJ2869">
        <v>50</v>
      </c>
      <c r="AK2869">
        <v>0</v>
      </c>
      <c r="AL2869">
        <v>0</v>
      </c>
      <c r="AM2869">
        <v>0</v>
      </c>
      <c r="AN2869">
        <v>52</v>
      </c>
      <c r="AO2869">
        <v>0</v>
      </c>
      <c r="AP2869">
        <v>66</v>
      </c>
      <c r="AQ2869">
        <v>0</v>
      </c>
      <c r="AR2869">
        <v>0</v>
      </c>
      <c r="AS2869">
        <v>0</v>
      </c>
      <c r="AT2869" t="s">
        <v>90</v>
      </c>
      <c r="AU2869" s="1">
        <v>44223.519965277781</v>
      </c>
      <c r="AV2869">
        <v>3</v>
      </c>
      <c r="AW2869">
        <v>0</v>
      </c>
      <c r="AX2869">
        <v>0</v>
      </c>
      <c r="AY2869">
        <v>0</v>
      </c>
      <c r="AZ2869">
        <v>52</v>
      </c>
      <c r="BA2869">
        <v>0</v>
      </c>
      <c r="BB2869">
        <v>66</v>
      </c>
      <c r="BC2869">
        <v>0</v>
      </c>
      <c r="BD2869">
        <v>0</v>
      </c>
      <c r="BE2869">
        <v>0</v>
      </c>
    </row>
    <row r="2870" spans="1:57" x14ac:dyDescent="0.45">
      <c r="A2870" t="s">
        <v>6810</v>
      </c>
      <c r="B2870" t="s">
        <v>79</v>
      </c>
      <c r="C2870" t="s">
        <v>5771</v>
      </c>
      <c r="D2870" t="s">
        <v>81</v>
      </c>
      <c r="E2870" s="2" t="str">
        <f>HYPERLINK("capsilon://?command=openfolder&amp;siteaddress=FAM.docvelocity-na8.net&amp;folderid=FX1FC4A212-9515-689C-E7E0-86BE59DAE8A9","FX210115597")</f>
        <v>FX210115597</v>
      </c>
      <c r="F2870" t="s">
        <v>19</v>
      </c>
      <c r="G2870" t="s">
        <v>19</v>
      </c>
      <c r="H2870" t="s">
        <v>82</v>
      </c>
      <c r="I2870" t="s">
        <v>6811</v>
      </c>
      <c r="J2870">
        <v>66</v>
      </c>
      <c r="K2870" t="s">
        <v>84</v>
      </c>
      <c r="L2870" t="s">
        <v>85</v>
      </c>
      <c r="M2870" t="s">
        <v>86</v>
      </c>
      <c r="N2870">
        <v>3</v>
      </c>
      <c r="O2870" s="1">
        <v>44223.408206018517</v>
      </c>
      <c r="P2870" s="1">
        <v>44223.520335648151</v>
      </c>
      <c r="Q2870">
        <v>8511</v>
      </c>
      <c r="R2870">
        <v>1177</v>
      </c>
      <c r="S2870" t="b">
        <v>0</v>
      </c>
      <c r="T2870" t="s">
        <v>87</v>
      </c>
      <c r="U2870" t="b">
        <v>0</v>
      </c>
      <c r="V2870" t="s">
        <v>88</v>
      </c>
      <c r="W2870" s="1">
        <v>44223.426388888889</v>
      </c>
      <c r="X2870">
        <v>774</v>
      </c>
      <c r="Y2870">
        <v>52</v>
      </c>
      <c r="Z2870">
        <v>0</v>
      </c>
      <c r="AA2870">
        <v>52</v>
      </c>
      <c r="AB2870">
        <v>0</v>
      </c>
      <c r="AC2870">
        <v>35</v>
      </c>
      <c r="AD2870">
        <v>14</v>
      </c>
      <c r="AE2870">
        <v>0</v>
      </c>
      <c r="AF2870">
        <v>0</v>
      </c>
      <c r="AG2870">
        <v>0</v>
      </c>
      <c r="AH2870" t="s">
        <v>94</v>
      </c>
      <c r="AI2870" s="1">
        <v>44223.4684837963</v>
      </c>
      <c r="AJ2870">
        <v>372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14</v>
      </c>
      <c r="AQ2870">
        <v>0</v>
      </c>
      <c r="AR2870">
        <v>0</v>
      </c>
      <c r="AS2870">
        <v>0</v>
      </c>
      <c r="AT2870" t="s">
        <v>90</v>
      </c>
      <c r="AU2870" s="1">
        <v>44223.520335648151</v>
      </c>
      <c r="AV2870">
        <v>31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14</v>
      </c>
      <c r="BC2870">
        <v>0</v>
      </c>
      <c r="BD2870">
        <v>0</v>
      </c>
      <c r="BE2870">
        <v>0</v>
      </c>
    </row>
    <row r="2871" spans="1:57" x14ac:dyDescent="0.45">
      <c r="A2871" t="s">
        <v>6812</v>
      </c>
      <c r="B2871" t="s">
        <v>79</v>
      </c>
      <c r="C2871" t="s">
        <v>5508</v>
      </c>
      <c r="D2871" t="s">
        <v>81</v>
      </c>
      <c r="E2871" s="2" t="str">
        <f>HYPERLINK("capsilon://?command=openfolder&amp;siteaddress=FAM.docvelocity-na8.net&amp;folderid=FXA8A6C592-70E0-096E-4EE8-A50FA790BFAC","FX21019889")</f>
        <v>FX21019889</v>
      </c>
      <c r="F2871" t="s">
        <v>19</v>
      </c>
      <c r="G2871" t="s">
        <v>19</v>
      </c>
      <c r="H2871" t="s">
        <v>82</v>
      </c>
      <c r="I2871" t="s">
        <v>6813</v>
      </c>
      <c r="J2871">
        <v>66</v>
      </c>
      <c r="K2871" t="s">
        <v>84</v>
      </c>
      <c r="L2871" t="s">
        <v>85</v>
      </c>
      <c r="M2871" t="s">
        <v>86</v>
      </c>
      <c r="N2871">
        <v>3</v>
      </c>
      <c r="O2871" s="1">
        <v>44223.410555555558</v>
      </c>
      <c r="P2871" s="1">
        <v>44223.520428240743</v>
      </c>
      <c r="Q2871">
        <v>8785</v>
      </c>
      <c r="R2871">
        <v>708</v>
      </c>
      <c r="S2871" t="b">
        <v>0</v>
      </c>
      <c r="T2871" t="s">
        <v>87</v>
      </c>
      <c r="U2871" t="b">
        <v>0</v>
      </c>
      <c r="V2871" t="s">
        <v>105</v>
      </c>
      <c r="W2871" s="1">
        <v>44223.426631944443</v>
      </c>
      <c r="X2871">
        <v>566</v>
      </c>
      <c r="Y2871">
        <v>52</v>
      </c>
      <c r="Z2871">
        <v>0</v>
      </c>
      <c r="AA2871">
        <v>52</v>
      </c>
      <c r="AB2871">
        <v>0</v>
      </c>
      <c r="AC2871">
        <v>39</v>
      </c>
      <c r="AD2871">
        <v>14</v>
      </c>
      <c r="AE2871">
        <v>0</v>
      </c>
      <c r="AF2871">
        <v>0</v>
      </c>
      <c r="AG2871">
        <v>0</v>
      </c>
      <c r="AH2871" t="s">
        <v>128</v>
      </c>
      <c r="AI2871" s="1">
        <v>44223.466319444444</v>
      </c>
      <c r="AJ2871">
        <v>135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14</v>
      </c>
      <c r="AQ2871">
        <v>0</v>
      </c>
      <c r="AR2871">
        <v>0</v>
      </c>
      <c r="AS2871">
        <v>0</v>
      </c>
      <c r="AT2871" t="s">
        <v>90</v>
      </c>
      <c r="AU2871" s="1">
        <v>44223.520428240743</v>
      </c>
      <c r="AV2871">
        <v>7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14</v>
      </c>
      <c r="BC2871">
        <v>0</v>
      </c>
      <c r="BD2871">
        <v>0</v>
      </c>
      <c r="BE2871">
        <v>0</v>
      </c>
    </row>
    <row r="2872" spans="1:57" x14ac:dyDescent="0.45">
      <c r="A2872" t="s">
        <v>6814</v>
      </c>
      <c r="B2872" t="s">
        <v>79</v>
      </c>
      <c r="C2872" t="s">
        <v>1564</v>
      </c>
      <c r="D2872" t="s">
        <v>81</v>
      </c>
      <c r="E2872" s="2" t="str">
        <f>HYPERLINK("capsilon://?command=openfolder&amp;siteaddress=FAM.docvelocity-na8.net&amp;folderid=FX97EE5169-BEC0-54C7-C13A-1DF0F2144E3F","FX21013739")</f>
        <v>FX21013739</v>
      </c>
      <c r="F2872" t="s">
        <v>19</v>
      </c>
      <c r="G2872" t="s">
        <v>19</v>
      </c>
      <c r="H2872" t="s">
        <v>82</v>
      </c>
      <c r="I2872" t="s">
        <v>6815</v>
      </c>
      <c r="J2872">
        <v>38</v>
      </c>
      <c r="K2872" t="s">
        <v>84</v>
      </c>
      <c r="L2872" t="s">
        <v>85</v>
      </c>
      <c r="M2872" t="s">
        <v>86</v>
      </c>
      <c r="N2872">
        <v>3</v>
      </c>
      <c r="O2872" s="1">
        <v>44223.411805555559</v>
      </c>
      <c r="P2872" s="1">
        <v>44223.520509259259</v>
      </c>
      <c r="Q2872">
        <v>8686</v>
      </c>
      <c r="R2872">
        <v>706</v>
      </c>
      <c r="S2872" t="b">
        <v>0</v>
      </c>
      <c r="T2872" t="s">
        <v>87</v>
      </c>
      <c r="U2872" t="b">
        <v>0</v>
      </c>
      <c r="V2872" t="s">
        <v>112</v>
      </c>
      <c r="W2872" s="1">
        <v>44223.426747685182</v>
      </c>
      <c r="X2872">
        <v>574</v>
      </c>
      <c r="Y2872">
        <v>37</v>
      </c>
      <c r="Z2872">
        <v>0</v>
      </c>
      <c r="AA2872">
        <v>37</v>
      </c>
      <c r="AB2872">
        <v>0</v>
      </c>
      <c r="AC2872">
        <v>27</v>
      </c>
      <c r="AD2872">
        <v>1</v>
      </c>
      <c r="AE2872">
        <v>0</v>
      </c>
      <c r="AF2872">
        <v>0</v>
      </c>
      <c r="AG2872">
        <v>0</v>
      </c>
      <c r="AH2872" t="s">
        <v>128</v>
      </c>
      <c r="AI2872" s="1">
        <v>44223.467789351853</v>
      </c>
      <c r="AJ2872">
        <v>126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 t="s">
        <v>90</v>
      </c>
      <c r="AU2872" s="1">
        <v>44223.520509259259</v>
      </c>
      <c r="AV2872">
        <v>6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1</v>
      </c>
      <c r="BC2872">
        <v>0</v>
      </c>
      <c r="BD2872">
        <v>0</v>
      </c>
      <c r="BE2872">
        <v>0</v>
      </c>
    </row>
    <row r="2873" spans="1:57" x14ac:dyDescent="0.45">
      <c r="A2873" t="s">
        <v>6816</v>
      </c>
      <c r="B2873" t="s">
        <v>79</v>
      </c>
      <c r="C2873" t="s">
        <v>6801</v>
      </c>
      <c r="D2873" t="s">
        <v>81</v>
      </c>
      <c r="E2873" s="2" t="str">
        <f>HYPERLINK("capsilon://?command=openfolder&amp;siteaddress=FAM.docvelocity-na8.net&amp;folderid=FXF7A9ED9A-9232-AE26-F5D4-EA177326F1D0","FX210114193")</f>
        <v>FX210114193</v>
      </c>
      <c r="F2873" t="s">
        <v>19</v>
      </c>
      <c r="G2873" t="s">
        <v>19</v>
      </c>
      <c r="H2873" t="s">
        <v>82</v>
      </c>
      <c r="I2873" t="s">
        <v>6802</v>
      </c>
      <c r="J2873">
        <v>52</v>
      </c>
      <c r="K2873" t="s">
        <v>84</v>
      </c>
      <c r="L2873" t="s">
        <v>85</v>
      </c>
      <c r="M2873" t="s">
        <v>86</v>
      </c>
      <c r="N2873">
        <v>3</v>
      </c>
      <c r="O2873" s="1">
        <v>44223.412847222222</v>
      </c>
      <c r="P2873" s="1">
        <v>44223.514467592591</v>
      </c>
      <c r="Q2873">
        <v>2581</v>
      </c>
      <c r="R2873">
        <v>6199</v>
      </c>
      <c r="S2873" t="b">
        <v>0</v>
      </c>
      <c r="T2873" t="s">
        <v>87</v>
      </c>
      <c r="U2873" t="b">
        <v>1</v>
      </c>
      <c r="V2873" t="s">
        <v>98</v>
      </c>
      <c r="W2873" s="1">
        <v>44223.457604166666</v>
      </c>
      <c r="X2873">
        <v>3653</v>
      </c>
      <c r="Y2873">
        <v>101</v>
      </c>
      <c r="Z2873">
        <v>0</v>
      </c>
      <c r="AA2873">
        <v>101</v>
      </c>
      <c r="AB2873">
        <v>37</v>
      </c>
      <c r="AC2873">
        <v>76</v>
      </c>
      <c r="AD2873">
        <v>-49</v>
      </c>
      <c r="AE2873">
        <v>0</v>
      </c>
      <c r="AF2873">
        <v>0</v>
      </c>
      <c r="AG2873">
        <v>0</v>
      </c>
      <c r="AH2873" t="s">
        <v>89</v>
      </c>
      <c r="AI2873" s="1">
        <v>44223.487638888888</v>
      </c>
      <c r="AJ2873">
        <v>2534</v>
      </c>
      <c r="AK2873">
        <v>0</v>
      </c>
      <c r="AL2873">
        <v>0</v>
      </c>
      <c r="AM2873">
        <v>0</v>
      </c>
      <c r="AN2873">
        <v>37</v>
      </c>
      <c r="AO2873">
        <v>0</v>
      </c>
      <c r="AP2873">
        <v>-49</v>
      </c>
      <c r="AQ2873">
        <v>0</v>
      </c>
      <c r="AR2873">
        <v>0</v>
      </c>
      <c r="AS2873">
        <v>0</v>
      </c>
      <c r="AT2873" t="s">
        <v>90</v>
      </c>
      <c r="AU2873" s="1">
        <v>44223.514467592591</v>
      </c>
      <c r="AV2873">
        <v>12</v>
      </c>
      <c r="AW2873">
        <v>0</v>
      </c>
      <c r="AX2873">
        <v>0</v>
      </c>
      <c r="AY2873">
        <v>0</v>
      </c>
      <c r="AZ2873">
        <v>37</v>
      </c>
      <c r="BA2873">
        <v>0</v>
      </c>
      <c r="BB2873">
        <v>-49</v>
      </c>
      <c r="BC2873">
        <v>0</v>
      </c>
      <c r="BD2873">
        <v>0</v>
      </c>
      <c r="BE2873">
        <v>0</v>
      </c>
    </row>
    <row r="2874" spans="1:57" x14ac:dyDescent="0.45">
      <c r="A2874" t="s">
        <v>6817</v>
      </c>
      <c r="B2874" t="s">
        <v>79</v>
      </c>
      <c r="C2874" t="s">
        <v>6818</v>
      </c>
      <c r="D2874" t="s">
        <v>81</v>
      </c>
      <c r="E2874" s="2" t="str">
        <f>HYPERLINK("capsilon://?command=openfolder&amp;siteaddress=FAM.docvelocity-na8.net&amp;folderid=FX12BFE0C7-B0CC-56FA-0B62-13198B5F117D","FX210117905")</f>
        <v>FX210117905</v>
      </c>
      <c r="F2874" t="s">
        <v>19</v>
      </c>
      <c r="G2874" t="s">
        <v>19</v>
      </c>
      <c r="H2874" t="s">
        <v>82</v>
      </c>
      <c r="I2874" t="s">
        <v>6819</v>
      </c>
      <c r="J2874">
        <v>90</v>
      </c>
      <c r="K2874" t="s">
        <v>84</v>
      </c>
      <c r="L2874" t="s">
        <v>85</v>
      </c>
      <c r="M2874" t="s">
        <v>86</v>
      </c>
      <c r="N2874">
        <v>3</v>
      </c>
      <c r="O2874" s="1">
        <v>44223.419502314813</v>
      </c>
      <c r="P2874" s="1">
        <v>44223.520601851851</v>
      </c>
      <c r="Q2874">
        <v>6859</v>
      </c>
      <c r="R2874">
        <v>1876</v>
      </c>
      <c r="S2874" t="b">
        <v>0</v>
      </c>
      <c r="T2874" t="s">
        <v>87</v>
      </c>
      <c r="U2874" t="b">
        <v>0</v>
      </c>
      <c r="V2874" t="s">
        <v>88</v>
      </c>
      <c r="W2874" s="1">
        <v>44223.44321759259</v>
      </c>
      <c r="X2874">
        <v>1453</v>
      </c>
      <c r="Y2874">
        <v>79</v>
      </c>
      <c r="Z2874">
        <v>0</v>
      </c>
      <c r="AA2874">
        <v>79</v>
      </c>
      <c r="AB2874">
        <v>0</v>
      </c>
      <c r="AC2874">
        <v>44</v>
      </c>
      <c r="AD2874">
        <v>11</v>
      </c>
      <c r="AE2874">
        <v>0</v>
      </c>
      <c r="AF2874">
        <v>0</v>
      </c>
      <c r="AG2874">
        <v>0</v>
      </c>
      <c r="AH2874" t="s">
        <v>108</v>
      </c>
      <c r="AI2874" s="1">
        <v>44223.471261574072</v>
      </c>
      <c r="AJ2874">
        <v>416</v>
      </c>
      <c r="AK2874">
        <v>3</v>
      </c>
      <c r="AL2874">
        <v>0</v>
      </c>
      <c r="AM2874">
        <v>3</v>
      </c>
      <c r="AN2874">
        <v>0</v>
      </c>
      <c r="AO2874">
        <v>1</v>
      </c>
      <c r="AP2874">
        <v>8</v>
      </c>
      <c r="AQ2874">
        <v>0</v>
      </c>
      <c r="AR2874">
        <v>0</v>
      </c>
      <c r="AS2874">
        <v>0</v>
      </c>
      <c r="AT2874" t="s">
        <v>90</v>
      </c>
      <c r="AU2874" s="1">
        <v>44223.520601851851</v>
      </c>
      <c r="AV2874">
        <v>7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8</v>
      </c>
      <c r="BC2874">
        <v>0</v>
      </c>
      <c r="BD2874">
        <v>0</v>
      </c>
      <c r="BE2874">
        <v>0</v>
      </c>
    </row>
    <row r="2875" spans="1:57" x14ac:dyDescent="0.45">
      <c r="A2875" t="s">
        <v>6820</v>
      </c>
      <c r="B2875" t="s">
        <v>79</v>
      </c>
      <c r="C2875" t="s">
        <v>6821</v>
      </c>
      <c r="D2875" t="s">
        <v>81</v>
      </c>
      <c r="E2875" s="2" t="str">
        <f>HYPERLINK("capsilon://?command=openfolder&amp;siteaddress=FAM.docvelocity-na8.net&amp;folderid=FX3DD65228-3519-E63B-D296-D40A38530D3A","FX20127671")</f>
        <v>FX20127671</v>
      </c>
      <c r="F2875" t="s">
        <v>19</v>
      </c>
      <c r="G2875" t="s">
        <v>19</v>
      </c>
      <c r="H2875" t="s">
        <v>82</v>
      </c>
      <c r="I2875" t="s">
        <v>6822</v>
      </c>
      <c r="J2875">
        <v>192</v>
      </c>
      <c r="K2875" t="s">
        <v>84</v>
      </c>
      <c r="L2875" t="s">
        <v>85</v>
      </c>
      <c r="M2875" t="s">
        <v>86</v>
      </c>
      <c r="N2875">
        <v>3</v>
      </c>
      <c r="O2875" s="1">
        <v>44223.428252314814</v>
      </c>
      <c r="P2875" s="1">
        <v>44223.521435185183</v>
      </c>
      <c r="Q2875">
        <v>4365</v>
      </c>
      <c r="R2875">
        <v>3686</v>
      </c>
      <c r="S2875" t="b">
        <v>0</v>
      </c>
      <c r="T2875" t="s">
        <v>87</v>
      </c>
      <c r="U2875" t="b">
        <v>0</v>
      </c>
      <c r="V2875" t="s">
        <v>105</v>
      </c>
      <c r="W2875" s="1">
        <v>44223.464085648149</v>
      </c>
      <c r="X2875">
        <v>2984</v>
      </c>
      <c r="Y2875">
        <v>212</v>
      </c>
      <c r="Z2875">
        <v>0</v>
      </c>
      <c r="AA2875">
        <v>212</v>
      </c>
      <c r="AB2875">
        <v>0</v>
      </c>
      <c r="AC2875">
        <v>127</v>
      </c>
      <c r="AD2875">
        <v>-20</v>
      </c>
      <c r="AE2875">
        <v>0</v>
      </c>
      <c r="AF2875">
        <v>0</v>
      </c>
      <c r="AG2875">
        <v>0</v>
      </c>
      <c r="AH2875" t="s">
        <v>128</v>
      </c>
      <c r="AI2875" s="1">
        <v>44223.475104166668</v>
      </c>
      <c r="AJ2875">
        <v>631</v>
      </c>
      <c r="AK2875">
        <v>1</v>
      </c>
      <c r="AL2875">
        <v>0</v>
      </c>
      <c r="AM2875">
        <v>1</v>
      </c>
      <c r="AN2875">
        <v>0</v>
      </c>
      <c r="AO2875">
        <v>2</v>
      </c>
      <c r="AP2875">
        <v>-21</v>
      </c>
      <c r="AQ2875">
        <v>0</v>
      </c>
      <c r="AR2875">
        <v>0</v>
      </c>
      <c r="AS2875">
        <v>0</v>
      </c>
      <c r="AT2875" t="s">
        <v>90</v>
      </c>
      <c r="AU2875" s="1">
        <v>44223.521435185183</v>
      </c>
      <c r="AV2875">
        <v>71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-21</v>
      </c>
      <c r="BC2875">
        <v>0</v>
      </c>
      <c r="BD2875">
        <v>0</v>
      </c>
      <c r="BE2875">
        <v>0</v>
      </c>
    </row>
    <row r="2876" spans="1:57" x14ac:dyDescent="0.45">
      <c r="A2876" t="s">
        <v>6823</v>
      </c>
      <c r="B2876" t="s">
        <v>79</v>
      </c>
      <c r="C2876" t="s">
        <v>6824</v>
      </c>
      <c r="D2876" t="s">
        <v>81</v>
      </c>
      <c r="E2876" s="2" t="str">
        <f>HYPERLINK("capsilon://?command=openfolder&amp;siteaddress=FAM.docvelocity-na8.net&amp;folderid=FX72404B18-3356-3924-EE9A-8094A43DDBBE","FX21018677")</f>
        <v>FX21018677</v>
      </c>
      <c r="F2876" t="s">
        <v>19</v>
      </c>
      <c r="G2876" t="s">
        <v>19</v>
      </c>
      <c r="H2876" t="s">
        <v>82</v>
      </c>
      <c r="I2876" t="s">
        <v>6825</v>
      </c>
      <c r="J2876">
        <v>384</v>
      </c>
      <c r="K2876" t="s">
        <v>84</v>
      </c>
      <c r="L2876" t="s">
        <v>85</v>
      </c>
      <c r="M2876" t="s">
        <v>86</v>
      </c>
      <c r="N2876">
        <v>3</v>
      </c>
      <c r="O2876" s="1">
        <v>44223.429456018515</v>
      </c>
      <c r="P2876" s="1">
        <v>44223.523472222223</v>
      </c>
      <c r="Q2876">
        <v>3254</v>
      </c>
      <c r="R2876">
        <v>4869</v>
      </c>
      <c r="S2876" t="b">
        <v>0</v>
      </c>
      <c r="T2876" t="s">
        <v>87</v>
      </c>
      <c r="U2876" t="b">
        <v>0</v>
      </c>
      <c r="V2876" t="s">
        <v>919</v>
      </c>
      <c r="W2876" s="1">
        <v>44223.470011574071</v>
      </c>
      <c r="X2876">
        <v>3225</v>
      </c>
      <c r="Y2876">
        <v>294</v>
      </c>
      <c r="Z2876">
        <v>0</v>
      </c>
      <c r="AA2876">
        <v>294</v>
      </c>
      <c r="AB2876">
        <v>0</v>
      </c>
      <c r="AC2876">
        <v>54</v>
      </c>
      <c r="AD2876">
        <v>90</v>
      </c>
      <c r="AE2876">
        <v>0</v>
      </c>
      <c r="AF2876">
        <v>0</v>
      </c>
      <c r="AG2876">
        <v>0</v>
      </c>
      <c r="AH2876" t="s">
        <v>108</v>
      </c>
      <c r="AI2876" s="1">
        <v>44223.488125000003</v>
      </c>
      <c r="AJ2876">
        <v>1456</v>
      </c>
      <c r="AK2876">
        <v>2</v>
      </c>
      <c r="AL2876">
        <v>0</v>
      </c>
      <c r="AM2876">
        <v>2</v>
      </c>
      <c r="AN2876">
        <v>0</v>
      </c>
      <c r="AO2876">
        <v>1</v>
      </c>
      <c r="AP2876">
        <v>88</v>
      </c>
      <c r="AQ2876">
        <v>0</v>
      </c>
      <c r="AR2876">
        <v>0</v>
      </c>
      <c r="AS2876">
        <v>0</v>
      </c>
      <c r="AT2876" t="s">
        <v>90</v>
      </c>
      <c r="AU2876" s="1">
        <v>44223.523472222223</v>
      </c>
      <c r="AV2876">
        <v>175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88</v>
      </c>
      <c r="BC2876">
        <v>0</v>
      </c>
      <c r="BD2876">
        <v>0</v>
      </c>
      <c r="BE2876">
        <v>0</v>
      </c>
    </row>
    <row r="2877" spans="1:57" hidden="1" x14ac:dyDescent="0.45">
      <c r="A2877" t="s">
        <v>6826</v>
      </c>
      <c r="B2877" t="s">
        <v>79</v>
      </c>
      <c r="C2877" t="s">
        <v>1498</v>
      </c>
      <c r="D2877" t="s">
        <v>81</v>
      </c>
      <c r="E2877" s="2" t="str">
        <f>HYPERLINK("capsilon://?command=openfolder&amp;siteaddress=FAM.docvelocity-na8.net&amp;folderid=FX6683042E-91D2-38EA-5F27-E9686FF7C5E3","FX201224094")</f>
        <v>FX201224094</v>
      </c>
      <c r="F2877" t="s">
        <v>19</v>
      </c>
      <c r="G2877" t="s">
        <v>19</v>
      </c>
      <c r="H2877" t="s">
        <v>82</v>
      </c>
      <c r="I2877" t="s">
        <v>6827</v>
      </c>
      <c r="J2877">
        <v>66</v>
      </c>
      <c r="K2877" t="s">
        <v>84</v>
      </c>
      <c r="L2877" t="s">
        <v>85</v>
      </c>
      <c r="M2877" t="s">
        <v>86</v>
      </c>
      <c r="N2877">
        <v>3</v>
      </c>
      <c r="O2877" s="1">
        <v>44223.436898148146</v>
      </c>
      <c r="P2877" s="1">
        <v>44223.523506944446</v>
      </c>
      <c r="Q2877">
        <v>7155</v>
      </c>
      <c r="R2877">
        <v>328</v>
      </c>
      <c r="S2877" t="b">
        <v>0</v>
      </c>
      <c r="T2877" t="s">
        <v>87</v>
      </c>
      <c r="U2877" t="b">
        <v>0</v>
      </c>
      <c r="V2877" t="s">
        <v>146</v>
      </c>
      <c r="W2877" s="1">
        <v>44223.441932870373</v>
      </c>
      <c r="X2877">
        <v>199</v>
      </c>
      <c r="Y2877">
        <v>0</v>
      </c>
      <c r="Z2877">
        <v>0</v>
      </c>
      <c r="AA2877">
        <v>0</v>
      </c>
      <c r="AB2877">
        <v>52</v>
      </c>
      <c r="AC2877">
        <v>0</v>
      </c>
      <c r="AD2877">
        <v>66</v>
      </c>
      <c r="AE2877">
        <v>0</v>
      </c>
      <c r="AF2877">
        <v>0</v>
      </c>
      <c r="AG2877">
        <v>0</v>
      </c>
      <c r="AH2877" t="s">
        <v>94</v>
      </c>
      <c r="AI2877" s="1">
        <v>44223.469953703701</v>
      </c>
      <c r="AJ2877">
        <v>126</v>
      </c>
      <c r="AK2877">
        <v>0</v>
      </c>
      <c r="AL2877">
        <v>0</v>
      </c>
      <c r="AM2877">
        <v>0</v>
      </c>
      <c r="AN2877">
        <v>52</v>
      </c>
      <c r="AO2877">
        <v>0</v>
      </c>
      <c r="AP2877">
        <v>66</v>
      </c>
      <c r="AQ2877">
        <v>0</v>
      </c>
      <c r="AR2877">
        <v>0</v>
      </c>
      <c r="AS2877">
        <v>0</v>
      </c>
      <c r="AT2877" t="s">
        <v>90</v>
      </c>
      <c r="AU2877" s="1">
        <v>44223.523506944446</v>
      </c>
      <c r="AV2877">
        <v>3</v>
      </c>
      <c r="AW2877">
        <v>0</v>
      </c>
      <c r="AX2877">
        <v>0</v>
      </c>
      <c r="AY2877">
        <v>0</v>
      </c>
      <c r="AZ2877">
        <v>52</v>
      </c>
      <c r="BA2877">
        <v>0</v>
      </c>
      <c r="BB2877">
        <v>66</v>
      </c>
      <c r="BC2877">
        <v>0</v>
      </c>
      <c r="BD2877">
        <v>0</v>
      </c>
      <c r="BE2877">
        <v>0</v>
      </c>
    </row>
    <row r="2878" spans="1:57" hidden="1" x14ac:dyDescent="0.45">
      <c r="A2878" t="s">
        <v>6828</v>
      </c>
      <c r="B2878" t="s">
        <v>79</v>
      </c>
      <c r="C2878" t="s">
        <v>1182</v>
      </c>
      <c r="D2878" t="s">
        <v>81</v>
      </c>
      <c r="E2878" s="2" t="str">
        <f>HYPERLINK("capsilon://?command=openfolder&amp;siteaddress=FAM.docvelocity-na8.net&amp;folderid=FX78729419-D15C-44C3-F26D-44F0BF5DE1D7","FX20115191")</f>
        <v>FX20115191</v>
      </c>
      <c r="F2878" t="s">
        <v>19</v>
      </c>
      <c r="G2878" t="s">
        <v>19</v>
      </c>
      <c r="H2878" t="s">
        <v>82</v>
      </c>
      <c r="I2878" t="s">
        <v>6829</v>
      </c>
      <c r="J2878">
        <v>66</v>
      </c>
      <c r="K2878" t="s">
        <v>84</v>
      </c>
      <c r="L2878" t="s">
        <v>85</v>
      </c>
      <c r="M2878" t="s">
        <v>86</v>
      </c>
      <c r="N2878">
        <v>3</v>
      </c>
      <c r="O2878" s="1">
        <v>44223.439780092594</v>
      </c>
      <c r="P2878" s="1">
        <v>44223.523541666669</v>
      </c>
      <c r="Q2878">
        <v>7011</v>
      </c>
      <c r="R2878">
        <v>226</v>
      </c>
      <c r="S2878" t="b">
        <v>0</v>
      </c>
      <c r="T2878" t="s">
        <v>87</v>
      </c>
      <c r="U2878" t="b">
        <v>0</v>
      </c>
      <c r="V2878" t="s">
        <v>112</v>
      </c>
      <c r="W2878" s="1">
        <v>44223.441828703704</v>
      </c>
      <c r="X2878">
        <v>167</v>
      </c>
      <c r="Y2878">
        <v>0</v>
      </c>
      <c r="Z2878">
        <v>0</v>
      </c>
      <c r="AA2878">
        <v>0</v>
      </c>
      <c r="AB2878">
        <v>52</v>
      </c>
      <c r="AC2878">
        <v>0</v>
      </c>
      <c r="AD2878">
        <v>66</v>
      </c>
      <c r="AE2878">
        <v>0</v>
      </c>
      <c r="AF2878">
        <v>0</v>
      </c>
      <c r="AG2878">
        <v>0</v>
      </c>
      <c r="AH2878" t="s">
        <v>94</v>
      </c>
      <c r="AI2878" s="1">
        <v>44223.470613425925</v>
      </c>
      <c r="AJ2878">
        <v>56</v>
      </c>
      <c r="AK2878">
        <v>0</v>
      </c>
      <c r="AL2878">
        <v>0</v>
      </c>
      <c r="AM2878">
        <v>0</v>
      </c>
      <c r="AN2878">
        <v>52</v>
      </c>
      <c r="AO2878">
        <v>0</v>
      </c>
      <c r="AP2878">
        <v>66</v>
      </c>
      <c r="AQ2878">
        <v>0</v>
      </c>
      <c r="AR2878">
        <v>0</v>
      </c>
      <c r="AS2878">
        <v>0</v>
      </c>
      <c r="AT2878" t="s">
        <v>90</v>
      </c>
      <c r="AU2878" s="1">
        <v>44223.523541666669</v>
      </c>
      <c r="AV2878">
        <v>3</v>
      </c>
      <c r="AW2878">
        <v>0</v>
      </c>
      <c r="AX2878">
        <v>0</v>
      </c>
      <c r="AY2878">
        <v>0</v>
      </c>
      <c r="AZ2878">
        <v>52</v>
      </c>
      <c r="BA2878">
        <v>0</v>
      </c>
      <c r="BB2878">
        <v>66</v>
      </c>
      <c r="BC2878">
        <v>0</v>
      </c>
      <c r="BD2878">
        <v>0</v>
      </c>
      <c r="BE2878">
        <v>0</v>
      </c>
    </row>
    <row r="2879" spans="1:57" x14ac:dyDescent="0.45">
      <c r="A2879" t="s">
        <v>6830</v>
      </c>
      <c r="B2879" t="s">
        <v>79</v>
      </c>
      <c r="C2879" t="s">
        <v>6831</v>
      </c>
      <c r="D2879" t="s">
        <v>81</v>
      </c>
      <c r="E2879" s="2" t="str">
        <f>HYPERLINK("capsilon://?command=openfolder&amp;siteaddress=FAM.docvelocity-na8.net&amp;folderid=FX0F8DE6C4-D229-F72D-48F9-F7FFA0A75199","FX2012441")</f>
        <v>FX2012441</v>
      </c>
      <c r="F2879" t="s">
        <v>19</v>
      </c>
      <c r="G2879" t="s">
        <v>19</v>
      </c>
      <c r="H2879" t="s">
        <v>82</v>
      </c>
      <c r="I2879" t="s">
        <v>6832</v>
      </c>
      <c r="J2879">
        <v>45</v>
      </c>
      <c r="K2879" t="s">
        <v>84</v>
      </c>
      <c r="L2879" t="s">
        <v>85</v>
      </c>
      <c r="M2879" t="s">
        <v>86</v>
      </c>
      <c r="N2879">
        <v>3</v>
      </c>
      <c r="O2879" s="1">
        <v>44223.445462962962</v>
      </c>
      <c r="P2879" s="1">
        <v>44223.523726851854</v>
      </c>
      <c r="Q2879">
        <v>5171</v>
      </c>
      <c r="R2879">
        <v>1591</v>
      </c>
      <c r="S2879" t="b">
        <v>0</v>
      </c>
      <c r="T2879" t="s">
        <v>87</v>
      </c>
      <c r="U2879" t="b">
        <v>0</v>
      </c>
      <c r="V2879" t="s">
        <v>146</v>
      </c>
      <c r="W2879" s="1">
        <v>44223.461423611108</v>
      </c>
      <c r="X2879">
        <v>1378</v>
      </c>
      <c r="Y2879">
        <v>46</v>
      </c>
      <c r="Z2879">
        <v>0</v>
      </c>
      <c r="AA2879">
        <v>46</v>
      </c>
      <c r="AB2879">
        <v>0</v>
      </c>
      <c r="AC2879">
        <v>36</v>
      </c>
      <c r="AD2879">
        <v>-1</v>
      </c>
      <c r="AE2879">
        <v>0</v>
      </c>
      <c r="AF2879">
        <v>0</v>
      </c>
      <c r="AG2879">
        <v>0</v>
      </c>
      <c r="AH2879" t="s">
        <v>128</v>
      </c>
      <c r="AI2879" s="1">
        <v>44223.477395833332</v>
      </c>
      <c r="AJ2879">
        <v>197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-1</v>
      </c>
      <c r="AQ2879">
        <v>0</v>
      </c>
      <c r="AR2879">
        <v>0</v>
      </c>
      <c r="AS2879">
        <v>0</v>
      </c>
      <c r="AT2879" t="s">
        <v>90</v>
      </c>
      <c r="AU2879" s="1">
        <v>44223.523726851854</v>
      </c>
      <c r="AV2879">
        <v>16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-1</v>
      </c>
      <c r="BC2879">
        <v>0</v>
      </c>
      <c r="BD2879">
        <v>0</v>
      </c>
      <c r="BE2879">
        <v>0</v>
      </c>
    </row>
    <row r="2880" spans="1:57" x14ac:dyDescent="0.45">
      <c r="A2880" t="s">
        <v>6833</v>
      </c>
      <c r="B2880" t="s">
        <v>79</v>
      </c>
      <c r="C2880" t="s">
        <v>6831</v>
      </c>
      <c r="D2880" t="s">
        <v>81</v>
      </c>
      <c r="E2880" s="2" t="str">
        <f>HYPERLINK("capsilon://?command=openfolder&amp;siteaddress=FAM.docvelocity-na8.net&amp;folderid=FX0F8DE6C4-D229-F72D-48F9-F7FFA0A75199","FX2012441")</f>
        <v>FX2012441</v>
      </c>
      <c r="F2880" t="s">
        <v>19</v>
      </c>
      <c r="G2880" t="s">
        <v>19</v>
      </c>
      <c r="H2880" t="s">
        <v>82</v>
      </c>
      <c r="I2880" t="s">
        <v>6834</v>
      </c>
      <c r="J2880">
        <v>49</v>
      </c>
      <c r="K2880" t="s">
        <v>84</v>
      </c>
      <c r="L2880" t="s">
        <v>85</v>
      </c>
      <c r="M2880" t="s">
        <v>86</v>
      </c>
      <c r="N2880">
        <v>3</v>
      </c>
      <c r="O2880" s="1">
        <v>44223.446226851855</v>
      </c>
      <c r="P2880" s="1">
        <v>44223.523796296293</v>
      </c>
      <c r="Q2880">
        <v>5923</v>
      </c>
      <c r="R2880">
        <v>779</v>
      </c>
      <c r="S2880" t="b">
        <v>0</v>
      </c>
      <c r="T2880" t="s">
        <v>87</v>
      </c>
      <c r="U2880" t="b">
        <v>0</v>
      </c>
      <c r="V2880" t="s">
        <v>179</v>
      </c>
      <c r="W2880" s="1">
        <v>44223.452453703707</v>
      </c>
      <c r="X2880">
        <v>537</v>
      </c>
      <c r="Y2880">
        <v>36</v>
      </c>
      <c r="Z2880">
        <v>0</v>
      </c>
      <c r="AA2880">
        <v>36</v>
      </c>
      <c r="AB2880">
        <v>0</v>
      </c>
      <c r="AC2880">
        <v>16</v>
      </c>
      <c r="AD2880">
        <v>13</v>
      </c>
      <c r="AE2880">
        <v>0</v>
      </c>
      <c r="AF2880">
        <v>0</v>
      </c>
      <c r="AG2880">
        <v>0</v>
      </c>
      <c r="AH2880" t="s">
        <v>132</v>
      </c>
      <c r="AI2880" s="1">
        <v>44223.47960648148</v>
      </c>
      <c r="AJ2880">
        <v>236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13</v>
      </c>
      <c r="AQ2880">
        <v>0</v>
      </c>
      <c r="AR2880">
        <v>0</v>
      </c>
      <c r="AS2880">
        <v>0</v>
      </c>
      <c r="AT2880" t="s">
        <v>90</v>
      </c>
      <c r="AU2880" s="1">
        <v>44223.523796296293</v>
      </c>
      <c r="AV2880">
        <v>6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13</v>
      </c>
      <c r="BC2880">
        <v>0</v>
      </c>
      <c r="BD2880">
        <v>0</v>
      </c>
      <c r="BE2880">
        <v>0</v>
      </c>
    </row>
    <row r="2881" spans="1:57" x14ac:dyDescent="0.45">
      <c r="A2881" t="s">
        <v>6835</v>
      </c>
      <c r="B2881" t="s">
        <v>79</v>
      </c>
      <c r="C2881" t="s">
        <v>6836</v>
      </c>
      <c r="D2881" t="s">
        <v>81</v>
      </c>
      <c r="E2881" s="2" t="str">
        <f>HYPERLINK("capsilon://?command=openfolder&amp;siteaddress=FAM.docvelocity-na8.net&amp;folderid=FXE885514C-EDF2-97CE-4B53-47AE2925B701","FX210115925")</f>
        <v>FX210115925</v>
      </c>
      <c r="F2881" t="s">
        <v>19</v>
      </c>
      <c r="G2881" t="s">
        <v>19</v>
      </c>
      <c r="H2881" t="s">
        <v>82</v>
      </c>
      <c r="I2881" t="s">
        <v>6837</v>
      </c>
      <c r="J2881">
        <v>231</v>
      </c>
      <c r="K2881" t="s">
        <v>84</v>
      </c>
      <c r="L2881" t="s">
        <v>85</v>
      </c>
      <c r="M2881" t="s">
        <v>86</v>
      </c>
      <c r="N2881">
        <v>3</v>
      </c>
      <c r="O2881" s="1">
        <v>44223.448009259257</v>
      </c>
      <c r="P2881" s="1">
        <v>44223.524456018517</v>
      </c>
      <c r="Q2881">
        <v>3195</v>
      </c>
      <c r="R2881">
        <v>3410</v>
      </c>
      <c r="S2881" t="b">
        <v>0</v>
      </c>
      <c r="T2881" t="s">
        <v>87</v>
      </c>
      <c r="U2881" t="b">
        <v>0</v>
      </c>
      <c r="V2881" t="s">
        <v>168</v>
      </c>
      <c r="W2881" s="1">
        <v>44223.481423611112</v>
      </c>
      <c r="X2881">
        <v>2885</v>
      </c>
      <c r="Y2881">
        <v>206</v>
      </c>
      <c r="Z2881">
        <v>0</v>
      </c>
      <c r="AA2881">
        <v>206</v>
      </c>
      <c r="AB2881">
        <v>0</v>
      </c>
      <c r="AC2881">
        <v>106</v>
      </c>
      <c r="AD2881">
        <v>25</v>
      </c>
      <c r="AE2881">
        <v>0</v>
      </c>
      <c r="AF2881">
        <v>0</v>
      </c>
      <c r="AG2881">
        <v>0</v>
      </c>
      <c r="AH2881" t="s">
        <v>132</v>
      </c>
      <c r="AI2881" s="1">
        <v>44223.488935185182</v>
      </c>
      <c r="AJ2881">
        <v>469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25</v>
      </c>
      <c r="AQ2881">
        <v>0</v>
      </c>
      <c r="AR2881">
        <v>0</v>
      </c>
      <c r="AS2881">
        <v>0</v>
      </c>
      <c r="AT2881" t="s">
        <v>90</v>
      </c>
      <c r="AU2881" s="1">
        <v>44223.524456018517</v>
      </c>
      <c r="AV2881">
        <v>56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25</v>
      </c>
      <c r="BC2881">
        <v>0</v>
      </c>
      <c r="BD2881">
        <v>0</v>
      </c>
      <c r="BE2881">
        <v>0</v>
      </c>
    </row>
    <row r="2882" spans="1:57" x14ac:dyDescent="0.45">
      <c r="A2882" t="s">
        <v>6838</v>
      </c>
      <c r="B2882" t="s">
        <v>79</v>
      </c>
      <c r="C2882" t="s">
        <v>6839</v>
      </c>
      <c r="D2882" t="s">
        <v>81</v>
      </c>
      <c r="E2882" s="2" t="str">
        <f>HYPERLINK("capsilon://?command=openfolder&amp;siteaddress=FAM.docvelocity-na8.net&amp;folderid=FXA40A99A0-F216-9BFE-43BB-EDFE15886B88","FX210117001")</f>
        <v>FX210117001</v>
      </c>
      <c r="F2882" t="s">
        <v>19</v>
      </c>
      <c r="G2882" t="s">
        <v>19</v>
      </c>
      <c r="H2882" t="s">
        <v>82</v>
      </c>
      <c r="I2882" t="s">
        <v>6840</v>
      </c>
      <c r="J2882">
        <v>180</v>
      </c>
      <c r="K2882" t="s">
        <v>84</v>
      </c>
      <c r="L2882" t="s">
        <v>85</v>
      </c>
      <c r="M2882" t="s">
        <v>86</v>
      </c>
      <c r="N2882">
        <v>3</v>
      </c>
      <c r="O2882" s="1">
        <v>44223.452199074076</v>
      </c>
      <c r="P2882" s="1">
        <v>44223.524780092594</v>
      </c>
      <c r="Q2882">
        <v>4706</v>
      </c>
      <c r="R2882">
        <v>1565</v>
      </c>
      <c r="S2882" t="b">
        <v>0</v>
      </c>
      <c r="T2882" t="s">
        <v>87</v>
      </c>
      <c r="U2882" t="b">
        <v>0</v>
      </c>
      <c r="V2882" t="s">
        <v>160</v>
      </c>
      <c r="W2882" s="1">
        <v>44223.465370370373</v>
      </c>
      <c r="X2882">
        <v>1137</v>
      </c>
      <c r="Y2882">
        <v>125</v>
      </c>
      <c r="Z2882">
        <v>0</v>
      </c>
      <c r="AA2882">
        <v>125</v>
      </c>
      <c r="AB2882">
        <v>37</v>
      </c>
      <c r="AC2882">
        <v>107</v>
      </c>
      <c r="AD2882">
        <v>55</v>
      </c>
      <c r="AE2882">
        <v>0</v>
      </c>
      <c r="AF2882">
        <v>0</v>
      </c>
      <c r="AG2882">
        <v>0</v>
      </c>
      <c r="AH2882" t="s">
        <v>128</v>
      </c>
      <c r="AI2882" s="1">
        <v>44223.484050925923</v>
      </c>
      <c r="AJ2882">
        <v>401</v>
      </c>
      <c r="AK2882">
        <v>0</v>
      </c>
      <c r="AL2882">
        <v>0</v>
      </c>
      <c r="AM2882">
        <v>0</v>
      </c>
      <c r="AN2882">
        <v>37</v>
      </c>
      <c r="AO2882">
        <v>0</v>
      </c>
      <c r="AP2882">
        <v>55</v>
      </c>
      <c r="AQ2882">
        <v>0</v>
      </c>
      <c r="AR2882">
        <v>0</v>
      </c>
      <c r="AS2882">
        <v>0</v>
      </c>
      <c r="AT2882" t="s">
        <v>90</v>
      </c>
      <c r="AU2882" s="1">
        <v>44223.524780092594</v>
      </c>
      <c r="AV2882">
        <v>27</v>
      </c>
      <c r="AW2882">
        <v>0</v>
      </c>
      <c r="AX2882">
        <v>0</v>
      </c>
      <c r="AY2882">
        <v>0</v>
      </c>
      <c r="AZ2882">
        <v>37</v>
      </c>
      <c r="BA2882">
        <v>0</v>
      </c>
      <c r="BB2882">
        <v>55</v>
      </c>
      <c r="BC2882">
        <v>0</v>
      </c>
      <c r="BD2882">
        <v>0</v>
      </c>
      <c r="BE2882">
        <v>0</v>
      </c>
    </row>
    <row r="2883" spans="1:57" x14ac:dyDescent="0.45">
      <c r="A2883" t="s">
        <v>6841</v>
      </c>
      <c r="B2883" t="s">
        <v>79</v>
      </c>
      <c r="C2883" t="s">
        <v>5077</v>
      </c>
      <c r="D2883" t="s">
        <v>81</v>
      </c>
      <c r="E2883" s="2" t="str">
        <f>HYPERLINK("capsilon://?command=openfolder&amp;siteaddress=FAM.docvelocity-na8.net&amp;folderid=FX2B15BBB9-4F1F-497C-6262-5F276803ACB2","FX210112568")</f>
        <v>FX210112568</v>
      </c>
      <c r="F2883" t="s">
        <v>19</v>
      </c>
      <c r="G2883" t="s">
        <v>19</v>
      </c>
      <c r="H2883" t="s">
        <v>82</v>
      </c>
      <c r="I2883" t="s">
        <v>6842</v>
      </c>
      <c r="J2883">
        <v>32</v>
      </c>
      <c r="K2883" t="s">
        <v>84</v>
      </c>
      <c r="L2883" t="s">
        <v>85</v>
      </c>
      <c r="M2883" t="s">
        <v>86</v>
      </c>
      <c r="N2883">
        <v>3</v>
      </c>
      <c r="O2883" s="1">
        <v>44223.452534722222</v>
      </c>
      <c r="P2883" s="1">
        <v>44223.524837962963</v>
      </c>
      <c r="Q2883">
        <v>5408</v>
      </c>
      <c r="R2883">
        <v>839</v>
      </c>
      <c r="S2883" t="b">
        <v>0</v>
      </c>
      <c r="T2883" t="s">
        <v>87</v>
      </c>
      <c r="U2883" t="b">
        <v>0</v>
      </c>
      <c r="V2883" t="s">
        <v>88</v>
      </c>
      <c r="W2883" s="1">
        <v>44223.461435185185</v>
      </c>
      <c r="X2883">
        <v>700</v>
      </c>
      <c r="Y2883">
        <v>9</v>
      </c>
      <c r="Z2883">
        <v>0</v>
      </c>
      <c r="AA2883">
        <v>9</v>
      </c>
      <c r="AB2883">
        <v>0</v>
      </c>
      <c r="AC2883">
        <v>4</v>
      </c>
      <c r="AD2883">
        <v>23</v>
      </c>
      <c r="AE2883">
        <v>0</v>
      </c>
      <c r="AF2883">
        <v>0</v>
      </c>
      <c r="AG2883">
        <v>0</v>
      </c>
      <c r="AH2883" t="s">
        <v>132</v>
      </c>
      <c r="AI2883" s="1">
        <v>44223.481180555558</v>
      </c>
      <c r="AJ2883">
        <v>135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23</v>
      </c>
      <c r="AQ2883">
        <v>0</v>
      </c>
      <c r="AR2883">
        <v>0</v>
      </c>
      <c r="AS2883">
        <v>0</v>
      </c>
      <c r="AT2883" t="s">
        <v>90</v>
      </c>
      <c r="AU2883" s="1">
        <v>44223.524837962963</v>
      </c>
      <c r="AV2883">
        <v>4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23</v>
      </c>
      <c r="BC2883">
        <v>0</v>
      </c>
      <c r="BD2883">
        <v>0</v>
      </c>
      <c r="BE2883">
        <v>0</v>
      </c>
    </row>
    <row r="2884" spans="1:57" x14ac:dyDescent="0.45">
      <c r="A2884" t="s">
        <v>6843</v>
      </c>
      <c r="B2884" t="s">
        <v>79</v>
      </c>
      <c r="C2884" t="s">
        <v>6601</v>
      </c>
      <c r="D2884" t="s">
        <v>81</v>
      </c>
      <c r="E2884" s="2" t="str">
        <f>HYPERLINK("capsilon://?command=openfolder&amp;siteaddress=FAM.docvelocity-na8.net&amp;folderid=FXCDE7FF5A-C189-EE87-9C38-A76D76ACDCD2","FX201222499")</f>
        <v>FX201222499</v>
      </c>
      <c r="F2884" t="s">
        <v>19</v>
      </c>
      <c r="G2884" t="s">
        <v>19</v>
      </c>
      <c r="H2884" t="s">
        <v>82</v>
      </c>
      <c r="I2884" t="s">
        <v>6844</v>
      </c>
      <c r="J2884">
        <v>31</v>
      </c>
      <c r="K2884" t="s">
        <v>84</v>
      </c>
      <c r="L2884" t="s">
        <v>85</v>
      </c>
      <c r="M2884" t="s">
        <v>86</v>
      </c>
      <c r="N2884">
        <v>3</v>
      </c>
      <c r="O2884" s="1">
        <v>44201.670231481483</v>
      </c>
      <c r="P2884" s="1">
        <v>44201.686226851853</v>
      </c>
      <c r="Q2884">
        <v>685</v>
      </c>
      <c r="R2884">
        <v>697</v>
      </c>
      <c r="S2884" t="b">
        <v>0</v>
      </c>
      <c r="T2884" t="s">
        <v>87</v>
      </c>
      <c r="U2884" t="b">
        <v>0</v>
      </c>
      <c r="V2884" t="s">
        <v>266</v>
      </c>
      <c r="W2884" s="1">
        <v>44201.679560185185</v>
      </c>
      <c r="X2884">
        <v>521</v>
      </c>
      <c r="Y2884">
        <v>36</v>
      </c>
      <c r="Z2884">
        <v>0</v>
      </c>
      <c r="AA2884">
        <v>36</v>
      </c>
      <c r="AB2884">
        <v>0</v>
      </c>
      <c r="AC2884">
        <v>24</v>
      </c>
      <c r="AD2884">
        <v>-5</v>
      </c>
      <c r="AE2884">
        <v>0</v>
      </c>
      <c r="AF2884">
        <v>0</v>
      </c>
      <c r="AG2884">
        <v>0</v>
      </c>
      <c r="AH2884" t="s">
        <v>267</v>
      </c>
      <c r="AI2884" s="1">
        <v>44201.685104166667</v>
      </c>
      <c r="AJ2884">
        <v>122</v>
      </c>
      <c r="AK2884">
        <v>2</v>
      </c>
      <c r="AL2884">
        <v>0</v>
      </c>
      <c r="AM2884">
        <v>2</v>
      </c>
      <c r="AN2884">
        <v>0</v>
      </c>
      <c r="AO2884">
        <v>1</v>
      </c>
      <c r="AP2884">
        <v>-7</v>
      </c>
      <c r="AQ2884">
        <v>0</v>
      </c>
      <c r="AR2884">
        <v>0</v>
      </c>
      <c r="AS2884">
        <v>0</v>
      </c>
      <c r="AT2884" t="s">
        <v>90</v>
      </c>
      <c r="AU2884" s="1">
        <v>44201.686226851853</v>
      </c>
      <c r="AV2884">
        <v>32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-7</v>
      </c>
      <c r="BC2884">
        <v>0</v>
      </c>
      <c r="BD2884">
        <v>0</v>
      </c>
      <c r="BE2884">
        <v>0</v>
      </c>
    </row>
    <row r="2885" spans="1:57" hidden="1" x14ac:dyDescent="0.45">
      <c r="A2885" t="s">
        <v>6845</v>
      </c>
      <c r="B2885" t="s">
        <v>79</v>
      </c>
      <c r="C2885" t="s">
        <v>1687</v>
      </c>
      <c r="D2885" t="s">
        <v>81</v>
      </c>
      <c r="E2885" s="2" t="str">
        <f>HYPERLINK("capsilon://?command=openfolder&amp;siteaddress=FAM.docvelocity-na8.net&amp;folderid=FX9D0E6379-6899-2BC5-C232-0029D35A94A4","FX20127757")</f>
        <v>FX20127757</v>
      </c>
      <c r="F2885" t="s">
        <v>19</v>
      </c>
      <c r="G2885" t="s">
        <v>19</v>
      </c>
      <c r="H2885" t="s">
        <v>82</v>
      </c>
      <c r="I2885" t="s">
        <v>6846</v>
      </c>
      <c r="J2885">
        <v>38</v>
      </c>
      <c r="K2885" t="s">
        <v>84</v>
      </c>
      <c r="L2885" t="s">
        <v>85</v>
      </c>
      <c r="M2885" t="s">
        <v>86</v>
      </c>
      <c r="N2885">
        <v>3</v>
      </c>
      <c r="O2885" s="1">
        <v>44223.453020833331</v>
      </c>
      <c r="P2885" s="1">
        <v>44223.524884259263</v>
      </c>
      <c r="Q2885">
        <v>6094</v>
      </c>
      <c r="R2885">
        <v>115</v>
      </c>
      <c r="S2885" t="b">
        <v>0</v>
      </c>
      <c r="T2885" t="s">
        <v>87</v>
      </c>
      <c r="U2885" t="b">
        <v>0</v>
      </c>
      <c r="V2885" t="s">
        <v>112</v>
      </c>
      <c r="W2885" s="1">
        <v>44223.454525462963</v>
      </c>
      <c r="X2885">
        <v>94</v>
      </c>
      <c r="Y2885">
        <v>0</v>
      </c>
      <c r="Z2885">
        <v>0</v>
      </c>
      <c r="AA2885">
        <v>0</v>
      </c>
      <c r="AB2885">
        <v>37</v>
      </c>
      <c r="AC2885">
        <v>0</v>
      </c>
      <c r="AD2885">
        <v>38</v>
      </c>
      <c r="AE2885">
        <v>0</v>
      </c>
      <c r="AF2885">
        <v>0</v>
      </c>
      <c r="AG2885">
        <v>0</v>
      </c>
      <c r="AH2885" t="s">
        <v>132</v>
      </c>
      <c r="AI2885" s="1">
        <v>44223.481400462966</v>
      </c>
      <c r="AJ2885">
        <v>18</v>
      </c>
      <c r="AK2885">
        <v>0</v>
      </c>
      <c r="AL2885">
        <v>0</v>
      </c>
      <c r="AM2885">
        <v>0</v>
      </c>
      <c r="AN2885">
        <v>37</v>
      </c>
      <c r="AO2885">
        <v>0</v>
      </c>
      <c r="AP2885">
        <v>38</v>
      </c>
      <c r="AQ2885">
        <v>0</v>
      </c>
      <c r="AR2885">
        <v>0</v>
      </c>
      <c r="AS2885">
        <v>0</v>
      </c>
      <c r="AT2885" t="s">
        <v>90</v>
      </c>
      <c r="AU2885" s="1">
        <v>44223.524884259263</v>
      </c>
      <c r="AV2885">
        <v>3</v>
      </c>
      <c r="AW2885">
        <v>0</v>
      </c>
      <c r="AX2885">
        <v>0</v>
      </c>
      <c r="AY2885">
        <v>0</v>
      </c>
      <c r="AZ2885">
        <v>37</v>
      </c>
      <c r="BA2885">
        <v>0</v>
      </c>
      <c r="BB2885">
        <v>38</v>
      </c>
      <c r="BC2885">
        <v>0</v>
      </c>
      <c r="BD2885">
        <v>0</v>
      </c>
      <c r="BE2885">
        <v>0</v>
      </c>
    </row>
    <row r="2886" spans="1:57" x14ac:dyDescent="0.45">
      <c r="A2886" t="s">
        <v>6847</v>
      </c>
      <c r="B2886" t="s">
        <v>79</v>
      </c>
      <c r="C2886" t="s">
        <v>6848</v>
      </c>
      <c r="D2886" t="s">
        <v>81</v>
      </c>
      <c r="E2886" s="2" t="str">
        <f>HYPERLINK("capsilon://?command=openfolder&amp;siteaddress=FAM.docvelocity-na8.net&amp;folderid=FX4A11C38F-9AE7-F919-EE30-3DAA58094C46","FX210117879")</f>
        <v>FX210117879</v>
      </c>
      <c r="F2886" t="s">
        <v>19</v>
      </c>
      <c r="G2886" t="s">
        <v>19</v>
      </c>
      <c r="H2886" t="s">
        <v>82</v>
      </c>
      <c r="I2886" t="s">
        <v>6849</v>
      </c>
      <c r="J2886">
        <v>230</v>
      </c>
      <c r="K2886" t="s">
        <v>84</v>
      </c>
      <c r="L2886" t="s">
        <v>85</v>
      </c>
      <c r="M2886" t="s">
        <v>86</v>
      </c>
      <c r="N2886">
        <v>3</v>
      </c>
      <c r="O2886" s="1">
        <v>44223.453831018516</v>
      </c>
      <c r="P2886" s="1">
        <v>44223.525902777779</v>
      </c>
      <c r="Q2886">
        <v>3044</v>
      </c>
      <c r="R2886">
        <v>3183</v>
      </c>
      <c r="S2886" t="b">
        <v>0</v>
      </c>
      <c r="T2886" t="s">
        <v>87</v>
      </c>
      <c r="U2886" t="b">
        <v>0</v>
      </c>
      <c r="V2886" t="s">
        <v>171</v>
      </c>
      <c r="W2886" s="1">
        <v>44223.482546296298</v>
      </c>
      <c r="X2886">
        <v>2480</v>
      </c>
      <c r="Y2886">
        <v>172</v>
      </c>
      <c r="Z2886">
        <v>0</v>
      </c>
      <c r="AA2886">
        <v>172</v>
      </c>
      <c r="AB2886">
        <v>0</v>
      </c>
      <c r="AC2886">
        <v>100</v>
      </c>
      <c r="AD2886">
        <v>58</v>
      </c>
      <c r="AE2886">
        <v>0</v>
      </c>
      <c r="AF2886">
        <v>0</v>
      </c>
      <c r="AG2886">
        <v>0</v>
      </c>
      <c r="AH2886" t="s">
        <v>128</v>
      </c>
      <c r="AI2886" s="1">
        <v>44223.491006944445</v>
      </c>
      <c r="AJ2886">
        <v>600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58</v>
      </c>
      <c r="AQ2886">
        <v>0</v>
      </c>
      <c r="AR2886">
        <v>0</v>
      </c>
      <c r="AS2886">
        <v>0</v>
      </c>
      <c r="AT2886" t="s">
        <v>90</v>
      </c>
      <c r="AU2886" s="1">
        <v>44223.525902777779</v>
      </c>
      <c r="AV2886">
        <v>88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58</v>
      </c>
      <c r="BC2886">
        <v>0</v>
      </c>
      <c r="BD2886">
        <v>0</v>
      </c>
      <c r="BE2886">
        <v>0</v>
      </c>
    </row>
    <row r="2887" spans="1:57" x14ac:dyDescent="0.45">
      <c r="A2887" t="s">
        <v>6850</v>
      </c>
      <c r="B2887" t="s">
        <v>79</v>
      </c>
      <c r="C2887" t="s">
        <v>6851</v>
      </c>
      <c r="D2887" t="s">
        <v>81</v>
      </c>
      <c r="E2887" s="2" t="str">
        <f>HYPERLINK("capsilon://?command=openfolder&amp;siteaddress=FAM.docvelocity-na8.net&amp;folderid=FX431475FC-A179-6EDE-8AF9-2C37289D8086","FX201222414")</f>
        <v>FX201222414</v>
      </c>
      <c r="F2887" t="s">
        <v>19</v>
      </c>
      <c r="G2887" t="s">
        <v>19</v>
      </c>
      <c r="H2887" t="s">
        <v>82</v>
      </c>
      <c r="I2887" t="s">
        <v>6852</v>
      </c>
      <c r="J2887">
        <v>66</v>
      </c>
      <c r="K2887" t="s">
        <v>84</v>
      </c>
      <c r="L2887" t="s">
        <v>85</v>
      </c>
      <c r="M2887" t="s">
        <v>86</v>
      </c>
      <c r="N2887">
        <v>3</v>
      </c>
      <c r="O2887" s="1">
        <v>44223.455335648148</v>
      </c>
      <c r="P2887" s="1">
        <v>44223.527997685182</v>
      </c>
      <c r="Q2887">
        <v>4715</v>
      </c>
      <c r="R2887">
        <v>1563</v>
      </c>
      <c r="S2887" t="b">
        <v>0</v>
      </c>
      <c r="T2887" t="s">
        <v>87</v>
      </c>
      <c r="U2887" t="b">
        <v>0</v>
      </c>
      <c r="V2887" t="s">
        <v>98</v>
      </c>
      <c r="W2887" s="1">
        <v>44223.47152777778</v>
      </c>
      <c r="X2887">
        <v>1202</v>
      </c>
      <c r="Y2887">
        <v>52</v>
      </c>
      <c r="Z2887">
        <v>0</v>
      </c>
      <c r="AA2887">
        <v>52</v>
      </c>
      <c r="AB2887">
        <v>0</v>
      </c>
      <c r="AC2887">
        <v>34</v>
      </c>
      <c r="AD2887">
        <v>14</v>
      </c>
      <c r="AE2887">
        <v>0</v>
      </c>
      <c r="AF2887">
        <v>0</v>
      </c>
      <c r="AG2887">
        <v>0</v>
      </c>
      <c r="AH2887" t="s">
        <v>132</v>
      </c>
      <c r="AI2887" s="1">
        <v>44223.483506944445</v>
      </c>
      <c r="AJ2887">
        <v>181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14</v>
      </c>
      <c r="AQ2887">
        <v>0</v>
      </c>
      <c r="AR2887">
        <v>0</v>
      </c>
      <c r="AS2887">
        <v>0</v>
      </c>
      <c r="AT2887" t="s">
        <v>90</v>
      </c>
      <c r="AU2887" s="1">
        <v>44223.527997685182</v>
      </c>
      <c r="AV2887">
        <v>180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14</v>
      </c>
      <c r="BC2887">
        <v>0</v>
      </c>
      <c r="BD2887">
        <v>0</v>
      </c>
      <c r="BE2887">
        <v>0</v>
      </c>
    </row>
    <row r="2888" spans="1:57" x14ac:dyDescent="0.45">
      <c r="A2888" t="s">
        <v>6853</v>
      </c>
      <c r="B2888" t="s">
        <v>79</v>
      </c>
      <c r="C2888" t="s">
        <v>6439</v>
      </c>
      <c r="D2888" t="s">
        <v>81</v>
      </c>
      <c r="E2888" s="2" t="str">
        <f>HYPERLINK("capsilon://?command=openfolder&amp;siteaddress=FAM.docvelocity-na8.net&amp;folderid=FX963EEE88-5B53-F5BF-C2D9-DE7388C23497","FX20122558")</f>
        <v>FX20122558</v>
      </c>
      <c r="F2888" t="s">
        <v>19</v>
      </c>
      <c r="G2888" t="s">
        <v>19</v>
      </c>
      <c r="H2888" t="s">
        <v>82</v>
      </c>
      <c r="I2888" t="s">
        <v>6854</v>
      </c>
      <c r="J2888">
        <v>38</v>
      </c>
      <c r="K2888" t="s">
        <v>84</v>
      </c>
      <c r="L2888" t="s">
        <v>85</v>
      </c>
      <c r="M2888" t="s">
        <v>86</v>
      </c>
      <c r="N2888">
        <v>3</v>
      </c>
      <c r="O2888" s="1">
        <v>44223.46166666667</v>
      </c>
      <c r="P2888" s="1">
        <v>44223.528101851851</v>
      </c>
      <c r="Q2888">
        <v>4579</v>
      </c>
      <c r="R2888">
        <v>1161</v>
      </c>
      <c r="S2888" t="b">
        <v>0</v>
      </c>
      <c r="T2888" t="s">
        <v>87</v>
      </c>
      <c r="U2888" t="b">
        <v>0</v>
      </c>
      <c r="V2888" t="s">
        <v>179</v>
      </c>
      <c r="W2888" s="1">
        <v>44223.467916666668</v>
      </c>
      <c r="X2888">
        <v>540</v>
      </c>
      <c r="Y2888">
        <v>37</v>
      </c>
      <c r="Z2888">
        <v>0</v>
      </c>
      <c r="AA2888">
        <v>37</v>
      </c>
      <c r="AB2888">
        <v>0</v>
      </c>
      <c r="AC2888">
        <v>35</v>
      </c>
      <c r="AD2888">
        <v>1</v>
      </c>
      <c r="AE2888">
        <v>0</v>
      </c>
      <c r="AF2888">
        <v>0</v>
      </c>
      <c r="AG2888">
        <v>0</v>
      </c>
      <c r="AH2888" t="s">
        <v>89</v>
      </c>
      <c r="AI2888" s="1">
        <v>44223.494733796295</v>
      </c>
      <c r="AJ2888">
        <v>612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</v>
      </c>
      <c r="AQ2888">
        <v>0</v>
      </c>
      <c r="AR2888">
        <v>0</v>
      </c>
      <c r="AS2888">
        <v>0</v>
      </c>
      <c r="AT2888" t="s">
        <v>90</v>
      </c>
      <c r="AU2888" s="1">
        <v>44223.528101851851</v>
      </c>
      <c r="AV2888">
        <v>9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0</v>
      </c>
    </row>
    <row r="2889" spans="1:57" x14ac:dyDescent="0.45">
      <c r="A2889" t="s">
        <v>6855</v>
      </c>
      <c r="B2889" t="s">
        <v>79</v>
      </c>
      <c r="C2889" t="s">
        <v>6601</v>
      </c>
      <c r="D2889" t="s">
        <v>81</v>
      </c>
      <c r="E2889" s="2" t="str">
        <f>HYPERLINK("capsilon://?command=openfolder&amp;siteaddress=FAM.docvelocity-na8.net&amp;folderid=FXCDE7FF5A-C189-EE87-9C38-A76D76ACDCD2","FX201222499")</f>
        <v>FX201222499</v>
      </c>
      <c r="F2889" t="s">
        <v>19</v>
      </c>
      <c r="G2889" t="s">
        <v>19</v>
      </c>
      <c r="H2889" t="s">
        <v>82</v>
      </c>
      <c r="I2889" t="s">
        <v>6856</v>
      </c>
      <c r="J2889">
        <v>31</v>
      </c>
      <c r="K2889" t="s">
        <v>84</v>
      </c>
      <c r="L2889" t="s">
        <v>85</v>
      </c>
      <c r="M2889" t="s">
        <v>86</v>
      </c>
      <c r="N2889">
        <v>3</v>
      </c>
      <c r="O2889" s="1">
        <v>44201.670624999999</v>
      </c>
      <c r="P2889" s="1">
        <v>44202.3516087963</v>
      </c>
      <c r="Q2889">
        <v>56236</v>
      </c>
      <c r="R2889">
        <v>2601</v>
      </c>
      <c r="S2889" t="b">
        <v>0</v>
      </c>
      <c r="T2889" t="s">
        <v>87</v>
      </c>
      <c r="U2889" t="b">
        <v>0</v>
      </c>
      <c r="V2889" t="s">
        <v>168</v>
      </c>
      <c r="W2889" s="1">
        <v>44201.706076388888</v>
      </c>
      <c r="X2889">
        <v>2071</v>
      </c>
      <c r="Y2889">
        <v>43</v>
      </c>
      <c r="Z2889">
        <v>0</v>
      </c>
      <c r="AA2889">
        <v>43</v>
      </c>
      <c r="AB2889">
        <v>0</v>
      </c>
      <c r="AC2889">
        <v>33</v>
      </c>
      <c r="AD2889">
        <v>-12</v>
      </c>
      <c r="AE2889">
        <v>0</v>
      </c>
      <c r="AF2889">
        <v>0</v>
      </c>
      <c r="AG2889">
        <v>0</v>
      </c>
      <c r="AH2889" t="s">
        <v>128</v>
      </c>
      <c r="AI2889" s="1">
        <v>44201.715578703705</v>
      </c>
      <c r="AJ2889">
        <v>349</v>
      </c>
      <c r="AK2889">
        <v>3</v>
      </c>
      <c r="AL2889">
        <v>0</v>
      </c>
      <c r="AM2889">
        <v>3</v>
      </c>
      <c r="AN2889">
        <v>0</v>
      </c>
      <c r="AO2889">
        <v>3</v>
      </c>
      <c r="AP2889">
        <v>-15</v>
      </c>
      <c r="AQ2889">
        <v>0</v>
      </c>
      <c r="AR2889">
        <v>0</v>
      </c>
      <c r="AS2889">
        <v>0</v>
      </c>
      <c r="AT2889" t="s">
        <v>90</v>
      </c>
      <c r="AU2889" s="1">
        <v>44202.3516087963</v>
      </c>
      <c r="AV2889">
        <v>69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-15</v>
      </c>
      <c r="BC2889">
        <v>0</v>
      </c>
      <c r="BD2889">
        <v>0</v>
      </c>
      <c r="BE2889">
        <v>0</v>
      </c>
    </row>
    <row r="2890" spans="1:57" hidden="1" x14ac:dyDescent="0.45">
      <c r="A2890" t="s">
        <v>6857</v>
      </c>
      <c r="B2890" t="s">
        <v>79</v>
      </c>
      <c r="C2890" t="s">
        <v>1973</v>
      </c>
      <c r="D2890" t="s">
        <v>81</v>
      </c>
      <c r="E2890" s="2" t="str">
        <f>HYPERLINK("capsilon://?command=openfolder&amp;siteaddress=FAM.docvelocity-na8.net&amp;folderid=FX19A6AD5F-D797-D493-FD2A-03E90425F4F6","FX20126346")</f>
        <v>FX20126346</v>
      </c>
      <c r="F2890" t="s">
        <v>19</v>
      </c>
      <c r="G2890" t="s">
        <v>19</v>
      </c>
      <c r="H2890" t="s">
        <v>82</v>
      </c>
      <c r="I2890" t="s">
        <v>6858</v>
      </c>
      <c r="J2890">
        <v>66</v>
      </c>
      <c r="K2890" t="s">
        <v>84</v>
      </c>
      <c r="L2890" t="s">
        <v>85</v>
      </c>
      <c r="M2890" t="s">
        <v>86</v>
      </c>
      <c r="N2890">
        <v>1</v>
      </c>
      <c r="O2890" s="1">
        <v>44223.469467592593</v>
      </c>
      <c r="P2890" s="1">
        <v>44223.471273148149</v>
      </c>
      <c r="Q2890">
        <v>1</v>
      </c>
      <c r="R2890">
        <v>155</v>
      </c>
      <c r="S2890" t="b">
        <v>0</v>
      </c>
      <c r="T2890" t="s">
        <v>87</v>
      </c>
      <c r="U2890" t="b">
        <v>0</v>
      </c>
      <c r="V2890" t="s">
        <v>179</v>
      </c>
      <c r="W2890" s="1">
        <v>44223.471273148149</v>
      </c>
      <c r="X2890">
        <v>155</v>
      </c>
      <c r="Y2890">
        <v>52</v>
      </c>
      <c r="Z2890">
        <v>0</v>
      </c>
      <c r="AA2890">
        <v>52</v>
      </c>
      <c r="AB2890">
        <v>0</v>
      </c>
      <c r="AC2890">
        <v>0</v>
      </c>
      <c r="AD2890">
        <v>14</v>
      </c>
      <c r="AE2890">
        <v>52</v>
      </c>
      <c r="AF2890">
        <v>0</v>
      </c>
      <c r="AG2890">
        <v>1</v>
      </c>
      <c r="AH2890" t="s">
        <v>87</v>
      </c>
      <c r="AI2890" t="s">
        <v>87</v>
      </c>
      <c r="AJ2890" t="s">
        <v>87</v>
      </c>
      <c r="AK2890" t="s">
        <v>87</v>
      </c>
      <c r="AL2890" t="s">
        <v>87</v>
      </c>
      <c r="AM2890" t="s">
        <v>87</v>
      </c>
      <c r="AN2890" t="s">
        <v>87</v>
      </c>
      <c r="AO2890" t="s">
        <v>87</v>
      </c>
      <c r="AP2890" t="s">
        <v>87</v>
      </c>
      <c r="AQ2890" t="s">
        <v>87</v>
      </c>
      <c r="AR2890" t="s">
        <v>87</v>
      </c>
      <c r="AS2890" t="s">
        <v>87</v>
      </c>
      <c r="AT2890" t="s">
        <v>87</v>
      </c>
      <c r="AU2890" t="s">
        <v>87</v>
      </c>
      <c r="AV2890" t="s">
        <v>87</v>
      </c>
      <c r="AW2890" t="s">
        <v>87</v>
      </c>
      <c r="AX2890" t="s">
        <v>87</v>
      </c>
      <c r="AY2890" t="s">
        <v>87</v>
      </c>
      <c r="AZ2890" t="s">
        <v>87</v>
      </c>
      <c r="BA2890" t="s">
        <v>87</v>
      </c>
      <c r="BB2890" t="s">
        <v>87</v>
      </c>
      <c r="BC2890" t="s">
        <v>87</v>
      </c>
      <c r="BD2890" t="s">
        <v>87</v>
      </c>
      <c r="BE2890" t="s">
        <v>87</v>
      </c>
    </row>
    <row r="2891" spans="1:57" x14ac:dyDescent="0.45">
      <c r="A2891" t="s">
        <v>6859</v>
      </c>
      <c r="B2891" t="s">
        <v>79</v>
      </c>
      <c r="C2891" t="s">
        <v>6860</v>
      </c>
      <c r="D2891" t="s">
        <v>81</v>
      </c>
      <c r="E2891" s="2" t="str">
        <f>HYPERLINK("capsilon://?command=openfolder&amp;siteaddress=FAM.docvelocity-na8.net&amp;folderid=FX93007108-7F46-EE9E-2DFA-F8738A9B736D","FX21016841")</f>
        <v>FX21016841</v>
      </c>
      <c r="F2891" t="s">
        <v>19</v>
      </c>
      <c r="G2891" t="s">
        <v>19</v>
      </c>
      <c r="H2891" t="s">
        <v>82</v>
      </c>
      <c r="I2891" t="s">
        <v>6861</v>
      </c>
      <c r="J2891">
        <v>286</v>
      </c>
      <c r="K2891" t="s">
        <v>84</v>
      </c>
      <c r="L2891" t="s">
        <v>85</v>
      </c>
      <c r="M2891" t="s">
        <v>86</v>
      </c>
      <c r="N2891">
        <v>3</v>
      </c>
      <c r="O2891" s="1">
        <v>44223.471504629626</v>
      </c>
      <c r="P2891" s="1">
        <v>44223.530590277776</v>
      </c>
      <c r="Q2891">
        <v>1769</v>
      </c>
      <c r="R2891">
        <v>3336</v>
      </c>
      <c r="S2891" t="b">
        <v>0</v>
      </c>
      <c r="T2891" t="s">
        <v>87</v>
      </c>
      <c r="U2891" t="b">
        <v>0</v>
      </c>
      <c r="V2891" t="s">
        <v>919</v>
      </c>
      <c r="W2891" s="1">
        <v>44223.499212962961</v>
      </c>
      <c r="X2891">
        <v>2393</v>
      </c>
      <c r="Y2891">
        <v>248</v>
      </c>
      <c r="Z2891">
        <v>0</v>
      </c>
      <c r="AA2891">
        <v>248</v>
      </c>
      <c r="AB2891">
        <v>0</v>
      </c>
      <c r="AC2891">
        <v>71</v>
      </c>
      <c r="AD2891">
        <v>38</v>
      </c>
      <c r="AE2891">
        <v>0</v>
      </c>
      <c r="AF2891">
        <v>0</v>
      </c>
      <c r="AG2891">
        <v>0</v>
      </c>
      <c r="AH2891" t="s">
        <v>128</v>
      </c>
      <c r="AI2891" s="1">
        <v>44223.509629629632</v>
      </c>
      <c r="AJ2891">
        <v>728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38</v>
      </c>
      <c r="AQ2891">
        <v>0</v>
      </c>
      <c r="AR2891">
        <v>0</v>
      </c>
      <c r="AS2891">
        <v>0</v>
      </c>
      <c r="AT2891" t="s">
        <v>90</v>
      </c>
      <c r="AU2891" s="1">
        <v>44223.530590277776</v>
      </c>
      <c r="AV2891">
        <v>215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38</v>
      </c>
      <c r="BC2891">
        <v>0</v>
      </c>
      <c r="BD2891">
        <v>0</v>
      </c>
      <c r="BE2891">
        <v>0</v>
      </c>
    </row>
    <row r="2892" spans="1:57" x14ac:dyDescent="0.45">
      <c r="A2892" t="s">
        <v>6862</v>
      </c>
      <c r="B2892" t="s">
        <v>79</v>
      </c>
      <c r="C2892" t="s">
        <v>1973</v>
      </c>
      <c r="D2892" t="s">
        <v>81</v>
      </c>
      <c r="E2892" s="2" t="str">
        <f>HYPERLINK("capsilon://?command=openfolder&amp;siteaddress=FAM.docvelocity-na8.net&amp;folderid=FX19A6AD5F-D797-D493-FD2A-03E90425F4F6","FX20126346")</f>
        <v>FX20126346</v>
      </c>
      <c r="F2892" t="s">
        <v>19</v>
      </c>
      <c r="G2892" t="s">
        <v>19</v>
      </c>
      <c r="H2892" t="s">
        <v>82</v>
      </c>
      <c r="I2892" t="s">
        <v>6858</v>
      </c>
      <c r="J2892">
        <v>38</v>
      </c>
      <c r="K2892" t="s">
        <v>84</v>
      </c>
      <c r="L2892" t="s">
        <v>85</v>
      </c>
      <c r="M2892" t="s">
        <v>86</v>
      </c>
      <c r="N2892">
        <v>3</v>
      </c>
      <c r="O2892" s="1">
        <v>44223.47152777778</v>
      </c>
      <c r="P2892" s="1">
        <v>44223.51458333333</v>
      </c>
      <c r="Q2892">
        <v>3035</v>
      </c>
      <c r="R2892">
        <v>685</v>
      </c>
      <c r="S2892" t="b">
        <v>0</v>
      </c>
      <c r="T2892" t="s">
        <v>87</v>
      </c>
      <c r="U2892" t="b">
        <v>1</v>
      </c>
      <c r="V2892" t="s">
        <v>179</v>
      </c>
      <c r="W2892" s="1">
        <v>44223.477361111109</v>
      </c>
      <c r="X2892">
        <v>504</v>
      </c>
      <c r="Y2892">
        <v>37</v>
      </c>
      <c r="Z2892">
        <v>0</v>
      </c>
      <c r="AA2892">
        <v>37</v>
      </c>
      <c r="AB2892">
        <v>0</v>
      </c>
      <c r="AC2892">
        <v>35</v>
      </c>
      <c r="AD2892">
        <v>1</v>
      </c>
      <c r="AE2892">
        <v>0</v>
      </c>
      <c r="AF2892">
        <v>0</v>
      </c>
      <c r="AG2892">
        <v>0</v>
      </c>
      <c r="AH2892" t="s">
        <v>128</v>
      </c>
      <c r="AI2892" s="1">
        <v>44223.479398148149</v>
      </c>
      <c r="AJ2892">
        <v>172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 t="s">
        <v>90</v>
      </c>
      <c r="AU2892" s="1">
        <v>44223.51458333333</v>
      </c>
      <c r="AV2892">
        <v>9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1</v>
      </c>
      <c r="BC2892">
        <v>0</v>
      </c>
      <c r="BD2892">
        <v>0</v>
      </c>
      <c r="BE2892">
        <v>0</v>
      </c>
    </row>
    <row r="2893" spans="1:57" x14ac:dyDescent="0.45">
      <c r="A2893" t="s">
        <v>6863</v>
      </c>
      <c r="B2893" t="s">
        <v>79</v>
      </c>
      <c r="C2893" t="s">
        <v>6601</v>
      </c>
      <c r="D2893" t="s">
        <v>81</v>
      </c>
      <c r="E2893" s="2" t="str">
        <f>HYPERLINK("capsilon://?command=openfolder&amp;siteaddress=FAM.docvelocity-na8.net&amp;folderid=FXCDE7FF5A-C189-EE87-9C38-A76D76ACDCD2","FX201222499")</f>
        <v>FX201222499</v>
      </c>
      <c r="F2893" t="s">
        <v>19</v>
      </c>
      <c r="G2893" t="s">
        <v>19</v>
      </c>
      <c r="H2893" t="s">
        <v>82</v>
      </c>
      <c r="I2893" t="s">
        <v>6864</v>
      </c>
      <c r="J2893">
        <v>31</v>
      </c>
      <c r="K2893" t="s">
        <v>84</v>
      </c>
      <c r="L2893" t="s">
        <v>85</v>
      </c>
      <c r="M2893" t="s">
        <v>86</v>
      </c>
      <c r="N2893">
        <v>3</v>
      </c>
      <c r="O2893" s="1">
        <v>44201.671064814815</v>
      </c>
      <c r="P2893" s="1">
        <v>44201.686516203707</v>
      </c>
      <c r="Q2893">
        <v>753</v>
      </c>
      <c r="R2893">
        <v>582</v>
      </c>
      <c r="S2893" t="b">
        <v>0</v>
      </c>
      <c r="T2893" t="s">
        <v>87</v>
      </c>
      <c r="U2893" t="b">
        <v>0</v>
      </c>
      <c r="V2893" t="s">
        <v>255</v>
      </c>
      <c r="W2893" s="1">
        <v>44201.683275462965</v>
      </c>
      <c r="X2893">
        <v>459</v>
      </c>
      <c r="Y2893">
        <v>36</v>
      </c>
      <c r="Z2893">
        <v>0</v>
      </c>
      <c r="AA2893">
        <v>36</v>
      </c>
      <c r="AB2893">
        <v>0</v>
      </c>
      <c r="AC2893">
        <v>23</v>
      </c>
      <c r="AD2893">
        <v>-5</v>
      </c>
      <c r="AE2893">
        <v>0</v>
      </c>
      <c r="AF2893">
        <v>0</v>
      </c>
      <c r="AG2893">
        <v>0</v>
      </c>
      <c r="AH2893" t="s">
        <v>267</v>
      </c>
      <c r="AI2893" s="1">
        <v>44201.686261574076</v>
      </c>
      <c r="AJ2893">
        <v>98</v>
      </c>
      <c r="AK2893">
        <v>4</v>
      </c>
      <c r="AL2893">
        <v>0</v>
      </c>
      <c r="AM2893">
        <v>4</v>
      </c>
      <c r="AN2893">
        <v>0</v>
      </c>
      <c r="AO2893">
        <v>3</v>
      </c>
      <c r="AP2893">
        <v>-9</v>
      </c>
      <c r="AQ2893">
        <v>0</v>
      </c>
      <c r="AR2893">
        <v>0</v>
      </c>
      <c r="AS2893">
        <v>0</v>
      </c>
      <c r="AT2893" t="s">
        <v>90</v>
      </c>
      <c r="AU2893" s="1">
        <v>44201.686516203707</v>
      </c>
      <c r="AV2893">
        <v>17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-9</v>
      </c>
      <c r="BC2893">
        <v>0</v>
      </c>
      <c r="BD2893">
        <v>0</v>
      </c>
      <c r="BE2893">
        <v>0</v>
      </c>
    </row>
    <row r="2894" spans="1:57" hidden="1" x14ac:dyDescent="0.45">
      <c r="A2894" t="s">
        <v>6865</v>
      </c>
      <c r="B2894" t="s">
        <v>79</v>
      </c>
      <c r="C2894" t="s">
        <v>6866</v>
      </c>
      <c r="D2894" t="s">
        <v>81</v>
      </c>
      <c r="E2894" s="2" t="str">
        <f>HYPERLINK("capsilon://?command=openfolder&amp;siteaddress=FAM.docvelocity-na8.net&amp;folderid=FX0F5430CD-C96A-E266-FFD8-AA9CCF56F60B","FX20112691")</f>
        <v>FX20112691</v>
      </c>
      <c r="F2894" t="s">
        <v>19</v>
      </c>
      <c r="G2894" t="s">
        <v>19</v>
      </c>
      <c r="H2894" t="s">
        <v>82</v>
      </c>
      <c r="I2894" t="s">
        <v>6867</v>
      </c>
      <c r="J2894">
        <v>66</v>
      </c>
      <c r="K2894" t="s">
        <v>84</v>
      </c>
      <c r="L2894" t="s">
        <v>85</v>
      </c>
      <c r="M2894" t="s">
        <v>86</v>
      </c>
      <c r="N2894">
        <v>3</v>
      </c>
      <c r="O2894" s="1">
        <v>44223.480312500003</v>
      </c>
      <c r="P2894" s="1">
        <v>44223.530624999999</v>
      </c>
      <c r="Q2894">
        <v>4225</v>
      </c>
      <c r="R2894">
        <v>122</v>
      </c>
      <c r="S2894" t="b">
        <v>0</v>
      </c>
      <c r="T2894" t="s">
        <v>87</v>
      </c>
      <c r="U2894" t="b">
        <v>0</v>
      </c>
      <c r="V2894" t="s">
        <v>255</v>
      </c>
      <c r="W2894" s="1">
        <v>44223.481678240743</v>
      </c>
      <c r="X2894">
        <v>63</v>
      </c>
      <c r="Y2894">
        <v>0</v>
      </c>
      <c r="Z2894">
        <v>0</v>
      </c>
      <c r="AA2894">
        <v>0</v>
      </c>
      <c r="AB2894">
        <v>52</v>
      </c>
      <c r="AC2894">
        <v>0</v>
      </c>
      <c r="AD2894">
        <v>66</v>
      </c>
      <c r="AE2894">
        <v>0</v>
      </c>
      <c r="AF2894">
        <v>0</v>
      </c>
      <c r="AG2894">
        <v>0</v>
      </c>
      <c r="AH2894" t="s">
        <v>108</v>
      </c>
      <c r="AI2894" s="1">
        <v>44223.488796296297</v>
      </c>
      <c r="AJ2894">
        <v>57</v>
      </c>
      <c r="AK2894">
        <v>0</v>
      </c>
      <c r="AL2894">
        <v>0</v>
      </c>
      <c r="AM2894">
        <v>0</v>
      </c>
      <c r="AN2894">
        <v>52</v>
      </c>
      <c r="AO2894">
        <v>0</v>
      </c>
      <c r="AP2894">
        <v>66</v>
      </c>
      <c r="AQ2894">
        <v>0</v>
      </c>
      <c r="AR2894">
        <v>0</v>
      </c>
      <c r="AS2894">
        <v>0</v>
      </c>
      <c r="AT2894" t="s">
        <v>90</v>
      </c>
      <c r="AU2894" s="1">
        <v>44223.530624999999</v>
      </c>
      <c r="AV2894">
        <v>2</v>
      </c>
      <c r="AW2894">
        <v>0</v>
      </c>
      <c r="AX2894">
        <v>0</v>
      </c>
      <c r="AY2894">
        <v>0</v>
      </c>
      <c r="AZ2894">
        <v>52</v>
      </c>
      <c r="BA2894">
        <v>0</v>
      </c>
      <c r="BB2894">
        <v>66</v>
      </c>
      <c r="BC2894">
        <v>0</v>
      </c>
      <c r="BD2894">
        <v>0</v>
      </c>
      <c r="BE2894">
        <v>0</v>
      </c>
    </row>
    <row r="2895" spans="1:57" hidden="1" x14ac:dyDescent="0.45">
      <c r="A2895" t="s">
        <v>6868</v>
      </c>
      <c r="B2895" t="s">
        <v>79</v>
      </c>
      <c r="C2895" t="s">
        <v>1109</v>
      </c>
      <c r="D2895" t="s">
        <v>81</v>
      </c>
      <c r="E2895" s="2" t="str">
        <f>HYPERLINK("capsilon://?command=openfolder&amp;siteaddress=FAM.docvelocity-na8.net&amp;folderid=FX752C2642-5ECF-773B-8E65-695284F4786D","FX201017101")</f>
        <v>FX201017101</v>
      </c>
      <c r="F2895" t="s">
        <v>19</v>
      </c>
      <c r="G2895" t="s">
        <v>19</v>
      </c>
      <c r="H2895" t="s">
        <v>82</v>
      </c>
      <c r="I2895" t="s">
        <v>6869</v>
      </c>
      <c r="J2895">
        <v>66</v>
      </c>
      <c r="K2895" t="s">
        <v>84</v>
      </c>
      <c r="L2895" t="s">
        <v>85</v>
      </c>
      <c r="M2895" t="s">
        <v>86</v>
      </c>
      <c r="N2895">
        <v>3</v>
      </c>
      <c r="O2895" s="1">
        <v>44223.481469907405</v>
      </c>
      <c r="P2895" s="1">
        <v>44223.530659722222</v>
      </c>
      <c r="Q2895">
        <v>4119</v>
      </c>
      <c r="R2895">
        <v>131</v>
      </c>
      <c r="S2895" t="b">
        <v>0</v>
      </c>
      <c r="T2895" t="s">
        <v>87</v>
      </c>
      <c r="U2895" t="b">
        <v>0</v>
      </c>
      <c r="V2895" t="s">
        <v>255</v>
      </c>
      <c r="W2895" s="1">
        <v>44223.482604166667</v>
      </c>
      <c r="X2895">
        <v>79</v>
      </c>
      <c r="Y2895">
        <v>0</v>
      </c>
      <c r="Z2895">
        <v>0</v>
      </c>
      <c r="AA2895">
        <v>0</v>
      </c>
      <c r="AB2895">
        <v>52</v>
      </c>
      <c r="AC2895">
        <v>0</v>
      </c>
      <c r="AD2895">
        <v>66</v>
      </c>
      <c r="AE2895">
        <v>0</v>
      </c>
      <c r="AF2895">
        <v>0</v>
      </c>
      <c r="AG2895">
        <v>0</v>
      </c>
      <c r="AH2895" t="s">
        <v>108</v>
      </c>
      <c r="AI2895" s="1">
        <v>44223.489386574074</v>
      </c>
      <c r="AJ2895">
        <v>50</v>
      </c>
      <c r="AK2895">
        <v>0</v>
      </c>
      <c r="AL2895">
        <v>0</v>
      </c>
      <c r="AM2895">
        <v>0</v>
      </c>
      <c r="AN2895">
        <v>52</v>
      </c>
      <c r="AO2895">
        <v>0</v>
      </c>
      <c r="AP2895">
        <v>66</v>
      </c>
      <c r="AQ2895">
        <v>0</v>
      </c>
      <c r="AR2895">
        <v>0</v>
      </c>
      <c r="AS2895">
        <v>0</v>
      </c>
      <c r="AT2895" t="s">
        <v>90</v>
      </c>
      <c r="AU2895" s="1">
        <v>44223.530659722222</v>
      </c>
      <c r="AV2895">
        <v>2</v>
      </c>
      <c r="AW2895">
        <v>0</v>
      </c>
      <c r="AX2895">
        <v>0</v>
      </c>
      <c r="AY2895">
        <v>0</v>
      </c>
      <c r="AZ2895">
        <v>52</v>
      </c>
      <c r="BA2895">
        <v>0</v>
      </c>
      <c r="BB2895">
        <v>66</v>
      </c>
      <c r="BC2895">
        <v>0</v>
      </c>
      <c r="BD2895">
        <v>0</v>
      </c>
      <c r="BE2895">
        <v>0</v>
      </c>
    </row>
    <row r="2896" spans="1:57" x14ac:dyDescent="0.45">
      <c r="A2896" t="s">
        <v>6870</v>
      </c>
      <c r="B2896" t="s">
        <v>79</v>
      </c>
      <c r="C2896" t="s">
        <v>6871</v>
      </c>
      <c r="D2896" t="s">
        <v>81</v>
      </c>
      <c r="E2896" s="2" t="str">
        <f>HYPERLINK("capsilon://?command=openfolder&amp;siteaddress=FAM.docvelocity-na8.net&amp;folderid=FX3067C684-325C-4136-E12D-6CD811B74E94","FX210116835")</f>
        <v>FX210116835</v>
      </c>
      <c r="F2896" t="s">
        <v>19</v>
      </c>
      <c r="G2896" t="s">
        <v>19</v>
      </c>
      <c r="H2896" t="s">
        <v>82</v>
      </c>
      <c r="I2896" t="s">
        <v>6872</v>
      </c>
      <c r="J2896">
        <v>231</v>
      </c>
      <c r="K2896" t="s">
        <v>84</v>
      </c>
      <c r="L2896" t="s">
        <v>85</v>
      </c>
      <c r="M2896" t="s">
        <v>86</v>
      </c>
      <c r="N2896">
        <v>3</v>
      </c>
      <c r="O2896" s="1">
        <v>44223.481874999998</v>
      </c>
      <c r="P2896" s="1">
        <v>44223.532314814816</v>
      </c>
      <c r="Q2896">
        <v>1194</v>
      </c>
      <c r="R2896">
        <v>3164</v>
      </c>
      <c r="S2896" t="b">
        <v>0</v>
      </c>
      <c r="T2896" t="s">
        <v>87</v>
      </c>
      <c r="U2896" t="b">
        <v>0</v>
      </c>
      <c r="V2896" t="s">
        <v>255</v>
      </c>
      <c r="W2896" s="1">
        <v>44223.492534722223</v>
      </c>
      <c r="X2896">
        <v>820</v>
      </c>
      <c r="Y2896">
        <v>209</v>
      </c>
      <c r="Z2896">
        <v>0</v>
      </c>
      <c r="AA2896">
        <v>209</v>
      </c>
      <c r="AB2896">
        <v>0</v>
      </c>
      <c r="AC2896">
        <v>108</v>
      </c>
      <c r="AD2896">
        <v>22</v>
      </c>
      <c r="AE2896">
        <v>0</v>
      </c>
      <c r="AF2896">
        <v>0</v>
      </c>
      <c r="AG2896">
        <v>0</v>
      </c>
      <c r="AH2896" t="s">
        <v>89</v>
      </c>
      <c r="AI2896" s="1">
        <v>44223.519849537035</v>
      </c>
      <c r="AJ2896">
        <v>2169</v>
      </c>
      <c r="AK2896">
        <v>2</v>
      </c>
      <c r="AL2896">
        <v>0</v>
      </c>
      <c r="AM2896">
        <v>2</v>
      </c>
      <c r="AN2896">
        <v>0</v>
      </c>
      <c r="AO2896">
        <v>1</v>
      </c>
      <c r="AP2896">
        <v>20</v>
      </c>
      <c r="AQ2896">
        <v>0</v>
      </c>
      <c r="AR2896">
        <v>0</v>
      </c>
      <c r="AS2896">
        <v>0</v>
      </c>
      <c r="AT2896" t="s">
        <v>90</v>
      </c>
      <c r="AU2896" s="1">
        <v>44223.532314814816</v>
      </c>
      <c r="AV2896">
        <v>142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20</v>
      </c>
      <c r="BC2896">
        <v>0</v>
      </c>
      <c r="BD2896">
        <v>0</v>
      </c>
      <c r="BE2896">
        <v>0</v>
      </c>
    </row>
    <row r="2897" spans="1:57" hidden="1" x14ac:dyDescent="0.45">
      <c r="A2897" t="s">
        <v>6873</v>
      </c>
      <c r="B2897" t="s">
        <v>79</v>
      </c>
      <c r="C2897" t="s">
        <v>1226</v>
      </c>
      <c r="D2897" t="s">
        <v>81</v>
      </c>
      <c r="E2897" s="2" t="str">
        <f>HYPERLINK("capsilon://?command=openfolder&amp;siteaddress=FAM.docvelocity-na8.net&amp;folderid=FX20638E3F-DC65-E459-B4A6-8522D3961AA9","FX20126938")</f>
        <v>FX20126938</v>
      </c>
      <c r="F2897" t="s">
        <v>19</v>
      </c>
      <c r="G2897" t="s">
        <v>19</v>
      </c>
      <c r="H2897" t="s">
        <v>82</v>
      </c>
      <c r="I2897" t="s">
        <v>6874</v>
      </c>
      <c r="J2897">
        <v>66</v>
      </c>
      <c r="K2897" t="s">
        <v>84</v>
      </c>
      <c r="L2897" t="s">
        <v>85</v>
      </c>
      <c r="M2897" t="s">
        <v>86</v>
      </c>
      <c r="N2897">
        <v>3</v>
      </c>
      <c r="O2897" s="1">
        <v>44223.484224537038</v>
      </c>
      <c r="P2897" s="1">
        <v>44223.532361111109</v>
      </c>
      <c r="Q2897">
        <v>3946</v>
      </c>
      <c r="R2897">
        <v>213</v>
      </c>
      <c r="S2897" t="b">
        <v>0</v>
      </c>
      <c r="T2897" t="s">
        <v>87</v>
      </c>
      <c r="U2897" t="b">
        <v>0</v>
      </c>
      <c r="V2897" t="s">
        <v>142</v>
      </c>
      <c r="W2897" s="1">
        <v>44223.486261574071</v>
      </c>
      <c r="X2897">
        <v>148</v>
      </c>
      <c r="Y2897">
        <v>0</v>
      </c>
      <c r="Z2897">
        <v>0</v>
      </c>
      <c r="AA2897">
        <v>0</v>
      </c>
      <c r="AB2897">
        <v>52</v>
      </c>
      <c r="AC2897">
        <v>0</v>
      </c>
      <c r="AD2897">
        <v>66</v>
      </c>
      <c r="AE2897">
        <v>0</v>
      </c>
      <c r="AF2897">
        <v>0</v>
      </c>
      <c r="AG2897">
        <v>0</v>
      </c>
      <c r="AH2897" t="s">
        <v>132</v>
      </c>
      <c r="AI2897" s="1">
        <v>44223.489664351851</v>
      </c>
      <c r="AJ2897">
        <v>62</v>
      </c>
      <c r="AK2897">
        <v>0</v>
      </c>
      <c r="AL2897">
        <v>0</v>
      </c>
      <c r="AM2897">
        <v>0</v>
      </c>
      <c r="AN2897">
        <v>52</v>
      </c>
      <c r="AO2897">
        <v>0</v>
      </c>
      <c r="AP2897">
        <v>66</v>
      </c>
      <c r="AQ2897">
        <v>0</v>
      </c>
      <c r="AR2897">
        <v>0</v>
      </c>
      <c r="AS2897">
        <v>0</v>
      </c>
      <c r="AT2897" t="s">
        <v>90</v>
      </c>
      <c r="AU2897" s="1">
        <v>44223.532361111109</v>
      </c>
      <c r="AV2897">
        <v>3</v>
      </c>
      <c r="AW2897">
        <v>0</v>
      </c>
      <c r="AX2897">
        <v>0</v>
      </c>
      <c r="AY2897">
        <v>0</v>
      </c>
      <c r="AZ2897">
        <v>52</v>
      </c>
      <c r="BA2897">
        <v>0</v>
      </c>
      <c r="BB2897">
        <v>66</v>
      </c>
      <c r="BC2897">
        <v>0</v>
      </c>
      <c r="BD2897">
        <v>0</v>
      </c>
      <c r="BE2897">
        <v>0</v>
      </c>
    </row>
    <row r="2898" spans="1:57" hidden="1" x14ac:dyDescent="0.45">
      <c r="A2898" t="s">
        <v>6875</v>
      </c>
      <c r="B2898" t="s">
        <v>79</v>
      </c>
      <c r="C2898" t="s">
        <v>3165</v>
      </c>
      <c r="D2898" t="s">
        <v>81</v>
      </c>
      <c r="E2898" s="2" t="str">
        <f>HYPERLINK("capsilon://?command=openfolder&amp;siteaddress=FAM.docvelocity-na8.net&amp;folderid=FX9929EAE8-EAE5-A77D-4583-0680328ECBB7","FX20126195")</f>
        <v>FX20126195</v>
      </c>
      <c r="F2898" t="s">
        <v>19</v>
      </c>
      <c r="G2898" t="s">
        <v>19</v>
      </c>
      <c r="H2898" t="s">
        <v>82</v>
      </c>
      <c r="I2898" t="s">
        <v>6876</v>
      </c>
      <c r="J2898">
        <v>66</v>
      </c>
      <c r="K2898" t="s">
        <v>84</v>
      </c>
      <c r="L2898" t="s">
        <v>85</v>
      </c>
      <c r="M2898" t="s">
        <v>86</v>
      </c>
      <c r="N2898">
        <v>3</v>
      </c>
      <c r="O2898" s="1">
        <v>44223.488067129627</v>
      </c>
      <c r="P2898" s="1">
        <v>44223.532395833332</v>
      </c>
      <c r="Q2898">
        <v>3684</v>
      </c>
      <c r="R2898">
        <v>146</v>
      </c>
      <c r="S2898" t="b">
        <v>0</v>
      </c>
      <c r="T2898" t="s">
        <v>87</v>
      </c>
      <c r="U2898" t="b">
        <v>0</v>
      </c>
      <c r="V2898" t="s">
        <v>88</v>
      </c>
      <c r="W2898" s="1">
        <v>44223.489675925928</v>
      </c>
      <c r="X2898">
        <v>106</v>
      </c>
      <c r="Y2898">
        <v>0</v>
      </c>
      <c r="Z2898">
        <v>0</v>
      </c>
      <c r="AA2898">
        <v>0</v>
      </c>
      <c r="AB2898">
        <v>52</v>
      </c>
      <c r="AC2898">
        <v>0</v>
      </c>
      <c r="AD2898">
        <v>66</v>
      </c>
      <c r="AE2898">
        <v>0</v>
      </c>
      <c r="AF2898">
        <v>0</v>
      </c>
      <c r="AG2898">
        <v>0</v>
      </c>
      <c r="AH2898" t="s">
        <v>108</v>
      </c>
      <c r="AI2898" s="1">
        <v>44223.490995370368</v>
      </c>
      <c r="AJ2898">
        <v>38</v>
      </c>
      <c r="AK2898">
        <v>0</v>
      </c>
      <c r="AL2898">
        <v>0</v>
      </c>
      <c r="AM2898">
        <v>0</v>
      </c>
      <c r="AN2898">
        <v>52</v>
      </c>
      <c r="AO2898">
        <v>0</v>
      </c>
      <c r="AP2898">
        <v>66</v>
      </c>
      <c r="AQ2898">
        <v>0</v>
      </c>
      <c r="AR2898">
        <v>0</v>
      </c>
      <c r="AS2898">
        <v>0</v>
      </c>
      <c r="AT2898" t="s">
        <v>90</v>
      </c>
      <c r="AU2898" s="1">
        <v>44223.532395833332</v>
      </c>
      <c r="AV2898">
        <v>2</v>
      </c>
      <c r="AW2898">
        <v>0</v>
      </c>
      <c r="AX2898">
        <v>0</v>
      </c>
      <c r="AY2898">
        <v>0</v>
      </c>
      <c r="AZ2898">
        <v>52</v>
      </c>
      <c r="BA2898">
        <v>0</v>
      </c>
      <c r="BB2898">
        <v>66</v>
      </c>
      <c r="BC2898">
        <v>0</v>
      </c>
      <c r="BD2898">
        <v>0</v>
      </c>
      <c r="BE2898">
        <v>0</v>
      </c>
    </row>
    <row r="2899" spans="1:57" x14ac:dyDescent="0.45">
      <c r="A2899" t="s">
        <v>6877</v>
      </c>
      <c r="B2899" t="s">
        <v>79</v>
      </c>
      <c r="C2899" t="s">
        <v>6878</v>
      </c>
      <c r="D2899" t="s">
        <v>81</v>
      </c>
      <c r="E2899" s="2" t="str">
        <f>HYPERLINK("capsilon://?command=openfolder&amp;siteaddress=FAM.docvelocity-na8.net&amp;folderid=FXE1BE263A-D274-0C58-F56F-4FD9A24F8C73","FX201222983")</f>
        <v>FX201222983</v>
      </c>
      <c r="F2899" t="s">
        <v>19</v>
      </c>
      <c r="G2899" t="s">
        <v>19</v>
      </c>
      <c r="H2899" t="s">
        <v>82</v>
      </c>
      <c r="I2899" t="s">
        <v>6879</v>
      </c>
      <c r="J2899">
        <v>41</v>
      </c>
      <c r="K2899" t="s">
        <v>84</v>
      </c>
      <c r="L2899" t="s">
        <v>85</v>
      </c>
      <c r="M2899" t="s">
        <v>86</v>
      </c>
      <c r="N2899">
        <v>3</v>
      </c>
      <c r="O2899" s="1">
        <v>44223.489340277774</v>
      </c>
      <c r="P2899" s="1">
        <v>44223.532604166663</v>
      </c>
      <c r="Q2899">
        <v>727</v>
      </c>
      <c r="R2899">
        <v>3011</v>
      </c>
      <c r="S2899" t="b">
        <v>0</v>
      </c>
      <c r="T2899" t="s">
        <v>87</v>
      </c>
      <c r="U2899" t="b">
        <v>0</v>
      </c>
      <c r="V2899" t="s">
        <v>919</v>
      </c>
      <c r="W2899" s="1">
        <v>44223.522372685184</v>
      </c>
      <c r="X2899">
        <v>2829</v>
      </c>
      <c r="Y2899">
        <v>47</v>
      </c>
      <c r="Z2899">
        <v>0</v>
      </c>
      <c r="AA2899">
        <v>47</v>
      </c>
      <c r="AB2899">
        <v>0</v>
      </c>
      <c r="AC2899">
        <v>35</v>
      </c>
      <c r="AD2899">
        <v>-6</v>
      </c>
      <c r="AE2899">
        <v>0</v>
      </c>
      <c r="AF2899">
        <v>0</v>
      </c>
      <c r="AG2899">
        <v>0</v>
      </c>
      <c r="AH2899" t="s">
        <v>128</v>
      </c>
      <c r="AI2899" s="1">
        <v>44223.525462962964</v>
      </c>
      <c r="AJ2899">
        <v>165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-6</v>
      </c>
      <c r="AQ2899">
        <v>0</v>
      </c>
      <c r="AR2899">
        <v>0</v>
      </c>
      <c r="AS2899">
        <v>0</v>
      </c>
      <c r="AT2899" t="s">
        <v>90</v>
      </c>
      <c r="AU2899" s="1">
        <v>44223.532604166663</v>
      </c>
      <c r="AV2899">
        <v>17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-6</v>
      </c>
      <c r="BC2899">
        <v>0</v>
      </c>
      <c r="BD2899">
        <v>0</v>
      </c>
      <c r="BE2899">
        <v>0</v>
      </c>
    </row>
    <row r="2900" spans="1:57" x14ac:dyDescent="0.45">
      <c r="A2900" t="s">
        <v>6880</v>
      </c>
      <c r="B2900" t="s">
        <v>79</v>
      </c>
      <c r="C2900" t="s">
        <v>6878</v>
      </c>
      <c r="D2900" t="s">
        <v>81</v>
      </c>
      <c r="E2900" s="2" t="str">
        <f>HYPERLINK("capsilon://?command=openfolder&amp;siteaddress=FAM.docvelocity-na8.net&amp;folderid=FXE1BE263A-D274-0C58-F56F-4FD9A24F8C73","FX201222983")</f>
        <v>FX201222983</v>
      </c>
      <c r="F2900" t="s">
        <v>19</v>
      </c>
      <c r="G2900" t="s">
        <v>19</v>
      </c>
      <c r="H2900" t="s">
        <v>82</v>
      </c>
      <c r="I2900" t="s">
        <v>6881</v>
      </c>
      <c r="J2900">
        <v>41</v>
      </c>
      <c r="K2900" t="s">
        <v>84</v>
      </c>
      <c r="L2900" t="s">
        <v>85</v>
      </c>
      <c r="M2900" t="s">
        <v>86</v>
      </c>
      <c r="N2900">
        <v>3</v>
      </c>
      <c r="O2900" s="1">
        <v>44223.489687499998</v>
      </c>
      <c r="P2900" s="1">
        <v>44223.53266203704</v>
      </c>
      <c r="Q2900">
        <v>2994</v>
      </c>
      <c r="R2900">
        <v>719</v>
      </c>
      <c r="S2900" t="b">
        <v>0</v>
      </c>
      <c r="T2900" t="s">
        <v>87</v>
      </c>
      <c r="U2900" t="b">
        <v>0</v>
      </c>
      <c r="V2900" t="s">
        <v>88</v>
      </c>
      <c r="W2900" s="1">
        <v>44223.496782407405</v>
      </c>
      <c r="X2900">
        <v>559</v>
      </c>
      <c r="Y2900">
        <v>44</v>
      </c>
      <c r="Z2900">
        <v>0</v>
      </c>
      <c r="AA2900">
        <v>44</v>
      </c>
      <c r="AB2900">
        <v>0</v>
      </c>
      <c r="AC2900">
        <v>35</v>
      </c>
      <c r="AD2900">
        <v>-3</v>
      </c>
      <c r="AE2900">
        <v>0</v>
      </c>
      <c r="AF2900">
        <v>0</v>
      </c>
      <c r="AG2900">
        <v>0</v>
      </c>
      <c r="AH2900" t="s">
        <v>108</v>
      </c>
      <c r="AI2900" s="1">
        <v>44223.503020833334</v>
      </c>
      <c r="AJ2900">
        <v>156</v>
      </c>
      <c r="AK2900">
        <v>1</v>
      </c>
      <c r="AL2900">
        <v>0</v>
      </c>
      <c r="AM2900">
        <v>1</v>
      </c>
      <c r="AN2900">
        <v>0</v>
      </c>
      <c r="AO2900">
        <v>0</v>
      </c>
      <c r="AP2900">
        <v>-4</v>
      </c>
      <c r="AQ2900">
        <v>0</v>
      </c>
      <c r="AR2900">
        <v>0</v>
      </c>
      <c r="AS2900">
        <v>0</v>
      </c>
      <c r="AT2900" t="s">
        <v>90</v>
      </c>
      <c r="AU2900" s="1">
        <v>44223.53266203704</v>
      </c>
      <c r="AV2900">
        <v>4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-4</v>
      </c>
      <c r="BC2900">
        <v>0</v>
      </c>
      <c r="BD2900">
        <v>0</v>
      </c>
      <c r="BE2900">
        <v>0</v>
      </c>
    </row>
    <row r="2901" spans="1:57" x14ac:dyDescent="0.45">
      <c r="A2901" t="s">
        <v>6882</v>
      </c>
      <c r="B2901" t="s">
        <v>79</v>
      </c>
      <c r="C2901" t="s">
        <v>6883</v>
      </c>
      <c r="D2901" t="s">
        <v>81</v>
      </c>
      <c r="E2901" s="2" t="str">
        <f>HYPERLINK("capsilon://?command=openfolder&amp;siteaddress=FAM.docvelocity-na8.net&amp;folderid=FX70487CD3-3DCE-1A9A-CF40-C11C3FBF4D33","FX201226072")</f>
        <v>FX201226072</v>
      </c>
      <c r="F2901" t="s">
        <v>19</v>
      </c>
      <c r="G2901" t="s">
        <v>19</v>
      </c>
      <c r="H2901" t="s">
        <v>82</v>
      </c>
      <c r="I2901" t="s">
        <v>6884</v>
      </c>
      <c r="J2901">
        <v>66</v>
      </c>
      <c r="K2901" t="s">
        <v>84</v>
      </c>
      <c r="L2901" t="s">
        <v>85</v>
      </c>
      <c r="M2901" t="s">
        <v>86</v>
      </c>
      <c r="N2901">
        <v>3</v>
      </c>
      <c r="O2901" s="1">
        <v>44201.671898148146</v>
      </c>
      <c r="P2901" s="1">
        <v>44202.351770833331</v>
      </c>
      <c r="Q2901">
        <v>57696</v>
      </c>
      <c r="R2901">
        <v>1045</v>
      </c>
      <c r="S2901" t="b">
        <v>0</v>
      </c>
      <c r="T2901" t="s">
        <v>87</v>
      </c>
      <c r="U2901" t="b">
        <v>0</v>
      </c>
      <c r="V2901" t="s">
        <v>160</v>
      </c>
      <c r="W2901" s="1">
        <v>44201.682824074072</v>
      </c>
      <c r="X2901">
        <v>935</v>
      </c>
      <c r="Y2901">
        <v>52</v>
      </c>
      <c r="Z2901">
        <v>0</v>
      </c>
      <c r="AA2901">
        <v>52</v>
      </c>
      <c r="AB2901">
        <v>0</v>
      </c>
      <c r="AC2901">
        <v>21</v>
      </c>
      <c r="AD2901">
        <v>14</v>
      </c>
      <c r="AE2901">
        <v>0</v>
      </c>
      <c r="AF2901">
        <v>0</v>
      </c>
      <c r="AG2901">
        <v>0</v>
      </c>
      <c r="AH2901" t="s">
        <v>267</v>
      </c>
      <c r="AI2901" s="1">
        <v>44201.689016203702</v>
      </c>
      <c r="AJ2901">
        <v>97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14</v>
      </c>
      <c r="AQ2901">
        <v>0</v>
      </c>
      <c r="AR2901">
        <v>0</v>
      </c>
      <c r="AS2901">
        <v>0</v>
      </c>
      <c r="AT2901" t="s">
        <v>90</v>
      </c>
      <c r="AU2901" s="1">
        <v>44202.351770833331</v>
      </c>
      <c r="AV2901">
        <v>13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14</v>
      </c>
      <c r="BC2901">
        <v>0</v>
      </c>
      <c r="BD2901">
        <v>0</v>
      </c>
      <c r="BE2901">
        <v>0</v>
      </c>
    </row>
    <row r="2902" spans="1:57" x14ac:dyDescent="0.45">
      <c r="A2902" t="s">
        <v>6885</v>
      </c>
      <c r="B2902" t="s">
        <v>79</v>
      </c>
      <c r="C2902" t="s">
        <v>305</v>
      </c>
      <c r="D2902" t="s">
        <v>81</v>
      </c>
      <c r="E2902" s="2" t="str">
        <f>HYPERLINK("capsilon://?command=openfolder&amp;siteaddress=FAM.docvelocity-na8.net&amp;folderid=FX1668A7E5-4B33-63B3-32BE-EBE758011AFA","FX201013660")</f>
        <v>FX201013660</v>
      </c>
      <c r="F2902" t="s">
        <v>19</v>
      </c>
      <c r="G2902" t="s">
        <v>19</v>
      </c>
      <c r="H2902" t="s">
        <v>82</v>
      </c>
      <c r="I2902" t="s">
        <v>6689</v>
      </c>
      <c r="J2902">
        <v>124</v>
      </c>
      <c r="K2902" t="s">
        <v>84</v>
      </c>
      <c r="L2902" t="s">
        <v>85</v>
      </c>
      <c r="M2902" t="s">
        <v>86</v>
      </c>
      <c r="N2902">
        <v>3</v>
      </c>
      <c r="O2902" s="1">
        <v>44201.672210648147</v>
      </c>
      <c r="P2902" s="1">
        <v>44202.338900462964</v>
      </c>
      <c r="Q2902">
        <v>50027</v>
      </c>
      <c r="R2902">
        <v>7575</v>
      </c>
      <c r="S2902" t="b">
        <v>0</v>
      </c>
      <c r="T2902" t="s">
        <v>87</v>
      </c>
      <c r="U2902" t="b">
        <v>1</v>
      </c>
      <c r="V2902" t="s">
        <v>168</v>
      </c>
      <c r="W2902" s="1">
        <v>44201.761006944442</v>
      </c>
      <c r="X2902">
        <v>6746</v>
      </c>
      <c r="Y2902">
        <v>230</v>
      </c>
      <c r="Z2902">
        <v>0</v>
      </c>
      <c r="AA2902">
        <v>230</v>
      </c>
      <c r="AB2902">
        <v>0</v>
      </c>
      <c r="AC2902">
        <v>217</v>
      </c>
      <c r="AD2902">
        <v>-106</v>
      </c>
      <c r="AE2902">
        <v>0</v>
      </c>
      <c r="AF2902">
        <v>0</v>
      </c>
      <c r="AG2902">
        <v>0</v>
      </c>
      <c r="AH2902" t="s">
        <v>128</v>
      </c>
      <c r="AI2902" s="1">
        <v>44201.768773148149</v>
      </c>
      <c r="AJ2902">
        <v>634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-106</v>
      </c>
      <c r="AQ2902">
        <v>0</v>
      </c>
      <c r="AR2902">
        <v>0</v>
      </c>
      <c r="AS2902">
        <v>0</v>
      </c>
      <c r="AT2902" t="s">
        <v>90</v>
      </c>
      <c r="AU2902" s="1">
        <v>44202.338900462964</v>
      </c>
      <c r="AV2902">
        <v>21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-106</v>
      </c>
      <c r="BC2902">
        <v>0</v>
      </c>
      <c r="BD2902">
        <v>0</v>
      </c>
      <c r="BE2902">
        <v>0</v>
      </c>
    </row>
    <row r="2903" spans="1:57" x14ac:dyDescent="0.45">
      <c r="A2903" t="s">
        <v>6886</v>
      </c>
      <c r="B2903" t="s">
        <v>79</v>
      </c>
      <c r="C2903" t="s">
        <v>6887</v>
      </c>
      <c r="D2903" t="s">
        <v>81</v>
      </c>
      <c r="E2903" s="2" t="str">
        <f>HYPERLINK("capsilon://?command=openfolder&amp;siteaddress=FAM.docvelocity-na8.net&amp;folderid=FXDC5B2661-E133-1057-A6FA-909ED8DB7C47","FX210114508")</f>
        <v>FX210114508</v>
      </c>
      <c r="F2903" t="s">
        <v>19</v>
      </c>
      <c r="G2903" t="s">
        <v>19</v>
      </c>
      <c r="H2903" t="s">
        <v>82</v>
      </c>
      <c r="I2903" t="s">
        <v>6888</v>
      </c>
      <c r="J2903">
        <v>138</v>
      </c>
      <c r="K2903" t="s">
        <v>84</v>
      </c>
      <c r="L2903" t="s">
        <v>85</v>
      </c>
      <c r="M2903" t="s">
        <v>86</v>
      </c>
      <c r="N2903">
        <v>3</v>
      </c>
      <c r="O2903" s="1">
        <v>44223.49527777778</v>
      </c>
      <c r="P2903" s="1">
        <v>44223.533206018517</v>
      </c>
      <c r="Q2903">
        <v>1639</v>
      </c>
      <c r="R2903">
        <v>1638</v>
      </c>
      <c r="S2903" t="b">
        <v>0</v>
      </c>
      <c r="T2903" t="s">
        <v>87</v>
      </c>
      <c r="U2903" t="b">
        <v>0</v>
      </c>
      <c r="V2903" t="s">
        <v>255</v>
      </c>
      <c r="W2903" s="1">
        <v>44223.507719907408</v>
      </c>
      <c r="X2903">
        <v>1071</v>
      </c>
      <c r="Y2903">
        <v>124</v>
      </c>
      <c r="Z2903">
        <v>0</v>
      </c>
      <c r="AA2903">
        <v>124</v>
      </c>
      <c r="AB2903">
        <v>0</v>
      </c>
      <c r="AC2903">
        <v>61</v>
      </c>
      <c r="AD2903">
        <v>14</v>
      </c>
      <c r="AE2903">
        <v>0</v>
      </c>
      <c r="AF2903">
        <v>0</v>
      </c>
      <c r="AG2903">
        <v>0</v>
      </c>
      <c r="AH2903" t="s">
        <v>128</v>
      </c>
      <c r="AI2903" s="1">
        <v>44223.515486111108</v>
      </c>
      <c r="AJ2903">
        <v>505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14</v>
      </c>
      <c r="AQ2903">
        <v>0</v>
      </c>
      <c r="AR2903">
        <v>0</v>
      </c>
      <c r="AS2903">
        <v>0</v>
      </c>
      <c r="AT2903" t="s">
        <v>90</v>
      </c>
      <c r="AU2903" s="1">
        <v>44223.533206018517</v>
      </c>
      <c r="AV2903">
        <v>46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14</v>
      </c>
      <c r="BC2903">
        <v>0</v>
      </c>
      <c r="BD2903">
        <v>0</v>
      </c>
      <c r="BE2903">
        <v>0</v>
      </c>
    </row>
    <row r="2904" spans="1:57" x14ac:dyDescent="0.45">
      <c r="A2904" t="s">
        <v>6889</v>
      </c>
      <c r="B2904" t="s">
        <v>79</v>
      </c>
      <c r="C2904" t="s">
        <v>6890</v>
      </c>
      <c r="D2904" t="s">
        <v>81</v>
      </c>
      <c r="E2904" s="2" t="str">
        <f>HYPERLINK("capsilon://?command=openfolder&amp;siteaddress=FAM.docvelocity-na8.net&amp;folderid=FX19D465B4-EB8E-65FB-33AD-75FD13EB8DB1","FX210117542")</f>
        <v>FX210117542</v>
      </c>
      <c r="F2904" t="s">
        <v>19</v>
      </c>
      <c r="G2904" t="s">
        <v>19</v>
      </c>
      <c r="H2904" t="s">
        <v>82</v>
      </c>
      <c r="I2904" t="s">
        <v>6891</v>
      </c>
      <c r="J2904">
        <v>38</v>
      </c>
      <c r="K2904" t="s">
        <v>84</v>
      </c>
      <c r="L2904" t="s">
        <v>85</v>
      </c>
      <c r="M2904" t="s">
        <v>86</v>
      </c>
      <c r="N2904">
        <v>3</v>
      </c>
      <c r="O2904" s="1">
        <v>44223.505509259259</v>
      </c>
      <c r="P2904" s="1">
        <v>44223.533263888887</v>
      </c>
      <c r="Q2904">
        <v>1558</v>
      </c>
      <c r="R2904">
        <v>840</v>
      </c>
      <c r="S2904" t="b">
        <v>0</v>
      </c>
      <c r="T2904" t="s">
        <v>87</v>
      </c>
      <c r="U2904" t="b">
        <v>0</v>
      </c>
      <c r="V2904" t="s">
        <v>919</v>
      </c>
      <c r="W2904" s="1">
        <v>44223.513842592591</v>
      </c>
      <c r="X2904">
        <v>637</v>
      </c>
      <c r="Y2904">
        <v>37</v>
      </c>
      <c r="Z2904">
        <v>0</v>
      </c>
      <c r="AA2904">
        <v>37</v>
      </c>
      <c r="AB2904">
        <v>0</v>
      </c>
      <c r="AC2904">
        <v>14</v>
      </c>
      <c r="AD2904">
        <v>1</v>
      </c>
      <c r="AE2904">
        <v>0</v>
      </c>
      <c r="AF2904">
        <v>0</v>
      </c>
      <c r="AG2904">
        <v>0</v>
      </c>
      <c r="AH2904" t="s">
        <v>94</v>
      </c>
      <c r="AI2904" s="1">
        <v>44223.516516203701</v>
      </c>
      <c r="AJ2904">
        <v>198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0</v>
      </c>
      <c r="AS2904">
        <v>0</v>
      </c>
      <c r="AT2904" t="s">
        <v>90</v>
      </c>
      <c r="AU2904" s="1">
        <v>44223.533263888887</v>
      </c>
      <c r="AV2904">
        <v>5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0</v>
      </c>
    </row>
    <row r="2905" spans="1:57" x14ac:dyDescent="0.45">
      <c r="A2905" t="s">
        <v>6892</v>
      </c>
      <c r="B2905" t="s">
        <v>79</v>
      </c>
      <c r="C2905" t="s">
        <v>6893</v>
      </c>
      <c r="D2905" t="s">
        <v>81</v>
      </c>
      <c r="E2905" s="2" t="str">
        <f>HYPERLINK("capsilon://?command=openfolder&amp;siteaddress=FAM.docvelocity-na8.net&amp;folderid=FXF083E94D-9494-CBD6-6E98-663BA2E97620","FX210117394")</f>
        <v>FX210117394</v>
      </c>
      <c r="F2905" t="s">
        <v>19</v>
      </c>
      <c r="G2905" t="s">
        <v>19</v>
      </c>
      <c r="H2905" t="s">
        <v>82</v>
      </c>
      <c r="I2905" t="s">
        <v>6894</v>
      </c>
      <c r="J2905">
        <v>350</v>
      </c>
      <c r="K2905" t="s">
        <v>84</v>
      </c>
      <c r="L2905" t="s">
        <v>85</v>
      </c>
      <c r="M2905" t="s">
        <v>86</v>
      </c>
      <c r="N2905">
        <v>3</v>
      </c>
      <c r="O2905" s="1">
        <v>44223.519976851851</v>
      </c>
      <c r="P2905" s="1">
        <v>44223.579826388886</v>
      </c>
      <c r="Q2905">
        <v>271</v>
      </c>
      <c r="R2905">
        <v>4900</v>
      </c>
      <c r="S2905" t="b">
        <v>0</v>
      </c>
      <c r="T2905" t="s">
        <v>87</v>
      </c>
      <c r="U2905" t="b">
        <v>0</v>
      </c>
      <c r="V2905" t="s">
        <v>142</v>
      </c>
      <c r="W2905" s="1">
        <v>44223.569363425922</v>
      </c>
      <c r="X2905">
        <v>4225</v>
      </c>
      <c r="Y2905">
        <v>345</v>
      </c>
      <c r="Z2905">
        <v>0</v>
      </c>
      <c r="AA2905">
        <v>345</v>
      </c>
      <c r="AB2905">
        <v>0</v>
      </c>
      <c r="AC2905">
        <v>146</v>
      </c>
      <c r="AD2905">
        <v>5</v>
      </c>
      <c r="AE2905">
        <v>0</v>
      </c>
      <c r="AF2905">
        <v>0</v>
      </c>
      <c r="AG2905">
        <v>0</v>
      </c>
      <c r="AH2905" t="s">
        <v>132</v>
      </c>
      <c r="AI2905" s="1">
        <v>44223.57775462963</v>
      </c>
      <c r="AJ2905">
        <v>642</v>
      </c>
      <c r="AK2905">
        <v>4</v>
      </c>
      <c r="AL2905">
        <v>0</v>
      </c>
      <c r="AM2905">
        <v>4</v>
      </c>
      <c r="AN2905">
        <v>0</v>
      </c>
      <c r="AO2905">
        <v>3</v>
      </c>
      <c r="AP2905">
        <v>1</v>
      </c>
      <c r="AQ2905">
        <v>0</v>
      </c>
      <c r="AR2905">
        <v>0</v>
      </c>
      <c r="AS2905">
        <v>0</v>
      </c>
      <c r="AT2905" t="s">
        <v>90</v>
      </c>
      <c r="AU2905" s="1">
        <v>44223.579826388886</v>
      </c>
      <c r="AV2905">
        <v>33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1</v>
      </c>
      <c r="BC2905">
        <v>0</v>
      </c>
      <c r="BD2905">
        <v>0</v>
      </c>
      <c r="BE2905">
        <v>0</v>
      </c>
    </row>
    <row r="2906" spans="1:57" hidden="1" x14ac:dyDescent="0.45">
      <c r="A2906" t="s">
        <v>6895</v>
      </c>
      <c r="B2906" t="s">
        <v>79</v>
      </c>
      <c r="C2906" t="s">
        <v>358</v>
      </c>
      <c r="D2906" t="s">
        <v>81</v>
      </c>
      <c r="E2906" s="2" t="str">
        <f>HYPERLINK("capsilon://?command=openfolder&amp;siteaddress=FAM.docvelocity-na8.net&amp;folderid=FX7015030B-92AD-1FD5-ECEA-50796840F6C0","FX201010020")</f>
        <v>FX201010020</v>
      </c>
      <c r="F2906" t="s">
        <v>19</v>
      </c>
      <c r="G2906" t="s">
        <v>19</v>
      </c>
      <c r="H2906" t="s">
        <v>82</v>
      </c>
      <c r="I2906" t="s">
        <v>6896</v>
      </c>
      <c r="J2906">
        <v>66</v>
      </c>
      <c r="K2906" t="s">
        <v>84</v>
      </c>
      <c r="L2906" t="s">
        <v>85</v>
      </c>
      <c r="M2906" t="s">
        <v>86</v>
      </c>
      <c r="N2906">
        <v>3</v>
      </c>
      <c r="O2906" s="1">
        <v>44223.520208333335</v>
      </c>
      <c r="P2906" s="1">
        <v>44223.533310185187</v>
      </c>
      <c r="Q2906">
        <v>1064</v>
      </c>
      <c r="R2906">
        <v>68</v>
      </c>
      <c r="S2906" t="b">
        <v>0</v>
      </c>
      <c r="T2906" t="s">
        <v>87</v>
      </c>
      <c r="U2906" t="b">
        <v>0</v>
      </c>
      <c r="V2906" t="s">
        <v>255</v>
      </c>
      <c r="W2906" s="1">
        <v>44223.522256944445</v>
      </c>
      <c r="X2906">
        <v>37</v>
      </c>
      <c r="Y2906">
        <v>0</v>
      </c>
      <c r="Z2906">
        <v>0</v>
      </c>
      <c r="AA2906">
        <v>0</v>
      </c>
      <c r="AB2906">
        <v>52</v>
      </c>
      <c r="AC2906">
        <v>0</v>
      </c>
      <c r="AD2906">
        <v>66</v>
      </c>
      <c r="AE2906">
        <v>0</v>
      </c>
      <c r="AF2906">
        <v>0</v>
      </c>
      <c r="AG2906">
        <v>0</v>
      </c>
      <c r="AH2906" t="s">
        <v>128</v>
      </c>
      <c r="AI2906" s="1">
        <v>44223.525613425925</v>
      </c>
      <c r="AJ2906">
        <v>12</v>
      </c>
      <c r="AK2906">
        <v>0</v>
      </c>
      <c r="AL2906">
        <v>0</v>
      </c>
      <c r="AM2906">
        <v>0</v>
      </c>
      <c r="AN2906">
        <v>52</v>
      </c>
      <c r="AO2906">
        <v>0</v>
      </c>
      <c r="AP2906">
        <v>66</v>
      </c>
      <c r="AQ2906">
        <v>0</v>
      </c>
      <c r="AR2906">
        <v>0</v>
      </c>
      <c r="AS2906">
        <v>0</v>
      </c>
      <c r="AT2906" t="s">
        <v>90</v>
      </c>
      <c r="AU2906" s="1">
        <v>44223.533310185187</v>
      </c>
      <c r="AV2906">
        <v>3</v>
      </c>
      <c r="AW2906">
        <v>0</v>
      </c>
      <c r="AX2906">
        <v>0</v>
      </c>
      <c r="AY2906">
        <v>0</v>
      </c>
      <c r="AZ2906">
        <v>52</v>
      </c>
      <c r="BA2906">
        <v>0</v>
      </c>
      <c r="BB2906">
        <v>66</v>
      </c>
      <c r="BC2906">
        <v>0</v>
      </c>
      <c r="BD2906">
        <v>0</v>
      </c>
      <c r="BE2906">
        <v>0</v>
      </c>
    </row>
    <row r="2907" spans="1:57" x14ac:dyDescent="0.45">
      <c r="A2907" t="s">
        <v>6897</v>
      </c>
      <c r="B2907" t="s">
        <v>79</v>
      </c>
      <c r="C2907" t="s">
        <v>1992</v>
      </c>
      <c r="D2907" t="s">
        <v>81</v>
      </c>
      <c r="E2907" s="2" t="str">
        <f>HYPERLINK("capsilon://?command=openfolder&amp;siteaddress=FAM.docvelocity-na8.net&amp;folderid=FX3E76C774-8923-6FB9-F386-B1540620A0CA","FX21013171")</f>
        <v>FX21013171</v>
      </c>
      <c r="F2907" t="s">
        <v>19</v>
      </c>
      <c r="G2907" t="s">
        <v>19</v>
      </c>
      <c r="H2907" t="s">
        <v>82</v>
      </c>
      <c r="I2907" t="s">
        <v>6898</v>
      </c>
      <c r="J2907">
        <v>38</v>
      </c>
      <c r="K2907" t="s">
        <v>84</v>
      </c>
      <c r="L2907" t="s">
        <v>85</v>
      </c>
      <c r="M2907" t="s">
        <v>86</v>
      </c>
      <c r="N2907">
        <v>3</v>
      </c>
      <c r="O2907" s="1">
        <v>44223.520335648151</v>
      </c>
      <c r="P2907" s="1">
        <v>44223.533368055556</v>
      </c>
      <c r="Q2907">
        <v>493</v>
      </c>
      <c r="R2907">
        <v>633</v>
      </c>
      <c r="S2907" t="b">
        <v>0</v>
      </c>
      <c r="T2907" t="s">
        <v>87</v>
      </c>
      <c r="U2907" t="b">
        <v>0</v>
      </c>
      <c r="V2907" t="s">
        <v>255</v>
      </c>
      <c r="W2907" s="1">
        <v>44223.52616898148</v>
      </c>
      <c r="X2907">
        <v>338</v>
      </c>
      <c r="Y2907">
        <v>37</v>
      </c>
      <c r="Z2907">
        <v>0</v>
      </c>
      <c r="AA2907">
        <v>37</v>
      </c>
      <c r="AB2907">
        <v>0</v>
      </c>
      <c r="AC2907">
        <v>34</v>
      </c>
      <c r="AD2907">
        <v>1</v>
      </c>
      <c r="AE2907">
        <v>0</v>
      </c>
      <c r="AF2907">
        <v>0</v>
      </c>
      <c r="AG2907">
        <v>0</v>
      </c>
      <c r="AH2907" t="s">
        <v>132</v>
      </c>
      <c r="AI2907" s="1">
        <v>44223.530613425923</v>
      </c>
      <c r="AJ2907">
        <v>290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0</v>
      </c>
      <c r="AR2907">
        <v>0</v>
      </c>
      <c r="AS2907">
        <v>0</v>
      </c>
      <c r="AT2907" t="s">
        <v>90</v>
      </c>
      <c r="AU2907" s="1">
        <v>44223.533368055556</v>
      </c>
      <c r="AV2907">
        <v>5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1</v>
      </c>
      <c r="BC2907">
        <v>0</v>
      </c>
      <c r="BD2907">
        <v>0</v>
      </c>
      <c r="BE2907">
        <v>0</v>
      </c>
    </row>
    <row r="2908" spans="1:57" x14ac:dyDescent="0.45">
      <c r="A2908" t="s">
        <v>6899</v>
      </c>
      <c r="B2908" t="s">
        <v>79</v>
      </c>
      <c r="C2908" t="s">
        <v>725</v>
      </c>
      <c r="D2908" t="s">
        <v>81</v>
      </c>
      <c r="E2908" s="2" t="str">
        <f>HYPERLINK("capsilon://?command=openfolder&amp;siteaddress=FAM.docvelocity-na8.net&amp;folderid=FXBC27C59B-749F-6CC0-83BA-A4CE148D6ABE","FX20123310")</f>
        <v>FX20123310</v>
      </c>
      <c r="F2908" t="s">
        <v>19</v>
      </c>
      <c r="G2908" t="s">
        <v>19</v>
      </c>
      <c r="H2908" t="s">
        <v>82</v>
      </c>
      <c r="I2908" t="s">
        <v>6900</v>
      </c>
      <c r="J2908">
        <v>38</v>
      </c>
      <c r="K2908" t="s">
        <v>84</v>
      </c>
      <c r="L2908" t="s">
        <v>85</v>
      </c>
      <c r="M2908" t="s">
        <v>86</v>
      </c>
      <c r="N2908">
        <v>3</v>
      </c>
      <c r="O2908" s="1">
        <v>44223.531469907408</v>
      </c>
      <c r="P2908" s="1">
        <v>44223.571076388886</v>
      </c>
      <c r="Q2908">
        <v>2671</v>
      </c>
      <c r="R2908">
        <v>751</v>
      </c>
      <c r="S2908" t="b">
        <v>0</v>
      </c>
      <c r="T2908" t="s">
        <v>87</v>
      </c>
      <c r="U2908" t="b">
        <v>0</v>
      </c>
      <c r="V2908" t="s">
        <v>259</v>
      </c>
      <c r="W2908" s="1">
        <v>44223.542118055557</v>
      </c>
      <c r="X2908">
        <v>620</v>
      </c>
      <c r="Y2908">
        <v>37</v>
      </c>
      <c r="Z2908">
        <v>0</v>
      </c>
      <c r="AA2908">
        <v>37</v>
      </c>
      <c r="AB2908">
        <v>0</v>
      </c>
      <c r="AC2908">
        <v>30</v>
      </c>
      <c r="AD2908">
        <v>1</v>
      </c>
      <c r="AE2908">
        <v>0</v>
      </c>
      <c r="AF2908">
        <v>0</v>
      </c>
      <c r="AG2908">
        <v>0</v>
      </c>
      <c r="AH2908" t="s">
        <v>128</v>
      </c>
      <c r="AI2908" s="1">
        <v>44223.54351851852</v>
      </c>
      <c r="AJ2908">
        <v>116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 t="s">
        <v>90</v>
      </c>
      <c r="AU2908" s="1">
        <v>44223.571076388886</v>
      </c>
      <c r="AV2908">
        <v>15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0</v>
      </c>
      <c r="BE2908">
        <v>0</v>
      </c>
    </row>
    <row r="2909" spans="1:57" x14ac:dyDescent="0.45">
      <c r="A2909" t="s">
        <v>6901</v>
      </c>
      <c r="B2909" t="s">
        <v>79</v>
      </c>
      <c r="C2909" t="s">
        <v>6902</v>
      </c>
      <c r="D2909" t="s">
        <v>81</v>
      </c>
      <c r="E2909" s="2" t="str">
        <f>HYPERLINK("capsilon://?command=openfolder&amp;siteaddress=FAM.docvelocity-na8.net&amp;folderid=FX88CC96C0-400D-DEB6-9C59-EA257A23B9E3","FX210116764")</f>
        <v>FX210116764</v>
      </c>
      <c r="F2909" t="s">
        <v>19</v>
      </c>
      <c r="G2909" t="s">
        <v>19</v>
      </c>
      <c r="H2909" t="s">
        <v>82</v>
      </c>
      <c r="I2909" t="s">
        <v>6903</v>
      </c>
      <c r="J2909">
        <v>212</v>
      </c>
      <c r="K2909" t="s">
        <v>84</v>
      </c>
      <c r="L2909" t="s">
        <v>85</v>
      </c>
      <c r="M2909" t="s">
        <v>86</v>
      </c>
      <c r="N2909">
        <v>3</v>
      </c>
      <c r="O2909" s="1">
        <v>44223.538773148146</v>
      </c>
      <c r="P2909" s="1">
        <v>44223.571805555555</v>
      </c>
      <c r="Q2909">
        <v>116</v>
      </c>
      <c r="R2909">
        <v>2738</v>
      </c>
      <c r="S2909" t="b">
        <v>0</v>
      </c>
      <c r="T2909" t="s">
        <v>87</v>
      </c>
      <c r="U2909" t="b">
        <v>0</v>
      </c>
      <c r="V2909" t="s">
        <v>160</v>
      </c>
      <c r="W2909" s="1">
        <v>44223.564780092594</v>
      </c>
      <c r="X2909">
        <v>2242</v>
      </c>
      <c r="Y2909">
        <v>253</v>
      </c>
      <c r="Z2909">
        <v>0</v>
      </c>
      <c r="AA2909">
        <v>253</v>
      </c>
      <c r="AB2909">
        <v>0</v>
      </c>
      <c r="AC2909">
        <v>212</v>
      </c>
      <c r="AD2909">
        <v>-41</v>
      </c>
      <c r="AE2909">
        <v>0</v>
      </c>
      <c r="AF2909">
        <v>0</v>
      </c>
      <c r="AG2909">
        <v>0</v>
      </c>
      <c r="AH2909" t="s">
        <v>132</v>
      </c>
      <c r="AI2909" s="1">
        <v>44223.5703125</v>
      </c>
      <c r="AJ2909">
        <v>434</v>
      </c>
      <c r="AK2909">
        <v>2</v>
      </c>
      <c r="AL2909">
        <v>0</v>
      </c>
      <c r="AM2909">
        <v>2</v>
      </c>
      <c r="AN2909">
        <v>0</v>
      </c>
      <c r="AO2909">
        <v>1</v>
      </c>
      <c r="AP2909">
        <v>-43</v>
      </c>
      <c r="AQ2909">
        <v>0</v>
      </c>
      <c r="AR2909">
        <v>0</v>
      </c>
      <c r="AS2909">
        <v>0</v>
      </c>
      <c r="AT2909" t="s">
        <v>90</v>
      </c>
      <c r="AU2909" s="1">
        <v>44223.571805555555</v>
      </c>
      <c r="AV2909">
        <v>62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-43</v>
      </c>
      <c r="BC2909">
        <v>0</v>
      </c>
      <c r="BD2909">
        <v>0</v>
      </c>
      <c r="BE2909">
        <v>0</v>
      </c>
    </row>
    <row r="2910" spans="1:57" x14ac:dyDescent="0.45">
      <c r="A2910" t="s">
        <v>6904</v>
      </c>
      <c r="B2910" t="s">
        <v>79</v>
      </c>
      <c r="C2910" t="s">
        <v>6905</v>
      </c>
      <c r="D2910" t="s">
        <v>81</v>
      </c>
      <c r="E2910" s="2" t="str">
        <f>HYPERLINK("capsilon://?command=openfolder&amp;siteaddress=FAM.docvelocity-na8.net&amp;folderid=FX4C55FB4D-601C-66A9-D479-2DF472D3DF76","FX21019542")</f>
        <v>FX21019542</v>
      </c>
      <c r="F2910" t="s">
        <v>19</v>
      </c>
      <c r="G2910" t="s">
        <v>19</v>
      </c>
      <c r="H2910" t="s">
        <v>82</v>
      </c>
      <c r="I2910" t="s">
        <v>6906</v>
      </c>
      <c r="J2910">
        <v>227</v>
      </c>
      <c r="K2910" t="s">
        <v>84</v>
      </c>
      <c r="L2910" t="s">
        <v>85</v>
      </c>
      <c r="M2910" t="s">
        <v>86</v>
      </c>
      <c r="N2910">
        <v>3</v>
      </c>
      <c r="O2910" s="1">
        <v>44223.538993055554</v>
      </c>
      <c r="P2910" s="1">
        <v>44223.57744212963</v>
      </c>
      <c r="Q2910">
        <v>69</v>
      </c>
      <c r="R2910">
        <v>3253</v>
      </c>
      <c r="S2910" t="b">
        <v>0</v>
      </c>
      <c r="T2910" t="s">
        <v>87</v>
      </c>
      <c r="U2910" t="b">
        <v>0</v>
      </c>
      <c r="V2910" t="s">
        <v>255</v>
      </c>
      <c r="W2910" s="1">
        <v>44223.567546296297</v>
      </c>
      <c r="X2910">
        <v>2462</v>
      </c>
      <c r="Y2910">
        <v>241</v>
      </c>
      <c r="Z2910">
        <v>0</v>
      </c>
      <c r="AA2910">
        <v>241</v>
      </c>
      <c r="AB2910">
        <v>0</v>
      </c>
      <c r="AC2910">
        <v>176</v>
      </c>
      <c r="AD2910">
        <v>-14</v>
      </c>
      <c r="AE2910">
        <v>0</v>
      </c>
      <c r="AF2910">
        <v>0</v>
      </c>
      <c r="AG2910">
        <v>0</v>
      </c>
      <c r="AH2910" t="s">
        <v>128</v>
      </c>
      <c r="AI2910" s="1">
        <v>44223.576597222222</v>
      </c>
      <c r="AJ2910">
        <v>765</v>
      </c>
      <c r="AK2910">
        <v>1</v>
      </c>
      <c r="AL2910">
        <v>0</v>
      </c>
      <c r="AM2910">
        <v>1</v>
      </c>
      <c r="AN2910">
        <v>0</v>
      </c>
      <c r="AO2910">
        <v>1</v>
      </c>
      <c r="AP2910">
        <v>-15</v>
      </c>
      <c r="AQ2910">
        <v>0</v>
      </c>
      <c r="AR2910">
        <v>0</v>
      </c>
      <c r="AS2910">
        <v>0</v>
      </c>
      <c r="AT2910" t="s">
        <v>90</v>
      </c>
      <c r="AU2910" s="1">
        <v>44223.57744212963</v>
      </c>
      <c r="AV2910">
        <v>26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-15</v>
      </c>
      <c r="BC2910">
        <v>0</v>
      </c>
      <c r="BD2910">
        <v>0</v>
      </c>
      <c r="BE2910">
        <v>0</v>
      </c>
    </row>
    <row r="2911" spans="1:57" hidden="1" x14ac:dyDescent="0.45">
      <c r="A2911" t="s">
        <v>6907</v>
      </c>
      <c r="B2911" t="s">
        <v>79</v>
      </c>
      <c r="C2911" t="s">
        <v>2277</v>
      </c>
      <c r="D2911" t="s">
        <v>81</v>
      </c>
      <c r="E2911" s="2" t="str">
        <f>HYPERLINK("capsilon://?command=openfolder&amp;siteaddress=FAM.docvelocity-na8.net&amp;folderid=FX75E5B3FB-B179-806A-D012-377E07D9E09F","FX21015621")</f>
        <v>FX21015621</v>
      </c>
      <c r="F2911" t="s">
        <v>19</v>
      </c>
      <c r="G2911" t="s">
        <v>19</v>
      </c>
      <c r="H2911" t="s">
        <v>82</v>
      </c>
      <c r="I2911" t="s">
        <v>6908</v>
      </c>
      <c r="J2911">
        <v>66</v>
      </c>
      <c r="K2911" t="s">
        <v>84</v>
      </c>
      <c r="L2911" t="s">
        <v>85</v>
      </c>
      <c r="M2911" t="s">
        <v>86</v>
      </c>
      <c r="N2911">
        <v>3</v>
      </c>
      <c r="O2911" s="1">
        <v>44223.539606481485</v>
      </c>
      <c r="P2911" s="1">
        <v>44223.571851851855</v>
      </c>
      <c r="Q2911">
        <v>2630</v>
      </c>
      <c r="R2911">
        <v>156</v>
      </c>
      <c r="S2911" t="b">
        <v>0</v>
      </c>
      <c r="T2911" t="s">
        <v>87</v>
      </c>
      <c r="U2911" t="b">
        <v>0</v>
      </c>
      <c r="V2911" t="s">
        <v>179</v>
      </c>
      <c r="W2911" s="1">
        <v>44223.541377314818</v>
      </c>
      <c r="X2911">
        <v>136</v>
      </c>
      <c r="Y2911">
        <v>0</v>
      </c>
      <c r="Z2911">
        <v>0</v>
      </c>
      <c r="AA2911">
        <v>0</v>
      </c>
      <c r="AB2911">
        <v>52</v>
      </c>
      <c r="AC2911">
        <v>0</v>
      </c>
      <c r="AD2911">
        <v>66</v>
      </c>
      <c r="AE2911">
        <v>0</v>
      </c>
      <c r="AF2911">
        <v>0</v>
      </c>
      <c r="AG2911">
        <v>0</v>
      </c>
      <c r="AH2911" t="s">
        <v>128</v>
      </c>
      <c r="AI2911" s="1">
        <v>44223.543726851851</v>
      </c>
      <c r="AJ2911">
        <v>17</v>
      </c>
      <c r="AK2911">
        <v>0</v>
      </c>
      <c r="AL2911">
        <v>0</v>
      </c>
      <c r="AM2911">
        <v>0</v>
      </c>
      <c r="AN2911">
        <v>52</v>
      </c>
      <c r="AO2911">
        <v>0</v>
      </c>
      <c r="AP2911">
        <v>66</v>
      </c>
      <c r="AQ2911">
        <v>0</v>
      </c>
      <c r="AR2911">
        <v>0</v>
      </c>
      <c r="AS2911">
        <v>0</v>
      </c>
      <c r="AT2911" t="s">
        <v>90</v>
      </c>
      <c r="AU2911" s="1">
        <v>44223.571851851855</v>
      </c>
      <c r="AV2911">
        <v>3</v>
      </c>
      <c r="AW2911">
        <v>0</v>
      </c>
      <c r="AX2911">
        <v>0</v>
      </c>
      <c r="AY2911">
        <v>0</v>
      </c>
      <c r="AZ2911">
        <v>52</v>
      </c>
      <c r="BA2911">
        <v>0</v>
      </c>
      <c r="BB2911">
        <v>66</v>
      </c>
      <c r="BC2911">
        <v>0</v>
      </c>
      <c r="BD2911">
        <v>0</v>
      </c>
      <c r="BE2911">
        <v>0</v>
      </c>
    </row>
    <row r="2912" spans="1:57" hidden="1" x14ac:dyDescent="0.45">
      <c r="A2912" t="s">
        <v>6909</v>
      </c>
      <c r="B2912" t="s">
        <v>79</v>
      </c>
      <c r="C2912" t="s">
        <v>5911</v>
      </c>
      <c r="D2912" t="s">
        <v>81</v>
      </c>
      <c r="E2912" s="2" t="str">
        <f>HYPERLINK("capsilon://?command=openfolder&amp;siteaddress=FAM.docvelocity-na8.net&amp;folderid=FX006EBBA9-E7A7-9058-9AE8-3A65BC049E82","FX20125193")</f>
        <v>FX20125193</v>
      </c>
      <c r="F2912" t="s">
        <v>19</v>
      </c>
      <c r="G2912" t="s">
        <v>19</v>
      </c>
      <c r="H2912" t="s">
        <v>82</v>
      </c>
      <c r="I2912" t="s">
        <v>6910</v>
      </c>
      <c r="J2912">
        <v>66</v>
      </c>
      <c r="K2912" t="s">
        <v>84</v>
      </c>
      <c r="L2912" t="s">
        <v>85</v>
      </c>
      <c r="M2912" t="s">
        <v>86</v>
      </c>
      <c r="N2912">
        <v>3</v>
      </c>
      <c r="O2912" s="1">
        <v>44223.541087962964</v>
      </c>
      <c r="P2912" s="1">
        <v>44223.571898148148</v>
      </c>
      <c r="Q2912">
        <v>2584</v>
      </c>
      <c r="R2912">
        <v>78</v>
      </c>
      <c r="S2912" t="b">
        <v>0</v>
      </c>
      <c r="T2912" t="s">
        <v>87</v>
      </c>
      <c r="U2912" t="b">
        <v>0</v>
      </c>
      <c r="V2912" t="s">
        <v>179</v>
      </c>
      <c r="W2912" s="1">
        <v>44223.542118055557</v>
      </c>
      <c r="X2912">
        <v>63</v>
      </c>
      <c r="Y2912">
        <v>0</v>
      </c>
      <c r="Z2912">
        <v>0</v>
      </c>
      <c r="AA2912">
        <v>0</v>
      </c>
      <c r="AB2912">
        <v>52</v>
      </c>
      <c r="AC2912">
        <v>0</v>
      </c>
      <c r="AD2912">
        <v>66</v>
      </c>
      <c r="AE2912">
        <v>0</v>
      </c>
      <c r="AF2912">
        <v>0</v>
      </c>
      <c r="AG2912">
        <v>0</v>
      </c>
      <c r="AH2912" t="s">
        <v>128</v>
      </c>
      <c r="AI2912" s="1">
        <v>44223.543865740743</v>
      </c>
      <c r="AJ2912">
        <v>12</v>
      </c>
      <c r="AK2912">
        <v>0</v>
      </c>
      <c r="AL2912">
        <v>0</v>
      </c>
      <c r="AM2912">
        <v>0</v>
      </c>
      <c r="AN2912">
        <v>52</v>
      </c>
      <c r="AO2912">
        <v>0</v>
      </c>
      <c r="AP2912">
        <v>66</v>
      </c>
      <c r="AQ2912">
        <v>0</v>
      </c>
      <c r="AR2912">
        <v>0</v>
      </c>
      <c r="AS2912">
        <v>0</v>
      </c>
      <c r="AT2912" t="s">
        <v>90</v>
      </c>
      <c r="AU2912" s="1">
        <v>44223.571898148148</v>
      </c>
      <c r="AV2912">
        <v>3</v>
      </c>
      <c r="AW2912">
        <v>0</v>
      </c>
      <c r="AX2912">
        <v>0</v>
      </c>
      <c r="AY2912">
        <v>0</v>
      </c>
      <c r="AZ2912">
        <v>52</v>
      </c>
      <c r="BA2912">
        <v>0</v>
      </c>
      <c r="BB2912">
        <v>66</v>
      </c>
      <c r="BC2912">
        <v>0</v>
      </c>
      <c r="BD2912">
        <v>0</v>
      </c>
      <c r="BE2912">
        <v>0</v>
      </c>
    </row>
    <row r="2913" spans="1:57" hidden="1" x14ac:dyDescent="0.45">
      <c r="A2913" t="s">
        <v>6911</v>
      </c>
      <c r="B2913" t="s">
        <v>79</v>
      </c>
      <c r="C2913" t="s">
        <v>5911</v>
      </c>
      <c r="D2913" t="s">
        <v>81</v>
      </c>
      <c r="E2913" s="2" t="str">
        <f>HYPERLINK("capsilon://?command=openfolder&amp;siteaddress=FAM.docvelocity-na8.net&amp;folderid=FX006EBBA9-E7A7-9058-9AE8-3A65BC049E82","FX20125193")</f>
        <v>FX20125193</v>
      </c>
      <c r="F2913" t="s">
        <v>19</v>
      </c>
      <c r="G2913" t="s">
        <v>19</v>
      </c>
      <c r="H2913" t="s">
        <v>82</v>
      </c>
      <c r="I2913" t="s">
        <v>6912</v>
      </c>
      <c r="J2913">
        <v>66</v>
      </c>
      <c r="K2913" t="s">
        <v>84</v>
      </c>
      <c r="L2913" t="s">
        <v>85</v>
      </c>
      <c r="M2913" t="s">
        <v>86</v>
      </c>
      <c r="N2913">
        <v>3</v>
      </c>
      <c r="O2913" s="1">
        <v>44223.541516203702</v>
      </c>
      <c r="P2913" s="1">
        <v>44223.571921296294</v>
      </c>
      <c r="Q2913">
        <v>2495</v>
      </c>
      <c r="R2913">
        <v>132</v>
      </c>
      <c r="S2913" t="b">
        <v>0</v>
      </c>
      <c r="T2913" t="s">
        <v>87</v>
      </c>
      <c r="U2913" t="b">
        <v>0</v>
      </c>
      <c r="V2913" t="s">
        <v>146</v>
      </c>
      <c r="W2913" s="1">
        <v>44223.542905092596</v>
      </c>
      <c r="X2913">
        <v>116</v>
      </c>
      <c r="Y2913">
        <v>0</v>
      </c>
      <c r="Z2913">
        <v>0</v>
      </c>
      <c r="AA2913">
        <v>0</v>
      </c>
      <c r="AB2913">
        <v>52</v>
      </c>
      <c r="AC2913">
        <v>0</v>
      </c>
      <c r="AD2913">
        <v>66</v>
      </c>
      <c r="AE2913">
        <v>0</v>
      </c>
      <c r="AF2913">
        <v>0</v>
      </c>
      <c r="AG2913">
        <v>0</v>
      </c>
      <c r="AH2913" t="s">
        <v>128</v>
      </c>
      <c r="AI2913" s="1">
        <v>44223.544039351851</v>
      </c>
      <c r="AJ2913">
        <v>14</v>
      </c>
      <c r="AK2913">
        <v>0</v>
      </c>
      <c r="AL2913">
        <v>0</v>
      </c>
      <c r="AM2913">
        <v>0</v>
      </c>
      <c r="AN2913">
        <v>52</v>
      </c>
      <c r="AO2913">
        <v>0</v>
      </c>
      <c r="AP2913">
        <v>66</v>
      </c>
      <c r="AQ2913">
        <v>0</v>
      </c>
      <c r="AR2913">
        <v>0</v>
      </c>
      <c r="AS2913">
        <v>0</v>
      </c>
      <c r="AT2913" t="s">
        <v>90</v>
      </c>
      <c r="AU2913" s="1">
        <v>44223.571921296294</v>
      </c>
      <c r="AV2913">
        <v>2</v>
      </c>
      <c r="AW2913">
        <v>0</v>
      </c>
      <c r="AX2913">
        <v>0</v>
      </c>
      <c r="AY2913">
        <v>0</v>
      </c>
      <c r="AZ2913">
        <v>52</v>
      </c>
      <c r="BA2913">
        <v>0</v>
      </c>
      <c r="BB2913">
        <v>66</v>
      </c>
      <c r="BC2913">
        <v>0</v>
      </c>
      <c r="BD2913">
        <v>0</v>
      </c>
      <c r="BE2913">
        <v>0</v>
      </c>
    </row>
    <row r="2914" spans="1:57" hidden="1" x14ac:dyDescent="0.45">
      <c r="A2914" t="s">
        <v>6913</v>
      </c>
      <c r="B2914" t="s">
        <v>79</v>
      </c>
      <c r="C2914" t="s">
        <v>2433</v>
      </c>
      <c r="D2914" t="s">
        <v>81</v>
      </c>
      <c r="E2914" s="2" t="str">
        <f>HYPERLINK("capsilon://?command=openfolder&amp;siteaddress=FAM.docvelocity-na8.net&amp;folderid=FX274738A2-6DBA-1468-B4C5-1AD565C45D06","FX21016489")</f>
        <v>FX21016489</v>
      </c>
      <c r="F2914" t="s">
        <v>19</v>
      </c>
      <c r="G2914" t="s">
        <v>19</v>
      </c>
      <c r="H2914" t="s">
        <v>82</v>
      </c>
      <c r="I2914" t="s">
        <v>6914</v>
      </c>
      <c r="J2914">
        <v>66</v>
      </c>
      <c r="K2914" t="s">
        <v>84</v>
      </c>
      <c r="L2914" t="s">
        <v>85</v>
      </c>
      <c r="M2914" t="s">
        <v>86</v>
      </c>
      <c r="N2914">
        <v>3</v>
      </c>
      <c r="O2914" s="1">
        <v>44223.542314814818</v>
      </c>
      <c r="P2914" s="1">
        <v>44223.571967592594</v>
      </c>
      <c r="Q2914">
        <v>2459</v>
      </c>
      <c r="R2914">
        <v>103</v>
      </c>
      <c r="S2914" t="b">
        <v>0</v>
      </c>
      <c r="T2914" t="s">
        <v>87</v>
      </c>
      <c r="U2914" t="b">
        <v>0</v>
      </c>
      <c r="V2914" t="s">
        <v>179</v>
      </c>
      <c r="W2914" s="1">
        <v>44223.543344907404</v>
      </c>
      <c r="X2914">
        <v>88</v>
      </c>
      <c r="Y2914">
        <v>0</v>
      </c>
      <c r="Z2914">
        <v>0</v>
      </c>
      <c r="AA2914">
        <v>0</v>
      </c>
      <c r="AB2914">
        <v>52</v>
      </c>
      <c r="AC2914">
        <v>0</v>
      </c>
      <c r="AD2914">
        <v>66</v>
      </c>
      <c r="AE2914">
        <v>0</v>
      </c>
      <c r="AF2914">
        <v>0</v>
      </c>
      <c r="AG2914">
        <v>0</v>
      </c>
      <c r="AH2914" t="s">
        <v>128</v>
      </c>
      <c r="AI2914" s="1">
        <v>44223.544189814813</v>
      </c>
      <c r="AJ2914">
        <v>12</v>
      </c>
      <c r="AK2914">
        <v>0</v>
      </c>
      <c r="AL2914">
        <v>0</v>
      </c>
      <c r="AM2914">
        <v>0</v>
      </c>
      <c r="AN2914">
        <v>52</v>
      </c>
      <c r="AO2914">
        <v>0</v>
      </c>
      <c r="AP2914">
        <v>66</v>
      </c>
      <c r="AQ2914">
        <v>0</v>
      </c>
      <c r="AR2914">
        <v>0</v>
      </c>
      <c r="AS2914">
        <v>0</v>
      </c>
      <c r="AT2914" t="s">
        <v>90</v>
      </c>
      <c r="AU2914" s="1">
        <v>44223.571967592594</v>
      </c>
      <c r="AV2914">
        <v>3</v>
      </c>
      <c r="AW2914">
        <v>0</v>
      </c>
      <c r="AX2914">
        <v>0</v>
      </c>
      <c r="AY2914">
        <v>0</v>
      </c>
      <c r="AZ2914">
        <v>52</v>
      </c>
      <c r="BA2914">
        <v>0</v>
      </c>
      <c r="BB2914">
        <v>66</v>
      </c>
      <c r="BC2914">
        <v>0</v>
      </c>
      <c r="BD2914">
        <v>0</v>
      </c>
      <c r="BE2914">
        <v>0</v>
      </c>
    </row>
    <row r="2915" spans="1:57" hidden="1" x14ac:dyDescent="0.45">
      <c r="A2915" t="s">
        <v>6915</v>
      </c>
      <c r="B2915" t="s">
        <v>79</v>
      </c>
      <c r="C2915" t="s">
        <v>2277</v>
      </c>
      <c r="D2915" t="s">
        <v>81</v>
      </c>
      <c r="E2915" s="2" t="str">
        <f>HYPERLINK("capsilon://?command=openfolder&amp;siteaddress=FAM.docvelocity-na8.net&amp;folderid=FX75E5B3FB-B179-806A-D012-377E07D9E09F","FX21015621")</f>
        <v>FX21015621</v>
      </c>
      <c r="F2915" t="s">
        <v>19</v>
      </c>
      <c r="G2915" t="s">
        <v>19</v>
      </c>
      <c r="H2915" t="s">
        <v>82</v>
      </c>
      <c r="I2915" t="s">
        <v>6916</v>
      </c>
      <c r="J2915">
        <v>66</v>
      </c>
      <c r="K2915" t="s">
        <v>84</v>
      </c>
      <c r="L2915" t="s">
        <v>85</v>
      </c>
      <c r="M2915" t="s">
        <v>86</v>
      </c>
      <c r="N2915">
        <v>3</v>
      </c>
      <c r="O2915" s="1">
        <v>44223.543344907404</v>
      </c>
      <c r="P2915" s="1">
        <v>44223.572002314817</v>
      </c>
      <c r="Q2915">
        <v>2364</v>
      </c>
      <c r="R2915">
        <v>112</v>
      </c>
      <c r="S2915" t="b">
        <v>0</v>
      </c>
      <c r="T2915" t="s">
        <v>87</v>
      </c>
      <c r="U2915" t="b">
        <v>0</v>
      </c>
      <c r="V2915" t="s">
        <v>179</v>
      </c>
      <c r="W2915" s="1">
        <v>44223.544386574074</v>
      </c>
      <c r="X2915">
        <v>89</v>
      </c>
      <c r="Y2915">
        <v>0</v>
      </c>
      <c r="Z2915">
        <v>0</v>
      </c>
      <c r="AA2915">
        <v>0</v>
      </c>
      <c r="AB2915">
        <v>52</v>
      </c>
      <c r="AC2915">
        <v>0</v>
      </c>
      <c r="AD2915">
        <v>66</v>
      </c>
      <c r="AE2915">
        <v>0</v>
      </c>
      <c r="AF2915">
        <v>0</v>
      </c>
      <c r="AG2915">
        <v>0</v>
      </c>
      <c r="AH2915" t="s">
        <v>132</v>
      </c>
      <c r="AI2915" s="1">
        <v>44223.546527777777</v>
      </c>
      <c r="AJ2915">
        <v>20</v>
      </c>
      <c r="AK2915">
        <v>0</v>
      </c>
      <c r="AL2915">
        <v>0</v>
      </c>
      <c r="AM2915">
        <v>0</v>
      </c>
      <c r="AN2915">
        <v>52</v>
      </c>
      <c r="AO2915">
        <v>0</v>
      </c>
      <c r="AP2915">
        <v>66</v>
      </c>
      <c r="AQ2915">
        <v>0</v>
      </c>
      <c r="AR2915">
        <v>0</v>
      </c>
      <c r="AS2915">
        <v>0</v>
      </c>
      <c r="AT2915" t="s">
        <v>90</v>
      </c>
      <c r="AU2915" s="1">
        <v>44223.572002314817</v>
      </c>
      <c r="AV2915">
        <v>3</v>
      </c>
      <c r="AW2915">
        <v>0</v>
      </c>
      <c r="AX2915">
        <v>0</v>
      </c>
      <c r="AY2915">
        <v>0</v>
      </c>
      <c r="AZ2915">
        <v>52</v>
      </c>
      <c r="BA2915">
        <v>0</v>
      </c>
      <c r="BB2915">
        <v>66</v>
      </c>
      <c r="BC2915">
        <v>0</v>
      </c>
      <c r="BD2915">
        <v>0</v>
      </c>
      <c r="BE2915">
        <v>0</v>
      </c>
    </row>
    <row r="2916" spans="1:57" x14ac:dyDescent="0.45">
      <c r="A2916" t="s">
        <v>6917</v>
      </c>
      <c r="B2916" t="s">
        <v>79</v>
      </c>
      <c r="C2916" t="s">
        <v>6757</v>
      </c>
      <c r="D2916" t="s">
        <v>81</v>
      </c>
      <c r="E2916" s="2" t="str">
        <f>HYPERLINK("capsilon://?command=openfolder&amp;siteaddress=FAM.docvelocity-na8.net&amp;folderid=FXCF42FBEF-8251-1624-397F-0D9491C18087","FX210116708")</f>
        <v>FX210116708</v>
      </c>
      <c r="F2916" t="s">
        <v>19</v>
      </c>
      <c r="G2916" t="s">
        <v>19</v>
      </c>
      <c r="H2916" t="s">
        <v>82</v>
      </c>
      <c r="I2916" t="s">
        <v>6918</v>
      </c>
      <c r="J2916">
        <v>26</v>
      </c>
      <c r="K2916" t="s">
        <v>84</v>
      </c>
      <c r="L2916" t="s">
        <v>85</v>
      </c>
      <c r="M2916" t="s">
        <v>86</v>
      </c>
      <c r="N2916">
        <v>3</v>
      </c>
      <c r="O2916" s="1">
        <v>44223.544004629628</v>
      </c>
      <c r="P2916" s="1">
        <v>44223.572083333333</v>
      </c>
      <c r="Q2916">
        <v>1468</v>
      </c>
      <c r="R2916">
        <v>958</v>
      </c>
      <c r="S2916" t="b">
        <v>0</v>
      </c>
      <c r="T2916" t="s">
        <v>87</v>
      </c>
      <c r="U2916" t="b">
        <v>0</v>
      </c>
      <c r="V2916" t="s">
        <v>146</v>
      </c>
      <c r="W2916" s="1">
        <v>44223.553819444445</v>
      </c>
      <c r="X2916">
        <v>847</v>
      </c>
      <c r="Y2916">
        <v>21</v>
      </c>
      <c r="Z2916">
        <v>0</v>
      </c>
      <c r="AA2916">
        <v>21</v>
      </c>
      <c r="AB2916">
        <v>0</v>
      </c>
      <c r="AC2916">
        <v>20</v>
      </c>
      <c r="AD2916">
        <v>5</v>
      </c>
      <c r="AE2916">
        <v>0</v>
      </c>
      <c r="AF2916">
        <v>0</v>
      </c>
      <c r="AG2916">
        <v>0</v>
      </c>
      <c r="AH2916" t="s">
        <v>128</v>
      </c>
      <c r="AI2916" s="1">
        <v>44223.555243055554</v>
      </c>
      <c r="AJ2916">
        <v>105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5</v>
      </c>
      <c r="AQ2916">
        <v>0</v>
      </c>
      <c r="AR2916">
        <v>0</v>
      </c>
      <c r="AS2916">
        <v>0</v>
      </c>
      <c r="AT2916" t="s">
        <v>90</v>
      </c>
      <c r="AU2916" s="1">
        <v>44223.572083333333</v>
      </c>
      <c r="AV2916">
        <v>6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5</v>
      </c>
      <c r="BC2916">
        <v>0</v>
      </c>
      <c r="BD2916">
        <v>0</v>
      </c>
      <c r="BE2916">
        <v>0</v>
      </c>
    </row>
    <row r="2917" spans="1:57" x14ac:dyDescent="0.45">
      <c r="A2917" t="s">
        <v>6919</v>
      </c>
      <c r="B2917" t="s">
        <v>79</v>
      </c>
      <c r="C2917" t="s">
        <v>5902</v>
      </c>
      <c r="D2917" t="s">
        <v>81</v>
      </c>
      <c r="E2917" s="2" t="str">
        <f>HYPERLINK("capsilon://?command=openfolder&amp;siteaddress=FAM.docvelocity-na8.net&amp;folderid=FXE4820A0A-FB97-55B7-D96C-FB70992C46E0","FX210111734")</f>
        <v>FX210111734</v>
      </c>
      <c r="F2917" t="s">
        <v>19</v>
      </c>
      <c r="G2917" t="s">
        <v>19</v>
      </c>
      <c r="H2917" t="s">
        <v>82</v>
      </c>
      <c r="I2917" t="s">
        <v>6920</v>
      </c>
      <c r="J2917">
        <v>66</v>
      </c>
      <c r="K2917" t="s">
        <v>84</v>
      </c>
      <c r="L2917" t="s">
        <v>85</v>
      </c>
      <c r="M2917" t="s">
        <v>86</v>
      </c>
      <c r="N2917">
        <v>3</v>
      </c>
      <c r="O2917" s="1">
        <v>44223.547430555554</v>
      </c>
      <c r="P2917" s="1">
        <v>44223.572233796294</v>
      </c>
      <c r="Q2917">
        <v>739</v>
      </c>
      <c r="R2917">
        <v>1404</v>
      </c>
      <c r="S2917" t="b">
        <v>0</v>
      </c>
      <c r="T2917" t="s">
        <v>87</v>
      </c>
      <c r="U2917" t="b">
        <v>0</v>
      </c>
      <c r="V2917" t="s">
        <v>171</v>
      </c>
      <c r="W2917" s="1">
        <v>44223.561747685184</v>
      </c>
      <c r="X2917">
        <v>1236</v>
      </c>
      <c r="Y2917">
        <v>52</v>
      </c>
      <c r="Z2917">
        <v>0</v>
      </c>
      <c r="AA2917">
        <v>52</v>
      </c>
      <c r="AB2917">
        <v>0</v>
      </c>
      <c r="AC2917">
        <v>37</v>
      </c>
      <c r="AD2917">
        <v>14</v>
      </c>
      <c r="AE2917">
        <v>0</v>
      </c>
      <c r="AF2917">
        <v>0</v>
      </c>
      <c r="AG2917">
        <v>0</v>
      </c>
      <c r="AH2917" t="s">
        <v>128</v>
      </c>
      <c r="AI2917" s="1">
        <v>44223.564421296294</v>
      </c>
      <c r="AJ2917">
        <v>155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14</v>
      </c>
      <c r="AQ2917">
        <v>0</v>
      </c>
      <c r="AR2917">
        <v>0</v>
      </c>
      <c r="AS2917">
        <v>0</v>
      </c>
      <c r="AT2917" t="s">
        <v>90</v>
      </c>
      <c r="AU2917" s="1">
        <v>44223.572233796294</v>
      </c>
      <c r="AV2917">
        <v>13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14</v>
      </c>
      <c r="BC2917">
        <v>0</v>
      </c>
      <c r="BD2917">
        <v>0</v>
      </c>
      <c r="BE2917">
        <v>0</v>
      </c>
    </row>
    <row r="2918" spans="1:57" hidden="1" x14ac:dyDescent="0.45">
      <c r="A2918" t="s">
        <v>6921</v>
      </c>
      <c r="B2918" t="s">
        <v>79</v>
      </c>
      <c r="C2918" t="s">
        <v>1291</v>
      </c>
      <c r="D2918" t="s">
        <v>81</v>
      </c>
      <c r="E2918" s="2" t="str">
        <f>HYPERLINK("capsilon://?command=openfolder&amp;siteaddress=FAM.docvelocity-na8.net&amp;folderid=FX2EA5AFEA-C908-0F2E-4F48-0D89C3ABF5FE","FX20126763")</f>
        <v>FX20126763</v>
      </c>
      <c r="F2918" t="s">
        <v>19</v>
      </c>
      <c r="G2918" t="s">
        <v>19</v>
      </c>
      <c r="H2918" t="s">
        <v>82</v>
      </c>
      <c r="I2918" t="s">
        <v>6922</v>
      </c>
      <c r="J2918">
        <v>66</v>
      </c>
      <c r="K2918" t="s">
        <v>84</v>
      </c>
      <c r="L2918" t="s">
        <v>85</v>
      </c>
      <c r="M2918" t="s">
        <v>86</v>
      </c>
      <c r="N2918">
        <v>3</v>
      </c>
      <c r="O2918" s="1">
        <v>44223.548379629632</v>
      </c>
      <c r="P2918" s="1">
        <v>44223.572268518517</v>
      </c>
      <c r="Q2918">
        <v>1929</v>
      </c>
      <c r="R2918">
        <v>135</v>
      </c>
      <c r="S2918" t="b">
        <v>0</v>
      </c>
      <c r="T2918" t="s">
        <v>87</v>
      </c>
      <c r="U2918" t="b">
        <v>0</v>
      </c>
      <c r="V2918" t="s">
        <v>179</v>
      </c>
      <c r="W2918" s="1">
        <v>44223.549953703703</v>
      </c>
      <c r="X2918">
        <v>115</v>
      </c>
      <c r="Y2918">
        <v>0</v>
      </c>
      <c r="Z2918">
        <v>0</v>
      </c>
      <c r="AA2918">
        <v>0</v>
      </c>
      <c r="AB2918">
        <v>52</v>
      </c>
      <c r="AC2918">
        <v>0</v>
      </c>
      <c r="AD2918">
        <v>66</v>
      </c>
      <c r="AE2918">
        <v>0</v>
      </c>
      <c r="AF2918">
        <v>0</v>
      </c>
      <c r="AG2918">
        <v>0</v>
      </c>
      <c r="AH2918" t="s">
        <v>128</v>
      </c>
      <c r="AI2918" s="1">
        <v>44223.551076388889</v>
      </c>
      <c r="AJ2918">
        <v>18</v>
      </c>
      <c r="AK2918">
        <v>0</v>
      </c>
      <c r="AL2918">
        <v>0</v>
      </c>
      <c r="AM2918">
        <v>0</v>
      </c>
      <c r="AN2918">
        <v>52</v>
      </c>
      <c r="AO2918">
        <v>0</v>
      </c>
      <c r="AP2918">
        <v>66</v>
      </c>
      <c r="AQ2918">
        <v>0</v>
      </c>
      <c r="AR2918">
        <v>0</v>
      </c>
      <c r="AS2918">
        <v>0</v>
      </c>
      <c r="AT2918" t="s">
        <v>90</v>
      </c>
      <c r="AU2918" s="1">
        <v>44223.572268518517</v>
      </c>
      <c r="AV2918">
        <v>2</v>
      </c>
      <c r="AW2918">
        <v>0</v>
      </c>
      <c r="AX2918">
        <v>0</v>
      </c>
      <c r="AY2918">
        <v>0</v>
      </c>
      <c r="AZ2918">
        <v>52</v>
      </c>
      <c r="BA2918">
        <v>0</v>
      </c>
      <c r="BB2918">
        <v>66</v>
      </c>
      <c r="BC2918">
        <v>0</v>
      </c>
      <c r="BD2918">
        <v>0</v>
      </c>
      <c r="BE2918">
        <v>0</v>
      </c>
    </row>
    <row r="2919" spans="1:57" hidden="1" x14ac:dyDescent="0.45">
      <c r="A2919" t="s">
        <v>6923</v>
      </c>
      <c r="B2919" t="s">
        <v>79</v>
      </c>
      <c r="C2919" t="s">
        <v>2433</v>
      </c>
      <c r="D2919" t="s">
        <v>81</v>
      </c>
      <c r="E2919" s="2" t="str">
        <f>HYPERLINK("capsilon://?command=openfolder&amp;siteaddress=FAM.docvelocity-na8.net&amp;folderid=FX274738A2-6DBA-1468-B4C5-1AD565C45D06","FX21016489")</f>
        <v>FX21016489</v>
      </c>
      <c r="F2919" t="s">
        <v>19</v>
      </c>
      <c r="G2919" t="s">
        <v>19</v>
      </c>
      <c r="H2919" t="s">
        <v>82</v>
      </c>
      <c r="I2919" t="s">
        <v>6924</v>
      </c>
      <c r="J2919">
        <v>66</v>
      </c>
      <c r="K2919" t="s">
        <v>84</v>
      </c>
      <c r="L2919" t="s">
        <v>85</v>
      </c>
      <c r="M2919" t="s">
        <v>86</v>
      </c>
      <c r="N2919">
        <v>3</v>
      </c>
      <c r="O2919" s="1">
        <v>44223.548900462964</v>
      </c>
      <c r="P2919" s="1">
        <v>44223.572314814817</v>
      </c>
      <c r="Q2919">
        <v>1894</v>
      </c>
      <c r="R2919">
        <v>129</v>
      </c>
      <c r="S2919" t="b">
        <v>0</v>
      </c>
      <c r="T2919" t="s">
        <v>87</v>
      </c>
      <c r="U2919" t="b">
        <v>0</v>
      </c>
      <c r="V2919" t="s">
        <v>259</v>
      </c>
      <c r="W2919" s="1">
        <v>44223.550347222219</v>
      </c>
      <c r="X2919">
        <v>113</v>
      </c>
      <c r="Y2919">
        <v>0</v>
      </c>
      <c r="Z2919">
        <v>0</v>
      </c>
      <c r="AA2919">
        <v>0</v>
      </c>
      <c r="AB2919">
        <v>52</v>
      </c>
      <c r="AC2919">
        <v>0</v>
      </c>
      <c r="AD2919">
        <v>66</v>
      </c>
      <c r="AE2919">
        <v>0</v>
      </c>
      <c r="AF2919">
        <v>0</v>
      </c>
      <c r="AG2919">
        <v>0</v>
      </c>
      <c r="AH2919" t="s">
        <v>128</v>
      </c>
      <c r="AI2919" s="1">
        <v>44223.551238425927</v>
      </c>
      <c r="AJ2919">
        <v>13</v>
      </c>
      <c r="AK2919">
        <v>0</v>
      </c>
      <c r="AL2919">
        <v>0</v>
      </c>
      <c r="AM2919">
        <v>0</v>
      </c>
      <c r="AN2919">
        <v>52</v>
      </c>
      <c r="AO2919">
        <v>0</v>
      </c>
      <c r="AP2919">
        <v>66</v>
      </c>
      <c r="AQ2919">
        <v>0</v>
      </c>
      <c r="AR2919">
        <v>0</v>
      </c>
      <c r="AS2919">
        <v>0</v>
      </c>
      <c r="AT2919" t="s">
        <v>90</v>
      </c>
      <c r="AU2919" s="1">
        <v>44223.572314814817</v>
      </c>
      <c r="AV2919">
        <v>3</v>
      </c>
      <c r="AW2919">
        <v>0</v>
      </c>
      <c r="AX2919">
        <v>0</v>
      </c>
      <c r="AY2919">
        <v>0</v>
      </c>
      <c r="AZ2919">
        <v>52</v>
      </c>
      <c r="BA2919">
        <v>0</v>
      </c>
      <c r="BB2919">
        <v>66</v>
      </c>
      <c r="BC2919">
        <v>0</v>
      </c>
      <c r="BD2919">
        <v>0</v>
      </c>
      <c r="BE2919">
        <v>0</v>
      </c>
    </row>
    <row r="2920" spans="1:57" hidden="1" x14ac:dyDescent="0.45">
      <c r="A2920" t="s">
        <v>6925</v>
      </c>
      <c r="B2920" t="s">
        <v>79</v>
      </c>
      <c r="C2920" t="s">
        <v>2277</v>
      </c>
      <c r="D2920" t="s">
        <v>81</v>
      </c>
      <c r="E2920" s="2" t="str">
        <f>HYPERLINK("capsilon://?command=openfolder&amp;siteaddress=FAM.docvelocity-na8.net&amp;folderid=FX75E5B3FB-B179-806A-D012-377E07D9E09F","FX21015621")</f>
        <v>FX21015621</v>
      </c>
      <c r="F2920" t="s">
        <v>19</v>
      </c>
      <c r="G2920" t="s">
        <v>19</v>
      </c>
      <c r="H2920" t="s">
        <v>82</v>
      </c>
      <c r="I2920" t="s">
        <v>6926</v>
      </c>
      <c r="J2920">
        <v>66</v>
      </c>
      <c r="K2920" t="s">
        <v>84</v>
      </c>
      <c r="L2920" t="s">
        <v>85</v>
      </c>
      <c r="M2920" t="s">
        <v>86</v>
      </c>
      <c r="N2920">
        <v>3</v>
      </c>
      <c r="O2920" s="1">
        <v>44223.549143518518</v>
      </c>
      <c r="P2920" s="1">
        <v>44223.57236111111</v>
      </c>
      <c r="Q2920">
        <v>1848</v>
      </c>
      <c r="R2920">
        <v>158</v>
      </c>
      <c r="S2920" t="b">
        <v>0</v>
      </c>
      <c r="T2920" t="s">
        <v>87</v>
      </c>
      <c r="U2920" t="b">
        <v>0</v>
      </c>
      <c r="V2920" t="s">
        <v>179</v>
      </c>
      <c r="W2920" s="1">
        <v>44223.55159722222</v>
      </c>
      <c r="X2920">
        <v>141</v>
      </c>
      <c r="Y2920">
        <v>0</v>
      </c>
      <c r="Z2920">
        <v>0</v>
      </c>
      <c r="AA2920">
        <v>0</v>
      </c>
      <c r="AB2920">
        <v>52</v>
      </c>
      <c r="AC2920">
        <v>0</v>
      </c>
      <c r="AD2920">
        <v>66</v>
      </c>
      <c r="AE2920">
        <v>0</v>
      </c>
      <c r="AF2920">
        <v>0</v>
      </c>
      <c r="AG2920">
        <v>0</v>
      </c>
      <c r="AH2920" t="s">
        <v>132</v>
      </c>
      <c r="AI2920" s="1">
        <v>44223.552615740744</v>
      </c>
      <c r="AJ2920">
        <v>14</v>
      </c>
      <c r="AK2920">
        <v>0</v>
      </c>
      <c r="AL2920">
        <v>0</v>
      </c>
      <c r="AM2920">
        <v>0</v>
      </c>
      <c r="AN2920">
        <v>52</v>
      </c>
      <c r="AO2920">
        <v>0</v>
      </c>
      <c r="AP2920">
        <v>66</v>
      </c>
      <c r="AQ2920">
        <v>0</v>
      </c>
      <c r="AR2920">
        <v>0</v>
      </c>
      <c r="AS2920">
        <v>0</v>
      </c>
      <c r="AT2920" t="s">
        <v>90</v>
      </c>
      <c r="AU2920" s="1">
        <v>44223.57236111111</v>
      </c>
      <c r="AV2920">
        <v>3</v>
      </c>
      <c r="AW2920">
        <v>0</v>
      </c>
      <c r="AX2920">
        <v>0</v>
      </c>
      <c r="AY2920">
        <v>0</v>
      </c>
      <c r="AZ2920">
        <v>52</v>
      </c>
      <c r="BA2920">
        <v>0</v>
      </c>
      <c r="BB2920">
        <v>66</v>
      </c>
      <c r="BC2920">
        <v>0</v>
      </c>
      <c r="BD2920">
        <v>0</v>
      </c>
      <c r="BE2920">
        <v>0</v>
      </c>
    </row>
    <row r="2921" spans="1:57" x14ac:dyDescent="0.45">
      <c r="A2921" t="s">
        <v>6927</v>
      </c>
      <c r="B2921" t="s">
        <v>79</v>
      </c>
      <c r="C2921" t="s">
        <v>6928</v>
      </c>
      <c r="D2921" t="s">
        <v>81</v>
      </c>
      <c r="E2921" s="2" t="str">
        <f>HYPERLINK("capsilon://?command=openfolder&amp;siteaddress=FAM.docvelocity-na8.net&amp;folderid=FX7A9A39C8-9C9D-6B49-7BF4-08B38960F98A","FX210117890")</f>
        <v>FX210117890</v>
      </c>
      <c r="F2921" t="s">
        <v>19</v>
      </c>
      <c r="G2921" t="s">
        <v>19</v>
      </c>
      <c r="H2921" t="s">
        <v>82</v>
      </c>
      <c r="I2921" t="s">
        <v>6929</v>
      </c>
      <c r="J2921">
        <v>211</v>
      </c>
      <c r="K2921" t="s">
        <v>84</v>
      </c>
      <c r="L2921" t="s">
        <v>85</v>
      </c>
      <c r="M2921" t="s">
        <v>86</v>
      </c>
      <c r="N2921">
        <v>3</v>
      </c>
      <c r="O2921" s="1">
        <v>44223.552002314813</v>
      </c>
      <c r="P2921" s="1">
        <v>44223.580972222226</v>
      </c>
      <c r="Q2921">
        <v>821</v>
      </c>
      <c r="R2921">
        <v>1682</v>
      </c>
      <c r="S2921" t="b">
        <v>0</v>
      </c>
      <c r="T2921" t="s">
        <v>87</v>
      </c>
      <c r="U2921" t="b">
        <v>0</v>
      </c>
      <c r="V2921" t="s">
        <v>179</v>
      </c>
      <c r="W2921" s="1">
        <v>44223.567893518521</v>
      </c>
      <c r="X2921">
        <v>1372</v>
      </c>
      <c r="Y2921">
        <v>121</v>
      </c>
      <c r="Z2921">
        <v>0</v>
      </c>
      <c r="AA2921">
        <v>121</v>
      </c>
      <c r="AB2921">
        <v>0</v>
      </c>
      <c r="AC2921">
        <v>60</v>
      </c>
      <c r="AD2921">
        <v>90</v>
      </c>
      <c r="AE2921">
        <v>0</v>
      </c>
      <c r="AF2921">
        <v>0</v>
      </c>
      <c r="AG2921">
        <v>0</v>
      </c>
      <c r="AH2921" t="s">
        <v>128</v>
      </c>
      <c r="AI2921" s="1">
        <v>44223.579918981479</v>
      </c>
      <c r="AJ2921">
        <v>286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90</v>
      </c>
      <c r="AQ2921">
        <v>0</v>
      </c>
      <c r="AR2921">
        <v>0</v>
      </c>
      <c r="AS2921">
        <v>0</v>
      </c>
      <c r="AT2921" t="s">
        <v>90</v>
      </c>
      <c r="AU2921" s="1">
        <v>44223.580972222226</v>
      </c>
      <c r="AV2921">
        <v>24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90</v>
      </c>
      <c r="BC2921">
        <v>0</v>
      </c>
      <c r="BD2921">
        <v>0</v>
      </c>
      <c r="BE2921">
        <v>0</v>
      </c>
    </row>
    <row r="2922" spans="1:57" x14ac:dyDescent="0.45">
      <c r="A2922" t="s">
        <v>6930</v>
      </c>
      <c r="B2922" t="s">
        <v>79</v>
      </c>
      <c r="C2922" t="s">
        <v>6931</v>
      </c>
      <c r="D2922" t="s">
        <v>81</v>
      </c>
      <c r="E2922" s="2" t="str">
        <f>HYPERLINK("capsilon://?command=openfolder&amp;siteaddress=FAM.docvelocity-na8.net&amp;folderid=FX0D2C533A-1A6D-BEC9-C256-C248B9578530","FX210117395")</f>
        <v>FX210117395</v>
      </c>
      <c r="F2922" t="s">
        <v>19</v>
      </c>
      <c r="G2922" t="s">
        <v>19</v>
      </c>
      <c r="H2922" t="s">
        <v>82</v>
      </c>
      <c r="I2922" t="s">
        <v>6932</v>
      </c>
      <c r="J2922">
        <v>26</v>
      </c>
      <c r="K2922" t="s">
        <v>84</v>
      </c>
      <c r="L2922" t="s">
        <v>85</v>
      </c>
      <c r="M2922" t="s">
        <v>86</v>
      </c>
      <c r="N2922">
        <v>3</v>
      </c>
      <c r="O2922" s="1">
        <v>44223.554513888892</v>
      </c>
      <c r="P2922" s="1">
        <v>44223.572430555556</v>
      </c>
      <c r="Q2922">
        <v>661</v>
      </c>
      <c r="R2922">
        <v>887</v>
      </c>
      <c r="S2922" t="b">
        <v>0</v>
      </c>
      <c r="T2922" t="s">
        <v>87</v>
      </c>
      <c r="U2922" t="b">
        <v>0</v>
      </c>
      <c r="V2922" t="s">
        <v>146</v>
      </c>
      <c r="W2922" s="1">
        <v>44223.563067129631</v>
      </c>
      <c r="X2922">
        <v>738</v>
      </c>
      <c r="Y2922">
        <v>21</v>
      </c>
      <c r="Z2922">
        <v>0</v>
      </c>
      <c r="AA2922">
        <v>21</v>
      </c>
      <c r="AB2922">
        <v>0</v>
      </c>
      <c r="AC2922">
        <v>10</v>
      </c>
      <c r="AD2922">
        <v>5</v>
      </c>
      <c r="AE2922">
        <v>0</v>
      </c>
      <c r="AF2922">
        <v>0</v>
      </c>
      <c r="AG2922">
        <v>0</v>
      </c>
      <c r="AH2922" t="s">
        <v>128</v>
      </c>
      <c r="AI2922" s="1">
        <v>44223.566099537034</v>
      </c>
      <c r="AJ2922">
        <v>144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5</v>
      </c>
      <c r="AQ2922">
        <v>0</v>
      </c>
      <c r="AR2922">
        <v>0</v>
      </c>
      <c r="AS2922">
        <v>0</v>
      </c>
      <c r="AT2922" t="s">
        <v>90</v>
      </c>
      <c r="AU2922" s="1">
        <v>44223.572430555556</v>
      </c>
      <c r="AV2922">
        <v>5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5</v>
      </c>
      <c r="BC2922">
        <v>0</v>
      </c>
      <c r="BD2922">
        <v>0</v>
      </c>
      <c r="BE2922">
        <v>0</v>
      </c>
    </row>
    <row r="2923" spans="1:57" x14ac:dyDescent="0.45">
      <c r="A2923" t="s">
        <v>6933</v>
      </c>
      <c r="B2923" t="s">
        <v>79</v>
      </c>
      <c r="C2923" t="s">
        <v>6145</v>
      </c>
      <c r="D2923" t="s">
        <v>81</v>
      </c>
      <c r="E2923" s="2" t="str">
        <f>HYPERLINK("capsilon://?command=openfolder&amp;siteaddress=FAM.docvelocity-na8.net&amp;folderid=FX49A295F4-4DF8-F8F1-CE2D-8EC3DB42392B","FX210113408")</f>
        <v>FX210113408</v>
      </c>
      <c r="F2923" t="s">
        <v>19</v>
      </c>
      <c r="G2923" t="s">
        <v>19</v>
      </c>
      <c r="H2923" t="s">
        <v>82</v>
      </c>
      <c r="I2923" t="s">
        <v>6934</v>
      </c>
      <c r="J2923">
        <v>66</v>
      </c>
      <c r="K2923" t="s">
        <v>84</v>
      </c>
      <c r="L2923" t="s">
        <v>85</v>
      </c>
      <c r="M2923" t="s">
        <v>86</v>
      </c>
      <c r="N2923">
        <v>3</v>
      </c>
      <c r="O2923" s="1">
        <v>44223.557256944441</v>
      </c>
      <c r="P2923" s="1">
        <v>44223.572685185187</v>
      </c>
      <c r="Q2923">
        <v>636</v>
      </c>
      <c r="R2923">
        <v>697</v>
      </c>
      <c r="S2923" t="b">
        <v>0</v>
      </c>
      <c r="T2923" t="s">
        <v>87</v>
      </c>
      <c r="U2923" t="b">
        <v>0</v>
      </c>
      <c r="V2923" t="s">
        <v>168</v>
      </c>
      <c r="W2923" s="1">
        <v>44223.563460648147</v>
      </c>
      <c r="X2923">
        <v>535</v>
      </c>
      <c r="Y2923">
        <v>52</v>
      </c>
      <c r="Z2923">
        <v>0</v>
      </c>
      <c r="AA2923">
        <v>52</v>
      </c>
      <c r="AB2923">
        <v>0</v>
      </c>
      <c r="AC2923">
        <v>20</v>
      </c>
      <c r="AD2923">
        <v>14</v>
      </c>
      <c r="AE2923">
        <v>0</v>
      </c>
      <c r="AF2923">
        <v>0</v>
      </c>
      <c r="AG2923">
        <v>0</v>
      </c>
      <c r="AH2923" t="s">
        <v>128</v>
      </c>
      <c r="AI2923" s="1">
        <v>44223.567731481482</v>
      </c>
      <c r="AJ2923">
        <v>141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14</v>
      </c>
      <c r="AQ2923">
        <v>0</v>
      </c>
      <c r="AR2923">
        <v>0</v>
      </c>
      <c r="AS2923">
        <v>0</v>
      </c>
      <c r="AT2923" t="s">
        <v>90</v>
      </c>
      <c r="AU2923" s="1">
        <v>44223.572685185187</v>
      </c>
      <c r="AV2923">
        <v>21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14</v>
      </c>
      <c r="BC2923">
        <v>0</v>
      </c>
      <c r="BD2923">
        <v>0</v>
      </c>
      <c r="BE2923">
        <v>0</v>
      </c>
    </row>
    <row r="2924" spans="1:57" hidden="1" x14ac:dyDescent="0.45">
      <c r="A2924" t="s">
        <v>6935</v>
      </c>
      <c r="B2924" t="s">
        <v>79</v>
      </c>
      <c r="C2924" t="s">
        <v>6334</v>
      </c>
      <c r="D2924" t="s">
        <v>81</v>
      </c>
      <c r="E2924" s="2" t="str">
        <f>HYPERLINK("capsilon://?command=openfolder&amp;siteaddress=FAM.docvelocity-na8.net&amp;folderid=FX8720BA28-B842-5A01-55CF-2CC0D93DFC32","FX210112580")</f>
        <v>FX210112580</v>
      </c>
      <c r="F2924" t="s">
        <v>19</v>
      </c>
      <c r="G2924" t="s">
        <v>19</v>
      </c>
      <c r="H2924" t="s">
        <v>82</v>
      </c>
      <c r="I2924" t="s">
        <v>6936</v>
      </c>
      <c r="J2924">
        <v>66</v>
      </c>
      <c r="K2924" t="s">
        <v>84</v>
      </c>
      <c r="L2924" t="s">
        <v>85</v>
      </c>
      <c r="M2924" t="s">
        <v>86</v>
      </c>
      <c r="N2924">
        <v>3</v>
      </c>
      <c r="O2924" s="1">
        <v>44223.560624999998</v>
      </c>
      <c r="P2924" s="1">
        <v>44223.57271990741</v>
      </c>
      <c r="Q2924">
        <v>863</v>
      </c>
      <c r="R2924">
        <v>182</v>
      </c>
      <c r="S2924" t="b">
        <v>0</v>
      </c>
      <c r="T2924" t="s">
        <v>87</v>
      </c>
      <c r="U2924" t="b">
        <v>0</v>
      </c>
      <c r="V2924" t="s">
        <v>242</v>
      </c>
      <c r="W2924" s="1">
        <v>44223.562615740739</v>
      </c>
      <c r="X2924">
        <v>167</v>
      </c>
      <c r="Y2924">
        <v>0</v>
      </c>
      <c r="Z2924">
        <v>0</v>
      </c>
      <c r="AA2924">
        <v>0</v>
      </c>
      <c r="AB2924">
        <v>52</v>
      </c>
      <c r="AC2924">
        <v>0</v>
      </c>
      <c r="AD2924">
        <v>66</v>
      </c>
      <c r="AE2924">
        <v>0</v>
      </c>
      <c r="AF2924">
        <v>0</v>
      </c>
      <c r="AG2924">
        <v>0</v>
      </c>
      <c r="AH2924" t="s">
        <v>132</v>
      </c>
      <c r="AI2924" s="1">
        <v>44223.5628125</v>
      </c>
      <c r="AJ2924">
        <v>12</v>
      </c>
      <c r="AK2924">
        <v>0</v>
      </c>
      <c r="AL2924">
        <v>0</v>
      </c>
      <c r="AM2924">
        <v>0</v>
      </c>
      <c r="AN2924">
        <v>52</v>
      </c>
      <c r="AO2924">
        <v>0</v>
      </c>
      <c r="AP2924">
        <v>66</v>
      </c>
      <c r="AQ2924">
        <v>0</v>
      </c>
      <c r="AR2924">
        <v>0</v>
      </c>
      <c r="AS2924">
        <v>0</v>
      </c>
      <c r="AT2924" t="s">
        <v>90</v>
      </c>
      <c r="AU2924" s="1">
        <v>44223.57271990741</v>
      </c>
      <c r="AV2924">
        <v>3</v>
      </c>
      <c r="AW2924">
        <v>0</v>
      </c>
      <c r="AX2924">
        <v>0</v>
      </c>
      <c r="AY2924">
        <v>0</v>
      </c>
      <c r="AZ2924">
        <v>52</v>
      </c>
      <c r="BA2924">
        <v>0</v>
      </c>
      <c r="BB2924">
        <v>66</v>
      </c>
      <c r="BC2924">
        <v>0</v>
      </c>
      <c r="BD2924">
        <v>0</v>
      </c>
      <c r="BE2924">
        <v>0</v>
      </c>
    </row>
    <row r="2925" spans="1:57" x14ac:dyDescent="0.45">
      <c r="A2925" t="s">
        <v>6937</v>
      </c>
      <c r="B2925" t="s">
        <v>79</v>
      </c>
      <c r="C2925" t="s">
        <v>6938</v>
      </c>
      <c r="D2925" t="s">
        <v>81</v>
      </c>
      <c r="E2925" s="2" t="str">
        <f>HYPERLINK("capsilon://?command=openfolder&amp;siteaddress=FAM.docvelocity-na8.net&amp;folderid=FXABC57EDB-5CDC-ECF1-46F4-7FA172C61A0B","FX210113492")</f>
        <v>FX210113492</v>
      </c>
      <c r="F2925" t="s">
        <v>19</v>
      </c>
      <c r="G2925" t="s">
        <v>19</v>
      </c>
      <c r="H2925" t="s">
        <v>82</v>
      </c>
      <c r="I2925" t="s">
        <v>6939</v>
      </c>
      <c r="J2925">
        <v>102</v>
      </c>
      <c r="K2925" t="s">
        <v>84</v>
      </c>
      <c r="L2925" t="s">
        <v>85</v>
      </c>
      <c r="M2925" t="s">
        <v>86</v>
      </c>
      <c r="N2925">
        <v>3</v>
      </c>
      <c r="O2925" s="1">
        <v>44223.579756944448</v>
      </c>
      <c r="P2925" s="1">
        <v>44223.619189814817</v>
      </c>
      <c r="Q2925">
        <v>1550</v>
      </c>
      <c r="R2925">
        <v>1857</v>
      </c>
      <c r="S2925" t="b">
        <v>0</v>
      </c>
      <c r="T2925" t="s">
        <v>87</v>
      </c>
      <c r="U2925" t="b">
        <v>0</v>
      </c>
      <c r="V2925" t="s">
        <v>146</v>
      </c>
      <c r="W2925" s="1">
        <v>44223.596909722219</v>
      </c>
      <c r="X2925">
        <v>1481</v>
      </c>
      <c r="Y2925">
        <v>95</v>
      </c>
      <c r="Z2925">
        <v>0</v>
      </c>
      <c r="AA2925">
        <v>95</v>
      </c>
      <c r="AB2925">
        <v>0</v>
      </c>
      <c r="AC2925">
        <v>34</v>
      </c>
      <c r="AD2925">
        <v>7</v>
      </c>
      <c r="AE2925">
        <v>0</v>
      </c>
      <c r="AF2925">
        <v>0</v>
      </c>
      <c r="AG2925">
        <v>0</v>
      </c>
      <c r="AH2925" t="s">
        <v>128</v>
      </c>
      <c r="AI2925" s="1">
        <v>44223.601620370369</v>
      </c>
      <c r="AJ2925">
        <v>367</v>
      </c>
      <c r="AK2925">
        <v>2</v>
      </c>
      <c r="AL2925">
        <v>0</v>
      </c>
      <c r="AM2925">
        <v>2</v>
      </c>
      <c r="AN2925">
        <v>0</v>
      </c>
      <c r="AO2925">
        <v>2</v>
      </c>
      <c r="AP2925">
        <v>5</v>
      </c>
      <c r="AQ2925">
        <v>0</v>
      </c>
      <c r="AR2925">
        <v>0</v>
      </c>
      <c r="AS2925">
        <v>0</v>
      </c>
      <c r="AT2925" t="s">
        <v>90</v>
      </c>
      <c r="AU2925" s="1">
        <v>44223.619189814817</v>
      </c>
      <c r="AV2925">
        <v>9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5</v>
      </c>
      <c r="BC2925">
        <v>0</v>
      </c>
      <c r="BD2925">
        <v>0</v>
      </c>
      <c r="BE2925">
        <v>0</v>
      </c>
    </row>
    <row r="2926" spans="1:57" x14ac:dyDescent="0.45">
      <c r="A2926" t="s">
        <v>6940</v>
      </c>
      <c r="B2926" t="s">
        <v>79</v>
      </c>
      <c r="C2926" t="s">
        <v>6941</v>
      </c>
      <c r="D2926" t="s">
        <v>81</v>
      </c>
      <c r="E2926" s="2" t="str">
        <f>HYPERLINK("capsilon://?command=openfolder&amp;siteaddress=FAM.docvelocity-na8.net&amp;folderid=FX0F7FFFDF-9F80-F5E1-EE0F-A66F0C3A7182","FX201222360")</f>
        <v>FX201222360</v>
      </c>
      <c r="F2926" t="s">
        <v>19</v>
      </c>
      <c r="G2926" t="s">
        <v>19</v>
      </c>
      <c r="H2926" t="s">
        <v>82</v>
      </c>
      <c r="I2926" t="s">
        <v>6942</v>
      </c>
      <c r="J2926">
        <v>67</v>
      </c>
      <c r="K2926" t="s">
        <v>84</v>
      </c>
      <c r="L2926" t="s">
        <v>85</v>
      </c>
      <c r="M2926" t="s">
        <v>86</v>
      </c>
      <c r="N2926">
        <v>3</v>
      </c>
      <c r="O2926" s="1">
        <v>44223.586539351854</v>
      </c>
      <c r="P2926" s="1">
        <v>44223.619409722225</v>
      </c>
      <c r="Q2926">
        <v>2017</v>
      </c>
      <c r="R2926">
        <v>823</v>
      </c>
      <c r="S2926" t="b">
        <v>0</v>
      </c>
      <c r="T2926" t="s">
        <v>87</v>
      </c>
      <c r="U2926" t="b">
        <v>0</v>
      </c>
      <c r="V2926" t="s">
        <v>259</v>
      </c>
      <c r="W2926" s="1">
        <v>44223.592685185184</v>
      </c>
      <c r="X2926">
        <v>525</v>
      </c>
      <c r="Y2926">
        <v>57</v>
      </c>
      <c r="Z2926">
        <v>0</v>
      </c>
      <c r="AA2926">
        <v>57</v>
      </c>
      <c r="AB2926">
        <v>0</v>
      </c>
      <c r="AC2926">
        <v>11</v>
      </c>
      <c r="AD2926">
        <v>10</v>
      </c>
      <c r="AE2926">
        <v>0</v>
      </c>
      <c r="AF2926">
        <v>0</v>
      </c>
      <c r="AG2926">
        <v>0</v>
      </c>
      <c r="AH2926" t="s">
        <v>128</v>
      </c>
      <c r="AI2926" s="1">
        <v>44223.597361111111</v>
      </c>
      <c r="AJ2926">
        <v>280</v>
      </c>
      <c r="AK2926">
        <v>6</v>
      </c>
      <c r="AL2926">
        <v>0</v>
      </c>
      <c r="AM2926">
        <v>6</v>
      </c>
      <c r="AN2926">
        <v>0</v>
      </c>
      <c r="AO2926">
        <v>6</v>
      </c>
      <c r="AP2926">
        <v>4</v>
      </c>
      <c r="AQ2926">
        <v>0</v>
      </c>
      <c r="AR2926">
        <v>0</v>
      </c>
      <c r="AS2926">
        <v>0</v>
      </c>
      <c r="AT2926" t="s">
        <v>90</v>
      </c>
      <c r="AU2926" s="1">
        <v>44223.619409722225</v>
      </c>
      <c r="AV2926">
        <v>18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4</v>
      </c>
      <c r="BC2926">
        <v>0</v>
      </c>
      <c r="BD2926">
        <v>0</v>
      </c>
      <c r="BE2926">
        <v>0</v>
      </c>
    </row>
    <row r="2927" spans="1:57" x14ac:dyDescent="0.45">
      <c r="A2927" t="s">
        <v>6943</v>
      </c>
      <c r="B2927" t="s">
        <v>79</v>
      </c>
      <c r="C2927" t="s">
        <v>6941</v>
      </c>
      <c r="D2927" t="s">
        <v>81</v>
      </c>
      <c r="E2927" s="2" t="str">
        <f>HYPERLINK("capsilon://?command=openfolder&amp;siteaddress=FAM.docvelocity-na8.net&amp;folderid=FX0F7FFFDF-9F80-F5E1-EE0F-A66F0C3A7182","FX201222360")</f>
        <v>FX201222360</v>
      </c>
      <c r="F2927" t="s">
        <v>19</v>
      </c>
      <c r="G2927" t="s">
        <v>19</v>
      </c>
      <c r="H2927" t="s">
        <v>82</v>
      </c>
      <c r="I2927" t="s">
        <v>6944</v>
      </c>
      <c r="J2927">
        <v>67</v>
      </c>
      <c r="K2927" t="s">
        <v>84</v>
      </c>
      <c r="L2927" t="s">
        <v>85</v>
      </c>
      <c r="M2927" t="s">
        <v>86</v>
      </c>
      <c r="N2927">
        <v>3</v>
      </c>
      <c r="O2927" s="1">
        <v>44223.58662037037</v>
      </c>
      <c r="P2927" s="1">
        <v>44223.619479166664</v>
      </c>
      <c r="Q2927">
        <v>1731</v>
      </c>
      <c r="R2927">
        <v>1108</v>
      </c>
      <c r="S2927" t="b">
        <v>0</v>
      </c>
      <c r="T2927" t="s">
        <v>87</v>
      </c>
      <c r="U2927" t="b">
        <v>0</v>
      </c>
      <c r="V2927" t="s">
        <v>242</v>
      </c>
      <c r="W2927" s="1">
        <v>44223.597962962966</v>
      </c>
      <c r="X2927">
        <v>958</v>
      </c>
      <c r="Y2927">
        <v>58</v>
      </c>
      <c r="Z2927">
        <v>0</v>
      </c>
      <c r="AA2927">
        <v>58</v>
      </c>
      <c r="AB2927">
        <v>0</v>
      </c>
      <c r="AC2927">
        <v>11</v>
      </c>
      <c r="AD2927">
        <v>9</v>
      </c>
      <c r="AE2927">
        <v>0</v>
      </c>
      <c r="AF2927">
        <v>0</v>
      </c>
      <c r="AG2927">
        <v>0</v>
      </c>
      <c r="AH2927" t="s">
        <v>132</v>
      </c>
      <c r="AI2927" s="1">
        <v>44223.599710648145</v>
      </c>
      <c r="AJ2927">
        <v>145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9</v>
      </c>
      <c r="AQ2927">
        <v>0</v>
      </c>
      <c r="AR2927">
        <v>0</v>
      </c>
      <c r="AS2927">
        <v>0</v>
      </c>
      <c r="AT2927" t="s">
        <v>90</v>
      </c>
      <c r="AU2927" s="1">
        <v>44223.619479166664</v>
      </c>
      <c r="AV2927">
        <v>5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9</v>
      </c>
      <c r="BC2927">
        <v>0</v>
      </c>
      <c r="BD2927">
        <v>0</v>
      </c>
      <c r="BE2927">
        <v>0</v>
      </c>
    </row>
    <row r="2928" spans="1:57" x14ac:dyDescent="0.45">
      <c r="A2928" t="s">
        <v>6945</v>
      </c>
      <c r="B2928" t="s">
        <v>79</v>
      </c>
      <c r="C2928" t="s">
        <v>6941</v>
      </c>
      <c r="D2928" t="s">
        <v>81</v>
      </c>
      <c r="E2928" s="2" t="str">
        <f>HYPERLINK("capsilon://?command=openfolder&amp;siteaddress=FAM.docvelocity-na8.net&amp;folderid=FX0F7FFFDF-9F80-F5E1-EE0F-A66F0C3A7182","FX201222360")</f>
        <v>FX201222360</v>
      </c>
      <c r="F2928" t="s">
        <v>19</v>
      </c>
      <c r="G2928" t="s">
        <v>19</v>
      </c>
      <c r="H2928" t="s">
        <v>82</v>
      </c>
      <c r="I2928" t="s">
        <v>6946</v>
      </c>
      <c r="J2928">
        <v>49</v>
      </c>
      <c r="K2928" t="s">
        <v>84</v>
      </c>
      <c r="L2928" t="s">
        <v>85</v>
      </c>
      <c r="M2928" t="s">
        <v>86</v>
      </c>
      <c r="N2928">
        <v>3</v>
      </c>
      <c r="O2928" s="1">
        <v>44223.587557870371</v>
      </c>
      <c r="P2928" s="1">
        <v>44223.592118055552</v>
      </c>
      <c r="Q2928">
        <v>95</v>
      </c>
      <c r="R2928">
        <v>299</v>
      </c>
      <c r="S2928" t="b">
        <v>0</v>
      </c>
      <c r="T2928" t="s">
        <v>87</v>
      </c>
      <c r="U2928" t="b">
        <v>0</v>
      </c>
      <c r="V2928" t="s">
        <v>255</v>
      </c>
      <c r="W2928" s="1">
        <v>44223.58934027778</v>
      </c>
      <c r="X2928">
        <v>145</v>
      </c>
      <c r="Y2928">
        <v>45</v>
      </c>
      <c r="Z2928">
        <v>0</v>
      </c>
      <c r="AA2928">
        <v>45</v>
      </c>
      <c r="AB2928">
        <v>0</v>
      </c>
      <c r="AC2928">
        <v>2</v>
      </c>
      <c r="AD2928">
        <v>4</v>
      </c>
      <c r="AE2928">
        <v>0</v>
      </c>
      <c r="AF2928">
        <v>0</v>
      </c>
      <c r="AG2928">
        <v>0</v>
      </c>
      <c r="AH2928" t="s">
        <v>132</v>
      </c>
      <c r="AI2928" s="1">
        <v>44223.591168981482</v>
      </c>
      <c r="AJ2928">
        <v>135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4</v>
      </c>
      <c r="AQ2928">
        <v>0</v>
      </c>
      <c r="AR2928">
        <v>0</v>
      </c>
      <c r="AS2928">
        <v>0</v>
      </c>
      <c r="AT2928" t="s">
        <v>90</v>
      </c>
      <c r="AU2928" s="1">
        <v>44223.592118055552</v>
      </c>
      <c r="AV2928">
        <v>19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4</v>
      </c>
      <c r="BC2928">
        <v>0</v>
      </c>
      <c r="BD2928">
        <v>0</v>
      </c>
      <c r="BE2928">
        <v>0</v>
      </c>
    </row>
    <row r="2929" spans="1:57" x14ac:dyDescent="0.45">
      <c r="A2929" t="s">
        <v>6947</v>
      </c>
      <c r="B2929" t="s">
        <v>79</v>
      </c>
      <c r="C2929" t="s">
        <v>6941</v>
      </c>
      <c r="D2929" t="s">
        <v>81</v>
      </c>
      <c r="E2929" s="2" t="str">
        <f>HYPERLINK("capsilon://?command=openfolder&amp;siteaddress=FAM.docvelocity-na8.net&amp;folderid=FX0F7FFFDF-9F80-F5E1-EE0F-A66F0C3A7182","FX201222360")</f>
        <v>FX201222360</v>
      </c>
      <c r="F2929" t="s">
        <v>19</v>
      </c>
      <c r="G2929" t="s">
        <v>19</v>
      </c>
      <c r="H2929" t="s">
        <v>82</v>
      </c>
      <c r="I2929" t="s">
        <v>6948</v>
      </c>
      <c r="J2929">
        <v>67</v>
      </c>
      <c r="K2929" t="s">
        <v>84</v>
      </c>
      <c r="L2929" t="s">
        <v>85</v>
      </c>
      <c r="M2929" t="s">
        <v>86</v>
      </c>
      <c r="N2929">
        <v>3</v>
      </c>
      <c r="O2929" s="1">
        <v>44223.587812500002</v>
      </c>
      <c r="P2929" s="1">
        <v>44223.619560185187</v>
      </c>
      <c r="Q2929">
        <v>2095</v>
      </c>
      <c r="R2929">
        <v>648</v>
      </c>
      <c r="S2929" t="b">
        <v>0</v>
      </c>
      <c r="T2929" t="s">
        <v>87</v>
      </c>
      <c r="U2929" t="b">
        <v>0</v>
      </c>
      <c r="V2929" t="s">
        <v>168</v>
      </c>
      <c r="W2929" s="1">
        <v>44223.594201388885</v>
      </c>
      <c r="X2929">
        <v>530</v>
      </c>
      <c r="Y2929">
        <v>58</v>
      </c>
      <c r="Z2929">
        <v>0</v>
      </c>
      <c r="AA2929">
        <v>58</v>
      </c>
      <c r="AB2929">
        <v>0</v>
      </c>
      <c r="AC2929">
        <v>9</v>
      </c>
      <c r="AD2929">
        <v>9</v>
      </c>
      <c r="AE2929">
        <v>0</v>
      </c>
      <c r="AF2929">
        <v>0</v>
      </c>
      <c r="AG2929">
        <v>0</v>
      </c>
      <c r="AH2929" t="s">
        <v>132</v>
      </c>
      <c r="AI2929" s="1">
        <v>44223.595694444448</v>
      </c>
      <c r="AJ2929">
        <v>112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9</v>
      </c>
      <c r="AQ2929">
        <v>0</v>
      </c>
      <c r="AR2929">
        <v>0</v>
      </c>
      <c r="AS2929">
        <v>0</v>
      </c>
      <c r="AT2929" t="s">
        <v>90</v>
      </c>
      <c r="AU2929" s="1">
        <v>44223.619560185187</v>
      </c>
      <c r="AV2929">
        <v>6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9</v>
      </c>
      <c r="BC2929">
        <v>0</v>
      </c>
      <c r="BD2929">
        <v>0</v>
      </c>
      <c r="BE2929">
        <v>0</v>
      </c>
    </row>
    <row r="2930" spans="1:57" x14ac:dyDescent="0.45">
      <c r="A2930" t="s">
        <v>6949</v>
      </c>
      <c r="B2930" t="s">
        <v>79</v>
      </c>
      <c r="C2930" t="s">
        <v>6941</v>
      </c>
      <c r="D2930" t="s">
        <v>81</v>
      </c>
      <c r="E2930" s="2" t="str">
        <f>HYPERLINK("capsilon://?command=openfolder&amp;siteaddress=FAM.docvelocity-na8.net&amp;folderid=FX0F7FFFDF-9F80-F5E1-EE0F-A66F0C3A7182","FX201222360")</f>
        <v>FX201222360</v>
      </c>
      <c r="F2930" t="s">
        <v>19</v>
      </c>
      <c r="G2930" t="s">
        <v>19</v>
      </c>
      <c r="H2930" t="s">
        <v>82</v>
      </c>
      <c r="I2930" t="s">
        <v>6950</v>
      </c>
      <c r="J2930">
        <v>49</v>
      </c>
      <c r="K2930" t="s">
        <v>84</v>
      </c>
      <c r="L2930" t="s">
        <v>85</v>
      </c>
      <c r="M2930" t="s">
        <v>86</v>
      </c>
      <c r="N2930">
        <v>3</v>
      </c>
      <c r="O2930" s="1">
        <v>44223.588495370372</v>
      </c>
      <c r="P2930" s="1">
        <v>44223.619606481479</v>
      </c>
      <c r="Q2930">
        <v>1755</v>
      </c>
      <c r="R2930">
        <v>933</v>
      </c>
      <c r="S2930" t="b">
        <v>0</v>
      </c>
      <c r="T2930" t="s">
        <v>87</v>
      </c>
      <c r="U2930" t="b">
        <v>0</v>
      </c>
      <c r="V2930" t="s">
        <v>160</v>
      </c>
      <c r="W2930" s="1">
        <v>44223.598449074074</v>
      </c>
      <c r="X2930">
        <v>857</v>
      </c>
      <c r="Y2930">
        <v>45</v>
      </c>
      <c r="Z2930">
        <v>0</v>
      </c>
      <c r="AA2930">
        <v>45</v>
      </c>
      <c r="AB2930">
        <v>0</v>
      </c>
      <c r="AC2930">
        <v>34</v>
      </c>
      <c r="AD2930">
        <v>4</v>
      </c>
      <c r="AE2930">
        <v>0</v>
      </c>
      <c r="AF2930">
        <v>0</v>
      </c>
      <c r="AG2930">
        <v>0</v>
      </c>
      <c r="AH2930" t="s">
        <v>132</v>
      </c>
      <c r="AI2930" s="1">
        <v>44223.60056712963</v>
      </c>
      <c r="AJ2930">
        <v>73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4</v>
      </c>
      <c r="AQ2930">
        <v>0</v>
      </c>
      <c r="AR2930">
        <v>0</v>
      </c>
      <c r="AS2930">
        <v>0</v>
      </c>
      <c r="AT2930" t="s">
        <v>90</v>
      </c>
      <c r="AU2930" s="1">
        <v>44223.619606481479</v>
      </c>
      <c r="AV2930">
        <v>3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4</v>
      </c>
      <c r="BC2930">
        <v>0</v>
      </c>
      <c r="BD2930">
        <v>0</v>
      </c>
      <c r="BE2930">
        <v>0</v>
      </c>
    </row>
    <row r="2931" spans="1:57" hidden="1" x14ac:dyDescent="0.45">
      <c r="A2931" t="s">
        <v>6951</v>
      </c>
      <c r="B2931" t="s">
        <v>79</v>
      </c>
      <c r="C2931" t="s">
        <v>450</v>
      </c>
      <c r="D2931" t="s">
        <v>81</v>
      </c>
      <c r="E2931" s="2" t="str">
        <f>HYPERLINK("capsilon://?command=openfolder&amp;siteaddress=FAM.docvelocity-na8.net&amp;folderid=FXBB287EF1-F6B9-3AFC-9DF7-CB7C4CF65509","FX20126038")</f>
        <v>FX20126038</v>
      </c>
      <c r="F2931" t="s">
        <v>19</v>
      </c>
      <c r="G2931" t="s">
        <v>19</v>
      </c>
      <c r="H2931" t="s">
        <v>82</v>
      </c>
      <c r="I2931" t="s">
        <v>6952</v>
      </c>
      <c r="J2931">
        <v>38</v>
      </c>
      <c r="K2931" t="s">
        <v>84</v>
      </c>
      <c r="L2931" t="s">
        <v>85</v>
      </c>
      <c r="M2931" t="s">
        <v>86</v>
      </c>
      <c r="N2931">
        <v>3</v>
      </c>
      <c r="O2931" s="1">
        <v>44223.588958333334</v>
      </c>
      <c r="P2931" s="1">
        <v>44223.592164351852</v>
      </c>
      <c r="Q2931">
        <v>159</v>
      </c>
      <c r="R2931">
        <v>118</v>
      </c>
      <c r="S2931" t="b">
        <v>0</v>
      </c>
      <c r="T2931" t="s">
        <v>87</v>
      </c>
      <c r="U2931" t="b">
        <v>0</v>
      </c>
      <c r="V2931" t="s">
        <v>255</v>
      </c>
      <c r="W2931" s="1">
        <v>44223.590462962966</v>
      </c>
      <c r="X2931">
        <v>96</v>
      </c>
      <c r="Y2931">
        <v>0</v>
      </c>
      <c r="Z2931">
        <v>0</v>
      </c>
      <c r="AA2931">
        <v>0</v>
      </c>
      <c r="AB2931">
        <v>37</v>
      </c>
      <c r="AC2931">
        <v>0</v>
      </c>
      <c r="AD2931">
        <v>38</v>
      </c>
      <c r="AE2931">
        <v>0</v>
      </c>
      <c r="AF2931">
        <v>0</v>
      </c>
      <c r="AG2931">
        <v>0</v>
      </c>
      <c r="AH2931" t="s">
        <v>128</v>
      </c>
      <c r="AI2931" s="1">
        <v>44223.591087962966</v>
      </c>
      <c r="AJ2931">
        <v>19</v>
      </c>
      <c r="AK2931">
        <v>0</v>
      </c>
      <c r="AL2931">
        <v>0</v>
      </c>
      <c r="AM2931">
        <v>0</v>
      </c>
      <c r="AN2931">
        <v>37</v>
      </c>
      <c r="AO2931">
        <v>0</v>
      </c>
      <c r="AP2931">
        <v>38</v>
      </c>
      <c r="AQ2931">
        <v>0</v>
      </c>
      <c r="AR2931">
        <v>0</v>
      </c>
      <c r="AS2931">
        <v>0</v>
      </c>
      <c r="AT2931" t="s">
        <v>90</v>
      </c>
      <c r="AU2931" s="1">
        <v>44223.592164351852</v>
      </c>
      <c r="AV2931">
        <v>3</v>
      </c>
      <c r="AW2931">
        <v>0</v>
      </c>
      <c r="AX2931">
        <v>0</v>
      </c>
      <c r="AY2931">
        <v>0</v>
      </c>
      <c r="AZ2931">
        <v>37</v>
      </c>
      <c r="BA2931">
        <v>0</v>
      </c>
      <c r="BB2931">
        <v>38</v>
      </c>
      <c r="BC2931">
        <v>0</v>
      </c>
      <c r="BD2931">
        <v>0</v>
      </c>
      <c r="BE2931">
        <v>0</v>
      </c>
    </row>
    <row r="2932" spans="1:57" x14ac:dyDescent="0.45">
      <c r="A2932" t="s">
        <v>6953</v>
      </c>
      <c r="B2932" t="s">
        <v>79</v>
      </c>
      <c r="C2932" t="s">
        <v>6941</v>
      </c>
      <c r="D2932" t="s">
        <v>81</v>
      </c>
      <c r="E2932" s="2" t="str">
        <f>HYPERLINK("capsilon://?command=openfolder&amp;siteaddress=FAM.docvelocity-na8.net&amp;folderid=FX0F7FFFDF-9F80-F5E1-EE0F-A66F0C3A7182","FX201222360")</f>
        <v>FX201222360</v>
      </c>
      <c r="F2932" t="s">
        <v>19</v>
      </c>
      <c r="G2932" t="s">
        <v>19</v>
      </c>
      <c r="H2932" t="s">
        <v>82</v>
      </c>
      <c r="I2932" t="s">
        <v>6954</v>
      </c>
      <c r="J2932">
        <v>49</v>
      </c>
      <c r="K2932" t="s">
        <v>84</v>
      </c>
      <c r="L2932" t="s">
        <v>85</v>
      </c>
      <c r="M2932" t="s">
        <v>86</v>
      </c>
      <c r="N2932">
        <v>3</v>
      </c>
      <c r="O2932" s="1">
        <v>44223.588993055557</v>
      </c>
      <c r="P2932" s="1">
        <v>44223.619664351849</v>
      </c>
      <c r="Q2932">
        <v>2366</v>
      </c>
      <c r="R2932">
        <v>284</v>
      </c>
      <c r="S2932" t="b">
        <v>0</v>
      </c>
      <c r="T2932" t="s">
        <v>87</v>
      </c>
      <c r="U2932" t="b">
        <v>0</v>
      </c>
      <c r="V2932" t="s">
        <v>255</v>
      </c>
      <c r="W2932" s="1">
        <v>44223.592013888891</v>
      </c>
      <c r="X2932">
        <v>133</v>
      </c>
      <c r="Y2932">
        <v>45</v>
      </c>
      <c r="Z2932">
        <v>0</v>
      </c>
      <c r="AA2932">
        <v>45</v>
      </c>
      <c r="AB2932">
        <v>0</v>
      </c>
      <c r="AC2932">
        <v>6</v>
      </c>
      <c r="AD2932">
        <v>4</v>
      </c>
      <c r="AE2932">
        <v>0</v>
      </c>
      <c r="AF2932">
        <v>0</v>
      </c>
      <c r="AG2932">
        <v>0</v>
      </c>
      <c r="AH2932" t="s">
        <v>128</v>
      </c>
      <c r="AI2932" s="1">
        <v>44223.594108796293</v>
      </c>
      <c r="AJ2932">
        <v>147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4</v>
      </c>
      <c r="AQ2932">
        <v>0</v>
      </c>
      <c r="AR2932">
        <v>0</v>
      </c>
      <c r="AS2932">
        <v>0</v>
      </c>
      <c r="AT2932" t="s">
        <v>90</v>
      </c>
      <c r="AU2932" s="1">
        <v>44223.619664351849</v>
      </c>
      <c r="AV2932">
        <v>4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4</v>
      </c>
      <c r="BC2932">
        <v>0</v>
      </c>
      <c r="BD2932">
        <v>0</v>
      </c>
      <c r="BE2932">
        <v>0</v>
      </c>
    </row>
    <row r="2933" spans="1:57" x14ac:dyDescent="0.45">
      <c r="A2933" t="s">
        <v>6955</v>
      </c>
      <c r="B2933" t="s">
        <v>79</v>
      </c>
      <c r="C2933" t="s">
        <v>392</v>
      </c>
      <c r="D2933" t="s">
        <v>81</v>
      </c>
      <c r="E2933" s="2" t="str">
        <f>HYPERLINK("capsilon://?command=openfolder&amp;siteaddress=FAM.docvelocity-na8.net&amp;folderid=FXF4969719-A629-8E75-DC1C-7EE0D9F2CDF5","FX20127324")</f>
        <v>FX20127324</v>
      </c>
      <c r="F2933" t="s">
        <v>19</v>
      </c>
      <c r="G2933" t="s">
        <v>19</v>
      </c>
      <c r="H2933" t="s">
        <v>82</v>
      </c>
      <c r="I2933" t="s">
        <v>6956</v>
      </c>
      <c r="J2933">
        <v>61</v>
      </c>
      <c r="K2933" t="s">
        <v>84</v>
      </c>
      <c r="L2933" t="s">
        <v>85</v>
      </c>
      <c r="M2933" t="s">
        <v>86</v>
      </c>
      <c r="N2933">
        <v>3</v>
      </c>
      <c r="O2933" s="1">
        <v>44223.590069444443</v>
      </c>
      <c r="P2933" s="1">
        <v>44223.61990740741</v>
      </c>
      <c r="Q2933">
        <v>2289</v>
      </c>
      <c r="R2933">
        <v>289</v>
      </c>
      <c r="S2933" t="b">
        <v>0</v>
      </c>
      <c r="T2933" t="s">
        <v>87</v>
      </c>
      <c r="U2933" t="b">
        <v>0</v>
      </c>
      <c r="V2933" t="s">
        <v>255</v>
      </c>
      <c r="W2933" s="1">
        <v>44223.594097222223</v>
      </c>
      <c r="X2933">
        <v>179</v>
      </c>
      <c r="Y2933">
        <v>57</v>
      </c>
      <c r="Z2933">
        <v>0</v>
      </c>
      <c r="AA2933">
        <v>57</v>
      </c>
      <c r="AB2933">
        <v>0</v>
      </c>
      <c r="AC2933">
        <v>15</v>
      </c>
      <c r="AD2933">
        <v>4</v>
      </c>
      <c r="AE2933">
        <v>0</v>
      </c>
      <c r="AF2933">
        <v>0</v>
      </c>
      <c r="AG2933">
        <v>0</v>
      </c>
      <c r="AH2933" t="s">
        <v>132</v>
      </c>
      <c r="AI2933" s="1">
        <v>44223.596747685187</v>
      </c>
      <c r="AJ2933">
        <v>90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4</v>
      </c>
      <c r="AQ2933">
        <v>0</v>
      </c>
      <c r="AR2933">
        <v>0</v>
      </c>
      <c r="AS2933">
        <v>0</v>
      </c>
      <c r="AT2933" t="s">
        <v>90</v>
      </c>
      <c r="AU2933" s="1">
        <v>44223.61990740741</v>
      </c>
      <c r="AV2933">
        <v>20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4</v>
      </c>
      <c r="BC2933">
        <v>0</v>
      </c>
      <c r="BD2933">
        <v>0</v>
      </c>
      <c r="BE2933">
        <v>0</v>
      </c>
    </row>
    <row r="2934" spans="1:57" hidden="1" x14ac:dyDescent="0.45">
      <c r="A2934" t="s">
        <v>6957</v>
      </c>
      <c r="B2934" t="s">
        <v>79</v>
      </c>
      <c r="C2934" t="s">
        <v>6941</v>
      </c>
      <c r="D2934" t="s">
        <v>81</v>
      </c>
      <c r="E2934" s="2" t="str">
        <f>HYPERLINK("capsilon://?command=openfolder&amp;siteaddress=FAM.docvelocity-na8.net&amp;folderid=FX0F7FFFDF-9F80-F5E1-EE0F-A66F0C3A7182","FX201222360")</f>
        <v>FX201222360</v>
      </c>
      <c r="F2934" t="s">
        <v>19</v>
      </c>
      <c r="G2934" t="s">
        <v>19</v>
      </c>
      <c r="H2934" t="s">
        <v>82</v>
      </c>
      <c r="I2934" t="s">
        <v>6958</v>
      </c>
      <c r="J2934">
        <v>66</v>
      </c>
      <c r="K2934" t="s">
        <v>84</v>
      </c>
      <c r="L2934" t="s">
        <v>85</v>
      </c>
      <c r="M2934" t="s">
        <v>86</v>
      </c>
      <c r="N2934">
        <v>1</v>
      </c>
      <c r="O2934" s="1">
        <v>44223.591053240743</v>
      </c>
      <c r="P2934" s="1">
        <v>44223.594837962963</v>
      </c>
      <c r="Q2934">
        <v>232</v>
      </c>
      <c r="R2934">
        <v>95</v>
      </c>
      <c r="S2934" t="b">
        <v>0</v>
      </c>
      <c r="T2934" t="s">
        <v>87</v>
      </c>
      <c r="U2934" t="b">
        <v>0</v>
      </c>
      <c r="V2934" t="s">
        <v>142</v>
      </c>
      <c r="W2934" s="1">
        <v>44223.594837962963</v>
      </c>
      <c r="X2934">
        <v>83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66</v>
      </c>
      <c r="AE2934">
        <v>52</v>
      </c>
      <c r="AF2934">
        <v>0</v>
      </c>
      <c r="AG2934">
        <v>1</v>
      </c>
      <c r="AH2934" t="s">
        <v>87</v>
      </c>
      <c r="AI2934" t="s">
        <v>87</v>
      </c>
      <c r="AJ2934" t="s">
        <v>87</v>
      </c>
      <c r="AK2934" t="s">
        <v>87</v>
      </c>
      <c r="AL2934" t="s">
        <v>87</v>
      </c>
      <c r="AM2934" t="s">
        <v>87</v>
      </c>
      <c r="AN2934" t="s">
        <v>87</v>
      </c>
      <c r="AO2934" t="s">
        <v>87</v>
      </c>
      <c r="AP2934" t="s">
        <v>87</v>
      </c>
      <c r="AQ2934" t="s">
        <v>87</v>
      </c>
      <c r="AR2934" t="s">
        <v>87</v>
      </c>
      <c r="AS2934" t="s">
        <v>87</v>
      </c>
      <c r="AT2934" t="s">
        <v>87</v>
      </c>
      <c r="AU2934" t="s">
        <v>87</v>
      </c>
      <c r="AV2934" t="s">
        <v>87</v>
      </c>
      <c r="AW2934" t="s">
        <v>87</v>
      </c>
      <c r="AX2934" t="s">
        <v>87</v>
      </c>
      <c r="AY2934" t="s">
        <v>87</v>
      </c>
      <c r="AZ2934" t="s">
        <v>87</v>
      </c>
      <c r="BA2934" t="s">
        <v>87</v>
      </c>
      <c r="BB2934" t="s">
        <v>87</v>
      </c>
      <c r="BC2934" t="s">
        <v>87</v>
      </c>
      <c r="BD2934" t="s">
        <v>87</v>
      </c>
      <c r="BE2934" t="s">
        <v>87</v>
      </c>
    </row>
    <row r="2935" spans="1:57" x14ac:dyDescent="0.45">
      <c r="A2935" t="s">
        <v>6959</v>
      </c>
      <c r="B2935" t="s">
        <v>79</v>
      </c>
      <c r="C2935" t="s">
        <v>6960</v>
      </c>
      <c r="D2935" t="s">
        <v>81</v>
      </c>
      <c r="E2935" s="2" t="str">
        <f>HYPERLINK("capsilon://?command=openfolder&amp;siteaddress=FAM.docvelocity-na8.net&amp;folderid=FXC7F9B9BE-BAAC-6BE5-269E-32190BB3DD09","FX20126287")</f>
        <v>FX20126287</v>
      </c>
      <c r="F2935" t="s">
        <v>19</v>
      </c>
      <c r="G2935" t="s">
        <v>19</v>
      </c>
      <c r="H2935" t="s">
        <v>82</v>
      </c>
      <c r="I2935" t="s">
        <v>6961</v>
      </c>
      <c r="J2935">
        <v>74</v>
      </c>
      <c r="K2935" t="s">
        <v>84</v>
      </c>
      <c r="L2935" t="s">
        <v>85</v>
      </c>
      <c r="M2935" t="s">
        <v>86</v>
      </c>
      <c r="N2935">
        <v>3</v>
      </c>
      <c r="O2935" s="1">
        <v>44223.591597222221</v>
      </c>
      <c r="P2935" s="1">
        <v>44223.620856481481</v>
      </c>
      <c r="Q2935">
        <v>1863</v>
      </c>
      <c r="R2935">
        <v>665</v>
      </c>
      <c r="S2935" t="b">
        <v>0</v>
      </c>
      <c r="T2935" t="s">
        <v>87</v>
      </c>
      <c r="U2935" t="b">
        <v>0</v>
      </c>
      <c r="V2935" t="s">
        <v>255</v>
      </c>
      <c r="W2935" s="1">
        <v>44223.599409722221</v>
      </c>
      <c r="X2935">
        <v>458</v>
      </c>
      <c r="Y2935">
        <v>94</v>
      </c>
      <c r="Z2935">
        <v>0</v>
      </c>
      <c r="AA2935">
        <v>94</v>
      </c>
      <c r="AB2935">
        <v>0</v>
      </c>
      <c r="AC2935">
        <v>49</v>
      </c>
      <c r="AD2935">
        <v>-20</v>
      </c>
      <c r="AE2935">
        <v>0</v>
      </c>
      <c r="AF2935">
        <v>0</v>
      </c>
      <c r="AG2935">
        <v>0</v>
      </c>
      <c r="AH2935" t="s">
        <v>132</v>
      </c>
      <c r="AI2935" s="1">
        <v>44223.602060185185</v>
      </c>
      <c r="AJ2935">
        <v>128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-20</v>
      </c>
      <c r="AQ2935">
        <v>0</v>
      </c>
      <c r="AR2935">
        <v>0</v>
      </c>
      <c r="AS2935">
        <v>0</v>
      </c>
      <c r="AT2935" t="s">
        <v>90</v>
      </c>
      <c r="AU2935" s="1">
        <v>44223.620856481481</v>
      </c>
      <c r="AV2935">
        <v>79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-20</v>
      </c>
      <c r="BC2935">
        <v>0</v>
      </c>
      <c r="BD2935">
        <v>0</v>
      </c>
      <c r="BE2935">
        <v>0</v>
      </c>
    </row>
    <row r="2936" spans="1:57" hidden="1" x14ac:dyDescent="0.45">
      <c r="A2936" t="s">
        <v>6962</v>
      </c>
      <c r="B2936" t="s">
        <v>79</v>
      </c>
      <c r="C2936" t="s">
        <v>6477</v>
      </c>
      <c r="D2936" t="s">
        <v>81</v>
      </c>
      <c r="E2936" s="2" t="str">
        <f>HYPERLINK("capsilon://?command=openfolder&amp;siteaddress=FAM.docvelocity-na8.net&amp;folderid=FX38529008-1927-8FFF-B3B7-4356843C9F97","FX20126268")</f>
        <v>FX20126268</v>
      </c>
      <c r="F2936" t="s">
        <v>19</v>
      </c>
      <c r="G2936" t="s">
        <v>19</v>
      </c>
      <c r="H2936" t="s">
        <v>82</v>
      </c>
      <c r="I2936" t="s">
        <v>6963</v>
      </c>
      <c r="J2936">
        <v>66</v>
      </c>
      <c r="K2936" t="s">
        <v>84</v>
      </c>
      <c r="L2936" t="s">
        <v>85</v>
      </c>
      <c r="M2936" t="s">
        <v>86</v>
      </c>
      <c r="N2936">
        <v>3</v>
      </c>
      <c r="O2936" s="1">
        <v>44223.592627314814</v>
      </c>
      <c r="P2936" s="1">
        <v>44223.62090277778</v>
      </c>
      <c r="Q2936">
        <v>1949</v>
      </c>
      <c r="R2936">
        <v>494</v>
      </c>
      <c r="S2936" t="b">
        <v>0</v>
      </c>
      <c r="T2936" t="s">
        <v>87</v>
      </c>
      <c r="U2936" t="b">
        <v>0</v>
      </c>
      <c r="V2936" t="s">
        <v>262</v>
      </c>
      <c r="W2936" s="1">
        <v>44223.599699074075</v>
      </c>
      <c r="X2936">
        <v>476</v>
      </c>
      <c r="Y2936">
        <v>0</v>
      </c>
      <c r="Z2936">
        <v>0</v>
      </c>
      <c r="AA2936">
        <v>0</v>
      </c>
      <c r="AB2936">
        <v>52</v>
      </c>
      <c r="AC2936">
        <v>13</v>
      </c>
      <c r="AD2936">
        <v>66</v>
      </c>
      <c r="AE2936">
        <v>0</v>
      </c>
      <c r="AF2936">
        <v>0</v>
      </c>
      <c r="AG2936">
        <v>0</v>
      </c>
      <c r="AH2936" t="s">
        <v>128</v>
      </c>
      <c r="AI2936" s="1">
        <v>44223.601805555554</v>
      </c>
      <c r="AJ2936">
        <v>15</v>
      </c>
      <c r="AK2936">
        <v>0</v>
      </c>
      <c r="AL2936">
        <v>0</v>
      </c>
      <c r="AM2936">
        <v>0</v>
      </c>
      <c r="AN2936">
        <v>52</v>
      </c>
      <c r="AO2936">
        <v>0</v>
      </c>
      <c r="AP2936">
        <v>66</v>
      </c>
      <c r="AQ2936">
        <v>0</v>
      </c>
      <c r="AR2936">
        <v>0</v>
      </c>
      <c r="AS2936">
        <v>0</v>
      </c>
      <c r="AT2936" t="s">
        <v>90</v>
      </c>
      <c r="AU2936" s="1">
        <v>44223.62090277778</v>
      </c>
      <c r="AV2936">
        <v>3</v>
      </c>
      <c r="AW2936">
        <v>0</v>
      </c>
      <c r="AX2936">
        <v>0</v>
      </c>
      <c r="AY2936">
        <v>0</v>
      </c>
      <c r="AZ2936">
        <v>52</v>
      </c>
      <c r="BA2936">
        <v>0</v>
      </c>
      <c r="BB2936">
        <v>66</v>
      </c>
      <c r="BC2936">
        <v>0</v>
      </c>
      <c r="BD2936">
        <v>0</v>
      </c>
      <c r="BE2936">
        <v>0</v>
      </c>
    </row>
    <row r="2937" spans="1:57" x14ac:dyDescent="0.45">
      <c r="A2937" t="s">
        <v>6964</v>
      </c>
      <c r="B2937" t="s">
        <v>79</v>
      </c>
      <c r="C2937" t="s">
        <v>6965</v>
      </c>
      <c r="D2937" t="s">
        <v>81</v>
      </c>
      <c r="E2937" s="2" t="str">
        <f>HYPERLINK("capsilon://?command=openfolder&amp;siteaddress=FAM.docvelocity-na8.net&amp;folderid=FX5BC4BE39-E7EC-89E1-83B5-9BEC3E23FBB1","FX201224436")</f>
        <v>FX201224436</v>
      </c>
      <c r="F2937" t="s">
        <v>19</v>
      </c>
      <c r="G2937" t="s">
        <v>19</v>
      </c>
      <c r="H2937" t="s">
        <v>82</v>
      </c>
      <c r="I2937" t="s">
        <v>6966</v>
      </c>
      <c r="J2937">
        <v>89</v>
      </c>
      <c r="K2937" t="s">
        <v>84</v>
      </c>
      <c r="L2937" t="s">
        <v>85</v>
      </c>
      <c r="M2937" t="s">
        <v>86</v>
      </c>
      <c r="N2937">
        <v>3</v>
      </c>
      <c r="O2937" s="1">
        <v>44223.592673611114</v>
      </c>
      <c r="P2937" s="1">
        <v>44223.622152777774</v>
      </c>
      <c r="Q2937">
        <v>1085</v>
      </c>
      <c r="R2937">
        <v>1462</v>
      </c>
      <c r="S2937" t="b">
        <v>0</v>
      </c>
      <c r="T2937" t="s">
        <v>87</v>
      </c>
      <c r="U2937" t="b">
        <v>0</v>
      </c>
      <c r="V2937" t="s">
        <v>168</v>
      </c>
      <c r="W2937" s="1">
        <v>44223.606909722221</v>
      </c>
      <c r="X2937">
        <v>1097</v>
      </c>
      <c r="Y2937">
        <v>67</v>
      </c>
      <c r="Z2937">
        <v>0</v>
      </c>
      <c r="AA2937">
        <v>67</v>
      </c>
      <c r="AB2937">
        <v>0</v>
      </c>
      <c r="AC2937">
        <v>27</v>
      </c>
      <c r="AD2937">
        <v>22</v>
      </c>
      <c r="AE2937">
        <v>0</v>
      </c>
      <c r="AF2937">
        <v>0</v>
      </c>
      <c r="AG2937">
        <v>0</v>
      </c>
      <c r="AH2937" t="s">
        <v>128</v>
      </c>
      <c r="AI2937" s="1">
        <v>44223.611076388886</v>
      </c>
      <c r="AJ2937">
        <v>257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22</v>
      </c>
      <c r="AQ2937">
        <v>0</v>
      </c>
      <c r="AR2937">
        <v>0</v>
      </c>
      <c r="AS2937">
        <v>0</v>
      </c>
      <c r="AT2937" t="s">
        <v>90</v>
      </c>
      <c r="AU2937" s="1">
        <v>44223.622152777774</v>
      </c>
      <c r="AV2937">
        <v>108</v>
      </c>
      <c r="AW2937">
        <v>1</v>
      </c>
      <c r="AX2937">
        <v>0</v>
      </c>
      <c r="AY2937">
        <v>1</v>
      </c>
      <c r="AZ2937">
        <v>0</v>
      </c>
      <c r="BA2937">
        <v>1</v>
      </c>
      <c r="BB2937">
        <v>21</v>
      </c>
      <c r="BC2937">
        <v>0</v>
      </c>
      <c r="BD2937">
        <v>0</v>
      </c>
      <c r="BE2937">
        <v>0</v>
      </c>
    </row>
    <row r="2938" spans="1:57" hidden="1" x14ac:dyDescent="0.45">
      <c r="A2938" t="s">
        <v>6967</v>
      </c>
      <c r="B2938" t="s">
        <v>79</v>
      </c>
      <c r="C2938" t="s">
        <v>6941</v>
      </c>
      <c r="D2938" t="s">
        <v>81</v>
      </c>
      <c r="E2938" s="2" t="str">
        <f>HYPERLINK("capsilon://?command=openfolder&amp;siteaddress=FAM.docvelocity-na8.net&amp;folderid=FX0F7FFFDF-9F80-F5E1-EE0F-A66F0C3A7182","FX201222360")</f>
        <v>FX201222360</v>
      </c>
      <c r="F2938" t="s">
        <v>19</v>
      </c>
      <c r="G2938" t="s">
        <v>19</v>
      </c>
      <c r="H2938" t="s">
        <v>82</v>
      </c>
      <c r="I2938" t="s">
        <v>6968</v>
      </c>
      <c r="J2938">
        <v>66</v>
      </c>
      <c r="K2938" t="s">
        <v>84</v>
      </c>
      <c r="L2938" t="s">
        <v>85</v>
      </c>
      <c r="M2938" t="s">
        <v>86</v>
      </c>
      <c r="N2938">
        <v>1</v>
      </c>
      <c r="O2938" s="1">
        <v>44223.593298611115</v>
      </c>
      <c r="P2938" s="1">
        <v>44223.595914351848</v>
      </c>
      <c r="Q2938">
        <v>134</v>
      </c>
      <c r="R2938">
        <v>92</v>
      </c>
      <c r="S2938" t="b">
        <v>0</v>
      </c>
      <c r="T2938" t="s">
        <v>87</v>
      </c>
      <c r="U2938" t="b">
        <v>0</v>
      </c>
      <c r="V2938" t="s">
        <v>142</v>
      </c>
      <c r="W2938" s="1">
        <v>44223.595914351848</v>
      </c>
      <c r="X2938">
        <v>92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66</v>
      </c>
      <c r="AE2938">
        <v>52</v>
      </c>
      <c r="AF2938">
        <v>0</v>
      </c>
      <c r="AG2938">
        <v>1</v>
      </c>
      <c r="AH2938" t="s">
        <v>87</v>
      </c>
      <c r="AI2938" t="s">
        <v>87</v>
      </c>
      <c r="AJ2938" t="s">
        <v>87</v>
      </c>
      <c r="AK2938" t="s">
        <v>87</v>
      </c>
      <c r="AL2938" t="s">
        <v>87</v>
      </c>
      <c r="AM2938" t="s">
        <v>87</v>
      </c>
      <c r="AN2938" t="s">
        <v>87</v>
      </c>
      <c r="AO2938" t="s">
        <v>87</v>
      </c>
      <c r="AP2938" t="s">
        <v>87</v>
      </c>
      <c r="AQ2938" t="s">
        <v>87</v>
      </c>
      <c r="AR2938" t="s">
        <v>87</v>
      </c>
      <c r="AS2938" t="s">
        <v>87</v>
      </c>
      <c r="AT2938" t="s">
        <v>87</v>
      </c>
      <c r="AU2938" t="s">
        <v>87</v>
      </c>
      <c r="AV2938" t="s">
        <v>87</v>
      </c>
      <c r="AW2938" t="s">
        <v>87</v>
      </c>
      <c r="AX2938" t="s">
        <v>87</v>
      </c>
      <c r="AY2938" t="s">
        <v>87</v>
      </c>
      <c r="AZ2938" t="s">
        <v>87</v>
      </c>
      <c r="BA2938" t="s">
        <v>87</v>
      </c>
      <c r="BB2938" t="s">
        <v>87</v>
      </c>
      <c r="BC2938" t="s">
        <v>87</v>
      </c>
      <c r="BD2938" t="s">
        <v>87</v>
      </c>
      <c r="BE2938" t="s">
        <v>87</v>
      </c>
    </row>
    <row r="2939" spans="1:57" x14ac:dyDescent="0.45">
      <c r="A2939" t="s">
        <v>6969</v>
      </c>
      <c r="B2939" t="s">
        <v>79</v>
      </c>
      <c r="C2939" t="s">
        <v>6941</v>
      </c>
      <c r="D2939" t="s">
        <v>81</v>
      </c>
      <c r="E2939" s="2" t="str">
        <f>HYPERLINK("capsilon://?command=openfolder&amp;siteaddress=FAM.docvelocity-na8.net&amp;folderid=FX0F7FFFDF-9F80-F5E1-EE0F-A66F0C3A7182","FX201222360")</f>
        <v>FX201222360</v>
      </c>
      <c r="F2939" t="s">
        <v>19</v>
      </c>
      <c r="G2939" t="s">
        <v>19</v>
      </c>
      <c r="H2939" t="s">
        <v>82</v>
      </c>
      <c r="I2939" t="s">
        <v>6958</v>
      </c>
      <c r="J2939">
        <v>38</v>
      </c>
      <c r="K2939" t="s">
        <v>84</v>
      </c>
      <c r="L2939" t="s">
        <v>85</v>
      </c>
      <c r="M2939" t="s">
        <v>86</v>
      </c>
      <c r="N2939">
        <v>3</v>
      </c>
      <c r="O2939" s="1">
        <v>44223.595104166663</v>
      </c>
      <c r="P2939" s="1">
        <v>44223.619004629632</v>
      </c>
      <c r="Q2939">
        <v>1248</v>
      </c>
      <c r="R2939">
        <v>817</v>
      </c>
      <c r="S2939" t="b">
        <v>0</v>
      </c>
      <c r="T2939" t="s">
        <v>87</v>
      </c>
      <c r="U2939" t="b">
        <v>1</v>
      </c>
      <c r="V2939" t="s">
        <v>259</v>
      </c>
      <c r="W2939" s="1">
        <v>44223.601805555554</v>
      </c>
      <c r="X2939">
        <v>566</v>
      </c>
      <c r="Y2939">
        <v>37</v>
      </c>
      <c r="Z2939">
        <v>0</v>
      </c>
      <c r="AA2939">
        <v>37</v>
      </c>
      <c r="AB2939">
        <v>0</v>
      </c>
      <c r="AC2939">
        <v>34</v>
      </c>
      <c r="AD2939">
        <v>1</v>
      </c>
      <c r="AE2939">
        <v>0</v>
      </c>
      <c r="AF2939">
        <v>0</v>
      </c>
      <c r="AG2939">
        <v>0</v>
      </c>
      <c r="AH2939" t="s">
        <v>128</v>
      </c>
      <c r="AI2939" s="1">
        <v>44223.604629629626</v>
      </c>
      <c r="AJ2939">
        <v>243</v>
      </c>
      <c r="AK2939">
        <v>1</v>
      </c>
      <c r="AL2939">
        <v>0</v>
      </c>
      <c r="AM2939">
        <v>1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 t="s">
        <v>90</v>
      </c>
      <c r="AU2939" s="1">
        <v>44223.619004629632</v>
      </c>
      <c r="AV2939">
        <v>8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</row>
    <row r="2940" spans="1:57" x14ac:dyDescent="0.45">
      <c r="A2940" t="s">
        <v>6970</v>
      </c>
      <c r="B2940" t="s">
        <v>79</v>
      </c>
      <c r="C2940" t="s">
        <v>6941</v>
      </c>
      <c r="D2940" t="s">
        <v>81</v>
      </c>
      <c r="E2940" s="2" t="str">
        <f>HYPERLINK("capsilon://?command=openfolder&amp;siteaddress=FAM.docvelocity-na8.net&amp;folderid=FX0F7FFFDF-9F80-F5E1-EE0F-A66F0C3A7182","FX201222360")</f>
        <v>FX201222360</v>
      </c>
      <c r="F2940" t="s">
        <v>19</v>
      </c>
      <c r="G2940" t="s">
        <v>19</v>
      </c>
      <c r="H2940" t="s">
        <v>82</v>
      </c>
      <c r="I2940" t="s">
        <v>6968</v>
      </c>
      <c r="J2940">
        <v>38</v>
      </c>
      <c r="K2940" t="s">
        <v>84</v>
      </c>
      <c r="L2940" t="s">
        <v>85</v>
      </c>
      <c r="M2940" t="s">
        <v>86</v>
      </c>
      <c r="N2940">
        <v>3</v>
      </c>
      <c r="O2940" s="1">
        <v>44223.596377314818</v>
      </c>
      <c r="P2940" s="1">
        <v>44223.619085648148</v>
      </c>
      <c r="Q2940">
        <v>816</v>
      </c>
      <c r="R2940">
        <v>1146</v>
      </c>
      <c r="S2940" t="b">
        <v>0</v>
      </c>
      <c r="T2940" t="s">
        <v>87</v>
      </c>
      <c r="U2940" t="b">
        <v>1</v>
      </c>
      <c r="V2940" t="s">
        <v>142</v>
      </c>
      <c r="W2940" s="1">
        <v>44223.608900462961</v>
      </c>
      <c r="X2940">
        <v>1075</v>
      </c>
      <c r="Y2940">
        <v>37</v>
      </c>
      <c r="Z2940">
        <v>0</v>
      </c>
      <c r="AA2940">
        <v>37</v>
      </c>
      <c r="AB2940">
        <v>0</v>
      </c>
      <c r="AC2940">
        <v>34</v>
      </c>
      <c r="AD2940">
        <v>1</v>
      </c>
      <c r="AE2940">
        <v>0</v>
      </c>
      <c r="AF2940">
        <v>0</v>
      </c>
      <c r="AG2940">
        <v>0</v>
      </c>
      <c r="AH2940" t="s">
        <v>132</v>
      </c>
      <c r="AI2940" s="1">
        <v>44223.609768518516</v>
      </c>
      <c r="AJ2940">
        <v>64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</v>
      </c>
      <c r="AQ2940">
        <v>0</v>
      </c>
      <c r="AR2940">
        <v>0</v>
      </c>
      <c r="AS2940">
        <v>0</v>
      </c>
      <c r="AT2940" t="s">
        <v>90</v>
      </c>
      <c r="AU2940" s="1">
        <v>44223.619085648148</v>
      </c>
      <c r="AV2940">
        <v>7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0</v>
      </c>
      <c r="BE2940">
        <v>0</v>
      </c>
    </row>
    <row r="2941" spans="1:57" hidden="1" x14ac:dyDescent="0.45">
      <c r="A2941" t="s">
        <v>6971</v>
      </c>
      <c r="B2941" t="s">
        <v>79</v>
      </c>
      <c r="C2941" t="s">
        <v>450</v>
      </c>
      <c r="D2941" t="s">
        <v>81</v>
      </c>
      <c r="E2941" s="2" t="str">
        <f>HYPERLINK("capsilon://?command=openfolder&amp;siteaddress=FAM.docvelocity-na8.net&amp;folderid=FXBB287EF1-F6B9-3AFC-9DF7-CB7C4CF65509","FX20126038")</f>
        <v>FX20126038</v>
      </c>
      <c r="F2941" t="s">
        <v>19</v>
      </c>
      <c r="G2941" t="s">
        <v>19</v>
      </c>
      <c r="H2941" t="s">
        <v>82</v>
      </c>
      <c r="I2941" t="s">
        <v>6972</v>
      </c>
      <c r="J2941">
        <v>38</v>
      </c>
      <c r="K2941" t="s">
        <v>84</v>
      </c>
      <c r="L2941" t="s">
        <v>85</v>
      </c>
      <c r="M2941" t="s">
        <v>86</v>
      </c>
      <c r="N2941">
        <v>3</v>
      </c>
      <c r="O2941" s="1">
        <v>44223.599189814813</v>
      </c>
      <c r="P2941" s="1">
        <v>44223.622199074074</v>
      </c>
      <c r="Q2941">
        <v>1834</v>
      </c>
      <c r="R2941">
        <v>154</v>
      </c>
      <c r="S2941" t="b">
        <v>0</v>
      </c>
      <c r="T2941" t="s">
        <v>87</v>
      </c>
      <c r="U2941" t="b">
        <v>0</v>
      </c>
      <c r="V2941" t="s">
        <v>160</v>
      </c>
      <c r="W2941" s="1">
        <v>44223.600821759261</v>
      </c>
      <c r="X2941">
        <v>141</v>
      </c>
      <c r="Y2941">
        <v>0</v>
      </c>
      <c r="Z2941">
        <v>0</v>
      </c>
      <c r="AA2941">
        <v>0</v>
      </c>
      <c r="AB2941">
        <v>37</v>
      </c>
      <c r="AC2941">
        <v>0</v>
      </c>
      <c r="AD2941">
        <v>38</v>
      </c>
      <c r="AE2941">
        <v>0</v>
      </c>
      <c r="AF2941">
        <v>0</v>
      </c>
      <c r="AG2941">
        <v>0</v>
      </c>
      <c r="AH2941" t="s">
        <v>132</v>
      </c>
      <c r="AI2941" s="1">
        <v>44223.602187500001</v>
      </c>
      <c r="AJ2941">
        <v>10</v>
      </c>
      <c r="AK2941">
        <v>0</v>
      </c>
      <c r="AL2941">
        <v>0</v>
      </c>
      <c r="AM2941">
        <v>0</v>
      </c>
      <c r="AN2941">
        <v>37</v>
      </c>
      <c r="AO2941">
        <v>0</v>
      </c>
      <c r="AP2941">
        <v>38</v>
      </c>
      <c r="AQ2941">
        <v>0</v>
      </c>
      <c r="AR2941">
        <v>0</v>
      </c>
      <c r="AS2941">
        <v>0</v>
      </c>
      <c r="AT2941" t="s">
        <v>90</v>
      </c>
      <c r="AU2941" s="1">
        <v>44223.622199074074</v>
      </c>
      <c r="AV2941">
        <v>3</v>
      </c>
      <c r="AW2941">
        <v>0</v>
      </c>
      <c r="AX2941">
        <v>0</v>
      </c>
      <c r="AY2941">
        <v>0</v>
      </c>
      <c r="AZ2941">
        <v>37</v>
      </c>
      <c r="BA2941">
        <v>0</v>
      </c>
      <c r="BB2941">
        <v>38</v>
      </c>
      <c r="BC2941">
        <v>0</v>
      </c>
      <c r="BD2941">
        <v>0</v>
      </c>
      <c r="BE2941">
        <v>0</v>
      </c>
    </row>
    <row r="2942" spans="1:57" x14ac:dyDescent="0.45">
      <c r="A2942" t="s">
        <v>6973</v>
      </c>
      <c r="B2942" t="s">
        <v>79</v>
      </c>
      <c r="C2942" t="s">
        <v>318</v>
      </c>
      <c r="D2942" t="s">
        <v>81</v>
      </c>
      <c r="E2942" s="2" t="str">
        <f>HYPERLINK("capsilon://?command=openfolder&amp;siteaddress=FAM.docvelocity-na8.net&amp;folderid=FX39A69605-FBB9-947F-8931-86539DBF7CBF","FX210118074")</f>
        <v>FX210118074</v>
      </c>
      <c r="F2942" t="s">
        <v>19</v>
      </c>
      <c r="G2942" t="s">
        <v>19</v>
      </c>
      <c r="H2942" t="s">
        <v>82</v>
      </c>
      <c r="I2942" t="s">
        <v>6974</v>
      </c>
      <c r="J2942">
        <v>394</v>
      </c>
      <c r="K2942" t="s">
        <v>84</v>
      </c>
      <c r="L2942" t="s">
        <v>85</v>
      </c>
      <c r="M2942" t="s">
        <v>86</v>
      </c>
      <c r="N2942">
        <v>3</v>
      </c>
      <c r="O2942" s="1">
        <v>44223.602106481485</v>
      </c>
      <c r="P2942" s="1">
        <v>44223.662152777775</v>
      </c>
      <c r="Q2942">
        <v>1691</v>
      </c>
      <c r="R2942">
        <v>3497</v>
      </c>
      <c r="S2942" t="b">
        <v>0</v>
      </c>
      <c r="T2942" t="s">
        <v>87</v>
      </c>
      <c r="U2942" t="b">
        <v>0</v>
      </c>
      <c r="V2942" t="s">
        <v>259</v>
      </c>
      <c r="W2942" s="1">
        <v>44223.634479166663</v>
      </c>
      <c r="X2942">
        <v>2753</v>
      </c>
      <c r="Y2942">
        <v>312</v>
      </c>
      <c r="Z2942">
        <v>0</v>
      </c>
      <c r="AA2942">
        <v>312</v>
      </c>
      <c r="AB2942">
        <v>37</v>
      </c>
      <c r="AC2942">
        <v>177</v>
      </c>
      <c r="AD2942">
        <v>82</v>
      </c>
      <c r="AE2942">
        <v>0</v>
      </c>
      <c r="AF2942">
        <v>0</v>
      </c>
      <c r="AG2942">
        <v>0</v>
      </c>
      <c r="AH2942" t="s">
        <v>128</v>
      </c>
      <c r="AI2942" s="1">
        <v>44223.642835648148</v>
      </c>
      <c r="AJ2942">
        <v>715</v>
      </c>
      <c r="AK2942">
        <v>0</v>
      </c>
      <c r="AL2942">
        <v>0</v>
      </c>
      <c r="AM2942">
        <v>0</v>
      </c>
      <c r="AN2942">
        <v>37</v>
      </c>
      <c r="AO2942">
        <v>0</v>
      </c>
      <c r="AP2942">
        <v>82</v>
      </c>
      <c r="AQ2942">
        <v>0</v>
      </c>
      <c r="AR2942">
        <v>0</v>
      </c>
      <c r="AS2942">
        <v>0</v>
      </c>
      <c r="AT2942" t="s">
        <v>90</v>
      </c>
      <c r="AU2942" s="1">
        <v>44223.662152777775</v>
      </c>
      <c r="AV2942">
        <v>29</v>
      </c>
      <c r="AW2942">
        <v>0</v>
      </c>
      <c r="AX2942">
        <v>0</v>
      </c>
      <c r="AY2942">
        <v>0</v>
      </c>
      <c r="AZ2942">
        <v>37</v>
      </c>
      <c r="BA2942">
        <v>0</v>
      </c>
      <c r="BB2942">
        <v>82</v>
      </c>
      <c r="BC2942">
        <v>0</v>
      </c>
      <c r="BD2942">
        <v>0</v>
      </c>
      <c r="BE2942">
        <v>0</v>
      </c>
    </row>
    <row r="2943" spans="1:57" hidden="1" x14ac:dyDescent="0.45">
      <c r="A2943" t="s">
        <v>6975</v>
      </c>
      <c r="B2943" t="s">
        <v>79</v>
      </c>
      <c r="C2943" t="s">
        <v>6976</v>
      </c>
      <c r="D2943" t="s">
        <v>81</v>
      </c>
      <c r="E2943" s="2" t="str">
        <f>HYPERLINK("capsilon://?command=openfolder&amp;siteaddress=FAM.docvelocity-na8.net&amp;folderid=FX6705D9ED-F165-E9FE-98E0-4A375C65D2CB","FX201221152")</f>
        <v>FX201221152</v>
      </c>
      <c r="F2943" t="s">
        <v>19</v>
      </c>
      <c r="G2943" t="s">
        <v>19</v>
      </c>
      <c r="H2943" t="s">
        <v>82</v>
      </c>
      <c r="I2943" t="s">
        <v>6977</v>
      </c>
      <c r="J2943">
        <v>49</v>
      </c>
      <c r="K2943" t="s">
        <v>84</v>
      </c>
      <c r="L2943" t="s">
        <v>85</v>
      </c>
      <c r="M2943" t="s">
        <v>86</v>
      </c>
      <c r="N2943">
        <v>1</v>
      </c>
      <c r="O2943" s="1">
        <v>44223.605810185189</v>
      </c>
      <c r="P2943" s="1">
        <v>44223.610601851855</v>
      </c>
      <c r="Q2943">
        <v>221</v>
      </c>
      <c r="R2943">
        <v>193</v>
      </c>
      <c r="S2943" t="b">
        <v>0</v>
      </c>
      <c r="T2943" t="s">
        <v>87</v>
      </c>
      <c r="U2943" t="b">
        <v>0</v>
      </c>
      <c r="V2943" t="s">
        <v>262</v>
      </c>
      <c r="W2943" s="1">
        <v>44223.610601851855</v>
      </c>
      <c r="X2943">
        <v>175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49</v>
      </c>
      <c r="AE2943">
        <v>45</v>
      </c>
      <c r="AF2943">
        <v>0</v>
      </c>
      <c r="AG2943">
        <v>2</v>
      </c>
      <c r="AH2943" t="s">
        <v>87</v>
      </c>
      <c r="AI2943" t="s">
        <v>87</v>
      </c>
      <c r="AJ2943" t="s">
        <v>87</v>
      </c>
      <c r="AK2943" t="s">
        <v>87</v>
      </c>
      <c r="AL2943" t="s">
        <v>87</v>
      </c>
      <c r="AM2943" t="s">
        <v>87</v>
      </c>
      <c r="AN2943" t="s">
        <v>87</v>
      </c>
      <c r="AO2943" t="s">
        <v>87</v>
      </c>
      <c r="AP2943" t="s">
        <v>87</v>
      </c>
      <c r="AQ2943" t="s">
        <v>87</v>
      </c>
      <c r="AR2943" t="s">
        <v>87</v>
      </c>
      <c r="AS2943" t="s">
        <v>87</v>
      </c>
      <c r="AT2943" t="s">
        <v>87</v>
      </c>
      <c r="AU2943" t="s">
        <v>87</v>
      </c>
      <c r="AV2943" t="s">
        <v>87</v>
      </c>
      <c r="AW2943" t="s">
        <v>87</v>
      </c>
      <c r="AX2943" t="s">
        <v>87</v>
      </c>
      <c r="AY2943" t="s">
        <v>87</v>
      </c>
      <c r="AZ2943" t="s">
        <v>87</v>
      </c>
      <c r="BA2943" t="s">
        <v>87</v>
      </c>
      <c r="BB2943" t="s">
        <v>87</v>
      </c>
      <c r="BC2943" t="s">
        <v>87</v>
      </c>
      <c r="BD2943" t="s">
        <v>87</v>
      </c>
      <c r="BE2943" t="s">
        <v>87</v>
      </c>
    </row>
    <row r="2944" spans="1:57" x14ac:dyDescent="0.45">
      <c r="A2944" t="s">
        <v>6978</v>
      </c>
      <c r="B2944" t="s">
        <v>79</v>
      </c>
      <c r="C2944" t="s">
        <v>6979</v>
      </c>
      <c r="D2944" t="s">
        <v>81</v>
      </c>
      <c r="E2944" s="2" t="str">
        <f>HYPERLINK("capsilon://?command=openfolder&amp;siteaddress=FAM.docvelocity-na8.net&amp;folderid=FX501BBB3B-09E4-0704-4319-67857BD6154F","FX210116336")</f>
        <v>FX210116336</v>
      </c>
      <c r="F2944" t="s">
        <v>19</v>
      </c>
      <c r="G2944" t="s">
        <v>19</v>
      </c>
      <c r="H2944" t="s">
        <v>82</v>
      </c>
      <c r="I2944" t="s">
        <v>6980</v>
      </c>
      <c r="J2944">
        <v>648</v>
      </c>
      <c r="K2944" t="s">
        <v>84</v>
      </c>
      <c r="L2944" t="s">
        <v>85</v>
      </c>
      <c r="M2944" t="s">
        <v>86</v>
      </c>
      <c r="N2944">
        <v>3</v>
      </c>
      <c r="O2944" s="1">
        <v>44223.611759259256</v>
      </c>
      <c r="P2944" s="1">
        <v>44224.345648148148</v>
      </c>
      <c r="Q2944">
        <v>58151</v>
      </c>
      <c r="R2944">
        <v>5257</v>
      </c>
      <c r="S2944" t="b">
        <v>0</v>
      </c>
      <c r="T2944" t="s">
        <v>87</v>
      </c>
      <c r="U2944" t="b">
        <v>0</v>
      </c>
      <c r="V2944" t="s">
        <v>179</v>
      </c>
      <c r="W2944" s="1">
        <v>44223.659097222226</v>
      </c>
      <c r="X2944">
        <v>4062</v>
      </c>
      <c r="Y2944">
        <v>595</v>
      </c>
      <c r="Z2944">
        <v>0</v>
      </c>
      <c r="AA2944">
        <v>595</v>
      </c>
      <c r="AB2944">
        <v>0</v>
      </c>
      <c r="AC2944">
        <v>228</v>
      </c>
      <c r="AD2944">
        <v>53</v>
      </c>
      <c r="AE2944">
        <v>0</v>
      </c>
      <c r="AF2944">
        <v>0</v>
      </c>
      <c r="AG2944">
        <v>0</v>
      </c>
      <c r="AH2944" t="s">
        <v>128</v>
      </c>
      <c r="AI2944" s="1">
        <v>44223.673020833332</v>
      </c>
      <c r="AJ2944">
        <v>1153</v>
      </c>
      <c r="AK2944">
        <v>1</v>
      </c>
      <c r="AL2944">
        <v>0</v>
      </c>
      <c r="AM2944">
        <v>1</v>
      </c>
      <c r="AN2944">
        <v>0</v>
      </c>
      <c r="AO2944">
        <v>1</v>
      </c>
      <c r="AP2944">
        <v>52</v>
      </c>
      <c r="AQ2944">
        <v>0</v>
      </c>
      <c r="AR2944">
        <v>0</v>
      </c>
      <c r="AS2944">
        <v>0</v>
      </c>
      <c r="AT2944" t="s">
        <v>90</v>
      </c>
      <c r="AU2944" s="1">
        <v>44224.345648148148</v>
      </c>
      <c r="AV2944">
        <v>42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52</v>
      </c>
      <c r="BC2944">
        <v>0</v>
      </c>
      <c r="BD2944">
        <v>0</v>
      </c>
      <c r="BE2944">
        <v>0</v>
      </c>
    </row>
    <row r="2945" spans="1:57" x14ac:dyDescent="0.45">
      <c r="A2945" t="s">
        <v>6981</v>
      </c>
      <c r="B2945" t="s">
        <v>79</v>
      </c>
      <c r="C2945" t="s">
        <v>6976</v>
      </c>
      <c r="D2945" t="s">
        <v>81</v>
      </c>
      <c r="E2945" s="2" t="str">
        <f>HYPERLINK("capsilon://?command=openfolder&amp;siteaddress=FAM.docvelocity-na8.net&amp;folderid=FX6705D9ED-F165-E9FE-98E0-4A375C65D2CB","FX201221152")</f>
        <v>FX201221152</v>
      </c>
      <c r="F2945" t="s">
        <v>19</v>
      </c>
      <c r="G2945" t="s">
        <v>19</v>
      </c>
      <c r="H2945" t="s">
        <v>82</v>
      </c>
      <c r="I2945" t="s">
        <v>6977</v>
      </c>
      <c r="J2945">
        <v>98</v>
      </c>
      <c r="K2945" t="s">
        <v>84</v>
      </c>
      <c r="L2945" t="s">
        <v>85</v>
      </c>
      <c r="M2945" t="s">
        <v>86</v>
      </c>
      <c r="N2945">
        <v>3</v>
      </c>
      <c r="O2945" s="1">
        <v>44223.611828703702</v>
      </c>
      <c r="P2945" s="1">
        <v>44223.636388888888</v>
      </c>
      <c r="Q2945">
        <v>901</v>
      </c>
      <c r="R2945">
        <v>1221</v>
      </c>
      <c r="S2945" t="b">
        <v>0</v>
      </c>
      <c r="T2945" t="s">
        <v>87</v>
      </c>
      <c r="U2945" t="b">
        <v>1</v>
      </c>
      <c r="V2945" t="s">
        <v>242</v>
      </c>
      <c r="W2945" s="1">
        <v>44223.618981481479</v>
      </c>
      <c r="X2945">
        <v>606</v>
      </c>
      <c r="Y2945">
        <v>72</v>
      </c>
      <c r="Z2945">
        <v>0</v>
      </c>
      <c r="AA2945">
        <v>72</v>
      </c>
      <c r="AB2945">
        <v>0</v>
      </c>
      <c r="AC2945">
        <v>35</v>
      </c>
      <c r="AD2945">
        <v>26</v>
      </c>
      <c r="AE2945">
        <v>0</v>
      </c>
      <c r="AF2945">
        <v>0</v>
      </c>
      <c r="AG2945">
        <v>0</v>
      </c>
      <c r="AH2945" t="s">
        <v>128</v>
      </c>
      <c r="AI2945" s="1">
        <v>44223.6250462963</v>
      </c>
      <c r="AJ2945">
        <v>478</v>
      </c>
      <c r="AK2945">
        <v>8</v>
      </c>
      <c r="AL2945">
        <v>0</v>
      </c>
      <c r="AM2945">
        <v>8</v>
      </c>
      <c r="AN2945">
        <v>0</v>
      </c>
      <c r="AO2945">
        <v>8</v>
      </c>
      <c r="AP2945">
        <v>18</v>
      </c>
      <c r="AQ2945">
        <v>0</v>
      </c>
      <c r="AR2945">
        <v>0</v>
      </c>
      <c r="AS2945">
        <v>0</v>
      </c>
      <c r="AT2945" t="s">
        <v>90</v>
      </c>
      <c r="AU2945" s="1">
        <v>44223.636388888888</v>
      </c>
      <c r="AV2945">
        <v>137</v>
      </c>
      <c r="AW2945">
        <v>2</v>
      </c>
      <c r="AX2945">
        <v>0</v>
      </c>
      <c r="AY2945">
        <v>2</v>
      </c>
      <c r="AZ2945">
        <v>0</v>
      </c>
      <c r="BA2945">
        <v>2</v>
      </c>
      <c r="BB2945">
        <v>16</v>
      </c>
      <c r="BC2945">
        <v>0</v>
      </c>
      <c r="BD2945">
        <v>0</v>
      </c>
      <c r="BE2945">
        <v>0</v>
      </c>
    </row>
    <row r="2946" spans="1:57" x14ac:dyDescent="0.45">
      <c r="A2946" t="s">
        <v>6982</v>
      </c>
      <c r="B2946" t="s">
        <v>79</v>
      </c>
      <c r="C2946" t="s">
        <v>2472</v>
      </c>
      <c r="D2946" t="s">
        <v>81</v>
      </c>
      <c r="E2946" s="2" t="str">
        <f>HYPERLINK("capsilon://?command=openfolder&amp;siteaddress=FAM.docvelocity-na8.net&amp;folderid=FXCC5CEFAA-7297-6936-DCF4-A77F4E3DFB31","FX201110096")</f>
        <v>FX201110096</v>
      </c>
      <c r="F2946" t="s">
        <v>19</v>
      </c>
      <c r="G2946" t="s">
        <v>19</v>
      </c>
      <c r="H2946" t="s">
        <v>82</v>
      </c>
      <c r="I2946" t="s">
        <v>6983</v>
      </c>
      <c r="J2946">
        <v>66</v>
      </c>
      <c r="K2946" t="s">
        <v>84</v>
      </c>
      <c r="L2946" t="s">
        <v>85</v>
      </c>
      <c r="M2946" t="s">
        <v>86</v>
      </c>
      <c r="N2946">
        <v>3</v>
      </c>
      <c r="O2946" s="1">
        <v>44223.614965277775</v>
      </c>
      <c r="P2946" s="1">
        <v>44223.622233796297</v>
      </c>
      <c r="Q2946">
        <v>550</v>
      </c>
      <c r="R2946">
        <v>78</v>
      </c>
      <c r="S2946" t="b">
        <v>0</v>
      </c>
      <c r="T2946" t="s">
        <v>87</v>
      </c>
      <c r="U2946" t="b">
        <v>0</v>
      </c>
      <c r="V2946" t="s">
        <v>171</v>
      </c>
      <c r="W2946" s="1">
        <v>44223.615624999999</v>
      </c>
      <c r="X2946">
        <v>56</v>
      </c>
      <c r="Y2946">
        <v>5</v>
      </c>
      <c r="Z2946">
        <v>0</v>
      </c>
      <c r="AA2946">
        <v>5</v>
      </c>
      <c r="AB2946">
        <v>52</v>
      </c>
      <c r="AC2946">
        <v>0</v>
      </c>
      <c r="AD2946">
        <v>61</v>
      </c>
      <c r="AE2946">
        <v>0</v>
      </c>
      <c r="AF2946">
        <v>0</v>
      </c>
      <c r="AG2946">
        <v>0</v>
      </c>
      <c r="AH2946" t="s">
        <v>128</v>
      </c>
      <c r="AI2946" s="1">
        <v>44223.615937499999</v>
      </c>
      <c r="AJ2946">
        <v>20</v>
      </c>
      <c r="AK2946">
        <v>0</v>
      </c>
      <c r="AL2946">
        <v>0</v>
      </c>
      <c r="AM2946">
        <v>0</v>
      </c>
      <c r="AN2946">
        <v>52</v>
      </c>
      <c r="AO2946">
        <v>0</v>
      </c>
      <c r="AP2946">
        <v>61</v>
      </c>
      <c r="AQ2946">
        <v>0</v>
      </c>
      <c r="AR2946">
        <v>0</v>
      </c>
      <c r="AS2946">
        <v>0</v>
      </c>
      <c r="AT2946" t="s">
        <v>90</v>
      </c>
      <c r="AU2946" s="1">
        <v>44223.622233796297</v>
      </c>
      <c r="AV2946">
        <v>2</v>
      </c>
      <c r="AW2946">
        <v>0</v>
      </c>
      <c r="AX2946">
        <v>0</v>
      </c>
      <c r="AY2946">
        <v>0</v>
      </c>
      <c r="AZ2946">
        <v>52</v>
      </c>
      <c r="BA2946">
        <v>0</v>
      </c>
      <c r="BB2946">
        <v>61</v>
      </c>
      <c r="BC2946">
        <v>0</v>
      </c>
      <c r="BD2946">
        <v>0</v>
      </c>
      <c r="BE2946">
        <v>0</v>
      </c>
    </row>
    <row r="2947" spans="1:57" hidden="1" x14ac:dyDescent="0.45">
      <c r="A2947" t="s">
        <v>6984</v>
      </c>
      <c r="B2947" t="s">
        <v>79</v>
      </c>
      <c r="C2947" t="s">
        <v>2472</v>
      </c>
      <c r="D2947" t="s">
        <v>81</v>
      </c>
      <c r="E2947" s="2" t="str">
        <f>HYPERLINK("capsilon://?command=openfolder&amp;siteaddress=FAM.docvelocity-na8.net&amp;folderid=FXCC5CEFAA-7297-6936-DCF4-A77F4E3DFB31","FX201110096")</f>
        <v>FX201110096</v>
      </c>
      <c r="F2947" t="s">
        <v>19</v>
      </c>
      <c r="G2947" t="s">
        <v>19</v>
      </c>
      <c r="H2947" t="s">
        <v>82</v>
      </c>
      <c r="I2947" t="s">
        <v>6985</v>
      </c>
      <c r="J2947">
        <v>66</v>
      </c>
      <c r="K2947" t="s">
        <v>84</v>
      </c>
      <c r="L2947" t="s">
        <v>85</v>
      </c>
      <c r="M2947" t="s">
        <v>86</v>
      </c>
      <c r="N2947">
        <v>3</v>
      </c>
      <c r="O2947" s="1">
        <v>44223.615185185183</v>
      </c>
      <c r="P2947" s="1">
        <v>44223.62226851852</v>
      </c>
      <c r="Q2947">
        <v>536</v>
      </c>
      <c r="R2947">
        <v>76</v>
      </c>
      <c r="S2947" t="b">
        <v>0</v>
      </c>
      <c r="T2947" t="s">
        <v>87</v>
      </c>
      <c r="U2947" t="b">
        <v>0</v>
      </c>
      <c r="V2947" t="s">
        <v>171</v>
      </c>
      <c r="W2947" s="1">
        <v>44223.616365740738</v>
      </c>
      <c r="X2947">
        <v>63</v>
      </c>
      <c r="Y2947">
        <v>0</v>
      </c>
      <c r="Z2947">
        <v>0</v>
      </c>
      <c r="AA2947">
        <v>0</v>
      </c>
      <c r="AB2947">
        <v>52</v>
      </c>
      <c r="AC2947">
        <v>0</v>
      </c>
      <c r="AD2947">
        <v>66</v>
      </c>
      <c r="AE2947">
        <v>0</v>
      </c>
      <c r="AF2947">
        <v>0</v>
      </c>
      <c r="AG2947">
        <v>0</v>
      </c>
      <c r="AH2947" t="s">
        <v>132</v>
      </c>
      <c r="AI2947" s="1">
        <v>44223.617048611108</v>
      </c>
      <c r="AJ2947">
        <v>11</v>
      </c>
      <c r="AK2947">
        <v>0</v>
      </c>
      <c r="AL2947">
        <v>0</v>
      </c>
      <c r="AM2947">
        <v>0</v>
      </c>
      <c r="AN2947">
        <v>52</v>
      </c>
      <c r="AO2947">
        <v>0</v>
      </c>
      <c r="AP2947">
        <v>66</v>
      </c>
      <c r="AQ2947">
        <v>0</v>
      </c>
      <c r="AR2947">
        <v>0</v>
      </c>
      <c r="AS2947">
        <v>0</v>
      </c>
      <c r="AT2947" t="s">
        <v>90</v>
      </c>
      <c r="AU2947" s="1">
        <v>44223.62226851852</v>
      </c>
      <c r="AV2947">
        <v>2</v>
      </c>
      <c r="AW2947">
        <v>0</v>
      </c>
      <c r="AX2947">
        <v>0</v>
      </c>
      <c r="AY2947">
        <v>0</v>
      </c>
      <c r="AZ2947">
        <v>52</v>
      </c>
      <c r="BA2947">
        <v>0</v>
      </c>
      <c r="BB2947">
        <v>66</v>
      </c>
      <c r="BC2947">
        <v>0</v>
      </c>
      <c r="BD2947">
        <v>0</v>
      </c>
      <c r="BE2947">
        <v>0</v>
      </c>
    </row>
    <row r="2948" spans="1:57" hidden="1" x14ac:dyDescent="0.45">
      <c r="A2948" t="s">
        <v>6986</v>
      </c>
      <c r="B2948" t="s">
        <v>79</v>
      </c>
      <c r="C2948" t="s">
        <v>6209</v>
      </c>
      <c r="D2948" t="s">
        <v>81</v>
      </c>
      <c r="E2948" s="2" t="str">
        <f>HYPERLINK("capsilon://?command=openfolder&amp;siteaddress=FAM.docvelocity-na8.net&amp;folderid=FXBD68940C-B3E7-C276-9725-018217077DB4","FX20121932")</f>
        <v>FX20121932</v>
      </c>
      <c r="F2948" t="s">
        <v>19</v>
      </c>
      <c r="G2948" t="s">
        <v>19</v>
      </c>
      <c r="H2948" t="s">
        <v>82</v>
      </c>
      <c r="I2948" t="s">
        <v>6987</v>
      </c>
      <c r="J2948">
        <v>66</v>
      </c>
      <c r="K2948" t="s">
        <v>84</v>
      </c>
      <c r="L2948" t="s">
        <v>85</v>
      </c>
      <c r="M2948" t="s">
        <v>86</v>
      </c>
      <c r="N2948">
        <v>3</v>
      </c>
      <c r="O2948" s="1">
        <v>44223.623854166668</v>
      </c>
      <c r="P2948" s="1">
        <v>44223.636423611111</v>
      </c>
      <c r="Q2948">
        <v>1035</v>
      </c>
      <c r="R2948">
        <v>51</v>
      </c>
      <c r="S2948" t="b">
        <v>0</v>
      </c>
      <c r="T2948" t="s">
        <v>87</v>
      </c>
      <c r="U2948" t="b">
        <v>0</v>
      </c>
      <c r="V2948" t="s">
        <v>171</v>
      </c>
      <c r="W2948" s="1">
        <v>44223.62431712963</v>
      </c>
      <c r="X2948">
        <v>39</v>
      </c>
      <c r="Y2948">
        <v>0</v>
      </c>
      <c r="Z2948">
        <v>0</v>
      </c>
      <c r="AA2948">
        <v>0</v>
      </c>
      <c r="AB2948">
        <v>52</v>
      </c>
      <c r="AC2948">
        <v>0</v>
      </c>
      <c r="AD2948">
        <v>66</v>
      </c>
      <c r="AE2948">
        <v>0</v>
      </c>
      <c r="AF2948">
        <v>0</v>
      </c>
      <c r="AG2948">
        <v>0</v>
      </c>
      <c r="AH2948" t="s">
        <v>128</v>
      </c>
      <c r="AI2948" s="1">
        <v>44223.625162037039</v>
      </c>
      <c r="AJ2948">
        <v>9</v>
      </c>
      <c r="AK2948">
        <v>0</v>
      </c>
      <c r="AL2948">
        <v>0</v>
      </c>
      <c r="AM2948">
        <v>0</v>
      </c>
      <c r="AN2948">
        <v>52</v>
      </c>
      <c r="AO2948">
        <v>0</v>
      </c>
      <c r="AP2948">
        <v>66</v>
      </c>
      <c r="AQ2948">
        <v>0</v>
      </c>
      <c r="AR2948">
        <v>0</v>
      </c>
      <c r="AS2948">
        <v>0</v>
      </c>
      <c r="AT2948" t="s">
        <v>90</v>
      </c>
      <c r="AU2948" s="1">
        <v>44223.636423611111</v>
      </c>
      <c r="AV2948">
        <v>3</v>
      </c>
      <c r="AW2948">
        <v>0</v>
      </c>
      <c r="AX2948">
        <v>0</v>
      </c>
      <c r="AY2948">
        <v>0</v>
      </c>
      <c r="AZ2948">
        <v>52</v>
      </c>
      <c r="BA2948">
        <v>0</v>
      </c>
      <c r="BB2948">
        <v>66</v>
      </c>
      <c r="BC2948">
        <v>0</v>
      </c>
      <c r="BD2948">
        <v>0</v>
      </c>
      <c r="BE2948">
        <v>0</v>
      </c>
    </row>
    <row r="2949" spans="1:57" hidden="1" x14ac:dyDescent="0.45">
      <c r="A2949" t="s">
        <v>6988</v>
      </c>
      <c r="B2949" t="s">
        <v>79</v>
      </c>
      <c r="C2949" t="s">
        <v>4133</v>
      </c>
      <c r="D2949" t="s">
        <v>81</v>
      </c>
      <c r="E2949" s="2" t="str">
        <f>HYPERLINK("capsilon://?command=openfolder&amp;siteaddress=FAM.docvelocity-na8.net&amp;folderid=FXE11191F6-99F3-A1F5-58D8-8B3285AAF28E","FX20123668")</f>
        <v>FX20123668</v>
      </c>
      <c r="F2949" t="s">
        <v>19</v>
      </c>
      <c r="G2949" t="s">
        <v>19</v>
      </c>
      <c r="H2949" t="s">
        <v>82</v>
      </c>
      <c r="I2949" t="s">
        <v>6989</v>
      </c>
      <c r="J2949">
        <v>61</v>
      </c>
      <c r="K2949" t="s">
        <v>84</v>
      </c>
      <c r="L2949" t="s">
        <v>85</v>
      </c>
      <c r="M2949" t="s">
        <v>86</v>
      </c>
      <c r="N2949">
        <v>1</v>
      </c>
      <c r="O2949" s="1">
        <v>44223.627754629626</v>
      </c>
      <c r="P2949" s="1">
        <v>44223.628819444442</v>
      </c>
      <c r="Q2949">
        <v>1</v>
      </c>
      <c r="R2949">
        <v>91</v>
      </c>
      <c r="S2949" t="b">
        <v>0</v>
      </c>
      <c r="T2949" t="s">
        <v>87</v>
      </c>
      <c r="U2949" t="b">
        <v>0</v>
      </c>
      <c r="V2949" t="s">
        <v>171</v>
      </c>
      <c r="W2949" s="1">
        <v>44223.628819444442</v>
      </c>
      <c r="X2949">
        <v>91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61</v>
      </c>
      <c r="AE2949">
        <v>57</v>
      </c>
      <c r="AF2949">
        <v>0</v>
      </c>
      <c r="AG2949">
        <v>2</v>
      </c>
      <c r="AH2949" t="s">
        <v>87</v>
      </c>
      <c r="AI2949" t="s">
        <v>87</v>
      </c>
      <c r="AJ2949" t="s">
        <v>87</v>
      </c>
      <c r="AK2949" t="s">
        <v>87</v>
      </c>
      <c r="AL2949" t="s">
        <v>87</v>
      </c>
      <c r="AM2949" t="s">
        <v>87</v>
      </c>
      <c r="AN2949" t="s">
        <v>87</v>
      </c>
      <c r="AO2949" t="s">
        <v>87</v>
      </c>
      <c r="AP2949" t="s">
        <v>87</v>
      </c>
      <c r="AQ2949" t="s">
        <v>87</v>
      </c>
      <c r="AR2949" t="s">
        <v>87</v>
      </c>
      <c r="AS2949" t="s">
        <v>87</v>
      </c>
      <c r="AT2949" t="s">
        <v>87</v>
      </c>
      <c r="AU2949" t="s">
        <v>87</v>
      </c>
      <c r="AV2949" t="s">
        <v>87</v>
      </c>
      <c r="AW2949" t="s">
        <v>87</v>
      </c>
      <c r="AX2949" t="s">
        <v>87</v>
      </c>
      <c r="AY2949" t="s">
        <v>87</v>
      </c>
      <c r="AZ2949" t="s">
        <v>87</v>
      </c>
      <c r="BA2949" t="s">
        <v>87</v>
      </c>
      <c r="BB2949" t="s">
        <v>87</v>
      </c>
      <c r="BC2949" t="s">
        <v>87</v>
      </c>
      <c r="BD2949" t="s">
        <v>87</v>
      </c>
      <c r="BE2949" t="s">
        <v>87</v>
      </c>
    </row>
    <row r="2950" spans="1:57" x14ac:dyDescent="0.45">
      <c r="A2950" t="s">
        <v>6990</v>
      </c>
      <c r="B2950" t="s">
        <v>79</v>
      </c>
      <c r="C2950" t="s">
        <v>5989</v>
      </c>
      <c r="D2950" t="s">
        <v>81</v>
      </c>
      <c r="E2950" s="2" t="str">
        <f>HYPERLINK("capsilon://?command=openfolder&amp;siteaddress=FAM.docvelocity-na8.net&amp;folderid=FXBBE62192-267C-F7F6-D457-9951AD5406EC","FX2012393")</f>
        <v>FX2012393</v>
      </c>
      <c r="F2950" t="s">
        <v>19</v>
      </c>
      <c r="G2950" t="s">
        <v>19</v>
      </c>
      <c r="H2950" t="s">
        <v>82</v>
      </c>
      <c r="I2950" t="s">
        <v>6991</v>
      </c>
      <c r="J2950">
        <v>66</v>
      </c>
      <c r="K2950" t="s">
        <v>84</v>
      </c>
      <c r="L2950" t="s">
        <v>85</v>
      </c>
      <c r="M2950" t="s">
        <v>86</v>
      </c>
      <c r="N2950">
        <v>3</v>
      </c>
      <c r="O2950" s="1">
        <v>44223.627847222226</v>
      </c>
      <c r="P2950" s="1">
        <v>44223.636655092596</v>
      </c>
      <c r="Q2950">
        <v>245</v>
      </c>
      <c r="R2950">
        <v>516</v>
      </c>
      <c r="S2950" t="b">
        <v>0</v>
      </c>
      <c r="T2950" t="s">
        <v>87</v>
      </c>
      <c r="U2950" t="b">
        <v>0</v>
      </c>
      <c r="V2950" t="s">
        <v>255</v>
      </c>
      <c r="W2950" s="1">
        <v>44223.633020833331</v>
      </c>
      <c r="X2950">
        <v>436</v>
      </c>
      <c r="Y2950">
        <v>52</v>
      </c>
      <c r="Z2950">
        <v>0</v>
      </c>
      <c r="AA2950">
        <v>52</v>
      </c>
      <c r="AB2950">
        <v>0</v>
      </c>
      <c r="AC2950">
        <v>10</v>
      </c>
      <c r="AD2950">
        <v>14</v>
      </c>
      <c r="AE2950">
        <v>0</v>
      </c>
      <c r="AF2950">
        <v>0</v>
      </c>
      <c r="AG2950">
        <v>0</v>
      </c>
      <c r="AH2950" t="s">
        <v>132</v>
      </c>
      <c r="AI2950" s="1">
        <v>44223.635740740741</v>
      </c>
      <c r="AJ2950">
        <v>61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14</v>
      </c>
      <c r="AQ2950">
        <v>0</v>
      </c>
      <c r="AR2950">
        <v>0</v>
      </c>
      <c r="AS2950">
        <v>0</v>
      </c>
      <c r="AT2950" t="s">
        <v>90</v>
      </c>
      <c r="AU2950" s="1">
        <v>44223.636655092596</v>
      </c>
      <c r="AV2950">
        <v>19</v>
      </c>
      <c r="AW2950">
        <v>1</v>
      </c>
      <c r="AX2950">
        <v>0</v>
      </c>
      <c r="AY2950">
        <v>1</v>
      </c>
      <c r="AZ2950">
        <v>0</v>
      </c>
      <c r="BA2950">
        <v>1</v>
      </c>
      <c r="BB2950">
        <v>13</v>
      </c>
      <c r="BC2950">
        <v>0</v>
      </c>
      <c r="BD2950">
        <v>0</v>
      </c>
      <c r="BE2950">
        <v>0</v>
      </c>
    </row>
    <row r="2951" spans="1:57" x14ac:dyDescent="0.45">
      <c r="A2951" t="s">
        <v>6992</v>
      </c>
      <c r="B2951" t="s">
        <v>79</v>
      </c>
      <c r="C2951" t="s">
        <v>4133</v>
      </c>
      <c r="D2951" t="s">
        <v>81</v>
      </c>
      <c r="E2951" s="2" t="str">
        <f>HYPERLINK("capsilon://?command=openfolder&amp;siteaddress=FAM.docvelocity-na8.net&amp;folderid=FXE11191F6-99F3-A1F5-58D8-8B3285AAF28E","FX20123668")</f>
        <v>FX20123668</v>
      </c>
      <c r="F2951" t="s">
        <v>19</v>
      </c>
      <c r="G2951" t="s">
        <v>19</v>
      </c>
      <c r="H2951" t="s">
        <v>82</v>
      </c>
      <c r="I2951" t="s">
        <v>6989</v>
      </c>
      <c r="J2951">
        <v>117</v>
      </c>
      <c r="K2951" t="s">
        <v>84</v>
      </c>
      <c r="L2951" t="s">
        <v>85</v>
      </c>
      <c r="M2951" t="s">
        <v>86</v>
      </c>
      <c r="N2951">
        <v>3</v>
      </c>
      <c r="O2951" s="1">
        <v>44223.629861111112</v>
      </c>
      <c r="P2951" s="1">
        <v>44223.661805555559</v>
      </c>
      <c r="Q2951">
        <v>1106</v>
      </c>
      <c r="R2951">
        <v>1654</v>
      </c>
      <c r="S2951" t="b">
        <v>0</v>
      </c>
      <c r="T2951" t="s">
        <v>87</v>
      </c>
      <c r="U2951" t="b">
        <v>1</v>
      </c>
      <c r="V2951" t="s">
        <v>171</v>
      </c>
      <c r="W2951" s="1">
        <v>44223.646956018521</v>
      </c>
      <c r="X2951">
        <v>1476</v>
      </c>
      <c r="Y2951">
        <v>103</v>
      </c>
      <c r="Z2951">
        <v>0</v>
      </c>
      <c r="AA2951">
        <v>103</v>
      </c>
      <c r="AB2951">
        <v>0</v>
      </c>
      <c r="AC2951">
        <v>80</v>
      </c>
      <c r="AD2951">
        <v>14</v>
      </c>
      <c r="AE2951">
        <v>0</v>
      </c>
      <c r="AF2951">
        <v>0</v>
      </c>
      <c r="AG2951">
        <v>0</v>
      </c>
      <c r="AH2951" t="s">
        <v>132</v>
      </c>
      <c r="AI2951" s="1">
        <v>44223.652141203704</v>
      </c>
      <c r="AJ2951">
        <v>150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14</v>
      </c>
      <c r="AQ2951">
        <v>0</v>
      </c>
      <c r="AR2951">
        <v>0</v>
      </c>
      <c r="AS2951">
        <v>0</v>
      </c>
      <c r="AT2951" t="s">
        <v>90</v>
      </c>
      <c r="AU2951" s="1">
        <v>44223.661805555559</v>
      </c>
      <c r="AV2951">
        <v>28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14</v>
      </c>
      <c r="BC2951">
        <v>0</v>
      </c>
      <c r="BD2951">
        <v>0</v>
      </c>
      <c r="BE2951">
        <v>0</v>
      </c>
    </row>
    <row r="2952" spans="1:57" x14ac:dyDescent="0.45">
      <c r="A2952" t="s">
        <v>6993</v>
      </c>
      <c r="B2952" t="s">
        <v>79</v>
      </c>
      <c r="C2952" t="s">
        <v>6307</v>
      </c>
      <c r="D2952" t="s">
        <v>81</v>
      </c>
      <c r="E2952" s="2" t="str">
        <f>HYPERLINK("capsilon://?command=openfolder&amp;siteaddress=FAM.docvelocity-na8.net&amp;folderid=FXFF175AE6-F4BA-87E4-981C-55F6579FE47E","FX210111801")</f>
        <v>FX210111801</v>
      </c>
      <c r="F2952" t="s">
        <v>19</v>
      </c>
      <c r="G2952" t="s">
        <v>19</v>
      </c>
      <c r="H2952" t="s">
        <v>82</v>
      </c>
      <c r="I2952" t="s">
        <v>6994</v>
      </c>
      <c r="J2952">
        <v>38</v>
      </c>
      <c r="K2952" t="s">
        <v>84</v>
      </c>
      <c r="L2952" t="s">
        <v>85</v>
      </c>
      <c r="M2952" t="s">
        <v>86</v>
      </c>
      <c r="N2952">
        <v>3</v>
      </c>
      <c r="O2952" s="1">
        <v>44223.630324074074</v>
      </c>
      <c r="P2952" s="1">
        <v>44223.636967592596</v>
      </c>
      <c r="Q2952">
        <v>179</v>
      </c>
      <c r="R2952">
        <v>395</v>
      </c>
      <c r="S2952" t="b">
        <v>0</v>
      </c>
      <c r="T2952" t="s">
        <v>87</v>
      </c>
      <c r="U2952" t="b">
        <v>0</v>
      </c>
      <c r="V2952" t="s">
        <v>242</v>
      </c>
      <c r="W2952" s="1">
        <v>44223.634143518517</v>
      </c>
      <c r="X2952">
        <v>311</v>
      </c>
      <c r="Y2952">
        <v>37</v>
      </c>
      <c r="Z2952">
        <v>0</v>
      </c>
      <c r="AA2952">
        <v>37</v>
      </c>
      <c r="AB2952">
        <v>0</v>
      </c>
      <c r="AC2952">
        <v>28</v>
      </c>
      <c r="AD2952">
        <v>1</v>
      </c>
      <c r="AE2952">
        <v>0</v>
      </c>
      <c r="AF2952">
        <v>0</v>
      </c>
      <c r="AG2952">
        <v>0</v>
      </c>
      <c r="AH2952" t="s">
        <v>132</v>
      </c>
      <c r="AI2952" s="1">
        <v>44223.636423611111</v>
      </c>
      <c r="AJ2952">
        <v>58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</v>
      </c>
      <c r="AQ2952">
        <v>0</v>
      </c>
      <c r="AR2952">
        <v>0</v>
      </c>
      <c r="AS2952">
        <v>0</v>
      </c>
      <c r="AT2952" t="s">
        <v>90</v>
      </c>
      <c r="AU2952" s="1">
        <v>44223.636967592596</v>
      </c>
      <c r="AV2952">
        <v>26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1</v>
      </c>
      <c r="BC2952">
        <v>0</v>
      </c>
      <c r="BD2952">
        <v>0</v>
      </c>
      <c r="BE2952">
        <v>0</v>
      </c>
    </row>
    <row r="2953" spans="1:57" x14ac:dyDescent="0.45">
      <c r="A2953" t="s">
        <v>6995</v>
      </c>
      <c r="B2953" t="s">
        <v>79</v>
      </c>
      <c r="C2953" t="s">
        <v>1444</v>
      </c>
      <c r="D2953" t="s">
        <v>81</v>
      </c>
      <c r="E2953" s="2" t="str">
        <f>HYPERLINK("capsilon://?command=openfolder&amp;siteaddress=FAM.docvelocity-na8.net&amp;folderid=FXCD375171-C161-661C-D49F-7325BC377B46","FX20122717")</f>
        <v>FX20122717</v>
      </c>
      <c r="F2953" t="s">
        <v>19</v>
      </c>
      <c r="G2953" t="s">
        <v>19</v>
      </c>
      <c r="H2953" t="s">
        <v>82</v>
      </c>
      <c r="I2953" t="s">
        <v>6996</v>
      </c>
      <c r="J2953">
        <v>66</v>
      </c>
      <c r="K2953" t="s">
        <v>84</v>
      </c>
      <c r="L2953" t="s">
        <v>85</v>
      </c>
      <c r="M2953" t="s">
        <v>86</v>
      </c>
      <c r="N2953">
        <v>3</v>
      </c>
      <c r="O2953" s="1">
        <v>44223.641724537039</v>
      </c>
      <c r="P2953" s="1">
        <v>44223.662199074075</v>
      </c>
      <c r="Q2953">
        <v>1694</v>
      </c>
      <c r="R2953">
        <v>75</v>
      </c>
      <c r="S2953" t="b">
        <v>0</v>
      </c>
      <c r="T2953" t="s">
        <v>87</v>
      </c>
      <c r="U2953" t="b">
        <v>0</v>
      </c>
      <c r="V2953" t="s">
        <v>160</v>
      </c>
      <c r="W2953" s="1">
        <v>44223.642442129632</v>
      </c>
      <c r="X2953">
        <v>62</v>
      </c>
      <c r="Y2953">
        <v>52</v>
      </c>
      <c r="Z2953">
        <v>0</v>
      </c>
      <c r="AA2953">
        <v>52</v>
      </c>
      <c r="AB2953">
        <v>52</v>
      </c>
      <c r="AC2953">
        <v>0</v>
      </c>
      <c r="AD2953">
        <v>14</v>
      </c>
      <c r="AE2953">
        <v>0</v>
      </c>
      <c r="AF2953">
        <v>0</v>
      </c>
      <c r="AG2953">
        <v>0</v>
      </c>
      <c r="AH2953" t="s">
        <v>128</v>
      </c>
      <c r="AI2953" s="1">
        <v>44223.642962962964</v>
      </c>
      <c r="AJ2953">
        <v>10</v>
      </c>
      <c r="AK2953">
        <v>0</v>
      </c>
      <c r="AL2953">
        <v>0</v>
      </c>
      <c r="AM2953">
        <v>0</v>
      </c>
      <c r="AN2953">
        <v>52</v>
      </c>
      <c r="AO2953">
        <v>0</v>
      </c>
      <c r="AP2953">
        <v>14</v>
      </c>
      <c r="AQ2953">
        <v>0</v>
      </c>
      <c r="AR2953">
        <v>0</v>
      </c>
      <c r="AS2953">
        <v>0</v>
      </c>
      <c r="AT2953" t="s">
        <v>90</v>
      </c>
      <c r="AU2953" s="1">
        <v>44223.662199074075</v>
      </c>
      <c r="AV2953">
        <v>3</v>
      </c>
      <c r="AW2953">
        <v>0</v>
      </c>
      <c r="AX2953">
        <v>0</v>
      </c>
      <c r="AY2953">
        <v>0</v>
      </c>
      <c r="AZ2953">
        <v>52</v>
      </c>
      <c r="BA2953">
        <v>0</v>
      </c>
      <c r="BB2953">
        <v>14</v>
      </c>
      <c r="BC2953">
        <v>0</v>
      </c>
      <c r="BD2953">
        <v>0</v>
      </c>
      <c r="BE2953">
        <v>0</v>
      </c>
    </row>
    <row r="2954" spans="1:57" x14ac:dyDescent="0.45">
      <c r="A2954" t="s">
        <v>6997</v>
      </c>
      <c r="B2954" t="s">
        <v>79</v>
      </c>
      <c r="C2954" t="s">
        <v>6998</v>
      </c>
      <c r="D2954" t="s">
        <v>81</v>
      </c>
      <c r="E2954" s="2" t="str">
        <f>HYPERLINK("capsilon://?command=openfolder&amp;siteaddress=FAM.docvelocity-na8.net&amp;folderid=FX73203E52-2ACC-F702-C746-834E1C9EE1BD","FX201223393")</f>
        <v>FX201223393</v>
      </c>
      <c r="F2954" t="s">
        <v>19</v>
      </c>
      <c r="G2954" t="s">
        <v>19</v>
      </c>
      <c r="H2954" t="s">
        <v>82</v>
      </c>
      <c r="I2954" t="s">
        <v>6999</v>
      </c>
      <c r="J2954">
        <v>95</v>
      </c>
      <c r="K2954" t="s">
        <v>84</v>
      </c>
      <c r="L2954" t="s">
        <v>85</v>
      </c>
      <c r="M2954" t="s">
        <v>86</v>
      </c>
      <c r="N2954">
        <v>3</v>
      </c>
      <c r="O2954" s="1">
        <v>44223.643750000003</v>
      </c>
      <c r="P2954" s="1">
        <v>44224.345902777779</v>
      </c>
      <c r="Q2954">
        <v>58144</v>
      </c>
      <c r="R2954">
        <v>2522</v>
      </c>
      <c r="S2954" t="b">
        <v>0</v>
      </c>
      <c r="T2954" t="s">
        <v>87</v>
      </c>
      <c r="U2954" t="b">
        <v>0</v>
      </c>
      <c r="V2954" t="s">
        <v>146</v>
      </c>
      <c r="W2954" s="1">
        <v>44223.670451388891</v>
      </c>
      <c r="X2954">
        <v>2306</v>
      </c>
      <c r="Y2954">
        <v>92</v>
      </c>
      <c r="Z2954">
        <v>0</v>
      </c>
      <c r="AA2954">
        <v>92</v>
      </c>
      <c r="AB2954">
        <v>0</v>
      </c>
      <c r="AC2954">
        <v>61</v>
      </c>
      <c r="AD2954">
        <v>3</v>
      </c>
      <c r="AE2954">
        <v>0</v>
      </c>
      <c r="AF2954">
        <v>0</v>
      </c>
      <c r="AG2954">
        <v>0</v>
      </c>
      <c r="AH2954" t="s">
        <v>128</v>
      </c>
      <c r="AI2954" s="1">
        <v>44223.67527777778</v>
      </c>
      <c r="AJ2954">
        <v>194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3</v>
      </c>
      <c r="AQ2954">
        <v>0</v>
      </c>
      <c r="AR2954">
        <v>0</v>
      </c>
      <c r="AS2954">
        <v>0</v>
      </c>
      <c r="AT2954" t="s">
        <v>90</v>
      </c>
      <c r="AU2954" s="1">
        <v>44224.345902777779</v>
      </c>
      <c r="AV2954">
        <v>22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3</v>
      </c>
      <c r="BC2954">
        <v>0</v>
      </c>
      <c r="BD2954">
        <v>0</v>
      </c>
      <c r="BE2954">
        <v>0</v>
      </c>
    </row>
    <row r="2955" spans="1:57" hidden="1" x14ac:dyDescent="0.45">
      <c r="A2955" t="s">
        <v>7000</v>
      </c>
      <c r="B2955" t="s">
        <v>79</v>
      </c>
      <c r="C2955" t="s">
        <v>7001</v>
      </c>
      <c r="D2955" t="s">
        <v>81</v>
      </c>
      <c r="E2955" s="2" t="str">
        <f>HYPERLINK("capsilon://?command=openfolder&amp;siteaddress=FAM.docvelocity-na8.net&amp;folderid=FX306B4328-0483-5689-8CB0-A9AE760A5DC3","FX201224037")</f>
        <v>FX201224037</v>
      </c>
      <c r="F2955" t="s">
        <v>19</v>
      </c>
      <c r="G2955" t="s">
        <v>19</v>
      </c>
      <c r="H2955" t="s">
        <v>82</v>
      </c>
      <c r="I2955" t="s">
        <v>7002</v>
      </c>
      <c r="J2955">
        <v>66</v>
      </c>
      <c r="K2955" t="s">
        <v>84</v>
      </c>
      <c r="L2955" t="s">
        <v>85</v>
      </c>
      <c r="M2955" t="s">
        <v>81</v>
      </c>
      <c r="N2955">
        <v>2</v>
      </c>
      <c r="O2955" s="1">
        <v>44223.646307870367</v>
      </c>
      <c r="P2955" s="1">
        <v>44223.672766203701</v>
      </c>
      <c r="Q2955">
        <v>473</v>
      </c>
      <c r="R2955">
        <v>1813</v>
      </c>
      <c r="S2955" t="b">
        <v>0</v>
      </c>
      <c r="T2955" t="s">
        <v>160</v>
      </c>
      <c r="U2955" t="b">
        <v>0</v>
      </c>
      <c r="V2955" t="s">
        <v>160</v>
      </c>
      <c r="W2955" s="1">
        <v>44223.662037037036</v>
      </c>
      <c r="X2955">
        <v>1359</v>
      </c>
      <c r="Y2955">
        <v>52</v>
      </c>
      <c r="Z2955">
        <v>0</v>
      </c>
      <c r="AA2955">
        <v>52</v>
      </c>
      <c r="AB2955">
        <v>0</v>
      </c>
      <c r="AC2955">
        <v>29</v>
      </c>
      <c r="AD2955">
        <v>14</v>
      </c>
      <c r="AE2955">
        <v>0</v>
      </c>
      <c r="AF2955">
        <v>0</v>
      </c>
      <c r="AG2955">
        <v>0</v>
      </c>
      <c r="AH2955" t="s">
        <v>160</v>
      </c>
      <c r="AI2955" s="1">
        <v>44223.672766203701</v>
      </c>
      <c r="AJ2955">
        <v>75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14</v>
      </c>
      <c r="AQ2955">
        <v>0</v>
      </c>
      <c r="AR2955">
        <v>0</v>
      </c>
      <c r="AS2955">
        <v>1</v>
      </c>
      <c r="AT2955" t="s">
        <v>87</v>
      </c>
      <c r="AU2955" t="s">
        <v>87</v>
      </c>
      <c r="AV2955" t="s">
        <v>87</v>
      </c>
      <c r="AW2955" t="s">
        <v>87</v>
      </c>
      <c r="AX2955" t="s">
        <v>87</v>
      </c>
      <c r="AY2955" t="s">
        <v>87</v>
      </c>
      <c r="AZ2955" t="s">
        <v>87</v>
      </c>
      <c r="BA2955" t="s">
        <v>87</v>
      </c>
      <c r="BB2955" t="s">
        <v>87</v>
      </c>
      <c r="BC2955" t="s">
        <v>87</v>
      </c>
      <c r="BD2955" t="s">
        <v>87</v>
      </c>
      <c r="BE2955" t="s">
        <v>87</v>
      </c>
    </row>
    <row r="2956" spans="1:57" hidden="1" x14ac:dyDescent="0.45">
      <c r="A2956" t="s">
        <v>7003</v>
      </c>
      <c r="B2956" t="s">
        <v>79</v>
      </c>
      <c r="C2956" t="s">
        <v>3528</v>
      </c>
      <c r="D2956" t="s">
        <v>81</v>
      </c>
      <c r="E2956" s="2" t="str">
        <f>HYPERLINK("capsilon://?command=openfolder&amp;siteaddress=FAM.docvelocity-na8.net&amp;folderid=FXF27FFFB8-3CCC-C971-5044-231D54194F84","FX201221995")</f>
        <v>FX201221995</v>
      </c>
      <c r="F2956" t="s">
        <v>19</v>
      </c>
      <c r="G2956" t="s">
        <v>19</v>
      </c>
      <c r="H2956" t="s">
        <v>82</v>
      </c>
      <c r="I2956" t="s">
        <v>7004</v>
      </c>
      <c r="J2956">
        <v>66</v>
      </c>
      <c r="K2956" t="s">
        <v>84</v>
      </c>
      <c r="L2956" t="s">
        <v>85</v>
      </c>
      <c r="M2956" t="s">
        <v>86</v>
      </c>
      <c r="N2956">
        <v>3</v>
      </c>
      <c r="O2956" s="1">
        <v>44223.650370370371</v>
      </c>
      <c r="P2956" s="1">
        <v>44223.662245370368</v>
      </c>
      <c r="Q2956">
        <v>980</v>
      </c>
      <c r="R2956">
        <v>46</v>
      </c>
      <c r="S2956" t="b">
        <v>0</v>
      </c>
      <c r="T2956" t="s">
        <v>87</v>
      </c>
      <c r="U2956" t="b">
        <v>0</v>
      </c>
      <c r="V2956" t="s">
        <v>171</v>
      </c>
      <c r="W2956" s="1">
        <v>44223.650752314818</v>
      </c>
      <c r="X2956">
        <v>32</v>
      </c>
      <c r="Y2956">
        <v>0</v>
      </c>
      <c r="Z2956">
        <v>0</v>
      </c>
      <c r="AA2956">
        <v>0</v>
      </c>
      <c r="AB2956">
        <v>52</v>
      </c>
      <c r="AC2956">
        <v>0</v>
      </c>
      <c r="AD2956">
        <v>66</v>
      </c>
      <c r="AE2956">
        <v>0</v>
      </c>
      <c r="AF2956">
        <v>0</v>
      </c>
      <c r="AG2956">
        <v>0</v>
      </c>
      <c r="AH2956" t="s">
        <v>128</v>
      </c>
      <c r="AI2956" s="1">
        <v>44223.651516203703</v>
      </c>
      <c r="AJ2956">
        <v>11</v>
      </c>
      <c r="AK2956">
        <v>0</v>
      </c>
      <c r="AL2956">
        <v>0</v>
      </c>
      <c r="AM2956">
        <v>0</v>
      </c>
      <c r="AN2956">
        <v>52</v>
      </c>
      <c r="AO2956">
        <v>0</v>
      </c>
      <c r="AP2956">
        <v>66</v>
      </c>
      <c r="AQ2956">
        <v>0</v>
      </c>
      <c r="AR2956">
        <v>0</v>
      </c>
      <c r="AS2956">
        <v>0</v>
      </c>
      <c r="AT2956" t="s">
        <v>90</v>
      </c>
      <c r="AU2956" s="1">
        <v>44223.662245370368</v>
      </c>
      <c r="AV2956">
        <v>3</v>
      </c>
      <c r="AW2956">
        <v>0</v>
      </c>
      <c r="AX2956">
        <v>0</v>
      </c>
      <c r="AY2956">
        <v>0</v>
      </c>
      <c r="AZ2956">
        <v>52</v>
      </c>
      <c r="BA2956">
        <v>0</v>
      </c>
      <c r="BB2956">
        <v>66</v>
      </c>
      <c r="BC2956">
        <v>0</v>
      </c>
      <c r="BD2956">
        <v>0</v>
      </c>
      <c r="BE2956">
        <v>0</v>
      </c>
    </row>
    <row r="2957" spans="1:57" x14ac:dyDescent="0.45">
      <c r="A2957" t="s">
        <v>7005</v>
      </c>
      <c r="B2957" t="s">
        <v>79</v>
      </c>
      <c r="C2957" t="s">
        <v>7006</v>
      </c>
      <c r="D2957" t="s">
        <v>81</v>
      </c>
      <c r="E2957" s="2" t="str">
        <f>HYPERLINK("capsilon://?command=openfolder&amp;siteaddress=FAM.docvelocity-na8.net&amp;folderid=FX1EA04EA9-67C3-2513-E491-CB3515AB3E56","FX210117288")</f>
        <v>FX210117288</v>
      </c>
      <c r="F2957" t="s">
        <v>19</v>
      </c>
      <c r="G2957" t="s">
        <v>19</v>
      </c>
      <c r="H2957" t="s">
        <v>82</v>
      </c>
      <c r="I2957" t="s">
        <v>7007</v>
      </c>
      <c r="J2957">
        <v>38</v>
      </c>
      <c r="K2957" t="s">
        <v>84</v>
      </c>
      <c r="L2957" t="s">
        <v>85</v>
      </c>
      <c r="M2957" t="s">
        <v>86</v>
      </c>
      <c r="N2957">
        <v>3</v>
      </c>
      <c r="O2957" s="1">
        <v>44223.654537037037</v>
      </c>
      <c r="P2957" s="1">
        <v>44224.345972222225</v>
      </c>
      <c r="Q2957">
        <v>58930</v>
      </c>
      <c r="R2957">
        <v>810</v>
      </c>
      <c r="S2957" t="b">
        <v>0</v>
      </c>
      <c r="T2957" t="s">
        <v>87</v>
      </c>
      <c r="U2957" t="b">
        <v>0</v>
      </c>
      <c r="V2957" t="s">
        <v>171</v>
      </c>
      <c r="W2957" s="1">
        <v>44223.663194444445</v>
      </c>
      <c r="X2957">
        <v>747</v>
      </c>
      <c r="Y2957">
        <v>37</v>
      </c>
      <c r="Z2957">
        <v>0</v>
      </c>
      <c r="AA2957">
        <v>37</v>
      </c>
      <c r="AB2957">
        <v>0</v>
      </c>
      <c r="AC2957">
        <v>11</v>
      </c>
      <c r="AD2957">
        <v>1</v>
      </c>
      <c r="AE2957">
        <v>0</v>
      </c>
      <c r="AF2957">
        <v>0</v>
      </c>
      <c r="AG2957">
        <v>0</v>
      </c>
      <c r="AH2957" t="s">
        <v>132</v>
      </c>
      <c r="AI2957" s="1">
        <v>44223.669050925928</v>
      </c>
      <c r="AJ2957">
        <v>58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</v>
      </c>
      <c r="AQ2957">
        <v>0</v>
      </c>
      <c r="AR2957">
        <v>0</v>
      </c>
      <c r="AS2957">
        <v>0</v>
      </c>
      <c r="AT2957" t="s">
        <v>90</v>
      </c>
      <c r="AU2957" s="1">
        <v>44224.345972222225</v>
      </c>
      <c r="AV2957">
        <v>5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1</v>
      </c>
      <c r="BC2957">
        <v>0</v>
      </c>
      <c r="BD2957">
        <v>0</v>
      </c>
      <c r="BE2957">
        <v>0</v>
      </c>
    </row>
    <row r="2958" spans="1:57" x14ac:dyDescent="0.45">
      <c r="A2958" t="s">
        <v>7008</v>
      </c>
      <c r="B2958" t="s">
        <v>79</v>
      </c>
      <c r="C2958" t="s">
        <v>1650</v>
      </c>
      <c r="D2958" t="s">
        <v>81</v>
      </c>
      <c r="E2958" s="2" t="str">
        <f>HYPERLINK("capsilon://?command=openfolder&amp;siteaddress=FAM.docvelocity-na8.net&amp;folderid=FXD1021952-5342-7918-299A-C355D9CBC097","FX201227427")</f>
        <v>FX201227427</v>
      </c>
      <c r="F2958" t="s">
        <v>19</v>
      </c>
      <c r="G2958" t="s">
        <v>19</v>
      </c>
      <c r="H2958" t="s">
        <v>82</v>
      </c>
      <c r="I2958" t="s">
        <v>7009</v>
      </c>
      <c r="J2958">
        <v>38</v>
      </c>
      <c r="K2958" t="s">
        <v>84</v>
      </c>
      <c r="L2958" t="s">
        <v>85</v>
      </c>
      <c r="M2958" t="s">
        <v>86</v>
      </c>
      <c r="N2958">
        <v>3</v>
      </c>
      <c r="O2958" s="1">
        <v>44223.659861111111</v>
      </c>
      <c r="P2958" s="1">
        <v>44224.346064814818</v>
      </c>
      <c r="Q2958">
        <v>58530</v>
      </c>
      <c r="R2958">
        <v>758</v>
      </c>
      <c r="S2958" t="b">
        <v>0</v>
      </c>
      <c r="T2958" t="s">
        <v>87</v>
      </c>
      <c r="U2958" t="b">
        <v>0</v>
      </c>
      <c r="V2958" t="s">
        <v>142</v>
      </c>
      <c r="W2958" s="1">
        <v>44223.667812500003</v>
      </c>
      <c r="X2958">
        <v>686</v>
      </c>
      <c r="Y2958">
        <v>37</v>
      </c>
      <c r="Z2958">
        <v>0</v>
      </c>
      <c r="AA2958">
        <v>37</v>
      </c>
      <c r="AB2958">
        <v>0</v>
      </c>
      <c r="AC2958">
        <v>34</v>
      </c>
      <c r="AD2958">
        <v>1</v>
      </c>
      <c r="AE2958">
        <v>0</v>
      </c>
      <c r="AF2958">
        <v>0</v>
      </c>
      <c r="AG2958">
        <v>0</v>
      </c>
      <c r="AH2958" t="s">
        <v>132</v>
      </c>
      <c r="AI2958" s="1">
        <v>44223.669803240744</v>
      </c>
      <c r="AJ2958">
        <v>64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</v>
      </c>
      <c r="AQ2958">
        <v>0</v>
      </c>
      <c r="AR2958">
        <v>0</v>
      </c>
      <c r="AS2958">
        <v>0</v>
      </c>
      <c r="AT2958" t="s">
        <v>90</v>
      </c>
      <c r="AU2958" s="1">
        <v>44224.346064814818</v>
      </c>
      <c r="AV2958">
        <v>8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0</v>
      </c>
      <c r="BE2958">
        <v>0</v>
      </c>
    </row>
    <row r="2959" spans="1:57" x14ac:dyDescent="0.45">
      <c r="A2959" t="s">
        <v>7010</v>
      </c>
      <c r="B2959" t="s">
        <v>79</v>
      </c>
      <c r="C2959" t="s">
        <v>7011</v>
      </c>
      <c r="D2959" t="s">
        <v>81</v>
      </c>
      <c r="E2959" s="2" t="str">
        <f>HYPERLINK("capsilon://?command=openfolder&amp;siteaddress=FAM.docvelocity-na8.net&amp;folderid=FX90192541-3BD8-72A9-440E-979C9BA0761C","FX210117306")</f>
        <v>FX210117306</v>
      </c>
      <c r="F2959" t="s">
        <v>19</v>
      </c>
      <c r="G2959" t="s">
        <v>19</v>
      </c>
      <c r="H2959" t="s">
        <v>82</v>
      </c>
      <c r="I2959" t="s">
        <v>7012</v>
      </c>
      <c r="J2959">
        <v>123</v>
      </c>
      <c r="K2959" t="s">
        <v>84</v>
      </c>
      <c r="L2959" t="s">
        <v>85</v>
      </c>
      <c r="M2959" t="s">
        <v>86</v>
      </c>
      <c r="N2959">
        <v>3</v>
      </c>
      <c r="O2959" s="1">
        <v>44223.660995370374</v>
      </c>
      <c r="P2959" s="1">
        <v>44224.346990740742</v>
      </c>
      <c r="Q2959">
        <v>55733</v>
      </c>
      <c r="R2959">
        <v>3537</v>
      </c>
      <c r="S2959" t="b">
        <v>0</v>
      </c>
      <c r="T2959" t="s">
        <v>87</v>
      </c>
      <c r="U2959" t="b">
        <v>0</v>
      </c>
      <c r="V2959" t="s">
        <v>168</v>
      </c>
      <c r="W2959" s="1">
        <v>44223.696736111109</v>
      </c>
      <c r="X2959">
        <v>3087</v>
      </c>
      <c r="Y2959">
        <v>114</v>
      </c>
      <c r="Z2959">
        <v>0</v>
      </c>
      <c r="AA2959">
        <v>114</v>
      </c>
      <c r="AB2959">
        <v>0</v>
      </c>
      <c r="AC2959">
        <v>98</v>
      </c>
      <c r="AD2959">
        <v>9</v>
      </c>
      <c r="AE2959">
        <v>0</v>
      </c>
      <c r="AF2959">
        <v>0</v>
      </c>
      <c r="AG2959">
        <v>0</v>
      </c>
      <c r="AH2959" t="s">
        <v>128</v>
      </c>
      <c r="AI2959" s="1">
        <v>44223.713182870371</v>
      </c>
      <c r="AJ2959">
        <v>371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9</v>
      </c>
      <c r="AQ2959">
        <v>0</v>
      </c>
      <c r="AR2959">
        <v>0</v>
      </c>
      <c r="AS2959">
        <v>0</v>
      </c>
      <c r="AT2959" t="s">
        <v>90</v>
      </c>
      <c r="AU2959" s="1">
        <v>44224.346990740742</v>
      </c>
      <c r="AV2959">
        <v>79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9</v>
      </c>
      <c r="BC2959">
        <v>0</v>
      </c>
      <c r="BD2959">
        <v>0</v>
      </c>
      <c r="BE2959">
        <v>0</v>
      </c>
    </row>
    <row r="2960" spans="1:57" hidden="1" x14ac:dyDescent="0.45">
      <c r="A2960" t="s">
        <v>7013</v>
      </c>
      <c r="B2960" t="s">
        <v>79</v>
      </c>
      <c r="C2960" t="s">
        <v>4015</v>
      </c>
      <c r="D2960" t="s">
        <v>81</v>
      </c>
      <c r="E2960" s="2" t="str">
        <f>HYPERLINK("capsilon://?command=openfolder&amp;siteaddress=FAM.docvelocity-na8.net&amp;folderid=FXC599969E-B46C-7D4D-6430-002D96AD96B5","FX20124242")</f>
        <v>FX20124242</v>
      </c>
      <c r="F2960" t="s">
        <v>19</v>
      </c>
      <c r="G2960" t="s">
        <v>19</v>
      </c>
      <c r="H2960" t="s">
        <v>82</v>
      </c>
      <c r="I2960" t="s">
        <v>7014</v>
      </c>
      <c r="J2960">
        <v>66</v>
      </c>
      <c r="K2960" t="s">
        <v>84</v>
      </c>
      <c r="L2960" t="s">
        <v>85</v>
      </c>
      <c r="M2960" t="s">
        <v>86</v>
      </c>
      <c r="N2960">
        <v>1</v>
      </c>
      <c r="O2960" s="1">
        <v>44223.667962962965</v>
      </c>
      <c r="P2960" s="1">
        <v>44223.669479166667</v>
      </c>
      <c r="Q2960">
        <v>106</v>
      </c>
      <c r="R2960">
        <v>25</v>
      </c>
      <c r="S2960" t="b">
        <v>0</v>
      </c>
      <c r="T2960" t="s">
        <v>87</v>
      </c>
      <c r="U2960" t="b">
        <v>0</v>
      </c>
      <c r="V2960" t="s">
        <v>171</v>
      </c>
      <c r="W2960" s="1">
        <v>44223.669479166667</v>
      </c>
      <c r="X2960">
        <v>11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66</v>
      </c>
      <c r="AE2960">
        <v>0</v>
      </c>
      <c r="AF2960">
        <v>0</v>
      </c>
      <c r="AG2960">
        <v>1</v>
      </c>
      <c r="AH2960" t="s">
        <v>87</v>
      </c>
      <c r="AI2960" t="s">
        <v>87</v>
      </c>
      <c r="AJ2960" t="s">
        <v>87</v>
      </c>
      <c r="AK2960" t="s">
        <v>87</v>
      </c>
      <c r="AL2960" t="s">
        <v>87</v>
      </c>
      <c r="AM2960" t="s">
        <v>87</v>
      </c>
      <c r="AN2960" t="s">
        <v>87</v>
      </c>
      <c r="AO2960" t="s">
        <v>87</v>
      </c>
      <c r="AP2960" t="s">
        <v>87</v>
      </c>
      <c r="AQ2960" t="s">
        <v>87</v>
      </c>
      <c r="AR2960" t="s">
        <v>87</v>
      </c>
      <c r="AS2960" t="s">
        <v>87</v>
      </c>
      <c r="AT2960" t="s">
        <v>87</v>
      </c>
      <c r="AU2960" t="s">
        <v>87</v>
      </c>
      <c r="AV2960" t="s">
        <v>87</v>
      </c>
      <c r="AW2960" t="s">
        <v>87</v>
      </c>
      <c r="AX2960" t="s">
        <v>87</v>
      </c>
      <c r="AY2960" t="s">
        <v>87</v>
      </c>
      <c r="AZ2960" t="s">
        <v>87</v>
      </c>
      <c r="BA2960" t="s">
        <v>87</v>
      </c>
      <c r="BB2960" t="s">
        <v>87</v>
      </c>
      <c r="BC2960" t="s">
        <v>87</v>
      </c>
      <c r="BD2960" t="s">
        <v>87</v>
      </c>
      <c r="BE2960" t="s">
        <v>87</v>
      </c>
    </row>
    <row r="2961" spans="1:57" x14ac:dyDescent="0.45">
      <c r="A2961" t="s">
        <v>7015</v>
      </c>
      <c r="B2961" t="s">
        <v>79</v>
      </c>
      <c r="C2961" t="s">
        <v>4015</v>
      </c>
      <c r="D2961" t="s">
        <v>81</v>
      </c>
      <c r="E2961" s="2" t="str">
        <f>HYPERLINK("capsilon://?command=openfolder&amp;siteaddress=FAM.docvelocity-na8.net&amp;folderid=FXC599969E-B46C-7D4D-6430-002D96AD96B5","FX20124242")</f>
        <v>FX20124242</v>
      </c>
      <c r="F2961" t="s">
        <v>19</v>
      </c>
      <c r="G2961" t="s">
        <v>19</v>
      </c>
      <c r="H2961" t="s">
        <v>82</v>
      </c>
      <c r="I2961" t="s">
        <v>7014</v>
      </c>
      <c r="J2961">
        <v>38</v>
      </c>
      <c r="K2961" t="s">
        <v>84</v>
      </c>
      <c r="L2961" t="s">
        <v>85</v>
      </c>
      <c r="M2961" t="s">
        <v>86</v>
      </c>
      <c r="N2961">
        <v>3</v>
      </c>
      <c r="O2961" s="1">
        <v>44223.669756944444</v>
      </c>
      <c r="P2961" s="1">
        <v>44224.340833333335</v>
      </c>
      <c r="Q2961">
        <v>57096</v>
      </c>
      <c r="R2961">
        <v>885</v>
      </c>
      <c r="S2961" t="b">
        <v>0</v>
      </c>
      <c r="T2961" t="s">
        <v>87</v>
      </c>
      <c r="U2961" t="b">
        <v>1</v>
      </c>
      <c r="V2961" t="s">
        <v>171</v>
      </c>
      <c r="W2961" s="1">
        <v>44223.679120370369</v>
      </c>
      <c r="X2961">
        <v>808</v>
      </c>
      <c r="Y2961">
        <v>37</v>
      </c>
      <c r="Z2961">
        <v>0</v>
      </c>
      <c r="AA2961">
        <v>37</v>
      </c>
      <c r="AB2961">
        <v>0</v>
      </c>
      <c r="AC2961">
        <v>28</v>
      </c>
      <c r="AD2961">
        <v>1</v>
      </c>
      <c r="AE2961">
        <v>0</v>
      </c>
      <c r="AF2961">
        <v>0</v>
      </c>
      <c r="AG2961">
        <v>0</v>
      </c>
      <c r="AH2961" t="s">
        <v>132</v>
      </c>
      <c r="AI2961" s="1">
        <v>44223.681018518517</v>
      </c>
      <c r="AJ2961">
        <v>57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1</v>
      </c>
      <c r="AQ2961">
        <v>0</v>
      </c>
      <c r="AR2961">
        <v>0</v>
      </c>
      <c r="AS2961">
        <v>0</v>
      </c>
      <c r="AT2961" t="s">
        <v>90</v>
      </c>
      <c r="AU2961" s="1">
        <v>44224.340833333335</v>
      </c>
      <c r="AV2961">
        <v>9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1</v>
      </c>
      <c r="BC2961">
        <v>0</v>
      </c>
      <c r="BD2961">
        <v>0</v>
      </c>
      <c r="BE2961">
        <v>0</v>
      </c>
    </row>
    <row r="2962" spans="1:57" x14ac:dyDescent="0.45">
      <c r="A2962" t="s">
        <v>7016</v>
      </c>
      <c r="B2962" t="s">
        <v>79</v>
      </c>
      <c r="C2962" t="s">
        <v>5279</v>
      </c>
      <c r="D2962" t="s">
        <v>81</v>
      </c>
      <c r="E2962" s="2" t="str">
        <f>HYPERLINK("capsilon://?command=openfolder&amp;siteaddress=FAM.docvelocity-na8.net&amp;folderid=FXF438E867-25E0-0C43-4D27-9F203F760BD9","FX21011273")</f>
        <v>FX21011273</v>
      </c>
      <c r="F2962" t="s">
        <v>19</v>
      </c>
      <c r="G2962" t="s">
        <v>19</v>
      </c>
      <c r="H2962" t="s">
        <v>82</v>
      </c>
      <c r="I2962" t="s">
        <v>7017</v>
      </c>
      <c r="J2962">
        <v>197</v>
      </c>
      <c r="K2962" t="s">
        <v>84</v>
      </c>
      <c r="L2962" t="s">
        <v>85</v>
      </c>
      <c r="M2962" t="s">
        <v>86</v>
      </c>
      <c r="N2962">
        <v>3</v>
      </c>
      <c r="O2962" s="1">
        <v>44201.688125000001</v>
      </c>
      <c r="P2962" s="1">
        <v>44202.352210648147</v>
      </c>
      <c r="Q2962">
        <v>54377</v>
      </c>
      <c r="R2962">
        <v>3000</v>
      </c>
      <c r="S2962" t="b">
        <v>0</v>
      </c>
      <c r="T2962" t="s">
        <v>87</v>
      </c>
      <c r="U2962" t="b">
        <v>0</v>
      </c>
      <c r="V2962" t="s">
        <v>179</v>
      </c>
      <c r="W2962" s="1">
        <v>44201.716423611113</v>
      </c>
      <c r="X2962">
        <v>2418</v>
      </c>
      <c r="Y2962">
        <v>176</v>
      </c>
      <c r="Z2962">
        <v>0</v>
      </c>
      <c r="AA2962">
        <v>176</v>
      </c>
      <c r="AB2962">
        <v>0</v>
      </c>
      <c r="AC2962">
        <v>86</v>
      </c>
      <c r="AD2962">
        <v>21</v>
      </c>
      <c r="AE2962">
        <v>0</v>
      </c>
      <c r="AF2962">
        <v>0</v>
      </c>
      <c r="AG2962">
        <v>0</v>
      </c>
      <c r="AH2962" t="s">
        <v>128</v>
      </c>
      <c r="AI2962" s="1">
        <v>44201.72929398148</v>
      </c>
      <c r="AJ2962">
        <v>545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21</v>
      </c>
      <c r="AQ2962">
        <v>0</v>
      </c>
      <c r="AR2962">
        <v>0</v>
      </c>
      <c r="AS2962">
        <v>0</v>
      </c>
      <c r="AT2962" t="s">
        <v>90</v>
      </c>
      <c r="AU2962" s="1">
        <v>44202.352210648147</v>
      </c>
      <c r="AV2962">
        <v>37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21</v>
      </c>
      <c r="BC2962">
        <v>0</v>
      </c>
      <c r="BD2962">
        <v>0</v>
      </c>
      <c r="BE2962">
        <v>0</v>
      </c>
    </row>
    <row r="2963" spans="1:57" x14ac:dyDescent="0.45">
      <c r="A2963" t="s">
        <v>7018</v>
      </c>
      <c r="B2963" t="s">
        <v>79</v>
      </c>
      <c r="C2963" t="s">
        <v>7019</v>
      </c>
      <c r="D2963" t="s">
        <v>81</v>
      </c>
      <c r="E2963" s="2" t="str">
        <f>HYPERLINK("capsilon://?command=openfolder&amp;siteaddress=FAM.docvelocity-na8.net&amp;folderid=FX19BEEA71-4437-2560-D812-0D5785BC0507","FX210113731")</f>
        <v>FX210113731</v>
      </c>
      <c r="F2963" t="s">
        <v>19</v>
      </c>
      <c r="G2963" t="s">
        <v>19</v>
      </c>
      <c r="H2963" t="s">
        <v>82</v>
      </c>
      <c r="I2963" t="s">
        <v>7020</v>
      </c>
      <c r="J2963">
        <v>281</v>
      </c>
      <c r="K2963" t="s">
        <v>84</v>
      </c>
      <c r="L2963" t="s">
        <v>85</v>
      </c>
      <c r="M2963" t="s">
        <v>86</v>
      </c>
      <c r="N2963">
        <v>3</v>
      </c>
      <c r="O2963" s="1">
        <v>44223.672500000001</v>
      </c>
      <c r="P2963" s="1">
        <v>44224.347604166665</v>
      </c>
      <c r="Q2963">
        <v>55368</v>
      </c>
      <c r="R2963">
        <v>2961</v>
      </c>
      <c r="S2963" t="b">
        <v>0</v>
      </c>
      <c r="T2963" t="s">
        <v>87</v>
      </c>
      <c r="U2963" t="b">
        <v>0</v>
      </c>
      <c r="V2963" t="s">
        <v>179</v>
      </c>
      <c r="W2963" s="1">
        <v>44223.700995370367</v>
      </c>
      <c r="X2963">
        <v>2461</v>
      </c>
      <c r="Y2963">
        <v>235</v>
      </c>
      <c r="Z2963">
        <v>0</v>
      </c>
      <c r="AA2963">
        <v>235</v>
      </c>
      <c r="AB2963">
        <v>0</v>
      </c>
      <c r="AC2963">
        <v>104</v>
      </c>
      <c r="AD2963">
        <v>46</v>
      </c>
      <c r="AE2963">
        <v>0</v>
      </c>
      <c r="AF2963">
        <v>0</v>
      </c>
      <c r="AG2963">
        <v>0</v>
      </c>
      <c r="AH2963" t="s">
        <v>128</v>
      </c>
      <c r="AI2963" s="1">
        <v>44223.71837962963</v>
      </c>
      <c r="AJ2963">
        <v>448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46</v>
      </c>
      <c r="AQ2963">
        <v>0</v>
      </c>
      <c r="AR2963">
        <v>0</v>
      </c>
      <c r="AS2963">
        <v>0</v>
      </c>
      <c r="AT2963" t="s">
        <v>90</v>
      </c>
      <c r="AU2963" s="1">
        <v>44224.347604166665</v>
      </c>
      <c r="AV2963">
        <v>52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46</v>
      </c>
      <c r="BC2963">
        <v>0</v>
      </c>
      <c r="BD2963">
        <v>0</v>
      </c>
      <c r="BE2963">
        <v>0</v>
      </c>
    </row>
    <row r="2964" spans="1:57" x14ac:dyDescent="0.45">
      <c r="A2964" t="s">
        <v>7021</v>
      </c>
      <c r="B2964" t="s">
        <v>79</v>
      </c>
      <c r="C2964" t="s">
        <v>7001</v>
      </c>
      <c r="D2964" t="s">
        <v>81</v>
      </c>
      <c r="E2964" s="2" t="str">
        <f>HYPERLINK("capsilon://?command=openfolder&amp;siteaddress=FAM.docvelocity-na8.net&amp;folderid=FX306B4328-0483-5689-8CB0-A9AE760A5DC3","FX201224037")</f>
        <v>FX201224037</v>
      </c>
      <c r="F2964" t="s">
        <v>19</v>
      </c>
      <c r="G2964" t="s">
        <v>19</v>
      </c>
      <c r="H2964" t="s">
        <v>82</v>
      </c>
      <c r="I2964" t="s">
        <v>7002</v>
      </c>
      <c r="J2964">
        <v>38</v>
      </c>
      <c r="K2964" t="s">
        <v>84</v>
      </c>
      <c r="L2964" t="s">
        <v>85</v>
      </c>
      <c r="M2964" t="s">
        <v>86</v>
      </c>
      <c r="N2964">
        <v>3</v>
      </c>
      <c r="O2964" s="1">
        <v>44223.673020833332</v>
      </c>
      <c r="P2964" s="1">
        <v>44224.341944444444</v>
      </c>
      <c r="Q2964">
        <v>56902</v>
      </c>
      <c r="R2964">
        <v>893</v>
      </c>
      <c r="S2964" t="b">
        <v>0</v>
      </c>
      <c r="T2964" t="s">
        <v>87</v>
      </c>
      <c r="U2964" t="b">
        <v>1</v>
      </c>
      <c r="V2964" t="s">
        <v>160</v>
      </c>
      <c r="W2964" s="1">
        <v>44223.679108796299</v>
      </c>
      <c r="X2964">
        <v>498</v>
      </c>
      <c r="Y2964">
        <v>37</v>
      </c>
      <c r="Z2964">
        <v>0</v>
      </c>
      <c r="AA2964">
        <v>37</v>
      </c>
      <c r="AB2964">
        <v>0</v>
      </c>
      <c r="AC2964">
        <v>22</v>
      </c>
      <c r="AD2964">
        <v>1</v>
      </c>
      <c r="AE2964">
        <v>0</v>
      </c>
      <c r="AF2964">
        <v>0</v>
      </c>
      <c r="AG2964">
        <v>0</v>
      </c>
      <c r="AH2964" t="s">
        <v>132</v>
      </c>
      <c r="AI2964" s="1">
        <v>44223.68445601852</v>
      </c>
      <c r="AJ2964">
        <v>296</v>
      </c>
      <c r="AK2964">
        <v>4</v>
      </c>
      <c r="AL2964">
        <v>0</v>
      </c>
      <c r="AM2964">
        <v>4</v>
      </c>
      <c r="AN2964">
        <v>0</v>
      </c>
      <c r="AO2964">
        <v>3</v>
      </c>
      <c r="AP2964">
        <v>-3</v>
      </c>
      <c r="AQ2964">
        <v>0</v>
      </c>
      <c r="AR2964">
        <v>0</v>
      </c>
      <c r="AS2964">
        <v>0</v>
      </c>
      <c r="AT2964" t="s">
        <v>90</v>
      </c>
      <c r="AU2964" s="1">
        <v>44224.341944444444</v>
      </c>
      <c r="AV2964">
        <v>95</v>
      </c>
      <c r="AW2964">
        <v>2</v>
      </c>
      <c r="AX2964">
        <v>0</v>
      </c>
      <c r="AY2964">
        <v>2</v>
      </c>
      <c r="AZ2964">
        <v>0</v>
      </c>
      <c r="BA2964">
        <v>2</v>
      </c>
      <c r="BB2964">
        <v>-5</v>
      </c>
      <c r="BC2964">
        <v>0</v>
      </c>
      <c r="BD2964">
        <v>0</v>
      </c>
      <c r="BE2964">
        <v>0</v>
      </c>
    </row>
    <row r="2965" spans="1:57" hidden="1" x14ac:dyDescent="0.45">
      <c r="A2965" t="s">
        <v>7022</v>
      </c>
      <c r="B2965" t="s">
        <v>79</v>
      </c>
      <c r="C2965" t="s">
        <v>3242</v>
      </c>
      <c r="D2965" t="s">
        <v>81</v>
      </c>
      <c r="E2965" s="2" t="str">
        <f>HYPERLINK("capsilon://?command=openfolder&amp;siteaddress=FAM.docvelocity-na8.net&amp;folderid=FXEF19F9B3-7267-C58C-381D-7A7122109D65","FX201225878")</f>
        <v>FX201225878</v>
      </c>
      <c r="F2965" t="s">
        <v>19</v>
      </c>
      <c r="G2965" t="s">
        <v>19</v>
      </c>
      <c r="H2965" t="s">
        <v>82</v>
      </c>
      <c r="I2965" t="s">
        <v>7023</v>
      </c>
      <c r="J2965">
        <v>66</v>
      </c>
      <c r="K2965" t="s">
        <v>84</v>
      </c>
      <c r="L2965" t="s">
        <v>85</v>
      </c>
      <c r="M2965" t="s">
        <v>86</v>
      </c>
      <c r="N2965">
        <v>1</v>
      </c>
      <c r="O2965" s="1">
        <v>44223.673668981479</v>
      </c>
      <c r="P2965" s="1">
        <v>44223.67628472222</v>
      </c>
      <c r="Q2965">
        <v>111</v>
      </c>
      <c r="R2965">
        <v>115</v>
      </c>
      <c r="S2965" t="b">
        <v>0</v>
      </c>
      <c r="T2965" t="s">
        <v>87</v>
      </c>
      <c r="U2965" t="b">
        <v>0</v>
      </c>
      <c r="V2965" t="s">
        <v>262</v>
      </c>
      <c r="W2965" s="1">
        <v>44223.67628472222</v>
      </c>
      <c r="X2965">
        <v>115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66</v>
      </c>
      <c r="AE2965">
        <v>52</v>
      </c>
      <c r="AF2965">
        <v>0</v>
      </c>
      <c r="AG2965">
        <v>1</v>
      </c>
      <c r="AH2965" t="s">
        <v>87</v>
      </c>
      <c r="AI2965" t="s">
        <v>87</v>
      </c>
      <c r="AJ2965" t="s">
        <v>87</v>
      </c>
      <c r="AK2965" t="s">
        <v>87</v>
      </c>
      <c r="AL2965" t="s">
        <v>87</v>
      </c>
      <c r="AM2965" t="s">
        <v>87</v>
      </c>
      <c r="AN2965" t="s">
        <v>87</v>
      </c>
      <c r="AO2965" t="s">
        <v>87</v>
      </c>
      <c r="AP2965" t="s">
        <v>87</v>
      </c>
      <c r="AQ2965" t="s">
        <v>87</v>
      </c>
      <c r="AR2965" t="s">
        <v>87</v>
      </c>
      <c r="AS2965" t="s">
        <v>87</v>
      </c>
      <c r="AT2965" t="s">
        <v>87</v>
      </c>
      <c r="AU2965" t="s">
        <v>87</v>
      </c>
      <c r="AV2965" t="s">
        <v>87</v>
      </c>
      <c r="AW2965" t="s">
        <v>87</v>
      </c>
      <c r="AX2965" t="s">
        <v>87</v>
      </c>
      <c r="AY2965" t="s">
        <v>87</v>
      </c>
      <c r="AZ2965" t="s">
        <v>87</v>
      </c>
      <c r="BA2965" t="s">
        <v>87</v>
      </c>
      <c r="BB2965" t="s">
        <v>87</v>
      </c>
      <c r="BC2965" t="s">
        <v>87</v>
      </c>
      <c r="BD2965" t="s">
        <v>87</v>
      </c>
      <c r="BE2965" t="s">
        <v>87</v>
      </c>
    </row>
    <row r="2966" spans="1:57" x14ac:dyDescent="0.45">
      <c r="A2966" t="s">
        <v>7024</v>
      </c>
      <c r="B2966" t="s">
        <v>79</v>
      </c>
      <c r="C2966" t="s">
        <v>7025</v>
      </c>
      <c r="D2966" t="s">
        <v>81</v>
      </c>
      <c r="E2966" s="2" t="str">
        <f>HYPERLINK("capsilon://?command=openfolder&amp;siteaddress=FAM.docvelocity-na8.net&amp;folderid=FX9631251D-3F8D-AF34-90E4-E5FCA4E4D025","FX210117320")</f>
        <v>FX210117320</v>
      </c>
      <c r="F2966" t="s">
        <v>19</v>
      </c>
      <c r="G2966" t="s">
        <v>19</v>
      </c>
      <c r="H2966" t="s">
        <v>82</v>
      </c>
      <c r="I2966" t="s">
        <v>7026</v>
      </c>
      <c r="J2966">
        <v>214</v>
      </c>
      <c r="K2966" t="s">
        <v>84</v>
      </c>
      <c r="L2966" t="s">
        <v>85</v>
      </c>
      <c r="M2966" t="s">
        <v>86</v>
      </c>
      <c r="N2966">
        <v>3</v>
      </c>
      <c r="O2966" s="1">
        <v>44223.675729166665</v>
      </c>
      <c r="P2966" s="1">
        <v>44224.348136574074</v>
      </c>
      <c r="Q2966">
        <v>55642</v>
      </c>
      <c r="R2966">
        <v>2454</v>
      </c>
      <c r="S2966" t="b">
        <v>0</v>
      </c>
      <c r="T2966" t="s">
        <v>87</v>
      </c>
      <c r="U2966" t="b">
        <v>0</v>
      </c>
      <c r="V2966" t="s">
        <v>142</v>
      </c>
      <c r="W2966" s="1">
        <v>44223.695590277777</v>
      </c>
      <c r="X2966">
        <v>1712</v>
      </c>
      <c r="Y2966">
        <v>166</v>
      </c>
      <c r="Z2966">
        <v>0</v>
      </c>
      <c r="AA2966">
        <v>166</v>
      </c>
      <c r="AB2966">
        <v>0</v>
      </c>
      <c r="AC2966">
        <v>83</v>
      </c>
      <c r="AD2966">
        <v>48</v>
      </c>
      <c r="AE2966">
        <v>0</v>
      </c>
      <c r="AF2966">
        <v>0</v>
      </c>
      <c r="AG2966">
        <v>0</v>
      </c>
      <c r="AH2966" t="s">
        <v>128</v>
      </c>
      <c r="AI2966" s="1">
        <v>44223.70453703704</v>
      </c>
      <c r="AJ2966">
        <v>697</v>
      </c>
      <c r="AK2966">
        <v>0</v>
      </c>
      <c r="AL2966">
        <v>0</v>
      </c>
      <c r="AM2966">
        <v>0</v>
      </c>
      <c r="AN2966">
        <v>21</v>
      </c>
      <c r="AO2966">
        <v>0</v>
      </c>
      <c r="AP2966">
        <v>48</v>
      </c>
      <c r="AQ2966">
        <v>0</v>
      </c>
      <c r="AR2966">
        <v>0</v>
      </c>
      <c r="AS2966">
        <v>0</v>
      </c>
      <c r="AT2966" t="s">
        <v>90</v>
      </c>
      <c r="AU2966" s="1">
        <v>44224.348136574074</v>
      </c>
      <c r="AV2966">
        <v>45</v>
      </c>
      <c r="AW2966">
        <v>0</v>
      </c>
      <c r="AX2966">
        <v>0</v>
      </c>
      <c r="AY2966">
        <v>0</v>
      </c>
      <c r="AZ2966">
        <v>21</v>
      </c>
      <c r="BA2966">
        <v>0</v>
      </c>
      <c r="BB2966">
        <v>48</v>
      </c>
      <c r="BC2966">
        <v>0</v>
      </c>
      <c r="BD2966">
        <v>0</v>
      </c>
      <c r="BE2966">
        <v>0</v>
      </c>
    </row>
    <row r="2967" spans="1:57" hidden="1" x14ac:dyDescent="0.45">
      <c r="A2967" t="s">
        <v>7027</v>
      </c>
      <c r="B2967" t="s">
        <v>79</v>
      </c>
      <c r="C2967" t="s">
        <v>7025</v>
      </c>
      <c r="D2967" t="s">
        <v>81</v>
      </c>
      <c r="E2967" s="2" t="str">
        <f>HYPERLINK("capsilon://?command=openfolder&amp;siteaddress=FAM.docvelocity-na8.net&amp;folderid=FX9631251D-3F8D-AF34-90E4-E5FCA4E4D025","FX210117320")</f>
        <v>FX210117320</v>
      </c>
      <c r="F2967" t="s">
        <v>19</v>
      </c>
      <c r="G2967" t="s">
        <v>19</v>
      </c>
      <c r="H2967" t="s">
        <v>82</v>
      </c>
      <c r="I2967" t="s">
        <v>7028</v>
      </c>
      <c r="J2967">
        <v>26</v>
      </c>
      <c r="K2967" t="s">
        <v>84</v>
      </c>
      <c r="L2967" t="s">
        <v>85</v>
      </c>
      <c r="M2967" t="s">
        <v>86</v>
      </c>
      <c r="N2967">
        <v>1</v>
      </c>
      <c r="O2967" s="1">
        <v>44223.676076388889</v>
      </c>
      <c r="P2967" s="1">
        <v>44223.680844907409</v>
      </c>
      <c r="Q2967">
        <v>397</v>
      </c>
      <c r="R2967">
        <v>15</v>
      </c>
      <c r="S2967" t="b">
        <v>0</v>
      </c>
      <c r="T2967" t="s">
        <v>87</v>
      </c>
      <c r="U2967" t="b">
        <v>0</v>
      </c>
      <c r="V2967" t="s">
        <v>171</v>
      </c>
      <c r="W2967" s="1">
        <v>44223.680844907409</v>
      </c>
      <c r="X2967">
        <v>15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26</v>
      </c>
      <c r="AE2967">
        <v>0</v>
      </c>
      <c r="AF2967">
        <v>0</v>
      </c>
      <c r="AG2967">
        <v>3</v>
      </c>
      <c r="AH2967" t="s">
        <v>87</v>
      </c>
      <c r="AI2967" t="s">
        <v>87</v>
      </c>
      <c r="AJ2967" t="s">
        <v>87</v>
      </c>
      <c r="AK2967" t="s">
        <v>87</v>
      </c>
      <c r="AL2967" t="s">
        <v>87</v>
      </c>
      <c r="AM2967" t="s">
        <v>87</v>
      </c>
      <c r="AN2967" t="s">
        <v>87</v>
      </c>
      <c r="AO2967" t="s">
        <v>87</v>
      </c>
      <c r="AP2967" t="s">
        <v>87</v>
      </c>
      <c r="AQ2967" t="s">
        <v>87</v>
      </c>
      <c r="AR2967" t="s">
        <v>87</v>
      </c>
      <c r="AS2967" t="s">
        <v>87</v>
      </c>
      <c r="AT2967" t="s">
        <v>87</v>
      </c>
      <c r="AU2967" t="s">
        <v>87</v>
      </c>
      <c r="AV2967" t="s">
        <v>87</v>
      </c>
      <c r="AW2967" t="s">
        <v>87</v>
      </c>
      <c r="AX2967" t="s">
        <v>87</v>
      </c>
      <c r="AY2967" t="s">
        <v>87</v>
      </c>
      <c r="AZ2967" t="s">
        <v>87</v>
      </c>
      <c r="BA2967" t="s">
        <v>87</v>
      </c>
      <c r="BB2967" t="s">
        <v>87</v>
      </c>
      <c r="BC2967" t="s">
        <v>87</v>
      </c>
      <c r="BD2967" t="s">
        <v>87</v>
      </c>
      <c r="BE2967" t="s">
        <v>87</v>
      </c>
    </row>
    <row r="2968" spans="1:57" x14ac:dyDescent="0.45">
      <c r="A2968" t="s">
        <v>7029</v>
      </c>
      <c r="B2968" t="s">
        <v>79</v>
      </c>
      <c r="C2968" t="s">
        <v>3242</v>
      </c>
      <c r="D2968" t="s">
        <v>81</v>
      </c>
      <c r="E2968" s="2" t="str">
        <f>HYPERLINK("capsilon://?command=openfolder&amp;siteaddress=FAM.docvelocity-na8.net&amp;folderid=FXEF19F9B3-7267-C58C-381D-7A7122109D65","FX201225878")</f>
        <v>FX201225878</v>
      </c>
      <c r="F2968" t="s">
        <v>19</v>
      </c>
      <c r="G2968" t="s">
        <v>19</v>
      </c>
      <c r="H2968" t="s">
        <v>82</v>
      </c>
      <c r="I2968" t="s">
        <v>7023</v>
      </c>
      <c r="J2968">
        <v>67</v>
      </c>
      <c r="K2968" t="s">
        <v>84</v>
      </c>
      <c r="L2968" t="s">
        <v>85</v>
      </c>
      <c r="M2968" t="s">
        <v>86</v>
      </c>
      <c r="N2968">
        <v>3</v>
      </c>
      <c r="O2968" s="1">
        <v>44223.67728009259</v>
      </c>
      <c r="P2968" s="1">
        <v>44224.342268518521</v>
      </c>
      <c r="Q2968">
        <v>57206</v>
      </c>
      <c r="R2968">
        <v>249</v>
      </c>
      <c r="S2968" t="b">
        <v>0</v>
      </c>
      <c r="T2968" t="s">
        <v>87</v>
      </c>
      <c r="U2968" t="b">
        <v>1</v>
      </c>
      <c r="V2968" t="s">
        <v>242</v>
      </c>
      <c r="W2968" s="1">
        <v>44223.68041666667</v>
      </c>
      <c r="X2968">
        <v>136</v>
      </c>
      <c r="Y2968">
        <v>51</v>
      </c>
      <c r="Z2968">
        <v>0</v>
      </c>
      <c r="AA2968">
        <v>51</v>
      </c>
      <c r="AB2968">
        <v>0</v>
      </c>
      <c r="AC2968">
        <v>12</v>
      </c>
      <c r="AD2968">
        <v>16</v>
      </c>
      <c r="AE2968">
        <v>0</v>
      </c>
      <c r="AF2968">
        <v>0</v>
      </c>
      <c r="AG2968">
        <v>0</v>
      </c>
      <c r="AH2968" t="s">
        <v>132</v>
      </c>
      <c r="AI2968" s="1">
        <v>44223.68545138889</v>
      </c>
      <c r="AJ2968">
        <v>86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16</v>
      </c>
      <c r="AQ2968">
        <v>0</v>
      </c>
      <c r="AR2968">
        <v>0</v>
      </c>
      <c r="AS2968">
        <v>0</v>
      </c>
      <c r="AT2968" t="s">
        <v>90</v>
      </c>
      <c r="AU2968" s="1">
        <v>44224.342268518521</v>
      </c>
      <c r="AV2968">
        <v>27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16</v>
      </c>
      <c r="BC2968">
        <v>0</v>
      </c>
      <c r="BD2968">
        <v>0</v>
      </c>
      <c r="BE2968">
        <v>0</v>
      </c>
    </row>
    <row r="2969" spans="1:57" hidden="1" x14ac:dyDescent="0.45">
      <c r="A2969" t="s">
        <v>7030</v>
      </c>
      <c r="B2969" t="s">
        <v>79</v>
      </c>
      <c r="C2969" t="s">
        <v>7031</v>
      </c>
      <c r="D2969" t="s">
        <v>81</v>
      </c>
      <c r="E2969" s="2" t="str">
        <f>HYPERLINK("capsilon://?command=openfolder&amp;siteaddress=FAM.docvelocity-na8.net&amp;folderid=FXA20912FB-A496-4DBA-601C-1F02583E9738","FX201213788")</f>
        <v>FX201213788</v>
      </c>
      <c r="F2969" t="s">
        <v>19</v>
      </c>
      <c r="G2969" t="s">
        <v>19</v>
      </c>
      <c r="H2969" t="s">
        <v>82</v>
      </c>
      <c r="I2969" t="s">
        <v>7032</v>
      </c>
      <c r="J2969">
        <v>66</v>
      </c>
      <c r="K2969" t="s">
        <v>84</v>
      </c>
      <c r="L2969" t="s">
        <v>85</v>
      </c>
      <c r="M2969" t="s">
        <v>86</v>
      </c>
      <c r="N2969">
        <v>1</v>
      </c>
      <c r="O2969" s="1">
        <v>44223.679965277777</v>
      </c>
      <c r="P2969" s="1">
        <v>44223.692835648151</v>
      </c>
      <c r="Q2969">
        <v>1005</v>
      </c>
      <c r="R2969">
        <v>107</v>
      </c>
      <c r="S2969" t="b">
        <v>0</v>
      </c>
      <c r="T2969" t="s">
        <v>87</v>
      </c>
      <c r="U2969" t="b">
        <v>0</v>
      </c>
      <c r="V2969" t="s">
        <v>146</v>
      </c>
      <c r="W2969" s="1">
        <v>44223.692835648151</v>
      </c>
      <c r="X2969">
        <v>12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66</v>
      </c>
      <c r="AE2969">
        <v>0</v>
      </c>
      <c r="AF2969">
        <v>0</v>
      </c>
      <c r="AG2969">
        <v>1</v>
      </c>
      <c r="AH2969" t="s">
        <v>87</v>
      </c>
      <c r="AI2969" t="s">
        <v>87</v>
      </c>
      <c r="AJ2969" t="s">
        <v>87</v>
      </c>
      <c r="AK2969" t="s">
        <v>87</v>
      </c>
      <c r="AL2969" t="s">
        <v>87</v>
      </c>
      <c r="AM2969" t="s">
        <v>87</v>
      </c>
      <c r="AN2969" t="s">
        <v>87</v>
      </c>
      <c r="AO2969" t="s">
        <v>87</v>
      </c>
      <c r="AP2969" t="s">
        <v>87</v>
      </c>
      <c r="AQ2969" t="s">
        <v>87</v>
      </c>
      <c r="AR2969" t="s">
        <v>87</v>
      </c>
      <c r="AS2969" t="s">
        <v>87</v>
      </c>
      <c r="AT2969" t="s">
        <v>87</v>
      </c>
      <c r="AU2969" t="s">
        <v>87</v>
      </c>
      <c r="AV2969" t="s">
        <v>87</v>
      </c>
      <c r="AW2969" t="s">
        <v>87</v>
      </c>
      <c r="AX2969" t="s">
        <v>87</v>
      </c>
      <c r="AY2969" t="s">
        <v>87</v>
      </c>
      <c r="AZ2969" t="s">
        <v>87</v>
      </c>
      <c r="BA2969" t="s">
        <v>87</v>
      </c>
      <c r="BB2969" t="s">
        <v>87</v>
      </c>
      <c r="BC2969" t="s">
        <v>87</v>
      </c>
      <c r="BD2969" t="s">
        <v>87</v>
      </c>
      <c r="BE2969" t="s">
        <v>87</v>
      </c>
    </row>
    <row r="2970" spans="1:57" x14ac:dyDescent="0.45">
      <c r="A2970" t="s">
        <v>7033</v>
      </c>
      <c r="B2970" t="s">
        <v>79</v>
      </c>
      <c r="C2970" t="s">
        <v>7025</v>
      </c>
      <c r="D2970" t="s">
        <v>81</v>
      </c>
      <c r="E2970" s="2" t="str">
        <f>HYPERLINK("capsilon://?command=openfolder&amp;siteaddress=FAM.docvelocity-na8.net&amp;folderid=FX9631251D-3F8D-AF34-90E4-E5FCA4E4D025","FX210117320")</f>
        <v>FX210117320</v>
      </c>
      <c r="F2970" t="s">
        <v>19</v>
      </c>
      <c r="G2970" t="s">
        <v>19</v>
      </c>
      <c r="H2970" t="s">
        <v>82</v>
      </c>
      <c r="I2970" t="s">
        <v>7028</v>
      </c>
      <c r="J2970">
        <v>78</v>
      </c>
      <c r="K2970" t="s">
        <v>84</v>
      </c>
      <c r="L2970" t="s">
        <v>85</v>
      </c>
      <c r="M2970" t="s">
        <v>86</v>
      </c>
      <c r="N2970">
        <v>3</v>
      </c>
      <c r="O2970" s="1">
        <v>44223.681273148148</v>
      </c>
      <c r="P2970" s="1">
        <v>44224.34233796296</v>
      </c>
      <c r="Q2970">
        <v>55103</v>
      </c>
      <c r="R2970">
        <v>2013</v>
      </c>
      <c r="S2970" t="b">
        <v>0</v>
      </c>
      <c r="T2970" t="s">
        <v>87</v>
      </c>
      <c r="U2970" t="b">
        <v>1</v>
      </c>
      <c r="V2970" t="s">
        <v>160</v>
      </c>
      <c r="W2970" s="1">
        <v>44223.701840277776</v>
      </c>
      <c r="X2970">
        <v>1776</v>
      </c>
      <c r="Y2970">
        <v>63</v>
      </c>
      <c r="Z2970">
        <v>0</v>
      </c>
      <c r="AA2970">
        <v>63</v>
      </c>
      <c r="AB2970">
        <v>21</v>
      </c>
      <c r="AC2970">
        <v>24</v>
      </c>
      <c r="AD2970">
        <v>15</v>
      </c>
      <c r="AE2970">
        <v>0</v>
      </c>
      <c r="AF2970">
        <v>0</v>
      </c>
      <c r="AG2970">
        <v>0</v>
      </c>
      <c r="AH2970" t="s">
        <v>128</v>
      </c>
      <c r="AI2970" s="1">
        <v>44223.707233796296</v>
      </c>
      <c r="AJ2970">
        <v>232</v>
      </c>
      <c r="AK2970">
        <v>5</v>
      </c>
      <c r="AL2970">
        <v>0</v>
      </c>
      <c r="AM2970">
        <v>5</v>
      </c>
      <c r="AN2970">
        <v>21</v>
      </c>
      <c r="AO2970">
        <v>5</v>
      </c>
      <c r="AP2970">
        <v>10</v>
      </c>
      <c r="AQ2970">
        <v>0</v>
      </c>
      <c r="AR2970">
        <v>0</v>
      </c>
      <c r="AS2970">
        <v>0</v>
      </c>
      <c r="AT2970" t="s">
        <v>90</v>
      </c>
      <c r="AU2970" s="1">
        <v>44224.34233796296</v>
      </c>
      <c r="AV2970">
        <v>5</v>
      </c>
      <c r="AW2970">
        <v>0</v>
      </c>
      <c r="AX2970">
        <v>0</v>
      </c>
      <c r="AY2970">
        <v>0</v>
      </c>
      <c r="AZ2970">
        <v>21</v>
      </c>
      <c r="BA2970">
        <v>0</v>
      </c>
      <c r="BB2970">
        <v>10</v>
      </c>
      <c r="BC2970">
        <v>0</v>
      </c>
      <c r="BD2970">
        <v>0</v>
      </c>
      <c r="BE2970">
        <v>0</v>
      </c>
    </row>
    <row r="2971" spans="1:57" hidden="1" x14ac:dyDescent="0.45">
      <c r="A2971" t="s">
        <v>7034</v>
      </c>
      <c r="B2971" t="s">
        <v>79</v>
      </c>
      <c r="C2971" t="s">
        <v>7031</v>
      </c>
      <c r="D2971" t="s">
        <v>81</v>
      </c>
      <c r="E2971" s="2" t="str">
        <f>HYPERLINK("capsilon://?command=openfolder&amp;siteaddress=FAM.docvelocity-na8.net&amp;folderid=FXA20912FB-A496-4DBA-601C-1F02583E9738","FX201213788")</f>
        <v>FX201213788</v>
      </c>
      <c r="F2971" t="s">
        <v>19</v>
      </c>
      <c r="G2971" t="s">
        <v>19</v>
      </c>
      <c r="H2971" t="s">
        <v>82</v>
      </c>
      <c r="I2971" t="s">
        <v>7035</v>
      </c>
      <c r="J2971">
        <v>66</v>
      </c>
      <c r="K2971" t="s">
        <v>84</v>
      </c>
      <c r="L2971" t="s">
        <v>85</v>
      </c>
      <c r="M2971" t="s">
        <v>86</v>
      </c>
      <c r="N2971">
        <v>1</v>
      </c>
      <c r="O2971" s="1">
        <v>44223.684259259258</v>
      </c>
      <c r="P2971" s="1">
        <v>44223.684907407405</v>
      </c>
      <c r="Q2971">
        <v>0</v>
      </c>
      <c r="R2971">
        <v>56</v>
      </c>
      <c r="S2971" t="b">
        <v>0</v>
      </c>
      <c r="T2971" t="s">
        <v>87</v>
      </c>
      <c r="U2971" t="b">
        <v>0</v>
      </c>
      <c r="V2971" t="s">
        <v>171</v>
      </c>
      <c r="W2971" s="1">
        <v>44223.684907407405</v>
      </c>
      <c r="X2971">
        <v>56</v>
      </c>
      <c r="Y2971">
        <v>52</v>
      </c>
      <c r="Z2971">
        <v>0</v>
      </c>
      <c r="AA2971">
        <v>52</v>
      </c>
      <c r="AB2971">
        <v>0</v>
      </c>
      <c r="AC2971">
        <v>0</v>
      </c>
      <c r="AD2971">
        <v>14</v>
      </c>
      <c r="AE2971">
        <v>52</v>
      </c>
      <c r="AF2971">
        <v>0</v>
      </c>
      <c r="AG2971">
        <v>1</v>
      </c>
      <c r="AH2971" t="s">
        <v>87</v>
      </c>
      <c r="AI2971" t="s">
        <v>87</v>
      </c>
      <c r="AJ2971" t="s">
        <v>87</v>
      </c>
      <c r="AK2971" t="s">
        <v>87</v>
      </c>
      <c r="AL2971" t="s">
        <v>87</v>
      </c>
      <c r="AM2971" t="s">
        <v>87</v>
      </c>
      <c r="AN2971" t="s">
        <v>87</v>
      </c>
      <c r="AO2971" t="s">
        <v>87</v>
      </c>
      <c r="AP2971" t="s">
        <v>87</v>
      </c>
      <c r="AQ2971" t="s">
        <v>87</v>
      </c>
      <c r="AR2971" t="s">
        <v>87</v>
      </c>
      <c r="AS2971" t="s">
        <v>87</v>
      </c>
      <c r="AT2971" t="s">
        <v>87</v>
      </c>
      <c r="AU2971" t="s">
        <v>87</v>
      </c>
      <c r="AV2971" t="s">
        <v>87</v>
      </c>
      <c r="AW2971" t="s">
        <v>87</v>
      </c>
      <c r="AX2971" t="s">
        <v>87</v>
      </c>
      <c r="AY2971" t="s">
        <v>87</v>
      </c>
      <c r="AZ2971" t="s">
        <v>87</v>
      </c>
      <c r="BA2971" t="s">
        <v>87</v>
      </c>
      <c r="BB2971" t="s">
        <v>87</v>
      </c>
      <c r="BC2971" t="s">
        <v>87</v>
      </c>
      <c r="BD2971" t="s">
        <v>87</v>
      </c>
      <c r="BE2971" t="s">
        <v>87</v>
      </c>
    </row>
    <row r="2972" spans="1:57" hidden="1" x14ac:dyDescent="0.45">
      <c r="A2972" t="s">
        <v>7036</v>
      </c>
      <c r="B2972" t="s">
        <v>79</v>
      </c>
      <c r="C2972" t="s">
        <v>2507</v>
      </c>
      <c r="D2972" t="s">
        <v>81</v>
      </c>
      <c r="E2972" s="2" t="str">
        <f>HYPERLINK("capsilon://?command=openfolder&amp;siteaddress=FAM.docvelocity-na8.net&amp;folderid=FXC96E4D4C-315F-5E79-9E32-B07763E00DE6","FX20127105")</f>
        <v>FX20127105</v>
      </c>
      <c r="F2972" t="s">
        <v>19</v>
      </c>
      <c r="G2972" t="s">
        <v>19</v>
      </c>
      <c r="H2972" t="s">
        <v>82</v>
      </c>
      <c r="I2972" t="s">
        <v>7037</v>
      </c>
      <c r="J2972">
        <v>66</v>
      </c>
      <c r="K2972" t="s">
        <v>84</v>
      </c>
      <c r="L2972" t="s">
        <v>85</v>
      </c>
      <c r="M2972" t="s">
        <v>86</v>
      </c>
      <c r="N2972">
        <v>1</v>
      </c>
      <c r="O2972" s="1">
        <v>44201.689768518518</v>
      </c>
      <c r="P2972" s="1">
        <v>44201.708495370367</v>
      </c>
      <c r="Q2972">
        <v>7</v>
      </c>
      <c r="R2972">
        <v>1611</v>
      </c>
      <c r="S2972" t="b">
        <v>0</v>
      </c>
      <c r="T2972" t="s">
        <v>87</v>
      </c>
      <c r="U2972" t="b">
        <v>0</v>
      </c>
      <c r="V2972" t="s">
        <v>160</v>
      </c>
      <c r="W2972" s="1">
        <v>44201.708495370367</v>
      </c>
      <c r="X2972">
        <v>1611</v>
      </c>
      <c r="Y2972">
        <v>52</v>
      </c>
      <c r="Z2972">
        <v>0</v>
      </c>
      <c r="AA2972">
        <v>52</v>
      </c>
      <c r="AB2972">
        <v>0</v>
      </c>
      <c r="AC2972">
        <v>27</v>
      </c>
      <c r="AD2972">
        <v>14</v>
      </c>
      <c r="AE2972">
        <v>52</v>
      </c>
      <c r="AF2972">
        <v>0</v>
      </c>
      <c r="AG2972">
        <v>1</v>
      </c>
      <c r="AH2972" t="s">
        <v>87</v>
      </c>
      <c r="AI2972" t="s">
        <v>87</v>
      </c>
      <c r="AJ2972" t="s">
        <v>87</v>
      </c>
      <c r="AK2972" t="s">
        <v>87</v>
      </c>
      <c r="AL2972" t="s">
        <v>87</v>
      </c>
      <c r="AM2972" t="s">
        <v>87</v>
      </c>
      <c r="AN2972" t="s">
        <v>87</v>
      </c>
      <c r="AO2972" t="s">
        <v>87</v>
      </c>
      <c r="AP2972" t="s">
        <v>87</v>
      </c>
      <c r="AQ2972" t="s">
        <v>87</v>
      </c>
      <c r="AR2972" t="s">
        <v>87</v>
      </c>
      <c r="AS2972" t="s">
        <v>87</v>
      </c>
      <c r="AT2972" t="s">
        <v>87</v>
      </c>
      <c r="AU2972" t="s">
        <v>87</v>
      </c>
      <c r="AV2972" t="s">
        <v>87</v>
      </c>
      <c r="AW2972" t="s">
        <v>87</v>
      </c>
      <c r="AX2972" t="s">
        <v>87</v>
      </c>
      <c r="AY2972" t="s">
        <v>87</v>
      </c>
      <c r="AZ2972" t="s">
        <v>87</v>
      </c>
      <c r="BA2972" t="s">
        <v>87</v>
      </c>
      <c r="BB2972" t="s">
        <v>87</v>
      </c>
      <c r="BC2972" t="s">
        <v>87</v>
      </c>
      <c r="BD2972" t="s">
        <v>87</v>
      </c>
      <c r="BE2972" t="s">
        <v>87</v>
      </c>
    </row>
    <row r="2973" spans="1:57" x14ac:dyDescent="0.45">
      <c r="A2973" t="s">
        <v>7038</v>
      </c>
      <c r="B2973" t="s">
        <v>79</v>
      </c>
      <c r="C2973" t="s">
        <v>7031</v>
      </c>
      <c r="D2973" t="s">
        <v>81</v>
      </c>
      <c r="E2973" s="2" t="str">
        <f>HYPERLINK("capsilon://?command=openfolder&amp;siteaddress=FAM.docvelocity-na8.net&amp;folderid=FXA20912FB-A496-4DBA-601C-1F02583E9738","FX201213788")</f>
        <v>FX201213788</v>
      </c>
      <c r="F2973" t="s">
        <v>19</v>
      </c>
      <c r="G2973" t="s">
        <v>19</v>
      </c>
      <c r="H2973" t="s">
        <v>82</v>
      </c>
      <c r="I2973" t="s">
        <v>7035</v>
      </c>
      <c r="J2973">
        <v>38</v>
      </c>
      <c r="K2973" t="s">
        <v>84</v>
      </c>
      <c r="L2973" t="s">
        <v>85</v>
      </c>
      <c r="M2973" t="s">
        <v>86</v>
      </c>
      <c r="N2973">
        <v>3</v>
      </c>
      <c r="O2973" s="1">
        <v>44223.685173611113</v>
      </c>
      <c r="P2973" s="1">
        <v>44224.342442129629</v>
      </c>
      <c r="Q2973">
        <v>56089</v>
      </c>
      <c r="R2973">
        <v>699</v>
      </c>
      <c r="S2973" t="b">
        <v>0</v>
      </c>
      <c r="T2973" t="s">
        <v>87</v>
      </c>
      <c r="U2973" t="b">
        <v>1</v>
      </c>
      <c r="V2973" t="s">
        <v>171</v>
      </c>
      <c r="W2973" s="1">
        <v>44223.690949074073</v>
      </c>
      <c r="X2973">
        <v>498</v>
      </c>
      <c r="Y2973">
        <v>37</v>
      </c>
      <c r="Z2973">
        <v>0</v>
      </c>
      <c r="AA2973">
        <v>37</v>
      </c>
      <c r="AB2973">
        <v>0</v>
      </c>
      <c r="AC2973">
        <v>35</v>
      </c>
      <c r="AD2973">
        <v>1</v>
      </c>
      <c r="AE2973">
        <v>0</v>
      </c>
      <c r="AF2973">
        <v>0</v>
      </c>
      <c r="AG2973">
        <v>0</v>
      </c>
      <c r="AH2973" t="s">
        <v>128</v>
      </c>
      <c r="AI2973" s="1">
        <v>44223.693657407406</v>
      </c>
      <c r="AJ2973">
        <v>192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1</v>
      </c>
      <c r="AQ2973">
        <v>0</v>
      </c>
      <c r="AR2973">
        <v>0</v>
      </c>
      <c r="AS2973">
        <v>0</v>
      </c>
      <c r="AT2973" t="s">
        <v>90</v>
      </c>
      <c r="AU2973" s="1">
        <v>44224.342442129629</v>
      </c>
      <c r="AV2973">
        <v>9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0</v>
      </c>
      <c r="BE2973">
        <v>0</v>
      </c>
    </row>
    <row r="2974" spans="1:57" x14ac:dyDescent="0.45">
      <c r="A2974" t="s">
        <v>7039</v>
      </c>
      <c r="B2974" t="s">
        <v>79</v>
      </c>
      <c r="C2974" t="s">
        <v>7040</v>
      </c>
      <c r="D2974" t="s">
        <v>81</v>
      </c>
      <c r="E2974" s="2" t="str">
        <f>HYPERLINK("capsilon://?command=openfolder&amp;siteaddress=FAM.docvelocity-na8.net&amp;folderid=FX50C5C570-23A7-F652-17EE-7B47641688AC","FX21011377")</f>
        <v>FX21011377</v>
      </c>
      <c r="F2974" t="s">
        <v>19</v>
      </c>
      <c r="G2974" t="s">
        <v>19</v>
      </c>
      <c r="H2974" t="s">
        <v>82</v>
      </c>
      <c r="I2974" t="s">
        <v>7041</v>
      </c>
      <c r="J2974">
        <v>76</v>
      </c>
      <c r="K2974" t="s">
        <v>84</v>
      </c>
      <c r="L2974" t="s">
        <v>85</v>
      </c>
      <c r="M2974" t="s">
        <v>86</v>
      </c>
      <c r="N2974">
        <v>3</v>
      </c>
      <c r="O2974" s="1">
        <v>44201.69027777778</v>
      </c>
      <c r="P2974" s="1">
        <v>44202.353159722225</v>
      </c>
      <c r="Q2974">
        <v>55174</v>
      </c>
      <c r="R2974">
        <v>2099</v>
      </c>
      <c r="S2974" t="b">
        <v>0</v>
      </c>
      <c r="T2974" t="s">
        <v>87</v>
      </c>
      <c r="U2974" t="b">
        <v>0</v>
      </c>
      <c r="V2974" t="s">
        <v>171</v>
      </c>
      <c r="W2974" s="1">
        <v>44201.712870370371</v>
      </c>
      <c r="X2974">
        <v>1652</v>
      </c>
      <c r="Y2974">
        <v>74</v>
      </c>
      <c r="Z2974">
        <v>0</v>
      </c>
      <c r="AA2974">
        <v>74</v>
      </c>
      <c r="AB2974">
        <v>0</v>
      </c>
      <c r="AC2974">
        <v>37</v>
      </c>
      <c r="AD2974">
        <v>2</v>
      </c>
      <c r="AE2974">
        <v>0</v>
      </c>
      <c r="AF2974">
        <v>0</v>
      </c>
      <c r="AG2974">
        <v>0</v>
      </c>
      <c r="AH2974" t="s">
        <v>128</v>
      </c>
      <c r="AI2974" s="1">
        <v>44201.719814814816</v>
      </c>
      <c r="AJ2974">
        <v>365</v>
      </c>
      <c r="AK2974">
        <v>3</v>
      </c>
      <c r="AL2974">
        <v>0</v>
      </c>
      <c r="AM2974">
        <v>3</v>
      </c>
      <c r="AN2974">
        <v>0</v>
      </c>
      <c r="AO2974">
        <v>3</v>
      </c>
      <c r="AP2974">
        <v>-1</v>
      </c>
      <c r="AQ2974">
        <v>0</v>
      </c>
      <c r="AR2974">
        <v>0</v>
      </c>
      <c r="AS2974">
        <v>0</v>
      </c>
      <c r="AT2974" t="s">
        <v>90</v>
      </c>
      <c r="AU2974" s="1">
        <v>44202.353159722225</v>
      </c>
      <c r="AV2974">
        <v>82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-1</v>
      </c>
      <c r="BC2974">
        <v>0</v>
      </c>
      <c r="BD2974">
        <v>0</v>
      </c>
      <c r="BE2974">
        <v>0</v>
      </c>
    </row>
    <row r="2975" spans="1:57" x14ac:dyDescent="0.45">
      <c r="A2975" t="s">
        <v>7042</v>
      </c>
      <c r="B2975" t="s">
        <v>79</v>
      </c>
      <c r="C2975" t="s">
        <v>7043</v>
      </c>
      <c r="D2975" t="s">
        <v>81</v>
      </c>
      <c r="E2975" s="2" t="str">
        <f>HYPERLINK("capsilon://?command=openfolder&amp;siteaddress=FAM.docvelocity-na8.net&amp;folderid=FX4B9A1D57-11DE-4E32-82D0-C8FF672A2F6A","FX210115309")</f>
        <v>FX210115309</v>
      </c>
      <c r="F2975" t="s">
        <v>19</v>
      </c>
      <c r="G2975" t="s">
        <v>19</v>
      </c>
      <c r="H2975" t="s">
        <v>82</v>
      </c>
      <c r="I2975" t="s">
        <v>7044</v>
      </c>
      <c r="J2975">
        <v>306</v>
      </c>
      <c r="K2975" t="s">
        <v>84</v>
      </c>
      <c r="L2975" t="s">
        <v>85</v>
      </c>
      <c r="M2975" t="s">
        <v>86</v>
      </c>
      <c r="N2975">
        <v>3</v>
      </c>
      <c r="O2975" s="1">
        <v>44223.692361111112</v>
      </c>
      <c r="P2975" s="1">
        <v>44224.349490740744</v>
      </c>
      <c r="Q2975">
        <v>53930</v>
      </c>
      <c r="R2975">
        <v>2846</v>
      </c>
      <c r="S2975" t="b">
        <v>0</v>
      </c>
      <c r="T2975" t="s">
        <v>87</v>
      </c>
      <c r="U2975" t="b">
        <v>0</v>
      </c>
      <c r="V2975" t="s">
        <v>171</v>
      </c>
      <c r="W2975" s="1">
        <v>44223.718518518515</v>
      </c>
      <c r="X2975">
        <v>2260</v>
      </c>
      <c r="Y2975">
        <v>155</v>
      </c>
      <c r="Z2975">
        <v>0</v>
      </c>
      <c r="AA2975">
        <v>155</v>
      </c>
      <c r="AB2975">
        <v>0</v>
      </c>
      <c r="AC2975">
        <v>78</v>
      </c>
      <c r="AD2975">
        <v>151</v>
      </c>
      <c r="AE2975">
        <v>0</v>
      </c>
      <c r="AF2975">
        <v>0</v>
      </c>
      <c r="AG2975">
        <v>0</v>
      </c>
      <c r="AH2975" t="s">
        <v>128</v>
      </c>
      <c r="AI2975" s="1">
        <v>44223.723981481482</v>
      </c>
      <c r="AJ2975">
        <v>470</v>
      </c>
      <c r="AK2975">
        <v>2</v>
      </c>
      <c r="AL2975">
        <v>0</v>
      </c>
      <c r="AM2975">
        <v>2</v>
      </c>
      <c r="AN2975">
        <v>0</v>
      </c>
      <c r="AO2975">
        <v>2</v>
      </c>
      <c r="AP2975">
        <v>149</v>
      </c>
      <c r="AQ2975">
        <v>0</v>
      </c>
      <c r="AR2975">
        <v>0</v>
      </c>
      <c r="AS2975">
        <v>0</v>
      </c>
      <c r="AT2975" t="s">
        <v>90</v>
      </c>
      <c r="AU2975" s="1">
        <v>44224.349490740744</v>
      </c>
      <c r="AV2975">
        <v>116</v>
      </c>
      <c r="AW2975">
        <v>2</v>
      </c>
      <c r="AX2975">
        <v>0</v>
      </c>
      <c r="AY2975">
        <v>2</v>
      </c>
      <c r="AZ2975">
        <v>0</v>
      </c>
      <c r="BA2975">
        <v>2</v>
      </c>
      <c r="BB2975">
        <v>147</v>
      </c>
      <c r="BC2975">
        <v>0</v>
      </c>
      <c r="BD2975">
        <v>0</v>
      </c>
      <c r="BE2975">
        <v>0</v>
      </c>
    </row>
    <row r="2976" spans="1:57" x14ac:dyDescent="0.45">
      <c r="A2976" t="s">
        <v>7045</v>
      </c>
      <c r="B2976" t="s">
        <v>79</v>
      </c>
      <c r="C2976" t="s">
        <v>7031</v>
      </c>
      <c r="D2976" t="s">
        <v>81</v>
      </c>
      <c r="E2976" s="2" t="str">
        <f>HYPERLINK("capsilon://?command=openfolder&amp;siteaddress=FAM.docvelocity-na8.net&amp;folderid=FXA20912FB-A496-4DBA-601C-1F02583E9738","FX201213788")</f>
        <v>FX201213788</v>
      </c>
      <c r="F2976" t="s">
        <v>19</v>
      </c>
      <c r="G2976" t="s">
        <v>19</v>
      </c>
      <c r="H2976" t="s">
        <v>82</v>
      </c>
      <c r="I2976" t="s">
        <v>7032</v>
      </c>
      <c r="J2976">
        <v>38</v>
      </c>
      <c r="K2976" t="s">
        <v>84</v>
      </c>
      <c r="L2976" t="s">
        <v>85</v>
      </c>
      <c r="M2976" t="s">
        <v>86</v>
      </c>
      <c r="N2976">
        <v>3</v>
      </c>
      <c r="O2976" s="1">
        <v>44223.693136574075</v>
      </c>
      <c r="P2976" s="1">
        <v>44224.342534722222</v>
      </c>
      <c r="Q2976">
        <v>54770</v>
      </c>
      <c r="R2976">
        <v>1338</v>
      </c>
      <c r="S2976" t="b">
        <v>0</v>
      </c>
      <c r="T2976" t="s">
        <v>87</v>
      </c>
      <c r="U2976" t="b">
        <v>1</v>
      </c>
      <c r="V2976" t="s">
        <v>146</v>
      </c>
      <c r="W2976" s="1">
        <v>44223.706921296296</v>
      </c>
      <c r="X2976">
        <v>1190</v>
      </c>
      <c r="Y2976">
        <v>37</v>
      </c>
      <c r="Z2976">
        <v>0</v>
      </c>
      <c r="AA2976">
        <v>37</v>
      </c>
      <c r="AB2976">
        <v>0</v>
      </c>
      <c r="AC2976">
        <v>35</v>
      </c>
      <c r="AD2976">
        <v>1</v>
      </c>
      <c r="AE2976">
        <v>0</v>
      </c>
      <c r="AF2976">
        <v>0</v>
      </c>
      <c r="AG2976">
        <v>0</v>
      </c>
      <c r="AH2976" t="s">
        <v>128</v>
      </c>
      <c r="AI2976" s="1">
        <v>44223.708877314813</v>
      </c>
      <c r="AJ2976">
        <v>141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 t="s">
        <v>90</v>
      </c>
      <c r="AU2976" s="1">
        <v>44224.342534722222</v>
      </c>
      <c r="AV2976">
        <v>7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1</v>
      </c>
      <c r="BC2976">
        <v>0</v>
      </c>
      <c r="BD2976">
        <v>0</v>
      </c>
      <c r="BE2976">
        <v>0</v>
      </c>
    </row>
    <row r="2977" spans="1:57" hidden="1" x14ac:dyDescent="0.45">
      <c r="A2977" t="s">
        <v>7046</v>
      </c>
      <c r="B2977" t="s">
        <v>79</v>
      </c>
      <c r="C2977" t="s">
        <v>1112</v>
      </c>
      <c r="D2977" t="s">
        <v>81</v>
      </c>
      <c r="E2977" s="2" t="str">
        <f>HYPERLINK("capsilon://?command=openfolder&amp;siteaddress=FAM.docvelocity-na8.net&amp;folderid=FXF004B699-CD94-3EC4-1D59-C59DAEE0D83F","FX20127002")</f>
        <v>FX20127002</v>
      </c>
      <c r="F2977" t="s">
        <v>19</v>
      </c>
      <c r="G2977" t="s">
        <v>19</v>
      </c>
      <c r="H2977" t="s">
        <v>82</v>
      </c>
      <c r="I2977" t="s">
        <v>7047</v>
      </c>
      <c r="J2977">
        <v>66</v>
      </c>
      <c r="K2977" t="s">
        <v>84</v>
      </c>
      <c r="L2977" t="s">
        <v>85</v>
      </c>
      <c r="M2977" t="s">
        <v>86</v>
      </c>
      <c r="N2977">
        <v>3</v>
      </c>
      <c r="O2977" s="1">
        <v>44223.695868055554</v>
      </c>
      <c r="P2977" s="1">
        <v>44224.34952546296</v>
      </c>
      <c r="Q2977">
        <v>56343</v>
      </c>
      <c r="R2977">
        <v>133</v>
      </c>
      <c r="S2977" t="b">
        <v>0</v>
      </c>
      <c r="T2977" t="s">
        <v>87</v>
      </c>
      <c r="U2977" t="b">
        <v>0</v>
      </c>
      <c r="V2977" t="s">
        <v>262</v>
      </c>
      <c r="W2977" s="1">
        <v>44223.697314814817</v>
      </c>
      <c r="X2977">
        <v>118</v>
      </c>
      <c r="Y2977">
        <v>0</v>
      </c>
      <c r="Z2977">
        <v>0</v>
      </c>
      <c r="AA2977">
        <v>0</v>
      </c>
      <c r="AB2977">
        <v>52</v>
      </c>
      <c r="AC2977">
        <v>0</v>
      </c>
      <c r="AD2977">
        <v>66</v>
      </c>
      <c r="AE2977">
        <v>0</v>
      </c>
      <c r="AF2977">
        <v>0</v>
      </c>
      <c r="AG2977">
        <v>0</v>
      </c>
      <c r="AH2977" t="s">
        <v>128</v>
      </c>
      <c r="AI2977" s="1">
        <v>44223.718530092592</v>
      </c>
      <c r="AJ2977">
        <v>12</v>
      </c>
      <c r="AK2977">
        <v>0</v>
      </c>
      <c r="AL2977">
        <v>0</v>
      </c>
      <c r="AM2977">
        <v>0</v>
      </c>
      <c r="AN2977">
        <v>52</v>
      </c>
      <c r="AO2977">
        <v>0</v>
      </c>
      <c r="AP2977">
        <v>66</v>
      </c>
      <c r="AQ2977">
        <v>0</v>
      </c>
      <c r="AR2977">
        <v>0</v>
      </c>
      <c r="AS2977">
        <v>0</v>
      </c>
      <c r="AT2977" t="s">
        <v>90</v>
      </c>
      <c r="AU2977" s="1">
        <v>44224.34952546296</v>
      </c>
      <c r="AV2977">
        <v>3</v>
      </c>
      <c r="AW2977">
        <v>0</v>
      </c>
      <c r="AX2977">
        <v>0</v>
      </c>
      <c r="AY2977">
        <v>0</v>
      </c>
      <c r="AZ2977">
        <v>52</v>
      </c>
      <c r="BA2977">
        <v>0</v>
      </c>
      <c r="BB2977">
        <v>66</v>
      </c>
      <c r="BC2977">
        <v>0</v>
      </c>
      <c r="BD2977">
        <v>0</v>
      </c>
      <c r="BE2977">
        <v>0</v>
      </c>
    </row>
    <row r="2978" spans="1:57" hidden="1" x14ac:dyDescent="0.45">
      <c r="A2978" t="s">
        <v>7048</v>
      </c>
      <c r="B2978" t="s">
        <v>79</v>
      </c>
      <c r="C2978" t="s">
        <v>4133</v>
      </c>
      <c r="D2978" t="s">
        <v>81</v>
      </c>
      <c r="E2978" s="2" t="str">
        <f>HYPERLINK("capsilon://?command=openfolder&amp;siteaddress=FAM.docvelocity-na8.net&amp;folderid=FXE11191F6-99F3-A1F5-58D8-8B3285AAF28E","FX20123668")</f>
        <v>FX20123668</v>
      </c>
      <c r="F2978" t="s">
        <v>19</v>
      </c>
      <c r="G2978" t="s">
        <v>19</v>
      </c>
      <c r="H2978" t="s">
        <v>82</v>
      </c>
      <c r="I2978" t="s">
        <v>7049</v>
      </c>
      <c r="J2978">
        <v>145</v>
      </c>
      <c r="K2978" t="s">
        <v>84</v>
      </c>
      <c r="L2978" t="s">
        <v>85</v>
      </c>
      <c r="M2978" t="s">
        <v>86</v>
      </c>
      <c r="N2978">
        <v>1</v>
      </c>
      <c r="O2978" s="1">
        <v>44223.69635416667</v>
      </c>
      <c r="P2978" s="1">
        <v>44223.717037037037</v>
      </c>
      <c r="Q2978">
        <v>1708</v>
      </c>
      <c r="R2978">
        <v>79</v>
      </c>
      <c r="S2978" t="b">
        <v>0</v>
      </c>
      <c r="T2978" t="s">
        <v>87</v>
      </c>
      <c r="U2978" t="b">
        <v>0</v>
      </c>
      <c r="V2978" t="s">
        <v>262</v>
      </c>
      <c r="W2978" s="1">
        <v>44223.717037037037</v>
      </c>
      <c r="X2978">
        <v>28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145</v>
      </c>
      <c r="AE2978">
        <v>0</v>
      </c>
      <c r="AF2978">
        <v>8</v>
      </c>
      <c r="AG2978">
        <v>18</v>
      </c>
      <c r="AH2978" t="s">
        <v>87</v>
      </c>
      <c r="AI2978" t="s">
        <v>87</v>
      </c>
      <c r="AJ2978" t="s">
        <v>87</v>
      </c>
      <c r="AK2978" t="s">
        <v>87</v>
      </c>
      <c r="AL2978" t="s">
        <v>87</v>
      </c>
      <c r="AM2978" t="s">
        <v>87</v>
      </c>
      <c r="AN2978" t="s">
        <v>87</v>
      </c>
      <c r="AO2978" t="s">
        <v>87</v>
      </c>
      <c r="AP2978" t="s">
        <v>87</v>
      </c>
      <c r="AQ2978" t="s">
        <v>87</v>
      </c>
      <c r="AR2978" t="s">
        <v>87</v>
      </c>
      <c r="AS2978" t="s">
        <v>87</v>
      </c>
      <c r="AT2978" t="s">
        <v>87</v>
      </c>
      <c r="AU2978" t="s">
        <v>87</v>
      </c>
      <c r="AV2978" t="s">
        <v>87</v>
      </c>
      <c r="AW2978" t="s">
        <v>87</v>
      </c>
      <c r="AX2978" t="s">
        <v>87</v>
      </c>
      <c r="AY2978" t="s">
        <v>87</v>
      </c>
      <c r="AZ2978" t="s">
        <v>87</v>
      </c>
      <c r="BA2978" t="s">
        <v>87</v>
      </c>
      <c r="BB2978" t="s">
        <v>87</v>
      </c>
      <c r="BC2978" t="s">
        <v>87</v>
      </c>
      <c r="BD2978" t="s">
        <v>87</v>
      </c>
      <c r="BE2978" t="s">
        <v>87</v>
      </c>
    </row>
    <row r="2979" spans="1:57" x14ac:dyDescent="0.45">
      <c r="A2979" t="s">
        <v>7050</v>
      </c>
      <c r="B2979" t="s">
        <v>79</v>
      </c>
      <c r="C2979" t="s">
        <v>1387</v>
      </c>
      <c r="D2979" t="s">
        <v>81</v>
      </c>
      <c r="E2979" s="2" t="str">
        <f>HYPERLINK("capsilon://?command=openfolder&amp;siteaddress=FAM.docvelocity-na8.net&amp;folderid=FX801493D8-C470-5A6D-6307-A0C2A56975C5","FX20122779")</f>
        <v>FX20122779</v>
      </c>
      <c r="F2979" t="s">
        <v>19</v>
      </c>
      <c r="G2979" t="s">
        <v>19</v>
      </c>
      <c r="H2979" t="s">
        <v>82</v>
      </c>
      <c r="I2979" t="s">
        <v>7051</v>
      </c>
      <c r="J2979">
        <v>79</v>
      </c>
      <c r="K2979" t="s">
        <v>84</v>
      </c>
      <c r="L2979" t="s">
        <v>85</v>
      </c>
      <c r="M2979" t="s">
        <v>86</v>
      </c>
      <c r="N2979">
        <v>3</v>
      </c>
      <c r="O2979" s="1">
        <v>44223.703483796293</v>
      </c>
      <c r="P2979" s="1">
        <v>44224.349733796298</v>
      </c>
      <c r="Q2979">
        <v>55314</v>
      </c>
      <c r="R2979">
        <v>522</v>
      </c>
      <c r="S2979" t="b">
        <v>0</v>
      </c>
      <c r="T2979" t="s">
        <v>87</v>
      </c>
      <c r="U2979" t="b">
        <v>0</v>
      </c>
      <c r="V2979" t="s">
        <v>242</v>
      </c>
      <c r="W2979" s="1">
        <v>44223.708425925928</v>
      </c>
      <c r="X2979">
        <v>391</v>
      </c>
      <c r="Y2979">
        <v>70</v>
      </c>
      <c r="Z2979">
        <v>0</v>
      </c>
      <c r="AA2979">
        <v>70</v>
      </c>
      <c r="AB2979">
        <v>0</v>
      </c>
      <c r="AC2979">
        <v>26</v>
      </c>
      <c r="AD2979">
        <v>9</v>
      </c>
      <c r="AE2979">
        <v>0</v>
      </c>
      <c r="AF2979">
        <v>0</v>
      </c>
      <c r="AG2979">
        <v>0</v>
      </c>
      <c r="AH2979" t="s">
        <v>132</v>
      </c>
      <c r="AI2979" s="1">
        <v>44223.720983796295</v>
      </c>
      <c r="AJ2979">
        <v>103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9</v>
      </c>
      <c r="AQ2979">
        <v>0</v>
      </c>
      <c r="AR2979">
        <v>0</v>
      </c>
      <c r="AS2979">
        <v>0</v>
      </c>
      <c r="AT2979" t="s">
        <v>90</v>
      </c>
      <c r="AU2979" s="1">
        <v>44224.349733796298</v>
      </c>
      <c r="AV2979">
        <v>18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9</v>
      </c>
      <c r="BC2979">
        <v>0</v>
      </c>
      <c r="BD2979">
        <v>0</v>
      </c>
      <c r="BE2979">
        <v>0</v>
      </c>
    </row>
    <row r="2980" spans="1:57" x14ac:dyDescent="0.45">
      <c r="A2980" t="s">
        <v>7052</v>
      </c>
      <c r="B2980" t="s">
        <v>79</v>
      </c>
      <c r="C2980" t="s">
        <v>1274</v>
      </c>
      <c r="D2980" t="s">
        <v>81</v>
      </c>
      <c r="E2980" s="2" t="str">
        <f>HYPERLINK("capsilon://?command=openfolder&amp;siteaddress=FAM.docvelocity-na8.net&amp;folderid=FXCA43879A-2B4A-DEC9-5553-6BE802F3D38F","FX21011288")</f>
        <v>FX21011288</v>
      </c>
      <c r="F2980" t="s">
        <v>19</v>
      </c>
      <c r="G2980" t="s">
        <v>19</v>
      </c>
      <c r="H2980" t="s">
        <v>82</v>
      </c>
      <c r="I2980" t="s">
        <v>7053</v>
      </c>
      <c r="J2980">
        <v>38</v>
      </c>
      <c r="K2980" t="s">
        <v>84</v>
      </c>
      <c r="L2980" t="s">
        <v>85</v>
      </c>
      <c r="M2980" t="s">
        <v>86</v>
      </c>
      <c r="N2980">
        <v>3</v>
      </c>
      <c r="O2980" s="1">
        <v>44223.705405092594</v>
      </c>
      <c r="P2980" s="1">
        <v>44224.349826388891</v>
      </c>
      <c r="Q2980">
        <v>54862</v>
      </c>
      <c r="R2980">
        <v>816</v>
      </c>
      <c r="S2980" t="b">
        <v>0</v>
      </c>
      <c r="T2980" t="s">
        <v>87</v>
      </c>
      <c r="U2980" t="b">
        <v>0</v>
      </c>
      <c r="V2980" t="s">
        <v>179</v>
      </c>
      <c r="W2980" s="1">
        <v>44223.712777777779</v>
      </c>
      <c r="X2980">
        <v>636</v>
      </c>
      <c r="Y2980">
        <v>37</v>
      </c>
      <c r="Z2980">
        <v>0</v>
      </c>
      <c r="AA2980">
        <v>37</v>
      </c>
      <c r="AB2980">
        <v>0</v>
      </c>
      <c r="AC2980">
        <v>33</v>
      </c>
      <c r="AD2980">
        <v>1</v>
      </c>
      <c r="AE2980">
        <v>0</v>
      </c>
      <c r="AF2980">
        <v>0</v>
      </c>
      <c r="AG2980">
        <v>0</v>
      </c>
      <c r="AH2980" t="s">
        <v>132</v>
      </c>
      <c r="AI2980" s="1">
        <v>44223.722997685189</v>
      </c>
      <c r="AJ2980">
        <v>173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1</v>
      </c>
      <c r="AQ2980">
        <v>0</v>
      </c>
      <c r="AR2980">
        <v>0</v>
      </c>
      <c r="AS2980">
        <v>0</v>
      </c>
      <c r="AT2980" t="s">
        <v>90</v>
      </c>
      <c r="AU2980" s="1">
        <v>44224.349826388891</v>
      </c>
      <c r="AV2980">
        <v>7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0</v>
      </c>
      <c r="BE2980">
        <v>0</v>
      </c>
    </row>
    <row r="2981" spans="1:57" x14ac:dyDescent="0.45">
      <c r="A2981" t="s">
        <v>7054</v>
      </c>
      <c r="B2981" t="s">
        <v>79</v>
      </c>
      <c r="C2981" t="s">
        <v>926</v>
      </c>
      <c r="D2981" t="s">
        <v>81</v>
      </c>
      <c r="E2981" s="2" t="str">
        <f>HYPERLINK("capsilon://?command=openfolder&amp;siteaddress=FAM.docvelocity-na8.net&amp;folderid=FX8BBBF2EE-62B8-F2D4-7B94-95B25D6D2904","FX201112148")</f>
        <v>FX201112148</v>
      </c>
      <c r="F2981" t="s">
        <v>19</v>
      </c>
      <c r="G2981" t="s">
        <v>19</v>
      </c>
      <c r="H2981" t="s">
        <v>82</v>
      </c>
      <c r="I2981" t="s">
        <v>7055</v>
      </c>
      <c r="J2981">
        <v>97</v>
      </c>
      <c r="K2981" t="s">
        <v>84</v>
      </c>
      <c r="L2981" t="s">
        <v>85</v>
      </c>
      <c r="M2981" t="s">
        <v>86</v>
      </c>
      <c r="N2981">
        <v>3</v>
      </c>
      <c r="O2981" s="1">
        <v>44223.717233796298</v>
      </c>
      <c r="P2981" s="1">
        <v>44224.350300925929</v>
      </c>
      <c r="Q2981">
        <v>53922</v>
      </c>
      <c r="R2981">
        <v>775</v>
      </c>
      <c r="S2981" t="b">
        <v>0</v>
      </c>
      <c r="T2981" t="s">
        <v>87</v>
      </c>
      <c r="U2981" t="b">
        <v>0</v>
      </c>
      <c r="V2981" t="s">
        <v>262</v>
      </c>
      <c r="W2981" s="1">
        <v>44223.724097222221</v>
      </c>
      <c r="X2981">
        <v>589</v>
      </c>
      <c r="Y2981">
        <v>98</v>
      </c>
      <c r="Z2981">
        <v>0</v>
      </c>
      <c r="AA2981">
        <v>98</v>
      </c>
      <c r="AB2981">
        <v>0</v>
      </c>
      <c r="AC2981">
        <v>21</v>
      </c>
      <c r="AD2981">
        <v>-1</v>
      </c>
      <c r="AE2981">
        <v>0</v>
      </c>
      <c r="AF2981">
        <v>0</v>
      </c>
      <c r="AG2981">
        <v>0</v>
      </c>
      <c r="AH2981" t="s">
        <v>132</v>
      </c>
      <c r="AI2981" s="1">
        <v>44223.725995370369</v>
      </c>
      <c r="AJ2981">
        <v>146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-1</v>
      </c>
      <c r="AQ2981">
        <v>0</v>
      </c>
      <c r="AR2981">
        <v>0</v>
      </c>
      <c r="AS2981">
        <v>0</v>
      </c>
      <c r="AT2981" t="s">
        <v>90</v>
      </c>
      <c r="AU2981" s="1">
        <v>44224.350300925929</v>
      </c>
      <c r="AV2981">
        <v>40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-1</v>
      </c>
      <c r="BC2981">
        <v>0</v>
      </c>
      <c r="BD2981">
        <v>0</v>
      </c>
      <c r="BE2981">
        <v>0</v>
      </c>
    </row>
    <row r="2982" spans="1:57" x14ac:dyDescent="0.45">
      <c r="A2982" t="s">
        <v>7056</v>
      </c>
      <c r="B2982" t="s">
        <v>79</v>
      </c>
      <c r="C2982" t="s">
        <v>4133</v>
      </c>
      <c r="D2982" t="s">
        <v>81</v>
      </c>
      <c r="E2982" s="2" t="str">
        <f>HYPERLINK("capsilon://?command=openfolder&amp;siteaddress=FAM.docvelocity-na8.net&amp;folderid=FXE11191F6-99F3-A1F5-58D8-8B3285AAF28E","FX20123668")</f>
        <v>FX20123668</v>
      </c>
      <c r="F2982" t="s">
        <v>19</v>
      </c>
      <c r="G2982" t="s">
        <v>19</v>
      </c>
      <c r="H2982" t="s">
        <v>82</v>
      </c>
      <c r="I2982" t="s">
        <v>7049</v>
      </c>
      <c r="J2982">
        <v>1163</v>
      </c>
      <c r="K2982" t="s">
        <v>84</v>
      </c>
      <c r="L2982" t="s">
        <v>85</v>
      </c>
      <c r="M2982" t="s">
        <v>86</v>
      </c>
      <c r="N2982">
        <v>3</v>
      </c>
      <c r="O2982" s="1">
        <v>44223.721319444441</v>
      </c>
      <c r="P2982" s="1">
        <v>44224.342986111114</v>
      </c>
      <c r="Q2982">
        <v>46091</v>
      </c>
      <c r="R2982">
        <v>7621</v>
      </c>
      <c r="S2982" t="b">
        <v>0</v>
      </c>
      <c r="T2982" t="s">
        <v>87</v>
      </c>
      <c r="U2982" t="b">
        <v>1</v>
      </c>
      <c r="V2982" t="s">
        <v>142</v>
      </c>
      <c r="W2982" s="1">
        <v>44223.784988425927</v>
      </c>
      <c r="X2982">
        <v>5476</v>
      </c>
      <c r="Y2982">
        <v>1090</v>
      </c>
      <c r="Z2982">
        <v>0</v>
      </c>
      <c r="AA2982">
        <v>1090</v>
      </c>
      <c r="AB2982">
        <v>0</v>
      </c>
      <c r="AC2982">
        <v>529</v>
      </c>
      <c r="AD2982">
        <v>73</v>
      </c>
      <c r="AE2982">
        <v>0</v>
      </c>
      <c r="AF2982">
        <v>0</v>
      </c>
      <c r="AG2982">
        <v>0</v>
      </c>
      <c r="AH2982" t="s">
        <v>128</v>
      </c>
      <c r="AI2982" s="1">
        <v>44223.817129629628</v>
      </c>
      <c r="AJ2982">
        <v>2096</v>
      </c>
      <c r="AK2982">
        <v>12</v>
      </c>
      <c r="AL2982">
        <v>0</v>
      </c>
      <c r="AM2982">
        <v>12</v>
      </c>
      <c r="AN2982">
        <v>0</v>
      </c>
      <c r="AO2982">
        <v>12</v>
      </c>
      <c r="AP2982">
        <v>61</v>
      </c>
      <c r="AQ2982">
        <v>0</v>
      </c>
      <c r="AR2982">
        <v>0</v>
      </c>
      <c r="AS2982">
        <v>0</v>
      </c>
      <c r="AT2982" t="s">
        <v>90</v>
      </c>
      <c r="AU2982" s="1">
        <v>44224.342986111114</v>
      </c>
      <c r="AV2982">
        <v>38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61</v>
      </c>
      <c r="BC2982">
        <v>0</v>
      </c>
      <c r="BD2982">
        <v>0</v>
      </c>
      <c r="BE2982">
        <v>0</v>
      </c>
    </row>
    <row r="2983" spans="1:57" hidden="1" x14ac:dyDescent="0.45">
      <c r="A2983" t="s">
        <v>7057</v>
      </c>
      <c r="B2983" t="s">
        <v>79</v>
      </c>
      <c r="C2983" t="s">
        <v>7058</v>
      </c>
      <c r="D2983" t="s">
        <v>81</v>
      </c>
      <c r="E2983" s="2" t="str">
        <f>HYPERLINK("capsilon://?command=openfolder&amp;siteaddress=FAM.docvelocity-na8.net&amp;folderid=FXC9040B40-28CC-39F0-9301-FA5E529B9305","FX210113446")</f>
        <v>FX210113446</v>
      </c>
      <c r="F2983" t="s">
        <v>19</v>
      </c>
      <c r="G2983" t="s">
        <v>19</v>
      </c>
      <c r="H2983" t="s">
        <v>82</v>
      </c>
      <c r="I2983" t="s">
        <v>7059</v>
      </c>
      <c r="J2983">
        <v>126</v>
      </c>
      <c r="K2983" t="s">
        <v>84</v>
      </c>
      <c r="L2983" t="s">
        <v>85</v>
      </c>
      <c r="M2983" t="s">
        <v>86</v>
      </c>
      <c r="N2983">
        <v>1</v>
      </c>
      <c r="O2983" s="1">
        <v>44223.723229166666</v>
      </c>
      <c r="P2983" s="1">
        <v>44223.727442129632</v>
      </c>
      <c r="Q2983">
        <v>76</v>
      </c>
      <c r="R2983">
        <v>288</v>
      </c>
      <c r="S2983" t="b">
        <v>0</v>
      </c>
      <c r="T2983" t="s">
        <v>87</v>
      </c>
      <c r="U2983" t="b">
        <v>0</v>
      </c>
      <c r="V2983" t="s">
        <v>262</v>
      </c>
      <c r="W2983" s="1">
        <v>44223.727442129632</v>
      </c>
      <c r="X2983">
        <v>288</v>
      </c>
      <c r="Y2983">
        <v>75</v>
      </c>
      <c r="Z2983">
        <v>0</v>
      </c>
      <c r="AA2983">
        <v>75</v>
      </c>
      <c r="AB2983">
        <v>0</v>
      </c>
      <c r="AC2983">
        <v>0</v>
      </c>
      <c r="AD2983">
        <v>51</v>
      </c>
      <c r="AE2983">
        <v>33</v>
      </c>
      <c r="AF2983">
        <v>0</v>
      </c>
      <c r="AG2983">
        <v>2</v>
      </c>
      <c r="AH2983" t="s">
        <v>87</v>
      </c>
      <c r="AI2983" t="s">
        <v>87</v>
      </c>
      <c r="AJ2983" t="s">
        <v>87</v>
      </c>
      <c r="AK2983" t="s">
        <v>87</v>
      </c>
      <c r="AL2983" t="s">
        <v>87</v>
      </c>
      <c r="AM2983" t="s">
        <v>87</v>
      </c>
      <c r="AN2983" t="s">
        <v>87</v>
      </c>
      <c r="AO2983" t="s">
        <v>87</v>
      </c>
      <c r="AP2983" t="s">
        <v>87</v>
      </c>
      <c r="AQ2983" t="s">
        <v>87</v>
      </c>
      <c r="AR2983" t="s">
        <v>87</v>
      </c>
      <c r="AS2983" t="s">
        <v>87</v>
      </c>
      <c r="AT2983" t="s">
        <v>87</v>
      </c>
      <c r="AU2983" t="s">
        <v>87</v>
      </c>
      <c r="AV2983" t="s">
        <v>87</v>
      </c>
      <c r="AW2983" t="s">
        <v>87</v>
      </c>
      <c r="AX2983" t="s">
        <v>87</v>
      </c>
      <c r="AY2983" t="s">
        <v>87</v>
      </c>
      <c r="AZ2983" t="s">
        <v>87</v>
      </c>
      <c r="BA2983" t="s">
        <v>87</v>
      </c>
      <c r="BB2983" t="s">
        <v>87</v>
      </c>
      <c r="BC2983" t="s">
        <v>87</v>
      </c>
      <c r="BD2983" t="s">
        <v>87</v>
      </c>
      <c r="BE2983" t="s">
        <v>87</v>
      </c>
    </row>
    <row r="2984" spans="1:57" x14ac:dyDescent="0.45">
      <c r="A2984" t="s">
        <v>7060</v>
      </c>
      <c r="B2984" t="s">
        <v>79</v>
      </c>
      <c r="C2984" t="s">
        <v>7058</v>
      </c>
      <c r="D2984" t="s">
        <v>81</v>
      </c>
      <c r="E2984" s="2" t="str">
        <f>HYPERLINK("capsilon://?command=openfolder&amp;siteaddress=FAM.docvelocity-na8.net&amp;folderid=FXC9040B40-28CC-39F0-9301-FA5E529B9305","FX210113446")</f>
        <v>FX210113446</v>
      </c>
      <c r="F2984" t="s">
        <v>19</v>
      </c>
      <c r="G2984" t="s">
        <v>19</v>
      </c>
      <c r="H2984" t="s">
        <v>82</v>
      </c>
      <c r="I2984" t="s">
        <v>7059</v>
      </c>
      <c r="J2984">
        <v>68</v>
      </c>
      <c r="K2984" t="s">
        <v>84</v>
      </c>
      <c r="L2984" t="s">
        <v>85</v>
      </c>
      <c r="M2984" t="s">
        <v>86</v>
      </c>
      <c r="N2984">
        <v>3</v>
      </c>
      <c r="O2984" s="1">
        <v>44223.728194444448</v>
      </c>
      <c r="P2984" s="1">
        <v>44224.343657407408</v>
      </c>
      <c r="Q2984">
        <v>48544</v>
      </c>
      <c r="R2984">
        <v>4632</v>
      </c>
      <c r="S2984" t="b">
        <v>0</v>
      </c>
      <c r="T2984" t="s">
        <v>87</v>
      </c>
      <c r="U2984" t="b">
        <v>1</v>
      </c>
      <c r="V2984" t="s">
        <v>146</v>
      </c>
      <c r="W2984" s="1">
        <v>44223.777060185188</v>
      </c>
      <c r="X2984">
        <v>4124</v>
      </c>
      <c r="Y2984">
        <v>158</v>
      </c>
      <c r="Z2984">
        <v>0</v>
      </c>
      <c r="AA2984">
        <v>158</v>
      </c>
      <c r="AB2984">
        <v>0</v>
      </c>
      <c r="AC2984">
        <v>132</v>
      </c>
      <c r="AD2984">
        <v>-90</v>
      </c>
      <c r="AE2984">
        <v>0</v>
      </c>
      <c r="AF2984">
        <v>0</v>
      </c>
      <c r="AG2984">
        <v>0</v>
      </c>
      <c r="AH2984" t="s">
        <v>128</v>
      </c>
      <c r="AI2984" s="1">
        <v>44223.783518518518</v>
      </c>
      <c r="AJ2984">
        <v>451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-90</v>
      </c>
      <c r="AQ2984">
        <v>0</v>
      </c>
      <c r="AR2984">
        <v>0</v>
      </c>
      <c r="AS2984">
        <v>0</v>
      </c>
      <c r="AT2984" t="s">
        <v>90</v>
      </c>
      <c r="AU2984" s="1">
        <v>44224.343657407408</v>
      </c>
      <c r="AV2984">
        <v>57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-90</v>
      </c>
      <c r="BC2984">
        <v>0</v>
      </c>
      <c r="BD2984">
        <v>0</v>
      </c>
      <c r="BE2984">
        <v>0</v>
      </c>
    </row>
    <row r="2985" spans="1:57" x14ac:dyDescent="0.45">
      <c r="A2985" t="s">
        <v>7061</v>
      </c>
      <c r="B2985" t="s">
        <v>79</v>
      </c>
      <c r="C2985" t="s">
        <v>7062</v>
      </c>
      <c r="D2985" t="s">
        <v>81</v>
      </c>
      <c r="E2985" s="2" t="str">
        <f>HYPERLINK("capsilon://?command=openfolder&amp;siteaddress=FAM.docvelocity-na8.net&amp;folderid=FX215921A3-1377-E672-9BF3-31A447C10C26","FX201224954")</f>
        <v>FX201224954</v>
      </c>
      <c r="F2985" t="s">
        <v>19</v>
      </c>
      <c r="G2985" t="s">
        <v>19</v>
      </c>
      <c r="H2985" t="s">
        <v>82</v>
      </c>
      <c r="I2985" t="s">
        <v>7063</v>
      </c>
      <c r="J2985">
        <v>176</v>
      </c>
      <c r="K2985" t="s">
        <v>84</v>
      </c>
      <c r="L2985" t="s">
        <v>85</v>
      </c>
      <c r="M2985" t="s">
        <v>86</v>
      </c>
      <c r="N2985">
        <v>3</v>
      </c>
      <c r="O2985" s="1">
        <v>44223.729143518518</v>
      </c>
      <c r="P2985" s="1">
        <v>44224.350601851853</v>
      </c>
      <c r="Q2985">
        <v>49618</v>
      </c>
      <c r="R2985">
        <v>4076</v>
      </c>
      <c r="S2985" t="b">
        <v>0</v>
      </c>
      <c r="T2985" t="s">
        <v>87</v>
      </c>
      <c r="U2985" t="b">
        <v>0</v>
      </c>
      <c r="V2985" t="s">
        <v>160</v>
      </c>
      <c r="W2985" s="1">
        <v>44223.771689814814</v>
      </c>
      <c r="X2985">
        <v>3531</v>
      </c>
      <c r="Y2985">
        <v>207</v>
      </c>
      <c r="Z2985">
        <v>0</v>
      </c>
      <c r="AA2985">
        <v>207</v>
      </c>
      <c r="AB2985">
        <v>0</v>
      </c>
      <c r="AC2985">
        <v>165</v>
      </c>
      <c r="AD2985">
        <v>-31</v>
      </c>
      <c r="AE2985">
        <v>0</v>
      </c>
      <c r="AF2985">
        <v>0</v>
      </c>
      <c r="AG2985">
        <v>0</v>
      </c>
      <c r="AH2985" t="s">
        <v>128</v>
      </c>
      <c r="AI2985" s="1">
        <v>44223.778287037036</v>
      </c>
      <c r="AJ2985">
        <v>520</v>
      </c>
      <c r="AK2985">
        <v>1</v>
      </c>
      <c r="AL2985">
        <v>0</v>
      </c>
      <c r="AM2985">
        <v>1</v>
      </c>
      <c r="AN2985">
        <v>0</v>
      </c>
      <c r="AO2985">
        <v>1</v>
      </c>
      <c r="AP2985">
        <v>-32</v>
      </c>
      <c r="AQ2985">
        <v>0</v>
      </c>
      <c r="AR2985">
        <v>0</v>
      </c>
      <c r="AS2985">
        <v>0</v>
      </c>
      <c r="AT2985" t="s">
        <v>90</v>
      </c>
      <c r="AU2985" s="1">
        <v>44224.350601851853</v>
      </c>
      <c r="AV2985">
        <v>25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-32</v>
      </c>
      <c r="BC2985">
        <v>0</v>
      </c>
      <c r="BD2985">
        <v>0</v>
      </c>
      <c r="BE2985">
        <v>0</v>
      </c>
    </row>
    <row r="2986" spans="1:57" x14ac:dyDescent="0.45">
      <c r="A2986" t="s">
        <v>7064</v>
      </c>
      <c r="B2986" t="s">
        <v>79</v>
      </c>
      <c r="C2986" t="s">
        <v>7065</v>
      </c>
      <c r="D2986" t="s">
        <v>81</v>
      </c>
      <c r="E2986" s="2" t="str">
        <f>HYPERLINK("capsilon://?command=openfolder&amp;siteaddress=FAM.docvelocity-na8.net&amp;folderid=FXEB233EE7-2C36-94A4-CC8D-5DC0426B706C","FX21011296")</f>
        <v>FX21011296</v>
      </c>
      <c r="F2986" t="s">
        <v>19</v>
      </c>
      <c r="G2986" t="s">
        <v>19</v>
      </c>
      <c r="H2986" t="s">
        <v>82</v>
      </c>
      <c r="I2986" t="s">
        <v>7066</v>
      </c>
      <c r="J2986">
        <v>233</v>
      </c>
      <c r="K2986" t="s">
        <v>84</v>
      </c>
      <c r="L2986" t="s">
        <v>85</v>
      </c>
      <c r="M2986" t="s">
        <v>86</v>
      </c>
      <c r="N2986">
        <v>3</v>
      </c>
      <c r="O2986" s="1">
        <v>44201.693333333336</v>
      </c>
      <c r="P2986" s="1">
        <v>44202.354629629626</v>
      </c>
      <c r="Q2986">
        <v>54723</v>
      </c>
      <c r="R2986">
        <v>2413</v>
      </c>
      <c r="S2986" t="b">
        <v>0</v>
      </c>
      <c r="T2986" t="s">
        <v>87</v>
      </c>
      <c r="U2986" t="b">
        <v>0</v>
      </c>
      <c r="V2986" t="s">
        <v>259</v>
      </c>
      <c r="W2986" s="1">
        <v>44201.713402777779</v>
      </c>
      <c r="X2986">
        <v>1614</v>
      </c>
      <c r="Y2986">
        <v>161</v>
      </c>
      <c r="Z2986">
        <v>0</v>
      </c>
      <c r="AA2986">
        <v>161</v>
      </c>
      <c r="AB2986">
        <v>60</v>
      </c>
      <c r="AC2986">
        <v>79</v>
      </c>
      <c r="AD2986">
        <v>72</v>
      </c>
      <c r="AE2986">
        <v>0</v>
      </c>
      <c r="AF2986">
        <v>0</v>
      </c>
      <c r="AG2986">
        <v>0</v>
      </c>
      <c r="AH2986" t="s">
        <v>128</v>
      </c>
      <c r="AI2986" s="1">
        <v>44201.73709490741</v>
      </c>
      <c r="AJ2986">
        <v>673</v>
      </c>
      <c r="AK2986">
        <v>1</v>
      </c>
      <c r="AL2986">
        <v>0</v>
      </c>
      <c r="AM2986">
        <v>1</v>
      </c>
      <c r="AN2986">
        <v>60</v>
      </c>
      <c r="AO2986">
        <v>1</v>
      </c>
      <c r="AP2986">
        <v>71</v>
      </c>
      <c r="AQ2986">
        <v>0</v>
      </c>
      <c r="AR2986">
        <v>0</v>
      </c>
      <c r="AS2986">
        <v>0</v>
      </c>
      <c r="AT2986" t="s">
        <v>90</v>
      </c>
      <c r="AU2986" s="1">
        <v>44202.354629629626</v>
      </c>
      <c r="AV2986">
        <v>126</v>
      </c>
      <c r="AW2986">
        <v>0</v>
      </c>
      <c r="AX2986">
        <v>0</v>
      </c>
      <c r="AY2986">
        <v>0</v>
      </c>
      <c r="AZ2986">
        <v>60</v>
      </c>
      <c r="BA2986">
        <v>0</v>
      </c>
      <c r="BB2986">
        <v>71</v>
      </c>
      <c r="BC2986">
        <v>0</v>
      </c>
      <c r="BD2986">
        <v>0</v>
      </c>
      <c r="BE2986">
        <v>0</v>
      </c>
    </row>
    <row r="2987" spans="1:57" hidden="1" x14ac:dyDescent="0.45">
      <c r="A2987" t="s">
        <v>7067</v>
      </c>
      <c r="B2987" t="s">
        <v>79</v>
      </c>
      <c r="C2987" t="s">
        <v>7068</v>
      </c>
      <c r="D2987" t="s">
        <v>81</v>
      </c>
      <c r="E2987" s="2" t="str">
        <f>HYPERLINK("capsilon://?command=openfolder&amp;siteaddress=FAM.docvelocity-na8.net&amp;folderid=FXB5CCB5E2-57BA-98EE-3342-21AFDD65522B","FX201224388")</f>
        <v>FX201224388</v>
      </c>
      <c r="F2987" t="s">
        <v>19</v>
      </c>
      <c r="G2987" t="s">
        <v>19</v>
      </c>
      <c r="H2987" t="s">
        <v>82</v>
      </c>
      <c r="I2987" t="s">
        <v>7069</v>
      </c>
      <c r="J2987">
        <v>66</v>
      </c>
      <c r="K2987" t="s">
        <v>84</v>
      </c>
      <c r="L2987" t="s">
        <v>85</v>
      </c>
      <c r="M2987" t="s">
        <v>86</v>
      </c>
      <c r="N2987">
        <v>1</v>
      </c>
      <c r="O2987" s="1">
        <v>44223.74046296296</v>
      </c>
      <c r="P2987" s="1">
        <v>44223.741099537037</v>
      </c>
      <c r="Q2987">
        <v>34</v>
      </c>
      <c r="R2987">
        <v>21</v>
      </c>
      <c r="S2987" t="b">
        <v>0</v>
      </c>
      <c r="T2987" t="s">
        <v>87</v>
      </c>
      <c r="U2987" t="b">
        <v>0</v>
      </c>
      <c r="V2987" t="s">
        <v>168</v>
      </c>
      <c r="W2987" s="1">
        <v>44223.741099537037</v>
      </c>
      <c r="X2987">
        <v>21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66</v>
      </c>
      <c r="AE2987">
        <v>0</v>
      </c>
      <c r="AF2987">
        <v>0</v>
      </c>
      <c r="AG2987">
        <v>1</v>
      </c>
      <c r="AH2987" t="s">
        <v>87</v>
      </c>
      <c r="AI2987" t="s">
        <v>87</v>
      </c>
      <c r="AJ2987" t="s">
        <v>87</v>
      </c>
      <c r="AK2987" t="s">
        <v>87</v>
      </c>
      <c r="AL2987" t="s">
        <v>87</v>
      </c>
      <c r="AM2987" t="s">
        <v>87</v>
      </c>
      <c r="AN2987" t="s">
        <v>87</v>
      </c>
      <c r="AO2987" t="s">
        <v>87</v>
      </c>
      <c r="AP2987" t="s">
        <v>87</v>
      </c>
      <c r="AQ2987" t="s">
        <v>87</v>
      </c>
      <c r="AR2987" t="s">
        <v>87</v>
      </c>
      <c r="AS2987" t="s">
        <v>87</v>
      </c>
      <c r="AT2987" t="s">
        <v>87</v>
      </c>
      <c r="AU2987" t="s">
        <v>87</v>
      </c>
      <c r="AV2987" t="s">
        <v>87</v>
      </c>
      <c r="AW2987" t="s">
        <v>87</v>
      </c>
      <c r="AX2987" t="s">
        <v>87</v>
      </c>
      <c r="AY2987" t="s">
        <v>87</v>
      </c>
      <c r="AZ2987" t="s">
        <v>87</v>
      </c>
      <c r="BA2987" t="s">
        <v>87</v>
      </c>
      <c r="BB2987" t="s">
        <v>87</v>
      </c>
      <c r="BC2987" t="s">
        <v>87</v>
      </c>
      <c r="BD2987" t="s">
        <v>87</v>
      </c>
      <c r="BE2987" t="s">
        <v>87</v>
      </c>
    </row>
    <row r="2988" spans="1:57" x14ac:dyDescent="0.45">
      <c r="A2988" t="s">
        <v>7070</v>
      </c>
      <c r="B2988" t="s">
        <v>79</v>
      </c>
      <c r="C2988" t="s">
        <v>7071</v>
      </c>
      <c r="D2988" t="s">
        <v>81</v>
      </c>
      <c r="E2988" s="2" t="str">
        <f>HYPERLINK("capsilon://?command=openfolder&amp;siteaddress=FAM.docvelocity-na8.net&amp;folderid=FX4324D98E-2644-9F13-C399-EA3EF26E4901","FX210115316")</f>
        <v>FX210115316</v>
      </c>
      <c r="F2988" t="s">
        <v>19</v>
      </c>
      <c r="G2988" t="s">
        <v>19</v>
      </c>
      <c r="H2988" t="s">
        <v>82</v>
      </c>
      <c r="I2988" t="s">
        <v>7072</v>
      </c>
      <c r="J2988">
        <v>480</v>
      </c>
      <c r="K2988" t="s">
        <v>84</v>
      </c>
      <c r="L2988" t="s">
        <v>85</v>
      </c>
      <c r="M2988" t="s">
        <v>86</v>
      </c>
      <c r="N2988">
        <v>3</v>
      </c>
      <c r="O2988" s="1">
        <v>44223.74113425926</v>
      </c>
      <c r="P2988" s="1">
        <v>44224.351273148146</v>
      </c>
      <c r="Q2988">
        <v>49031</v>
      </c>
      <c r="R2988">
        <v>3685</v>
      </c>
      <c r="S2988" t="b">
        <v>0</v>
      </c>
      <c r="T2988" t="s">
        <v>87</v>
      </c>
      <c r="U2988" t="b">
        <v>0</v>
      </c>
      <c r="V2988" t="s">
        <v>168</v>
      </c>
      <c r="W2988" s="1">
        <v>44223.773784722223</v>
      </c>
      <c r="X2988">
        <v>2820</v>
      </c>
      <c r="Y2988">
        <v>389</v>
      </c>
      <c r="Z2988">
        <v>0</v>
      </c>
      <c r="AA2988">
        <v>389</v>
      </c>
      <c r="AB2988">
        <v>37</v>
      </c>
      <c r="AC2988">
        <v>135</v>
      </c>
      <c r="AD2988">
        <v>91</v>
      </c>
      <c r="AE2988">
        <v>0</v>
      </c>
      <c r="AF2988">
        <v>0</v>
      </c>
      <c r="AG2988">
        <v>0</v>
      </c>
      <c r="AH2988" t="s">
        <v>128</v>
      </c>
      <c r="AI2988" s="1">
        <v>44223.792858796296</v>
      </c>
      <c r="AJ2988">
        <v>807</v>
      </c>
      <c r="AK2988">
        <v>0</v>
      </c>
      <c r="AL2988">
        <v>0</v>
      </c>
      <c r="AM2988">
        <v>0</v>
      </c>
      <c r="AN2988">
        <v>37</v>
      </c>
      <c r="AO2988">
        <v>0</v>
      </c>
      <c r="AP2988">
        <v>91</v>
      </c>
      <c r="AQ2988">
        <v>0</v>
      </c>
      <c r="AR2988">
        <v>0</v>
      </c>
      <c r="AS2988">
        <v>0</v>
      </c>
      <c r="AT2988" t="s">
        <v>90</v>
      </c>
      <c r="AU2988" s="1">
        <v>44224.351273148146</v>
      </c>
      <c r="AV2988">
        <v>58</v>
      </c>
      <c r="AW2988">
        <v>0</v>
      </c>
      <c r="AX2988">
        <v>0</v>
      </c>
      <c r="AY2988">
        <v>0</v>
      </c>
      <c r="AZ2988">
        <v>37</v>
      </c>
      <c r="BA2988">
        <v>0</v>
      </c>
      <c r="BB2988">
        <v>91</v>
      </c>
      <c r="BC2988">
        <v>0</v>
      </c>
      <c r="BD2988">
        <v>0</v>
      </c>
      <c r="BE2988">
        <v>0</v>
      </c>
    </row>
    <row r="2989" spans="1:57" x14ac:dyDescent="0.45">
      <c r="A2989" t="s">
        <v>7073</v>
      </c>
      <c r="B2989" t="s">
        <v>79</v>
      </c>
      <c r="C2989" t="s">
        <v>7068</v>
      </c>
      <c r="D2989" t="s">
        <v>81</v>
      </c>
      <c r="E2989" s="2" t="str">
        <f>HYPERLINK("capsilon://?command=openfolder&amp;siteaddress=FAM.docvelocity-na8.net&amp;folderid=FXB5CCB5E2-57BA-98EE-3342-21AFDD65522B","FX201224388")</f>
        <v>FX201224388</v>
      </c>
      <c r="F2989" t="s">
        <v>19</v>
      </c>
      <c r="G2989" t="s">
        <v>19</v>
      </c>
      <c r="H2989" t="s">
        <v>82</v>
      </c>
      <c r="I2989" t="s">
        <v>7069</v>
      </c>
      <c r="J2989">
        <v>38</v>
      </c>
      <c r="K2989" t="s">
        <v>84</v>
      </c>
      <c r="L2989" t="s">
        <v>85</v>
      </c>
      <c r="M2989" t="s">
        <v>86</v>
      </c>
      <c r="N2989">
        <v>3</v>
      </c>
      <c r="O2989" s="1">
        <v>44223.741331018522</v>
      </c>
      <c r="P2989" s="1">
        <v>44224.343738425923</v>
      </c>
      <c r="Q2989">
        <v>51311</v>
      </c>
      <c r="R2989">
        <v>737</v>
      </c>
      <c r="S2989" t="b">
        <v>0</v>
      </c>
      <c r="T2989" t="s">
        <v>87</v>
      </c>
      <c r="U2989" t="b">
        <v>1</v>
      </c>
      <c r="V2989" t="s">
        <v>179</v>
      </c>
      <c r="W2989" s="1">
        <v>44223.748229166667</v>
      </c>
      <c r="X2989">
        <v>595</v>
      </c>
      <c r="Y2989">
        <v>37</v>
      </c>
      <c r="Z2989">
        <v>0</v>
      </c>
      <c r="AA2989">
        <v>37</v>
      </c>
      <c r="AB2989">
        <v>0</v>
      </c>
      <c r="AC2989">
        <v>35</v>
      </c>
      <c r="AD2989">
        <v>1</v>
      </c>
      <c r="AE2989">
        <v>0</v>
      </c>
      <c r="AF2989">
        <v>0</v>
      </c>
      <c r="AG2989">
        <v>0</v>
      </c>
      <c r="AH2989" t="s">
        <v>128</v>
      </c>
      <c r="AI2989" s="1">
        <v>44223.757291666669</v>
      </c>
      <c r="AJ2989">
        <v>136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</v>
      </c>
      <c r="AQ2989">
        <v>0</v>
      </c>
      <c r="AR2989">
        <v>0</v>
      </c>
      <c r="AS2989">
        <v>0</v>
      </c>
      <c r="AT2989" t="s">
        <v>90</v>
      </c>
      <c r="AU2989" s="1">
        <v>44224.343738425923</v>
      </c>
      <c r="AV2989">
        <v>6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1</v>
      </c>
      <c r="BC2989">
        <v>0</v>
      </c>
      <c r="BD2989">
        <v>0</v>
      </c>
      <c r="BE2989">
        <v>0</v>
      </c>
    </row>
    <row r="2990" spans="1:57" x14ac:dyDescent="0.45">
      <c r="A2990" t="s">
        <v>7074</v>
      </c>
      <c r="B2990" t="s">
        <v>79</v>
      </c>
      <c r="C2990" t="s">
        <v>7071</v>
      </c>
      <c r="D2990" t="s">
        <v>81</v>
      </c>
      <c r="E2990" s="2" t="str">
        <f t="shared" ref="E2990:E2996" si="3">HYPERLINK("capsilon://?command=openfolder&amp;siteaddress=FAM.docvelocity-na8.net&amp;folderid=FX4324D98E-2644-9F13-C399-EA3EF26E4901","FX210115316")</f>
        <v>FX210115316</v>
      </c>
      <c r="F2990" t="s">
        <v>19</v>
      </c>
      <c r="G2990" t="s">
        <v>19</v>
      </c>
      <c r="H2990" t="s">
        <v>82</v>
      </c>
      <c r="I2990" t="s">
        <v>7075</v>
      </c>
      <c r="J2990">
        <v>95</v>
      </c>
      <c r="K2990" t="s">
        <v>84</v>
      </c>
      <c r="L2990" t="s">
        <v>85</v>
      </c>
      <c r="M2990" t="s">
        <v>86</v>
      </c>
      <c r="N2990">
        <v>3</v>
      </c>
      <c r="O2990" s="1">
        <v>44223.747152777774</v>
      </c>
      <c r="P2990" s="1">
        <v>44224.351388888892</v>
      </c>
      <c r="Q2990">
        <v>51150</v>
      </c>
      <c r="R2990">
        <v>1056</v>
      </c>
      <c r="S2990" t="b">
        <v>0</v>
      </c>
      <c r="T2990" t="s">
        <v>87</v>
      </c>
      <c r="U2990" t="b">
        <v>0</v>
      </c>
      <c r="V2990" t="s">
        <v>171</v>
      </c>
      <c r="W2990" s="1">
        <v>44223.756585648145</v>
      </c>
      <c r="X2990">
        <v>814</v>
      </c>
      <c r="Y2990">
        <v>82</v>
      </c>
      <c r="Z2990">
        <v>0</v>
      </c>
      <c r="AA2990">
        <v>82</v>
      </c>
      <c r="AB2990">
        <v>0</v>
      </c>
      <c r="AC2990">
        <v>31</v>
      </c>
      <c r="AD2990">
        <v>13</v>
      </c>
      <c r="AE2990">
        <v>0</v>
      </c>
      <c r="AF2990">
        <v>0</v>
      </c>
      <c r="AG2990">
        <v>0</v>
      </c>
      <c r="AH2990" t="s">
        <v>128</v>
      </c>
      <c r="AI2990" s="1">
        <v>44223.76</v>
      </c>
      <c r="AJ2990">
        <v>233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13</v>
      </c>
      <c r="AQ2990">
        <v>0</v>
      </c>
      <c r="AR2990">
        <v>0</v>
      </c>
      <c r="AS2990">
        <v>0</v>
      </c>
      <c r="AT2990" t="s">
        <v>90</v>
      </c>
      <c r="AU2990" s="1">
        <v>44224.351388888892</v>
      </c>
      <c r="AV2990">
        <v>9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13</v>
      </c>
      <c r="BC2990">
        <v>0</v>
      </c>
      <c r="BD2990">
        <v>0</v>
      </c>
      <c r="BE2990">
        <v>0</v>
      </c>
    </row>
    <row r="2991" spans="1:57" x14ac:dyDescent="0.45">
      <c r="A2991" t="s">
        <v>7076</v>
      </c>
      <c r="B2991" t="s">
        <v>79</v>
      </c>
      <c r="C2991" t="s">
        <v>7071</v>
      </c>
      <c r="D2991" t="s">
        <v>81</v>
      </c>
      <c r="E2991" s="2" t="str">
        <f t="shared" si="3"/>
        <v>FX210115316</v>
      </c>
      <c r="F2991" t="s">
        <v>19</v>
      </c>
      <c r="G2991" t="s">
        <v>19</v>
      </c>
      <c r="H2991" t="s">
        <v>82</v>
      </c>
      <c r="I2991" t="s">
        <v>7077</v>
      </c>
      <c r="J2991">
        <v>64</v>
      </c>
      <c r="K2991" t="s">
        <v>84</v>
      </c>
      <c r="L2991" t="s">
        <v>85</v>
      </c>
      <c r="M2991" t="s">
        <v>86</v>
      </c>
      <c r="N2991">
        <v>3</v>
      </c>
      <c r="O2991" s="1">
        <v>44223.747418981482</v>
      </c>
      <c r="P2991" s="1">
        <v>44224.351435185185</v>
      </c>
      <c r="Q2991">
        <v>51740</v>
      </c>
      <c r="R2991">
        <v>447</v>
      </c>
      <c r="S2991" t="b">
        <v>0</v>
      </c>
      <c r="T2991" t="s">
        <v>87</v>
      </c>
      <c r="U2991" t="b">
        <v>0</v>
      </c>
      <c r="V2991" t="s">
        <v>179</v>
      </c>
      <c r="W2991" s="1">
        <v>44223.751550925925</v>
      </c>
      <c r="X2991">
        <v>287</v>
      </c>
      <c r="Y2991">
        <v>57</v>
      </c>
      <c r="Z2991">
        <v>0</v>
      </c>
      <c r="AA2991">
        <v>57</v>
      </c>
      <c r="AB2991">
        <v>0</v>
      </c>
      <c r="AC2991">
        <v>7</v>
      </c>
      <c r="AD2991">
        <v>7</v>
      </c>
      <c r="AE2991">
        <v>0</v>
      </c>
      <c r="AF2991">
        <v>0</v>
      </c>
      <c r="AG2991">
        <v>0</v>
      </c>
      <c r="AH2991" t="s">
        <v>128</v>
      </c>
      <c r="AI2991" s="1">
        <v>44223.761805555558</v>
      </c>
      <c r="AJ2991">
        <v>156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7</v>
      </c>
      <c r="AQ2991">
        <v>0</v>
      </c>
      <c r="AR2991">
        <v>0</v>
      </c>
      <c r="AS2991">
        <v>0</v>
      </c>
      <c r="AT2991" t="s">
        <v>90</v>
      </c>
      <c r="AU2991" s="1">
        <v>44224.351435185185</v>
      </c>
      <c r="AV2991">
        <v>4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7</v>
      </c>
      <c r="BC2991">
        <v>0</v>
      </c>
      <c r="BD2991">
        <v>0</v>
      </c>
      <c r="BE2991">
        <v>0</v>
      </c>
    </row>
    <row r="2992" spans="1:57" x14ac:dyDescent="0.45">
      <c r="A2992" t="s">
        <v>7078</v>
      </c>
      <c r="B2992" t="s">
        <v>79</v>
      </c>
      <c r="C2992" t="s">
        <v>7071</v>
      </c>
      <c r="D2992" t="s">
        <v>81</v>
      </c>
      <c r="E2992" s="2" t="str">
        <f t="shared" si="3"/>
        <v>FX210115316</v>
      </c>
      <c r="F2992" t="s">
        <v>19</v>
      </c>
      <c r="G2992" t="s">
        <v>19</v>
      </c>
      <c r="H2992" t="s">
        <v>82</v>
      </c>
      <c r="I2992" t="s">
        <v>7079</v>
      </c>
      <c r="J2992">
        <v>26</v>
      </c>
      <c r="K2992" t="s">
        <v>84</v>
      </c>
      <c r="L2992" t="s">
        <v>85</v>
      </c>
      <c r="M2992" t="s">
        <v>86</v>
      </c>
      <c r="N2992">
        <v>3</v>
      </c>
      <c r="O2992" s="1">
        <v>44223.747465277775</v>
      </c>
      <c r="P2992" s="1">
        <v>44224.351504629631</v>
      </c>
      <c r="Q2992">
        <v>51894</v>
      </c>
      <c r="R2992">
        <v>295</v>
      </c>
      <c r="S2992" t="b">
        <v>0</v>
      </c>
      <c r="T2992" t="s">
        <v>87</v>
      </c>
      <c r="U2992" t="b">
        <v>0</v>
      </c>
      <c r="V2992" t="s">
        <v>179</v>
      </c>
      <c r="W2992" s="1">
        <v>44223.753368055557</v>
      </c>
      <c r="X2992">
        <v>157</v>
      </c>
      <c r="Y2992">
        <v>21</v>
      </c>
      <c r="Z2992">
        <v>0</v>
      </c>
      <c r="AA2992">
        <v>21</v>
      </c>
      <c r="AB2992">
        <v>0</v>
      </c>
      <c r="AC2992">
        <v>4</v>
      </c>
      <c r="AD2992">
        <v>5</v>
      </c>
      <c r="AE2992">
        <v>0</v>
      </c>
      <c r="AF2992">
        <v>0</v>
      </c>
      <c r="AG2992">
        <v>0</v>
      </c>
      <c r="AH2992" t="s">
        <v>128</v>
      </c>
      <c r="AI2992" s="1">
        <v>44223.763344907406</v>
      </c>
      <c r="AJ2992">
        <v>132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5</v>
      </c>
      <c r="AQ2992">
        <v>0</v>
      </c>
      <c r="AR2992">
        <v>0</v>
      </c>
      <c r="AS2992">
        <v>0</v>
      </c>
      <c r="AT2992" t="s">
        <v>90</v>
      </c>
      <c r="AU2992" s="1">
        <v>44224.351504629631</v>
      </c>
      <c r="AV2992">
        <v>6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5</v>
      </c>
      <c r="BC2992">
        <v>0</v>
      </c>
      <c r="BD2992">
        <v>0</v>
      </c>
      <c r="BE2992">
        <v>0</v>
      </c>
    </row>
    <row r="2993" spans="1:57" x14ac:dyDescent="0.45">
      <c r="A2993" t="s">
        <v>7080</v>
      </c>
      <c r="B2993" t="s">
        <v>79</v>
      </c>
      <c r="C2993" t="s">
        <v>7071</v>
      </c>
      <c r="D2993" t="s">
        <v>81</v>
      </c>
      <c r="E2993" s="2" t="str">
        <f t="shared" si="3"/>
        <v>FX210115316</v>
      </c>
      <c r="F2993" t="s">
        <v>19</v>
      </c>
      <c r="G2993" t="s">
        <v>19</v>
      </c>
      <c r="H2993" t="s">
        <v>82</v>
      </c>
      <c r="I2993" t="s">
        <v>7081</v>
      </c>
      <c r="J2993">
        <v>26</v>
      </c>
      <c r="K2993" t="s">
        <v>84</v>
      </c>
      <c r="L2993" t="s">
        <v>85</v>
      </c>
      <c r="M2993" t="s">
        <v>86</v>
      </c>
      <c r="N2993">
        <v>3</v>
      </c>
      <c r="O2993" s="1">
        <v>44223.747824074075</v>
      </c>
      <c r="P2993" s="1">
        <v>44224.351539351854</v>
      </c>
      <c r="Q2993">
        <v>51871</v>
      </c>
      <c r="R2993">
        <v>290</v>
      </c>
      <c r="S2993" t="b">
        <v>0</v>
      </c>
      <c r="T2993" t="s">
        <v>87</v>
      </c>
      <c r="U2993" t="b">
        <v>0</v>
      </c>
      <c r="V2993" t="s">
        <v>179</v>
      </c>
      <c r="W2993" s="1">
        <v>44223.755439814813</v>
      </c>
      <c r="X2993">
        <v>179</v>
      </c>
      <c r="Y2993">
        <v>21</v>
      </c>
      <c r="Z2993">
        <v>0</v>
      </c>
      <c r="AA2993">
        <v>21</v>
      </c>
      <c r="AB2993">
        <v>0</v>
      </c>
      <c r="AC2993">
        <v>8</v>
      </c>
      <c r="AD2993">
        <v>5</v>
      </c>
      <c r="AE2993">
        <v>0</v>
      </c>
      <c r="AF2993">
        <v>0</v>
      </c>
      <c r="AG2993">
        <v>0</v>
      </c>
      <c r="AH2993" t="s">
        <v>128</v>
      </c>
      <c r="AI2993" s="1">
        <v>44223.764606481483</v>
      </c>
      <c r="AJ2993">
        <v>108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5</v>
      </c>
      <c r="AQ2993">
        <v>0</v>
      </c>
      <c r="AR2993">
        <v>0</v>
      </c>
      <c r="AS2993">
        <v>0</v>
      </c>
      <c r="AT2993" t="s">
        <v>90</v>
      </c>
      <c r="AU2993" s="1">
        <v>44224.351539351854</v>
      </c>
      <c r="AV2993">
        <v>3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5</v>
      </c>
      <c r="BC2993">
        <v>0</v>
      </c>
      <c r="BD2993">
        <v>0</v>
      </c>
      <c r="BE2993">
        <v>0</v>
      </c>
    </row>
    <row r="2994" spans="1:57" x14ac:dyDescent="0.45">
      <c r="A2994" t="s">
        <v>7082</v>
      </c>
      <c r="B2994" t="s">
        <v>79</v>
      </c>
      <c r="C2994" t="s">
        <v>7071</v>
      </c>
      <c r="D2994" t="s">
        <v>81</v>
      </c>
      <c r="E2994" s="2" t="str">
        <f t="shared" si="3"/>
        <v>FX210115316</v>
      </c>
      <c r="F2994" t="s">
        <v>19</v>
      </c>
      <c r="G2994" t="s">
        <v>19</v>
      </c>
      <c r="H2994" t="s">
        <v>82</v>
      </c>
      <c r="I2994" t="s">
        <v>7083</v>
      </c>
      <c r="J2994">
        <v>54</v>
      </c>
      <c r="K2994" t="s">
        <v>84</v>
      </c>
      <c r="L2994" t="s">
        <v>85</v>
      </c>
      <c r="M2994" t="s">
        <v>86</v>
      </c>
      <c r="N2994">
        <v>3</v>
      </c>
      <c r="O2994" s="1">
        <v>44223.748553240737</v>
      </c>
      <c r="P2994" s="1">
        <v>44224.351585648146</v>
      </c>
      <c r="Q2994">
        <v>51711</v>
      </c>
      <c r="R2994">
        <v>391</v>
      </c>
      <c r="S2994" t="b">
        <v>0</v>
      </c>
      <c r="T2994" t="s">
        <v>87</v>
      </c>
      <c r="U2994" t="b">
        <v>0</v>
      </c>
      <c r="V2994" t="s">
        <v>179</v>
      </c>
      <c r="W2994" s="1">
        <v>44223.758101851854</v>
      </c>
      <c r="X2994">
        <v>229</v>
      </c>
      <c r="Y2994">
        <v>52</v>
      </c>
      <c r="Z2994">
        <v>0</v>
      </c>
      <c r="AA2994">
        <v>52</v>
      </c>
      <c r="AB2994">
        <v>0</v>
      </c>
      <c r="AC2994">
        <v>8</v>
      </c>
      <c r="AD2994">
        <v>2</v>
      </c>
      <c r="AE2994">
        <v>0</v>
      </c>
      <c r="AF2994">
        <v>0</v>
      </c>
      <c r="AG2994">
        <v>0</v>
      </c>
      <c r="AH2994" t="s">
        <v>128</v>
      </c>
      <c r="AI2994" s="1">
        <v>44223.766446759262</v>
      </c>
      <c r="AJ2994">
        <v>159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2</v>
      </c>
      <c r="AQ2994">
        <v>0</v>
      </c>
      <c r="AR2994">
        <v>0</v>
      </c>
      <c r="AS2994">
        <v>0</v>
      </c>
      <c r="AT2994" t="s">
        <v>90</v>
      </c>
      <c r="AU2994" s="1">
        <v>44224.351585648146</v>
      </c>
      <c r="AV2994">
        <v>3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2</v>
      </c>
      <c r="BC2994">
        <v>0</v>
      </c>
      <c r="BD2994">
        <v>0</v>
      </c>
      <c r="BE2994">
        <v>0</v>
      </c>
    </row>
    <row r="2995" spans="1:57" x14ac:dyDescent="0.45">
      <c r="A2995" t="s">
        <v>7084</v>
      </c>
      <c r="B2995" t="s">
        <v>79</v>
      </c>
      <c r="C2995" t="s">
        <v>7071</v>
      </c>
      <c r="D2995" t="s">
        <v>81</v>
      </c>
      <c r="E2995" s="2" t="str">
        <f t="shared" si="3"/>
        <v>FX210115316</v>
      </c>
      <c r="F2995" t="s">
        <v>19</v>
      </c>
      <c r="G2995" t="s">
        <v>19</v>
      </c>
      <c r="H2995" t="s">
        <v>82</v>
      </c>
      <c r="I2995" t="s">
        <v>7085</v>
      </c>
      <c r="J2995">
        <v>65</v>
      </c>
      <c r="K2995" t="s">
        <v>84</v>
      </c>
      <c r="L2995" t="s">
        <v>85</v>
      </c>
      <c r="M2995" t="s">
        <v>86</v>
      </c>
      <c r="N2995">
        <v>3</v>
      </c>
      <c r="O2995" s="1">
        <v>44223.748923611114</v>
      </c>
      <c r="P2995" s="1">
        <v>44224.351631944446</v>
      </c>
      <c r="Q2995">
        <v>51394</v>
      </c>
      <c r="R2995">
        <v>680</v>
      </c>
      <c r="S2995" t="b">
        <v>0</v>
      </c>
      <c r="T2995" t="s">
        <v>87</v>
      </c>
      <c r="U2995" t="b">
        <v>0</v>
      </c>
      <c r="V2995" t="s">
        <v>171</v>
      </c>
      <c r="W2995" s="1">
        <v>44223.762002314812</v>
      </c>
      <c r="X2995">
        <v>467</v>
      </c>
      <c r="Y2995">
        <v>52</v>
      </c>
      <c r="Z2995">
        <v>0</v>
      </c>
      <c r="AA2995">
        <v>52</v>
      </c>
      <c r="AB2995">
        <v>0</v>
      </c>
      <c r="AC2995">
        <v>25</v>
      </c>
      <c r="AD2995">
        <v>13</v>
      </c>
      <c r="AE2995">
        <v>0</v>
      </c>
      <c r="AF2995">
        <v>0</v>
      </c>
      <c r="AG2995">
        <v>0</v>
      </c>
      <c r="AH2995" t="s">
        <v>147</v>
      </c>
      <c r="AI2995" s="1">
        <v>44223.768148148149</v>
      </c>
      <c r="AJ2995">
        <v>210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13</v>
      </c>
      <c r="AQ2995">
        <v>0</v>
      </c>
      <c r="AR2995">
        <v>0</v>
      </c>
      <c r="AS2995">
        <v>0</v>
      </c>
      <c r="AT2995" t="s">
        <v>90</v>
      </c>
      <c r="AU2995" s="1">
        <v>44224.351631944446</v>
      </c>
      <c r="AV2995">
        <v>3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13</v>
      </c>
      <c r="BC2995">
        <v>0</v>
      </c>
      <c r="BD2995">
        <v>0</v>
      </c>
      <c r="BE2995">
        <v>0</v>
      </c>
    </row>
    <row r="2996" spans="1:57" x14ac:dyDescent="0.45">
      <c r="A2996" t="s">
        <v>7086</v>
      </c>
      <c r="B2996" t="s">
        <v>79</v>
      </c>
      <c r="C2996" t="s">
        <v>7071</v>
      </c>
      <c r="D2996" t="s">
        <v>81</v>
      </c>
      <c r="E2996" s="2" t="str">
        <f t="shared" si="3"/>
        <v>FX210115316</v>
      </c>
      <c r="F2996" t="s">
        <v>19</v>
      </c>
      <c r="G2996" t="s">
        <v>19</v>
      </c>
      <c r="H2996" t="s">
        <v>82</v>
      </c>
      <c r="I2996" t="s">
        <v>7087</v>
      </c>
      <c r="J2996">
        <v>74</v>
      </c>
      <c r="K2996" t="s">
        <v>84</v>
      </c>
      <c r="L2996" t="s">
        <v>85</v>
      </c>
      <c r="M2996" t="s">
        <v>86</v>
      </c>
      <c r="N2996">
        <v>3</v>
      </c>
      <c r="O2996" s="1">
        <v>44223.7496875</v>
      </c>
      <c r="P2996" s="1">
        <v>44224.351689814815</v>
      </c>
      <c r="Q2996">
        <v>51611</v>
      </c>
      <c r="R2996">
        <v>402</v>
      </c>
      <c r="S2996" t="b">
        <v>0</v>
      </c>
      <c r="T2996" t="s">
        <v>87</v>
      </c>
      <c r="U2996" t="b">
        <v>0</v>
      </c>
      <c r="V2996" t="s">
        <v>262</v>
      </c>
      <c r="W2996" s="1">
        <v>44223.760243055556</v>
      </c>
      <c r="X2996">
        <v>239</v>
      </c>
      <c r="Y2996">
        <v>67</v>
      </c>
      <c r="Z2996">
        <v>0</v>
      </c>
      <c r="AA2996">
        <v>67</v>
      </c>
      <c r="AB2996">
        <v>0</v>
      </c>
      <c r="AC2996">
        <v>1</v>
      </c>
      <c r="AD2996">
        <v>7</v>
      </c>
      <c r="AE2996">
        <v>0</v>
      </c>
      <c r="AF2996">
        <v>0</v>
      </c>
      <c r="AG2996">
        <v>0</v>
      </c>
      <c r="AH2996" t="s">
        <v>128</v>
      </c>
      <c r="AI2996" s="1">
        <v>44223.76829861111</v>
      </c>
      <c r="AJ2996">
        <v>159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7</v>
      </c>
      <c r="AQ2996">
        <v>0</v>
      </c>
      <c r="AR2996">
        <v>0</v>
      </c>
      <c r="AS2996">
        <v>0</v>
      </c>
      <c r="AT2996" t="s">
        <v>90</v>
      </c>
      <c r="AU2996" s="1">
        <v>44224.351689814815</v>
      </c>
      <c r="AV2996">
        <v>4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7</v>
      </c>
      <c r="BC2996">
        <v>0</v>
      </c>
      <c r="BD2996">
        <v>0</v>
      </c>
      <c r="BE2996">
        <v>0</v>
      </c>
    </row>
    <row r="2997" spans="1:57" hidden="1" x14ac:dyDescent="0.45">
      <c r="A2997" t="s">
        <v>7088</v>
      </c>
      <c r="B2997" t="s">
        <v>79</v>
      </c>
      <c r="C2997" t="s">
        <v>3862</v>
      </c>
      <c r="D2997" t="s">
        <v>81</v>
      </c>
      <c r="E2997" s="2" t="str">
        <f>HYPERLINK("capsilon://?command=openfolder&amp;siteaddress=FAM.docvelocity-na8.net&amp;folderid=FXC8A996B5-8BB8-AA33-E3BF-EDF75A8911B1","FX20124417")</f>
        <v>FX20124417</v>
      </c>
      <c r="F2997" t="s">
        <v>19</v>
      </c>
      <c r="G2997" t="s">
        <v>19</v>
      </c>
      <c r="H2997" t="s">
        <v>82</v>
      </c>
      <c r="I2997" t="s">
        <v>7089</v>
      </c>
      <c r="J2997">
        <v>66</v>
      </c>
      <c r="K2997" t="s">
        <v>84</v>
      </c>
      <c r="L2997" t="s">
        <v>85</v>
      </c>
      <c r="M2997" t="s">
        <v>86</v>
      </c>
      <c r="N2997">
        <v>3</v>
      </c>
      <c r="O2997" s="1">
        <v>44201.694421296299</v>
      </c>
      <c r="P2997" s="1">
        <v>44202.354675925926</v>
      </c>
      <c r="Q2997">
        <v>56251</v>
      </c>
      <c r="R2997">
        <v>795</v>
      </c>
      <c r="S2997" t="b">
        <v>0</v>
      </c>
      <c r="T2997" t="s">
        <v>87</v>
      </c>
      <c r="U2997" t="b">
        <v>0</v>
      </c>
      <c r="V2997" t="s">
        <v>160</v>
      </c>
      <c r="W2997" s="1">
        <v>44201.729062500002</v>
      </c>
      <c r="X2997">
        <v>43</v>
      </c>
      <c r="Y2997">
        <v>0</v>
      </c>
      <c r="Z2997">
        <v>0</v>
      </c>
      <c r="AA2997">
        <v>0</v>
      </c>
      <c r="AB2997">
        <v>52</v>
      </c>
      <c r="AC2997">
        <v>0</v>
      </c>
      <c r="AD2997">
        <v>66</v>
      </c>
      <c r="AE2997">
        <v>0</v>
      </c>
      <c r="AF2997">
        <v>0</v>
      </c>
      <c r="AG2997">
        <v>0</v>
      </c>
      <c r="AH2997" t="s">
        <v>267</v>
      </c>
      <c r="AI2997" s="1">
        <v>44201.749849537038</v>
      </c>
      <c r="AJ2997">
        <v>34</v>
      </c>
      <c r="AK2997">
        <v>0</v>
      </c>
      <c r="AL2997">
        <v>0</v>
      </c>
      <c r="AM2997">
        <v>0</v>
      </c>
      <c r="AN2997">
        <v>52</v>
      </c>
      <c r="AO2997">
        <v>0</v>
      </c>
      <c r="AP2997">
        <v>66</v>
      </c>
      <c r="AQ2997">
        <v>0</v>
      </c>
      <c r="AR2997">
        <v>0</v>
      </c>
      <c r="AS2997">
        <v>0</v>
      </c>
      <c r="AT2997" t="s">
        <v>90</v>
      </c>
      <c r="AU2997" s="1">
        <v>44202.354675925926</v>
      </c>
      <c r="AV2997">
        <v>4</v>
      </c>
      <c r="AW2997">
        <v>0</v>
      </c>
      <c r="AX2997">
        <v>0</v>
      </c>
      <c r="AY2997">
        <v>0</v>
      </c>
      <c r="AZ2997">
        <v>52</v>
      </c>
      <c r="BA2997">
        <v>0</v>
      </c>
      <c r="BB2997">
        <v>66</v>
      </c>
      <c r="BC2997">
        <v>0</v>
      </c>
      <c r="BD2997">
        <v>0</v>
      </c>
      <c r="BE2997">
        <v>0</v>
      </c>
    </row>
    <row r="2998" spans="1:57" hidden="1" x14ac:dyDescent="0.45">
      <c r="A2998" t="s">
        <v>7090</v>
      </c>
      <c r="B2998" t="s">
        <v>79</v>
      </c>
      <c r="C2998" t="s">
        <v>4385</v>
      </c>
      <c r="D2998" t="s">
        <v>81</v>
      </c>
      <c r="E2998" s="2" t="str">
        <f>HYPERLINK("capsilon://?command=openfolder&amp;siteaddress=FAM.docvelocity-na8.net&amp;folderid=FX4DD6A1B1-CF7B-759F-96BE-80282737CF56","FX201116819")</f>
        <v>FX201116819</v>
      </c>
      <c r="F2998" t="s">
        <v>19</v>
      </c>
      <c r="G2998" t="s">
        <v>19</v>
      </c>
      <c r="H2998" t="s">
        <v>82</v>
      </c>
      <c r="I2998" t="s">
        <v>7091</v>
      </c>
      <c r="J2998">
        <v>68</v>
      </c>
      <c r="K2998" t="s">
        <v>84</v>
      </c>
      <c r="L2998" t="s">
        <v>85</v>
      </c>
      <c r="M2998" t="s">
        <v>86</v>
      </c>
      <c r="N2998">
        <v>1</v>
      </c>
      <c r="O2998" s="1">
        <v>44223.753240740742</v>
      </c>
      <c r="P2998" s="1">
        <v>44223.761631944442</v>
      </c>
      <c r="Q2998">
        <v>421</v>
      </c>
      <c r="R2998">
        <v>304</v>
      </c>
      <c r="S2998" t="b">
        <v>0</v>
      </c>
      <c r="T2998" t="s">
        <v>87</v>
      </c>
      <c r="U2998" t="b">
        <v>0</v>
      </c>
      <c r="V2998" t="s">
        <v>179</v>
      </c>
      <c r="W2998" s="1">
        <v>44223.761631944442</v>
      </c>
      <c r="X2998">
        <v>304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68</v>
      </c>
      <c r="AE2998">
        <v>64</v>
      </c>
      <c r="AF2998">
        <v>0</v>
      </c>
      <c r="AG2998">
        <v>3</v>
      </c>
      <c r="AH2998" t="s">
        <v>87</v>
      </c>
      <c r="AI2998" t="s">
        <v>87</v>
      </c>
      <c r="AJ2998" t="s">
        <v>87</v>
      </c>
      <c r="AK2998" t="s">
        <v>87</v>
      </c>
      <c r="AL2998" t="s">
        <v>87</v>
      </c>
      <c r="AM2998" t="s">
        <v>87</v>
      </c>
      <c r="AN2998" t="s">
        <v>87</v>
      </c>
      <c r="AO2998" t="s">
        <v>87</v>
      </c>
      <c r="AP2998" t="s">
        <v>87</v>
      </c>
      <c r="AQ2998" t="s">
        <v>87</v>
      </c>
      <c r="AR2998" t="s">
        <v>87</v>
      </c>
      <c r="AS2998" t="s">
        <v>87</v>
      </c>
      <c r="AT2998" t="s">
        <v>87</v>
      </c>
      <c r="AU2998" t="s">
        <v>87</v>
      </c>
      <c r="AV2998" t="s">
        <v>87</v>
      </c>
      <c r="AW2998" t="s">
        <v>87</v>
      </c>
      <c r="AX2998" t="s">
        <v>87</v>
      </c>
      <c r="AY2998" t="s">
        <v>87</v>
      </c>
      <c r="AZ2998" t="s">
        <v>87</v>
      </c>
      <c r="BA2998" t="s">
        <v>87</v>
      </c>
      <c r="BB2998" t="s">
        <v>87</v>
      </c>
      <c r="BC2998" t="s">
        <v>87</v>
      </c>
      <c r="BD2998" t="s">
        <v>87</v>
      </c>
      <c r="BE2998" t="s">
        <v>87</v>
      </c>
    </row>
    <row r="2999" spans="1:57" x14ac:dyDescent="0.45">
      <c r="A2999" t="s">
        <v>7092</v>
      </c>
      <c r="B2999" t="s">
        <v>79</v>
      </c>
      <c r="C2999" t="s">
        <v>4938</v>
      </c>
      <c r="D2999" t="s">
        <v>81</v>
      </c>
      <c r="E2999" s="2" t="str">
        <f>HYPERLINK("capsilon://?command=openfolder&amp;siteaddress=FAM.docvelocity-na8.net&amp;folderid=FX30DCFA27-5B4C-23A4-8127-2DA98FF4F398","FX210112344")</f>
        <v>FX210112344</v>
      </c>
      <c r="F2999" t="s">
        <v>19</v>
      </c>
      <c r="G2999" t="s">
        <v>19</v>
      </c>
      <c r="H2999" t="s">
        <v>82</v>
      </c>
      <c r="I2999" t="s">
        <v>7093</v>
      </c>
      <c r="J2999">
        <v>26</v>
      </c>
      <c r="K2999" t="s">
        <v>84</v>
      </c>
      <c r="L2999" t="s">
        <v>85</v>
      </c>
      <c r="M2999" t="s">
        <v>86</v>
      </c>
      <c r="N2999">
        <v>3</v>
      </c>
      <c r="O2999" s="1">
        <v>44223.755729166667</v>
      </c>
      <c r="P2999" s="1">
        <v>44224.351770833331</v>
      </c>
      <c r="Q2999">
        <v>50700</v>
      </c>
      <c r="R2999">
        <v>798</v>
      </c>
      <c r="S2999" t="b">
        <v>0</v>
      </c>
      <c r="T2999" t="s">
        <v>87</v>
      </c>
      <c r="U2999" t="b">
        <v>0</v>
      </c>
      <c r="V2999" t="s">
        <v>262</v>
      </c>
      <c r="W2999" s="1">
        <v>44223.764722222222</v>
      </c>
      <c r="X2999">
        <v>387</v>
      </c>
      <c r="Y2999">
        <v>21</v>
      </c>
      <c r="Z2999">
        <v>0</v>
      </c>
      <c r="AA2999">
        <v>21</v>
      </c>
      <c r="AB2999">
        <v>0</v>
      </c>
      <c r="AC2999">
        <v>2</v>
      </c>
      <c r="AD2999">
        <v>5</v>
      </c>
      <c r="AE2999">
        <v>0</v>
      </c>
      <c r="AF2999">
        <v>0</v>
      </c>
      <c r="AG2999">
        <v>0</v>
      </c>
      <c r="AH2999" t="s">
        <v>147</v>
      </c>
      <c r="AI2999" s="1">
        <v>44223.791608796295</v>
      </c>
      <c r="AJ2999">
        <v>179</v>
      </c>
      <c r="AK2999">
        <v>2</v>
      </c>
      <c r="AL2999">
        <v>0</v>
      </c>
      <c r="AM2999">
        <v>2</v>
      </c>
      <c r="AN2999">
        <v>0</v>
      </c>
      <c r="AO2999">
        <v>1</v>
      </c>
      <c r="AP2999">
        <v>3</v>
      </c>
      <c r="AQ2999">
        <v>0</v>
      </c>
      <c r="AR2999">
        <v>0</v>
      </c>
      <c r="AS2999">
        <v>0</v>
      </c>
      <c r="AT2999" t="s">
        <v>90</v>
      </c>
      <c r="AU2999" s="1">
        <v>44224.351770833331</v>
      </c>
      <c r="AV2999">
        <v>7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3</v>
      </c>
      <c r="BC2999">
        <v>0</v>
      </c>
      <c r="BD2999">
        <v>0</v>
      </c>
      <c r="BE2999">
        <v>0</v>
      </c>
    </row>
    <row r="3000" spans="1:57" x14ac:dyDescent="0.45">
      <c r="A3000" t="s">
        <v>7094</v>
      </c>
      <c r="B3000" t="s">
        <v>79</v>
      </c>
      <c r="C3000" t="s">
        <v>7095</v>
      </c>
      <c r="D3000" t="s">
        <v>81</v>
      </c>
      <c r="E3000" s="2" t="str">
        <f>HYPERLINK("capsilon://?command=openfolder&amp;siteaddress=FAM.docvelocity-na8.net&amp;folderid=FX83997557-241D-F69A-7BB0-16A373170C4A","FX201229074")</f>
        <v>FX201229074</v>
      </c>
      <c r="F3000" t="s">
        <v>19</v>
      </c>
      <c r="G3000" t="s">
        <v>19</v>
      </c>
      <c r="H3000" t="s">
        <v>82</v>
      </c>
      <c r="I3000" t="s">
        <v>7096</v>
      </c>
      <c r="J3000">
        <v>164</v>
      </c>
      <c r="K3000" t="s">
        <v>84</v>
      </c>
      <c r="L3000" t="s">
        <v>85</v>
      </c>
      <c r="M3000" t="s">
        <v>86</v>
      </c>
      <c r="N3000">
        <v>3</v>
      </c>
      <c r="O3000" s="1">
        <v>44201.696319444447</v>
      </c>
      <c r="P3000" s="1">
        <v>44202.355925925927</v>
      </c>
      <c r="Q3000">
        <v>54055</v>
      </c>
      <c r="R3000">
        <v>2935</v>
      </c>
      <c r="S3000" t="b">
        <v>0</v>
      </c>
      <c r="T3000" t="s">
        <v>87</v>
      </c>
      <c r="U3000" t="b">
        <v>0</v>
      </c>
      <c r="V3000" t="s">
        <v>259</v>
      </c>
      <c r="W3000" s="1">
        <v>44201.741064814814</v>
      </c>
      <c r="X3000">
        <v>2389</v>
      </c>
      <c r="Y3000">
        <v>239</v>
      </c>
      <c r="Z3000">
        <v>0</v>
      </c>
      <c r="AA3000">
        <v>239</v>
      </c>
      <c r="AB3000">
        <v>0</v>
      </c>
      <c r="AC3000">
        <v>156</v>
      </c>
      <c r="AD3000">
        <v>-75</v>
      </c>
      <c r="AE3000">
        <v>0</v>
      </c>
      <c r="AF3000">
        <v>0</v>
      </c>
      <c r="AG3000">
        <v>0</v>
      </c>
      <c r="AH3000" t="s">
        <v>267</v>
      </c>
      <c r="AI3000" s="1">
        <v>44201.754837962966</v>
      </c>
      <c r="AJ3000">
        <v>430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-75</v>
      </c>
      <c r="AQ3000">
        <v>0</v>
      </c>
      <c r="AR3000">
        <v>0</v>
      </c>
      <c r="AS3000">
        <v>0</v>
      </c>
      <c r="AT3000" t="s">
        <v>90</v>
      </c>
      <c r="AU3000" s="1">
        <v>44202.355925925927</v>
      </c>
      <c r="AV3000">
        <v>108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-75</v>
      </c>
      <c r="BC3000">
        <v>0</v>
      </c>
      <c r="BD3000">
        <v>0</v>
      </c>
      <c r="BE3000">
        <v>0</v>
      </c>
    </row>
    <row r="3001" spans="1:57" x14ac:dyDescent="0.45">
      <c r="A3001" t="s">
        <v>7097</v>
      </c>
      <c r="B3001" t="s">
        <v>79</v>
      </c>
      <c r="C3001" t="s">
        <v>4385</v>
      </c>
      <c r="D3001" t="s">
        <v>81</v>
      </c>
      <c r="E3001" s="2" t="str">
        <f>HYPERLINK("capsilon://?command=openfolder&amp;siteaddress=FAM.docvelocity-na8.net&amp;folderid=FX4DD6A1B1-CF7B-759F-96BE-80282737CF56","FX201116819")</f>
        <v>FX201116819</v>
      </c>
      <c r="F3001" t="s">
        <v>19</v>
      </c>
      <c r="G3001" t="s">
        <v>19</v>
      </c>
      <c r="H3001" t="s">
        <v>82</v>
      </c>
      <c r="I3001" t="s">
        <v>7091</v>
      </c>
      <c r="J3001">
        <v>238</v>
      </c>
      <c r="K3001" t="s">
        <v>84</v>
      </c>
      <c r="L3001" t="s">
        <v>85</v>
      </c>
      <c r="M3001" t="s">
        <v>86</v>
      </c>
      <c r="N3001">
        <v>3</v>
      </c>
      <c r="O3001" s="1">
        <v>44223.76289351852</v>
      </c>
      <c r="P3001" s="1">
        <v>44224.343946759262</v>
      </c>
      <c r="Q3001">
        <v>48110</v>
      </c>
      <c r="R3001">
        <v>2093</v>
      </c>
      <c r="S3001" t="b">
        <v>0</v>
      </c>
      <c r="T3001" t="s">
        <v>87</v>
      </c>
      <c r="U3001" t="b">
        <v>1</v>
      </c>
      <c r="V3001" t="s">
        <v>179</v>
      </c>
      <c r="W3001" s="1">
        <v>44223.776412037034</v>
      </c>
      <c r="X3001">
        <v>1167</v>
      </c>
      <c r="Y3001">
        <v>163</v>
      </c>
      <c r="Z3001">
        <v>0</v>
      </c>
      <c r="AA3001">
        <v>163</v>
      </c>
      <c r="AB3001">
        <v>0</v>
      </c>
      <c r="AC3001">
        <v>71</v>
      </c>
      <c r="AD3001">
        <v>75</v>
      </c>
      <c r="AE3001">
        <v>0</v>
      </c>
      <c r="AF3001">
        <v>0</v>
      </c>
      <c r="AG3001">
        <v>0</v>
      </c>
      <c r="AH3001" t="s">
        <v>147</v>
      </c>
      <c r="AI3001" s="1">
        <v>44223.789409722223</v>
      </c>
      <c r="AJ3001">
        <v>908</v>
      </c>
      <c r="AK3001">
        <v>2</v>
      </c>
      <c r="AL3001">
        <v>0</v>
      </c>
      <c r="AM3001">
        <v>2</v>
      </c>
      <c r="AN3001">
        <v>0</v>
      </c>
      <c r="AO3001">
        <v>1</v>
      </c>
      <c r="AP3001">
        <v>73</v>
      </c>
      <c r="AQ3001">
        <v>0</v>
      </c>
      <c r="AR3001">
        <v>0</v>
      </c>
      <c r="AS3001">
        <v>0</v>
      </c>
      <c r="AT3001" t="s">
        <v>90</v>
      </c>
      <c r="AU3001" s="1">
        <v>44224.343946759262</v>
      </c>
      <c r="AV3001">
        <v>18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73</v>
      </c>
      <c r="BC3001">
        <v>0</v>
      </c>
      <c r="BD3001">
        <v>0</v>
      </c>
      <c r="BE3001">
        <v>0</v>
      </c>
    </row>
    <row r="3002" spans="1:57" x14ac:dyDescent="0.45">
      <c r="A3002" t="s">
        <v>7098</v>
      </c>
      <c r="B3002" t="s">
        <v>79</v>
      </c>
      <c r="C3002" t="s">
        <v>3415</v>
      </c>
      <c r="D3002" t="s">
        <v>81</v>
      </c>
      <c r="E3002" s="2" t="str">
        <f>HYPERLINK("capsilon://?command=openfolder&amp;siteaddress=FAM.docvelocity-na8.net&amp;folderid=FX3CFBFD15-F43B-45C6-F764-B5DC45646404","FX2101728")</f>
        <v>FX2101728</v>
      </c>
      <c r="F3002" t="s">
        <v>19</v>
      </c>
      <c r="G3002" t="s">
        <v>19</v>
      </c>
      <c r="H3002" t="s">
        <v>82</v>
      </c>
      <c r="I3002" t="s">
        <v>7099</v>
      </c>
      <c r="J3002">
        <v>441</v>
      </c>
      <c r="K3002" t="s">
        <v>84</v>
      </c>
      <c r="L3002" t="s">
        <v>85</v>
      </c>
      <c r="M3002" t="s">
        <v>86</v>
      </c>
      <c r="N3002">
        <v>3</v>
      </c>
      <c r="O3002" s="1">
        <v>44201.698657407411</v>
      </c>
      <c r="P3002" s="1">
        <v>44202.357372685183</v>
      </c>
      <c r="Q3002">
        <v>53033</v>
      </c>
      <c r="R3002">
        <v>3880</v>
      </c>
      <c r="S3002" t="b">
        <v>0</v>
      </c>
      <c r="T3002" t="s">
        <v>87</v>
      </c>
      <c r="U3002" t="b">
        <v>0</v>
      </c>
      <c r="V3002" t="s">
        <v>242</v>
      </c>
      <c r="W3002" s="1">
        <v>44201.768761574072</v>
      </c>
      <c r="X3002">
        <v>2842</v>
      </c>
      <c r="Y3002">
        <v>457</v>
      </c>
      <c r="Z3002">
        <v>0</v>
      </c>
      <c r="AA3002">
        <v>457</v>
      </c>
      <c r="AB3002">
        <v>37</v>
      </c>
      <c r="AC3002">
        <v>315</v>
      </c>
      <c r="AD3002">
        <v>-16</v>
      </c>
      <c r="AE3002">
        <v>0</v>
      </c>
      <c r="AF3002">
        <v>0</v>
      </c>
      <c r="AG3002">
        <v>0</v>
      </c>
      <c r="AH3002" t="s">
        <v>267</v>
      </c>
      <c r="AI3002" s="1">
        <v>44201.779236111113</v>
      </c>
      <c r="AJ3002">
        <v>788</v>
      </c>
      <c r="AK3002">
        <v>12</v>
      </c>
      <c r="AL3002">
        <v>0</v>
      </c>
      <c r="AM3002">
        <v>12</v>
      </c>
      <c r="AN3002">
        <v>37</v>
      </c>
      <c r="AO3002">
        <v>11</v>
      </c>
      <c r="AP3002">
        <v>-28</v>
      </c>
      <c r="AQ3002">
        <v>0</v>
      </c>
      <c r="AR3002">
        <v>0</v>
      </c>
      <c r="AS3002">
        <v>0</v>
      </c>
      <c r="AT3002" t="s">
        <v>90</v>
      </c>
      <c r="AU3002" s="1">
        <v>44202.357372685183</v>
      </c>
      <c r="AV3002">
        <v>125</v>
      </c>
      <c r="AW3002">
        <v>0</v>
      </c>
      <c r="AX3002">
        <v>0</v>
      </c>
      <c r="AY3002">
        <v>0</v>
      </c>
      <c r="AZ3002">
        <v>37</v>
      </c>
      <c r="BA3002">
        <v>0</v>
      </c>
      <c r="BB3002">
        <v>-28</v>
      </c>
      <c r="BC3002">
        <v>0</v>
      </c>
      <c r="BD3002">
        <v>0</v>
      </c>
      <c r="BE3002">
        <v>0</v>
      </c>
    </row>
    <row r="3003" spans="1:57" x14ac:dyDescent="0.45">
      <c r="A3003" t="s">
        <v>7100</v>
      </c>
      <c r="B3003" t="s">
        <v>79</v>
      </c>
      <c r="C3003" t="s">
        <v>285</v>
      </c>
      <c r="D3003" t="s">
        <v>81</v>
      </c>
      <c r="E3003" s="2" t="str">
        <f>HYPERLINK("capsilon://?command=openfolder&amp;siteaddress=FAM.docvelocity-na8.net&amp;folderid=FX2D5E71D1-474C-5A40-734F-6E40DCD221E7","FX20123627")</f>
        <v>FX20123627</v>
      </c>
      <c r="F3003" t="s">
        <v>19</v>
      </c>
      <c r="G3003" t="s">
        <v>19</v>
      </c>
      <c r="H3003" t="s">
        <v>82</v>
      </c>
      <c r="I3003" t="s">
        <v>7101</v>
      </c>
      <c r="J3003">
        <v>38</v>
      </c>
      <c r="K3003" t="s">
        <v>84</v>
      </c>
      <c r="L3003" t="s">
        <v>85</v>
      </c>
      <c r="M3003" t="s">
        <v>86</v>
      </c>
      <c r="N3003">
        <v>3</v>
      </c>
      <c r="O3003" s="1">
        <v>44223.797048611108</v>
      </c>
      <c r="P3003" s="1">
        <v>44224.351909722223</v>
      </c>
      <c r="Q3003">
        <v>46942</v>
      </c>
      <c r="R3003">
        <v>998</v>
      </c>
      <c r="S3003" t="b">
        <v>0</v>
      </c>
      <c r="T3003" t="s">
        <v>87</v>
      </c>
      <c r="U3003" t="b">
        <v>0</v>
      </c>
      <c r="V3003" t="s">
        <v>168</v>
      </c>
      <c r="W3003" s="1">
        <v>44223.802835648145</v>
      </c>
      <c r="X3003">
        <v>499</v>
      </c>
      <c r="Y3003">
        <v>37</v>
      </c>
      <c r="Z3003">
        <v>0</v>
      </c>
      <c r="AA3003">
        <v>37</v>
      </c>
      <c r="AB3003">
        <v>0</v>
      </c>
      <c r="AC3003">
        <v>34</v>
      </c>
      <c r="AD3003">
        <v>1</v>
      </c>
      <c r="AE3003">
        <v>0</v>
      </c>
      <c r="AF3003">
        <v>0</v>
      </c>
      <c r="AG3003">
        <v>0</v>
      </c>
      <c r="AH3003" t="s">
        <v>147</v>
      </c>
      <c r="AI3003" s="1">
        <v>44223.808472222219</v>
      </c>
      <c r="AJ3003">
        <v>487</v>
      </c>
      <c r="AK3003">
        <v>15</v>
      </c>
      <c r="AL3003">
        <v>0</v>
      </c>
      <c r="AM3003">
        <v>15</v>
      </c>
      <c r="AN3003">
        <v>0</v>
      </c>
      <c r="AO3003">
        <v>18</v>
      </c>
      <c r="AP3003">
        <v>-14</v>
      </c>
      <c r="AQ3003">
        <v>0</v>
      </c>
      <c r="AR3003">
        <v>0</v>
      </c>
      <c r="AS3003">
        <v>0</v>
      </c>
      <c r="AT3003" t="s">
        <v>90</v>
      </c>
      <c r="AU3003" s="1">
        <v>44224.351909722223</v>
      </c>
      <c r="AV3003">
        <v>12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-14</v>
      </c>
      <c r="BC3003">
        <v>0</v>
      </c>
      <c r="BD3003">
        <v>0</v>
      </c>
      <c r="BE3003">
        <v>0</v>
      </c>
    </row>
    <row r="3004" spans="1:57" hidden="1" x14ac:dyDescent="0.45">
      <c r="A3004" t="s">
        <v>7102</v>
      </c>
      <c r="B3004" t="s">
        <v>79</v>
      </c>
      <c r="C3004" t="s">
        <v>7103</v>
      </c>
      <c r="D3004" t="s">
        <v>81</v>
      </c>
      <c r="E3004" s="2" t="str">
        <f>HYPERLINK("capsilon://?command=openfolder&amp;siteaddress=FAM.docvelocity-na8.net&amp;folderid=FX452556DE-E84D-4D22-1AA6-7525D118D2AA","FX201224113")</f>
        <v>FX201224113</v>
      </c>
      <c r="F3004" t="s">
        <v>19</v>
      </c>
      <c r="G3004" t="s">
        <v>19</v>
      </c>
      <c r="H3004" t="s">
        <v>82</v>
      </c>
      <c r="I3004" t="s">
        <v>7104</v>
      </c>
      <c r="J3004">
        <v>66</v>
      </c>
      <c r="K3004" t="s">
        <v>84</v>
      </c>
      <c r="L3004" t="s">
        <v>85</v>
      </c>
      <c r="M3004" t="s">
        <v>86</v>
      </c>
      <c r="N3004">
        <v>1</v>
      </c>
      <c r="O3004" s="1">
        <v>44223.814664351848</v>
      </c>
      <c r="P3004" s="1">
        <v>44223.816886574074</v>
      </c>
      <c r="Q3004">
        <v>132</v>
      </c>
      <c r="R3004">
        <v>60</v>
      </c>
      <c r="S3004" t="b">
        <v>0</v>
      </c>
      <c r="T3004" t="s">
        <v>87</v>
      </c>
      <c r="U3004" t="b">
        <v>0</v>
      </c>
      <c r="V3004" t="s">
        <v>255</v>
      </c>
      <c r="W3004" s="1">
        <v>44223.816886574074</v>
      </c>
      <c r="X3004">
        <v>48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66</v>
      </c>
      <c r="AE3004">
        <v>52</v>
      </c>
      <c r="AF3004">
        <v>0</v>
      </c>
      <c r="AG3004">
        <v>1</v>
      </c>
      <c r="AH3004" t="s">
        <v>87</v>
      </c>
      <c r="AI3004" t="s">
        <v>87</v>
      </c>
      <c r="AJ3004" t="s">
        <v>87</v>
      </c>
      <c r="AK3004" t="s">
        <v>87</v>
      </c>
      <c r="AL3004" t="s">
        <v>87</v>
      </c>
      <c r="AM3004" t="s">
        <v>87</v>
      </c>
      <c r="AN3004" t="s">
        <v>87</v>
      </c>
      <c r="AO3004" t="s">
        <v>87</v>
      </c>
      <c r="AP3004" t="s">
        <v>87</v>
      </c>
      <c r="AQ3004" t="s">
        <v>87</v>
      </c>
      <c r="AR3004" t="s">
        <v>87</v>
      </c>
      <c r="AS3004" t="s">
        <v>87</v>
      </c>
      <c r="AT3004" t="s">
        <v>87</v>
      </c>
      <c r="AU3004" t="s">
        <v>87</v>
      </c>
      <c r="AV3004" t="s">
        <v>87</v>
      </c>
      <c r="AW3004" t="s">
        <v>87</v>
      </c>
      <c r="AX3004" t="s">
        <v>87</v>
      </c>
      <c r="AY3004" t="s">
        <v>87</v>
      </c>
      <c r="AZ3004" t="s">
        <v>87</v>
      </c>
      <c r="BA3004" t="s">
        <v>87</v>
      </c>
      <c r="BB3004" t="s">
        <v>87</v>
      </c>
      <c r="BC3004" t="s">
        <v>87</v>
      </c>
      <c r="BD3004" t="s">
        <v>87</v>
      </c>
      <c r="BE3004" t="s">
        <v>87</v>
      </c>
    </row>
    <row r="3005" spans="1:57" x14ac:dyDescent="0.45">
      <c r="A3005" t="s">
        <v>7105</v>
      </c>
      <c r="B3005" t="s">
        <v>79</v>
      </c>
      <c r="C3005" t="s">
        <v>7103</v>
      </c>
      <c r="D3005" t="s">
        <v>81</v>
      </c>
      <c r="E3005" s="2" t="str">
        <f>HYPERLINK("capsilon://?command=openfolder&amp;siteaddress=FAM.docvelocity-na8.net&amp;folderid=FX452556DE-E84D-4D22-1AA6-7525D118D2AA","FX201224113")</f>
        <v>FX201224113</v>
      </c>
      <c r="F3005" t="s">
        <v>19</v>
      </c>
      <c r="G3005" t="s">
        <v>19</v>
      </c>
      <c r="H3005" t="s">
        <v>82</v>
      </c>
      <c r="I3005" t="s">
        <v>7104</v>
      </c>
      <c r="J3005">
        <v>38</v>
      </c>
      <c r="K3005" t="s">
        <v>84</v>
      </c>
      <c r="L3005" t="s">
        <v>85</v>
      </c>
      <c r="M3005" t="s">
        <v>86</v>
      </c>
      <c r="N3005">
        <v>3</v>
      </c>
      <c r="O3005" s="1">
        <v>44223.817141203705</v>
      </c>
      <c r="P3005" s="1">
        <v>44224.3440162037</v>
      </c>
      <c r="Q3005">
        <v>45304</v>
      </c>
      <c r="R3005">
        <v>218</v>
      </c>
      <c r="S3005" t="b">
        <v>0</v>
      </c>
      <c r="T3005" t="s">
        <v>87</v>
      </c>
      <c r="U3005" t="b">
        <v>1</v>
      </c>
      <c r="V3005" t="s">
        <v>255</v>
      </c>
      <c r="W3005" s="1">
        <v>44223.818749999999</v>
      </c>
      <c r="X3005">
        <v>135</v>
      </c>
      <c r="Y3005">
        <v>37</v>
      </c>
      <c r="Z3005">
        <v>0</v>
      </c>
      <c r="AA3005">
        <v>37</v>
      </c>
      <c r="AB3005">
        <v>0</v>
      </c>
      <c r="AC3005">
        <v>12</v>
      </c>
      <c r="AD3005">
        <v>1</v>
      </c>
      <c r="AE3005">
        <v>0</v>
      </c>
      <c r="AF3005">
        <v>0</v>
      </c>
      <c r="AG3005">
        <v>0</v>
      </c>
      <c r="AH3005" t="s">
        <v>132</v>
      </c>
      <c r="AI3005" s="1">
        <v>44223.819791666669</v>
      </c>
      <c r="AJ3005">
        <v>77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</v>
      </c>
      <c r="AQ3005">
        <v>0</v>
      </c>
      <c r="AR3005">
        <v>0</v>
      </c>
      <c r="AS3005">
        <v>0</v>
      </c>
      <c r="AT3005" t="s">
        <v>90</v>
      </c>
      <c r="AU3005" s="1">
        <v>44224.3440162037</v>
      </c>
      <c r="AV3005">
        <v>6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1</v>
      </c>
      <c r="BC3005">
        <v>0</v>
      </c>
      <c r="BD3005">
        <v>0</v>
      </c>
      <c r="BE3005">
        <v>0</v>
      </c>
    </row>
    <row r="3006" spans="1:57" x14ac:dyDescent="0.45">
      <c r="A3006" t="s">
        <v>7106</v>
      </c>
      <c r="B3006" t="s">
        <v>79</v>
      </c>
      <c r="C3006" t="s">
        <v>725</v>
      </c>
      <c r="D3006" t="s">
        <v>81</v>
      </c>
      <c r="E3006" s="2" t="str">
        <f>HYPERLINK("capsilon://?command=openfolder&amp;siteaddress=FAM.docvelocity-na8.net&amp;folderid=FXBC27C59B-749F-6CC0-83BA-A4CE148D6ABE","FX20123310")</f>
        <v>FX20123310</v>
      </c>
      <c r="F3006" t="s">
        <v>19</v>
      </c>
      <c r="G3006" t="s">
        <v>19</v>
      </c>
      <c r="H3006" t="s">
        <v>82</v>
      </c>
      <c r="I3006" t="s">
        <v>7107</v>
      </c>
      <c r="J3006">
        <v>37</v>
      </c>
      <c r="K3006" t="s">
        <v>84</v>
      </c>
      <c r="L3006" t="s">
        <v>85</v>
      </c>
      <c r="M3006" t="s">
        <v>86</v>
      </c>
      <c r="N3006">
        <v>3</v>
      </c>
      <c r="O3006" s="1">
        <v>44223.837233796294</v>
      </c>
      <c r="P3006" s="1">
        <v>44224.352152777778</v>
      </c>
      <c r="Q3006">
        <v>44040</v>
      </c>
      <c r="R3006">
        <v>449</v>
      </c>
      <c r="S3006" t="b">
        <v>0</v>
      </c>
      <c r="T3006" t="s">
        <v>87</v>
      </c>
      <c r="U3006" t="b">
        <v>0</v>
      </c>
      <c r="V3006" t="s">
        <v>262</v>
      </c>
      <c r="W3006" s="1">
        <v>44223.844386574077</v>
      </c>
      <c r="X3006">
        <v>201</v>
      </c>
      <c r="Y3006">
        <v>38</v>
      </c>
      <c r="Z3006">
        <v>0</v>
      </c>
      <c r="AA3006">
        <v>38</v>
      </c>
      <c r="AB3006">
        <v>0</v>
      </c>
      <c r="AC3006">
        <v>6</v>
      </c>
      <c r="AD3006">
        <v>-1</v>
      </c>
      <c r="AE3006">
        <v>0</v>
      </c>
      <c r="AF3006">
        <v>0</v>
      </c>
      <c r="AG3006">
        <v>0</v>
      </c>
      <c r="AH3006" t="s">
        <v>128</v>
      </c>
      <c r="AI3006" s="1">
        <v>44223.847951388889</v>
      </c>
      <c r="AJ3006">
        <v>228</v>
      </c>
      <c r="AK3006">
        <v>1</v>
      </c>
      <c r="AL3006">
        <v>0</v>
      </c>
      <c r="AM3006">
        <v>1</v>
      </c>
      <c r="AN3006">
        <v>0</v>
      </c>
      <c r="AO3006">
        <v>1</v>
      </c>
      <c r="AP3006">
        <v>-2</v>
      </c>
      <c r="AQ3006">
        <v>0</v>
      </c>
      <c r="AR3006">
        <v>0</v>
      </c>
      <c r="AS3006">
        <v>0</v>
      </c>
      <c r="AT3006" t="s">
        <v>90</v>
      </c>
      <c r="AU3006" s="1">
        <v>44224.352152777778</v>
      </c>
      <c r="AV3006">
        <v>20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-2</v>
      </c>
      <c r="BC3006">
        <v>0</v>
      </c>
      <c r="BD3006">
        <v>0</v>
      </c>
      <c r="BE3006">
        <v>0</v>
      </c>
    </row>
    <row r="3007" spans="1:57" x14ac:dyDescent="0.45">
      <c r="A3007" t="s">
        <v>7108</v>
      </c>
      <c r="B3007" t="s">
        <v>79</v>
      </c>
      <c r="C3007" t="s">
        <v>7109</v>
      </c>
      <c r="D3007" t="s">
        <v>81</v>
      </c>
      <c r="E3007" s="2" t="str">
        <f>HYPERLINK("capsilon://?command=openfolder&amp;siteaddress=FAM.docvelocity-na8.net&amp;folderid=FXBF061ECD-6C57-1E66-9CAD-BF571F20B4CD","FX20126380")</f>
        <v>FX20126380</v>
      </c>
      <c r="F3007" t="s">
        <v>19</v>
      </c>
      <c r="G3007" t="s">
        <v>19</v>
      </c>
      <c r="H3007" t="s">
        <v>82</v>
      </c>
      <c r="I3007" t="s">
        <v>7110</v>
      </c>
      <c r="J3007">
        <v>102</v>
      </c>
      <c r="K3007" t="s">
        <v>84</v>
      </c>
      <c r="L3007" t="s">
        <v>85</v>
      </c>
      <c r="M3007" t="s">
        <v>86</v>
      </c>
      <c r="N3007">
        <v>3</v>
      </c>
      <c r="O3007" s="1">
        <v>44223.840682870374</v>
      </c>
      <c r="P3007" s="1">
        <v>44224.352870370371</v>
      </c>
      <c r="Q3007">
        <v>41073</v>
      </c>
      <c r="R3007">
        <v>3180</v>
      </c>
      <c r="S3007" t="b">
        <v>0</v>
      </c>
      <c r="T3007" t="s">
        <v>87</v>
      </c>
      <c r="U3007" t="b">
        <v>0</v>
      </c>
      <c r="V3007" t="s">
        <v>105</v>
      </c>
      <c r="W3007" s="1">
        <v>44224.169328703705</v>
      </c>
      <c r="X3007">
        <v>2111</v>
      </c>
      <c r="Y3007">
        <v>94</v>
      </c>
      <c r="Z3007">
        <v>0</v>
      </c>
      <c r="AA3007">
        <v>94</v>
      </c>
      <c r="AB3007">
        <v>0</v>
      </c>
      <c r="AC3007">
        <v>85</v>
      </c>
      <c r="AD3007">
        <v>8</v>
      </c>
      <c r="AE3007">
        <v>0</v>
      </c>
      <c r="AF3007">
        <v>0</v>
      </c>
      <c r="AG3007">
        <v>0</v>
      </c>
      <c r="AH3007" t="s">
        <v>108</v>
      </c>
      <c r="AI3007" s="1">
        <v>44224.180879629632</v>
      </c>
      <c r="AJ3007">
        <v>949</v>
      </c>
      <c r="AK3007">
        <v>3</v>
      </c>
      <c r="AL3007">
        <v>0</v>
      </c>
      <c r="AM3007">
        <v>3</v>
      </c>
      <c r="AN3007">
        <v>0</v>
      </c>
      <c r="AO3007">
        <v>1</v>
      </c>
      <c r="AP3007">
        <v>5</v>
      </c>
      <c r="AQ3007">
        <v>0</v>
      </c>
      <c r="AR3007">
        <v>0</v>
      </c>
      <c r="AS3007">
        <v>0</v>
      </c>
      <c r="AT3007" t="s">
        <v>90</v>
      </c>
      <c r="AU3007" s="1">
        <v>44224.352870370371</v>
      </c>
      <c r="AV3007">
        <v>61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5</v>
      </c>
      <c r="BC3007">
        <v>0</v>
      </c>
      <c r="BD3007">
        <v>0</v>
      </c>
      <c r="BE3007">
        <v>0</v>
      </c>
    </row>
    <row r="3008" spans="1:57" x14ac:dyDescent="0.45">
      <c r="A3008" t="s">
        <v>7111</v>
      </c>
      <c r="B3008" t="s">
        <v>79</v>
      </c>
      <c r="C3008" t="s">
        <v>7112</v>
      </c>
      <c r="D3008" t="s">
        <v>81</v>
      </c>
      <c r="E3008" s="2" t="str">
        <f>HYPERLINK("capsilon://?command=openfolder&amp;siteaddress=FAM.docvelocity-na8.net&amp;folderid=FXA783E6DA-28E8-CCB5-718C-D0394B0BC062","FX2012478")</f>
        <v>FX2012478</v>
      </c>
      <c r="F3008" t="s">
        <v>19</v>
      </c>
      <c r="G3008" t="s">
        <v>19</v>
      </c>
      <c r="H3008" t="s">
        <v>82</v>
      </c>
      <c r="I3008" t="s">
        <v>7113</v>
      </c>
      <c r="J3008">
        <v>77</v>
      </c>
      <c r="K3008" t="s">
        <v>84</v>
      </c>
      <c r="L3008" t="s">
        <v>85</v>
      </c>
      <c r="M3008" t="s">
        <v>86</v>
      </c>
      <c r="N3008">
        <v>3</v>
      </c>
      <c r="O3008" s="1">
        <v>44223.922754629632</v>
      </c>
      <c r="P3008" s="1">
        <v>44224.353090277778</v>
      </c>
      <c r="Q3008">
        <v>35684</v>
      </c>
      <c r="R3008">
        <v>1497</v>
      </c>
      <c r="S3008" t="b">
        <v>0</v>
      </c>
      <c r="T3008" t="s">
        <v>87</v>
      </c>
      <c r="U3008" t="b">
        <v>0</v>
      </c>
      <c r="V3008" t="s">
        <v>98</v>
      </c>
      <c r="W3008" s="1">
        <v>44224.156099537038</v>
      </c>
      <c r="X3008">
        <v>878</v>
      </c>
      <c r="Y3008">
        <v>68</v>
      </c>
      <c r="Z3008">
        <v>0</v>
      </c>
      <c r="AA3008">
        <v>68</v>
      </c>
      <c r="AB3008">
        <v>0</v>
      </c>
      <c r="AC3008">
        <v>42</v>
      </c>
      <c r="AD3008">
        <v>9</v>
      </c>
      <c r="AE3008">
        <v>0</v>
      </c>
      <c r="AF3008">
        <v>0</v>
      </c>
      <c r="AG3008">
        <v>0</v>
      </c>
      <c r="AH3008" t="s">
        <v>108</v>
      </c>
      <c r="AI3008" s="1">
        <v>44224.16306712963</v>
      </c>
      <c r="AJ3008">
        <v>600</v>
      </c>
      <c r="AK3008">
        <v>1</v>
      </c>
      <c r="AL3008">
        <v>0</v>
      </c>
      <c r="AM3008">
        <v>1</v>
      </c>
      <c r="AN3008">
        <v>0</v>
      </c>
      <c r="AO3008">
        <v>0</v>
      </c>
      <c r="AP3008">
        <v>8</v>
      </c>
      <c r="AQ3008">
        <v>0</v>
      </c>
      <c r="AR3008">
        <v>0</v>
      </c>
      <c r="AS3008">
        <v>0</v>
      </c>
      <c r="AT3008" t="s">
        <v>90</v>
      </c>
      <c r="AU3008" s="1">
        <v>44224.353090277778</v>
      </c>
      <c r="AV3008">
        <v>19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8</v>
      </c>
      <c r="BC3008">
        <v>0</v>
      </c>
      <c r="BD3008">
        <v>0</v>
      </c>
      <c r="BE3008">
        <v>0</v>
      </c>
    </row>
    <row r="3009" spans="1:57" x14ac:dyDescent="0.45">
      <c r="A3009" t="s">
        <v>7114</v>
      </c>
      <c r="B3009" t="s">
        <v>79</v>
      </c>
      <c r="C3009" t="s">
        <v>7112</v>
      </c>
      <c r="D3009" t="s">
        <v>81</v>
      </c>
      <c r="E3009" s="2" t="str">
        <f>HYPERLINK("capsilon://?command=openfolder&amp;siteaddress=FAM.docvelocity-na8.net&amp;folderid=FXA783E6DA-28E8-CCB5-718C-D0394B0BC062","FX2012478")</f>
        <v>FX2012478</v>
      </c>
      <c r="F3009" t="s">
        <v>19</v>
      </c>
      <c r="G3009" t="s">
        <v>19</v>
      </c>
      <c r="H3009" t="s">
        <v>82</v>
      </c>
      <c r="I3009" t="s">
        <v>7115</v>
      </c>
      <c r="J3009">
        <v>67</v>
      </c>
      <c r="K3009" t="s">
        <v>84</v>
      </c>
      <c r="L3009" t="s">
        <v>85</v>
      </c>
      <c r="M3009" t="s">
        <v>86</v>
      </c>
      <c r="N3009">
        <v>3</v>
      </c>
      <c r="O3009" s="1">
        <v>44223.923402777778</v>
      </c>
      <c r="P3009" s="1">
        <v>44224.353171296294</v>
      </c>
      <c r="Q3009">
        <v>36145</v>
      </c>
      <c r="R3009">
        <v>987</v>
      </c>
      <c r="S3009" t="b">
        <v>0</v>
      </c>
      <c r="T3009" t="s">
        <v>87</v>
      </c>
      <c r="U3009" t="b">
        <v>0</v>
      </c>
      <c r="V3009" t="s">
        <v>88</v>
      </c>
      <c r="W3009" s="1">
        <v>44224.155092592591</v>
      </c>
      <c r="X3009">
        <v>746</v>
      </c>
      <c r="Y3009">
        <v>63</v>
      </c>
      <c r="Z3009">
        <v>0</v>
      </c>
      <c r="AA3009">
        <v>63</v>
      </c>
      <c r="AB3009">
        <v>0</v>
      </c>
      <c r="AC3009">
        <v>46</v>
      </c>
      <c r="AD3009">
        <v>4</v>
      </c>
      <c r="AE3009">
        <v>0</v>
      </c>
      <c r="AF3009">
        <v>0</v>
      </c>
      <c r="AG3009">
        <v>0</v>
      </c>
      <c r="AH3009" t="s">
        <v>94</v>
      </c>
      <c r="AI3009" s="1">
        <v>44224.162673611114</v>
      </c>
      <c r="AJ3009">
        <v>235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4</v>
      </c>
      <c r="AQ3009">
        <v>0</v>
      </c>
      <c r="AR3009">
        <v>0</v>
      </c>
      <c r="AS3009">
        <v>0</v>
      </c>
      <c r="AT3009" t="s">
        <v>90</v>
      </c>
      <c r="AU3009" s="1">
        <v>44224.353171296294</v>
      </c>
      <c r="AV3009">
        <v>6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4</v>
      </c>
      <c r="BC3009">
        <v>0</v>
      </c>
      <c r="BD3009">
        <v>0</v>
      </c>
      <c r="BE3009">
        <v>0</v>
      </c>
    </row>
    <row r="3010" spans="1:57" x14ac:dyDescent="0.45">
      <c r="A3010" t="s">
        <v>7116</v>
      </c>
      <c r="B3010" t="s">
        <v>79</v>
      </c>
      <c r="C3010" t="s">
        <v>7112</v>
      </c>
      <c r="D3010" t="s">
        <v>81</v>
      </c>
      <c r="E3010" s="2" t="str">
        <f>HYPERLINK("capsilon://?command=openfolder&amp;siteaddress=FAM.docvelocity-na8.net&amp;folderid=FXA783E6DA-28E8-CCB5-718C-D0394B0BC062","FX2012478")</f>
        <v>FX2012478</v>
      </c>
      <c r="F3010" t="s">
        <v>19</v>
      </c>
      <c r="G3010" t="s">
        <v>19</v>
      </c>
      <c r="H3010" t="s">
        <v>82</v>
      </c>
      <c r="I3010" t="s">
        <v>7117</v>
      </c>
      <c r="J3010">
        <v>31</v>
      </c>
      <c r="K3010" t="s">
        <v>84</v>
      </c>
      <c r="L3010" t="s">
        <v>85</v>
      </c>
      <c r="M3010" t="s">
        <v>86</v>
      </c>
      <c r="N3010">
        <v>3</v>
      </c>
      <c r="O3010" s="1">
        <v>44223.923668981479</v>
      </c>
      <c r="P3010" s="1">
        <v>44224.359537037039</v>
      </c>
      <c r="Q3010">
        <v>35067</v>
      </c>
      <c r="R3010">
        <v>2592</v>
      </c>
      <c r="S3010" t="b">
        <v>0</v>
      </c>
      <c r="T3010" t="s">
        <v>87</v>
      </c>
      <c r="U3010" t="b">
        <v>0</v>
      </c>
      <c r="V3010" t="s">
        <v>112</v>
      </c>
      <c r="W3010" s="1">
        <v>44224.169212962966</v>
      </c>
      <c r="X3010">
        <v>1555</v>
      </c>
      <c r="Y3010">
        <v>33</v>
      </c>
      <c r="Z3010">
        <v>0</v>
      </c>
      <c r="AA3010">
        <v>33</v>
      </c>
      <c r="AB3010">
        <v>0</v>
      </c>
      <c r="AC3010">
        <v>20</v>
      </c>
      <c r="AD3010">
        <v>-2</v>
      </c>
      <c r="AE3010">
        <v>0</v>
      </c>
      <c r="AF3010">
        <v>0</v>
      </c>
      <c r="AG3010">
        <v>0</v>
      </c>
      <c r="AH3010" t="s">
        <v>89</v>
      </c>
      <c r="AI3010" s="1">
        <v>44224.175740740742</v>
      </c>
      <c r="AJ3010">
        <v>487</v>
      </c>
      <c r="AK3010">
        <v>1</v>
      </c>
      <c r="AL3010">
        <v>0</v>
      </c>
      <c r="AM3010">
        <v>1</v>
      </c>
      <c r="AN3010">
        <v>0</v>
      </c>
      <c r="AO3010">
        <v>0</v>
      </c>
      <c r="AP3010">
        <v>-3</v>
      </c>
      <c r="AQ3010">
        <v>0</v>
      </c>
      <c r="AR3010">
        <v>0</v>
      </c>
      <c r="AS3010">
        <v>0</v>
      </c>
      <c r="AT3010" t="s">
        <v>90</v>
      </c>
      <c r="AU3010" s="1">
        <v>44224.359537037039</v>
      </c>
      <c r="AV3010">
        <v>550</v>
      </c>
      <c r="AW3010">
        <v>1</v>
      </c>
      <c r="AX3010">
        <v>0</v>
      </c>
      <c r="AY3010">
        <v>1</v>
      </c>
      <c r="AZ3010">
        <v>0</v>
      </c>
      <c r="BA3010">
        <v>1</v>
      </c>
      <c r="BB3010">
        <v>-4</v>
      </c>
      <c r="BC3010">
        <v>0</v>
      </c>
      <c r="BD3010">
        <v>0</v>
      </c>
      <c r="BE3010">
        <v>0</v>
      </c>
    </row>
    <row r="3011" spans="1:57" x14ac:dyDescent="0.45">
      <c r="A3011" t="s">
        <v>7118</v>
      </c>
      <c r="B3011" t="s">
        <v>79</v>
      </c>
      <c r="C3011" t="s">
        <v>7112</v>
      </c>
      <c r="D3011" t="s">
        <v>81</v>
      </c>
      <c r="E3011" s="2" t="str">
        <f>HYPERLINK("capsilon://?command=openfolder&amp;siteaddress=FAM.docvelocity-na8.net&amp;folderid=FXA783E6DA-28E8-CCB5-718C-D0394B0BC062","FX2012478")</f>
        <v>FX2012478</v>
      </c>
      <c r="F3011" t="s">
        <v>19</v>
      </c>
      <c r="G3011" t="s">
        <v>19</v>
      </c>
      <c r="H3011" t="s">
        <v>82</v>
      </c>
      <c r="I3011" t="s">
        <v>7119</v>
      </c>
      <c r="J3011">
        <v>36</v>
      </c>
      <c r="K3011" t="s">
        <v>84</v>
      </c>
      <c r="L3011" t="s">
        <v>85</v>
      </c>
      <c r="M3011" t="s">
        <v>86</v>
      </c>
      <c r="N3011">
        <v>3</v>
      </c>
      <c r="O3011" s="1">
        <v>44223.924247685187</v>
      </c>
      <c r="P3011" s="1">
        <v>44224.359675925924</v>
      </c>
      <c r="Q3011">
        <v>36318</v>
      </c>
      <c r="R3011">
        <v>1303</v>
      </c>
      <c r="S3011" t="b">
        <v>0</v>
      </c>
      <c r="T3011" t="s">
        <v>87</v>
      </c>
      <c r="U3011" t="b">
        <v>0</v>
      </c>
      <c r="V3011" t="s">
        <v>919</v>
      </c>
      <c r="W3011" s="1">
        <v>44224.164004629631</v>
      </c>
      <c r="X3011">
        <v>802</v>
      </c>
      <c r="Y3011">
        <v>38</v>
      </c>
      <c r="Z3011">
        <v>0</v>
      </c>
      <c r="AA3011">
        <v>38</v>
      </c>
      <c r="AB3011">
        <v>0</v>
      </c>
      <c r="AC3011">
        <v>22</v>
      </c>
      <c r="AD3011">
        <v>-2</v>
      </c>
      <c r="AE3011">
        <v>0</v>
      </c>
      <c r="AF3011">
        <v>0</v>
      </c>
      <c r="AG3011">
        <v>0</v>
      </c>
      <c r="AH3011" t="s">
        <v>108</v>
      </c>
      <c r="AI3011" s="1">
        <v>44224.169895833336</v>
      </c>
      <c r="AJ3011">
        <v>490</v>
      </c>
      <c r="AK3011">
        <v>2</v>
      </c>
      <c r="AL3011">
        <v>0</v>
      </c>
      <c r="AM3011">
        <v>2</v>
      </c>
      <c r="AN3011">
        <v>0</v>
      </c>
      <c r="AO3011">
        <v>0</v>
      </c>
      <c r="AP3011">
        <v>-4</v>
      </c>
      <c r="AQ3011">
        <v>0</v>
      </c>
      <c r="AR3011">
        <v>0</v>
      </c>
      <c r="AS3011">
        <v>0</v>
      </c>
      <c r="AT3011" t="s">
        <v>90</v>
      </c>
      <c r="AU3011" s="1">
        <v>44224.359675925924</v>
      </c>
      <c r="AV3011">
        <v>11</v>
      </c>
      <c r="AW3011">
        <v>1</v>
      </c>
      <c r="AX3011">
        <v>0</v>
      </c>
      <c r="AY3011">
        <v>1</v>
      </c>
      <c r="AZ3011">
        <v>0</v>
      </c>
      <c r="BA3011">
        <v>1</v>
      </c>
      <c r="BB3011">
        <v>-5</v>
      </c>
      <c r="BC3011">
        <v>0</v>
      </c>
      <c r="BD3011">
        <v>0</v>
      </c>
      <c r="BE3011">
        <v>0</v>
      </c>
    </row>
    <row r="3012" spans="1:57" x14ac:dyDescent="0.45">
      <c r="A3012" t="s">
        <v>7120</v>
      </c>
      <c r="B3012" t="s">
        <v>79</v>
      </c>
      <c r="C3012" t="s">
        <v>1494</v>
      </c>
      <c r="D3012" t="s">
        <v>81</v>
      </c>
      <c r="E3012" s="2" t="str">
        <f>HYPERLINK("capsilon://?command=openfolder&amp;siteaddress=FAM.docvelocity-na8.net&amp;folderid=FXA2FD0B90-E38C-C230-BDD0-095C498D17F4","FX20127910")</f>
        <v>FX20127910</v>
      </c>
      <c r="F3012" t="s">
        <v>19</v>
      </c>
      <c r="G3012" t="s">
        <v>19</v>
      </c>
      <c r="H3012" t="s">
        <v>82</v>
      </c>
      <c r="I3012" t="s">
        <v>7121</v>
      </c>
      <c r="J3012">
        <v>26</v>
      </c>
      <c r="K3012" t="s">
        <v>84</v>
      </c>
      <c r="L3012" t="s">
        <v>85</v>
      </c>
      <c r="M3012" t="s">
        <v>86</v>
      </c>
      <c r="N3012">
        <v>3</v>
      </c>
      <c r="O3012" s="1">
        <v>44223.928090277775</v>
      </c>
      <c r="P3012" s="1">
        <v>44224.359733796293</v>
      </c>
      <c r="Q3012">
        <v>36174</v>
      </c>
      <c r="R3012">
        <v>1120</v>
      </c>
      <c r="S3012" t="b">
        <v>0</v>
      </c>
      <c r="T3012" t="s">
        <v>87</v>
      </c>
      <c r="U3012" t="b">
        <v>0</v>
      </c>
      <c r="V3012" t="s">
        <v>88</v>
      </c>
      <c r="W3012" s="1">
        <v>44224.161712962959</v>
      </c>
      <c r="X3012">
        <v>572</v>
      </c>
      <c r="Y3012">
        <v>21</v>
      </c>
      <c r="Z3012">
        <v>0</v>
      </c>
      <c r="AA3012">
        <v>21</v>
      </c>
      <c r="AB3012">
        <v>0</v>
      </c>
      <c r="AC3012">
        <v>16</v>
      </c>
      <c r="AD3012">
        <v>5</v>
      </c>
      <c r="AE3012">
        <v>0</v>
      </c>
      <c r="AF3012">
        <v>0</v>
      </c>
      <c r="AG3012">
        <v>0</v>
      </c>
      <c r="AH3012" t="s">
        <v>94</v>
      </c>
      <c r="AI3012" s="1">
        <v>44224.168969907405</v>
      </c>
      <c r="AJ3012">
        <v>543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5</v>
      </c>
      <c r="AQ3012">
        <v>0</v>
      </c>
      <c r="AR3012">
        <v>0</v>
      </c>
      <c r="AS3012">
        <v>0</v>
      </c>
      <c r="AT3012" t="s">
        <v>90</v>
      </c>
      <c r="AU3012" s="1">
        <v>44224.359733796293</v>
      </c>
      <c r="AV3012">
        <v>5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5</v>
      </c>
      <c r="BC3012">
        <v>0</v>
      </c>
      <c r="BD3012">
        <v>0</v>
      </c>
      <c r="BE3012">
        <v>0</v>
      </c>
    </row>
    <row r="3013" spans="1:57" x14ac:dyDescent="0.45">
      <c r="A3013" t="s">
        <v>7122</v>
      </c>
      <c r="B3013" t="s">
        <v>79</v>
      </c>
      <c r="C3013" t="s">
        <v>895</v>
      </c>
      <c r="D3013" t="s">
        <v>81</v>
      </c>
      <c r="E3013" s="2" t="str">
        <f>HYPERLINK("capsilon://?command=openfolder&amp;siteaddress=FAM.docvelocity-na8.net&amp;folderid=FX5D51A8A7-8478-3593-D93B-4CD2818B83E6","FX20123045")</f>
        <v>FX20123045</v>
      </c>
      <c r="F3013" t="s">
        <v>19</v>
      </c>
      <c r="G3013" t="s">
        <v>19</v>
      </c>
      <c r="H3013" t="s">
        <v>82</v>
      </c>
      <c r="I3013" t="s">
        <v>7123</v>
      </c>
      <c r="J3013">
        <v>82</v>
      </c>
      <c r="K3013" t="s">
        <v>84</v>
      </c>
      <c r="L3013" t="s">
        <v>85</v>
      </c>
      <c r="M3013" t="s">
        <v>86</v>
      </c>
      <c r="N3013">
        <v>3</v>
      </c>
      <c r="O3013" s="1">
        <v>44223.956331018519</v>
      </c>
      <c r="P3013" s="1">
        <v>44224.360520833332</v>
      </c>
      <c r="Q3013">
        <v>32127</v>
      </c>
      <c r="R3013">
        <v>2795</v>
      </c>
      <c r="S3013" t="b">
        <v>0</v>
      </c>
      <c r="T3013" t="s">
        <v>87</v>
      </c>
      <c r="U3013" t="b">
        <v>0</v>
      </c>
      <c r="V3013" t="s">
        <v>98</v>
      </c>
      <c r="W3013" s="1">
        <v>44224.178182870368</v>
      </c>
      <c r="X3013">
        <v>1907</v>
      </c>
      <c r="Y3013">
        <v>118</v>
      </c>
      <c r="Z3013">
        <v>0</v>
      </c>
      <c r="AA3013">
        <v>118</v>
      </c>
      <c r="AB3013">
        <v>0</v>
      </c>
      <c r="AC3013">
        <v>102</v>
      </c>
      <c r="AD3013">
        <v>-36</v>
      </c>
      <c r="AE3013">
        <v>0</v>
      </c>
      <c r="AF3013">
        <v>0</v>
      </c>
      <c r="AG3013">
        <v>0</v>
      </c>
      <c r="AH3013" t="s">
        <v>108</v>
      </c>
      <c r="AI3013" s="1">
        <v>44224.198287037034</v>
      </c>
      <c r="AJ3013">
        <v>799</v>
      </c>
      <c r="AK3013">
        <v>1</v>
      </c>
      <c r="AL3013">
        <v>0</v>
      </c>
      <c r="AM3013">
        <v>1</v>
      </c>
      <c r="AN3013">
        <v>0</v>
      </c>
      <c r="AO3013">
        <v>0</v>
      </c>
      <c r="AP3013">
        <v>-37</v>
      </c>
      <c r="AQ3013">
        <v>0</v>
      </c>
      <c r="AR3013">
        <v>0</v>
      </c>
      <c r="AS3013">
        <v>0</v>
      </c>
      <c r="AT3013" t="s">
        <v>90</v>
      </c>
      <c r="AU3013" s="1">
        <v>44224.360520833332</v>
      </c>
      <c r="AV3013">
        <v>68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-37</v>
      </c>
      <c r="BC3013">
        <v>0</v>
      </c>
      <c r="BD3013">
        <v>0</v>
      </c>
      <c r="BE3013">
        <v>0</v>
      </c>
    </row>
    <row r="3014" spans="1:57" hidden="1" x14ac:dyDescent="0.45">
      <c r="A3014" t="s">
        <v>7124</v>
      </c>
      <c r="B3014" t="s">
        <v>79</v>
      </c>
      <c r="C3014" t="s">
        <v>7125</v>
      </c>
      <c r="D3014" t="s">
        <v>81</v>
      </c>
      <c r="E3014" s="2" t="str">
        <f>HYPERLINK("capsilon://?command=openfolder&amp;siteaddress=FAM.docvelocity-na8.net&amp;folderid=FXFAAD81C0-51D9-E5C9-DB6D-6976255FCBCF","FX20125064")</f>
        <v>FX20125064</v>
      </c>
      <c r="F3014" t="s">
        <v>19</v>
      </c>
      <c r="G3014" t="s">
        <v>19</v>
      </c>
      <c r="H3014" t="s">
        <v>82</v>
      </c>
      <c r="I3014" t="s">
        <v>7126</v>
      </c>
      <c r="J3014">
        <v>31</v>
      </c>
      <c r="K3014" t="s">
        <v>84</v>
      </c>
      <c r="L3014" t="s">
        <v>85</v>
      </c>
      <c r="M3014" t="s">
        <v>86</v>
      </c>
      <c r="N3014">
        <v>1</v>
      </c>
      <c r="O3014" s="1">
        <v>44223.97042824074</v>
      </c>
      <c r="P3014" s="1">
        <v>44224.166319444441</v>
      </c>
      <c r="Q3014">
        <v>16528</v>
      </c>
      <c r="R3014">
        <v>397</v>
      </c>
      <c r="S3014" t="b">
        <v>0</v>
      </c>
      <c r="T3014" t="s">
        <v>87</v>
      </c>
      <c r="U3014" t="b">
        <v>0</v>
      </c>
      <c r="V3014" t="s">
        <v>88</v>
      </c>
      <c r="W3014" s="1">
        <v>44224.166319444441</v>
      </c>
      <c r="X3014">
        <v>397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31</v>
      </c>
      <c r="AE3014">
        <v>27</v>
      </c>
      <c r="AF3014">
        <v>0</v>
      </c>
      <c r="AG3014">
        <v>5</v>
      </c>
      <c r="AH3014" t="s">
        <v>87</v>
      </c>
      <c r="AI3014" t="s">
        <v>87</v>
      </c>
      <c r="AJ3014" t="s">
        <v>87</v>
      </c>
      <c r="AK3014" t="s">
        <v>87</v>
      </c>
      <c r="AL3014" t="s">
        <v>87</v>
      </c>
      <c r="AM3014" t="s">
        <v>87</v>
      </c>
      <c r="AN3014" t="s">
        <v>87</v>
      </c>
      <c r="AO3014" t="s">
        <v>87</v>
      </c>
      <c r="AP3014" t="s">
        <v>87</v>
      </c>
      <c r="AQ3014" t="s">
        <v>87</v>
      </c>
      <c r="AR3014" t="s">
        <v>87</v>
      </c>
      <c r="AS3014" t="s">
        <v>87</v>
      </c>
      <c r="AT3014" t="s">
        <v>87</v>
      </c>
      <c r="AU3014" t="s">
        <v>87</v>
      </c>
      <c r="AV3014" t="s">
        <v>87</v>
      </c>
      <c r="AW3014" t="s">
        <v>87</v>
      </c>
      <c r="AX3014" t="s">
        <v>87</v>
      </c>
      <c r="AY3014" t="s">
        <v>87</v>
      </c>
      <c r="AZ3014" t="s">
        <v>87</v>
      </c>
      <c r="BA3014" t="s">
        <v>87</v>
      </c>
      <c r="BB3014" t="s">
        <v>87</v>
      </c>
      <c r="BC3014" t="s">
        <v>87</v>
      </c>
      <c r="BD3014" t="s">
        <v>87</v>
      </c>
      <c r="BE3014" t="s">
        <v>87</v>
      </c>
    </row>
    <row r="3015" spans="1:57" hidden="1" x14ac:dyDescent="0.45">
      <c r="A3015" t="s">
        <v>7127</v>
      </c>
      <c r="B3015" t="s">
        <v>79</v>
      </c>
      <c r="C3015" t="s">
        <v>1360</v>
      </c>
      <c r="D3015" t="s">
        <v>81</v>
      </c>
      <c r="E3015" s="2" t="str">
        <f>HYPERLINK("capsilon://?command=openfolder&amp;siteaddress=FAM.docvelocity-na8.net&amp;folderid=FX1C24D772-DF79-9A8C-64E1-FBA7876A9537","FX20122688")</f>
        <v>FX20122688</v>
      </c>
      <c r="F3015" t="s">
        <v>19</v>
      </c>
      <c r="G3015" t="s">
        <v>19</v>
      </c>
      <c r="H3015" t="s">
        <v>82</v>
      </c>
      <c r="I3015" t="s">
        <v>7128</v>
      </c>
      <c r="J3015">
        <v>66</v>
      </c>
      <c r="K3015" t="s">
        <v>84</v>
      </c>
      <c r="L3015" t="s">
        <v>85</v>
      </c>
      <c r="M3015" t="s">
        <v>86</v>
      </c>
      <c r="N3015">
        <v>1</v>
      </c>
      <c r="O3015" s="1">
        <v>44223.990231481483</v>
      </c>
      <c r="P3015" s="1">
        <v>44224.167662037034</v>
      </c>
      <c r="Q3015">
        <v>15015</v>
      </c>
      <c r="R3015">
        <v>315</v>
      </c>
      <c r="S3015" t="b">
        <v>0</v>
      </c>
      <c r="T3015" t="s">
        <v>87</v>
      </c>
      <c r="U3015" t="b">
        <v>0</v>
      </c>
      <c r="V3015" t="s">
        <v>919</v>
      </c>
      <c r="W3015" s="1">
        <v>44224.167662037034</v>
      </c>
      <c r="X3015">
        <v>315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66</v>
      </c>
      <c r="AE3015">
        <v>52</v>
      </c>
      <c r="AF3015">
        <v>0</v>
      </c>
      <c r="AG3015">
        <v>2</v>
      </c>
      <c r="AH3015" t="s">
        <v>87</v>
      </c>
      <c r="AI3015" t="s">
        <v>87</v>
      </c>
      <c r="AJ3015" t="s">
        <v>87</v>
      </c>
      <c r="AK3015" t="s">
        <v>87</v>
      </c>
      <c r="AL3015" t="s">
        <v>87</v>
      </c>
      <c r="AM3015" t="s">
        <v>87</v>
      </c>
      <c r="AN3015" t="s">
        <v>87</v>
      </c>
      <c r="AO3015" t="s">
        <v>87</v>
      </c>
      <c r="AP3015" t="s">
        <v>87</v>
      </c>
      <c r="AQ3015" t="s">
        <v>87</v>
      </c>
      <c r="AR3015" t="s">
        <v>87</v>
      </c>
      <c r="AS3015" t="s">
        <v>87</v>
      </c>
      <c r="AT3015" t="s">
        <v>87</v>
      </c>
      <c r="AU3015" t="s">
        <v>87</v>
      </c>
      <c r="AV3015" t="s">
        <v>87</v>
      </c>
      <c r="AW3015" t="s">
        <v>87</v>
      </c>
      <c r="AX3015" t="s">
        <v>87</v>
      </c>
      <c r="AY3015" t="s">
        <v>87</v>
      </c>
      <c r="AZ3015" t="s">
        <v>87</v>
      </c>
      <c r="BA3015" t="s">
        <v>87</v>
      </c>
      <c r="BB3015" t="s">
        <v>87</v>
      </c>
      <c r="BC3015" t="s">
        <v>87</v>
      </c>
      <c r="BD3015" t="s">
        <v>87</v>
      </c>
      <c r="BE3015" t="s">
        <v>87</v>
      </c>
    </row>
    <row r="3016" spans="1:57" x14ac:dyDescent="0.45">
      <c r="A3016" t="s">
        <v>7129</v>
      </c>
      <c r="B3016" t="s">
        <v>79</v>
      </c>
      <c r="C3016" t="s">
        <v>1599</v>
      </c>
      <c r="D3016" t="s">
        <v>81</v>
      </c>
      <c r="E3016" s="2" t="str">
        <f>HYPERLINK("capsilon://?command=openfolder&amp;siteaddress=FAM.docvelocity-na8.net&amp;folderid=FX1AB0EAE9-29C1-E14A-0FBC-B85B5289BE22","FX201227807")</f>
        <v>FX201227807</v>
      </c>
      <c r="F3016" t="s">
        <v>19</v>
      </c>
      <c r="G3016" t="s">
        <v>19</v>
      </c>
      <c r="H3016" t="s">
        <v>82</v>
      </c>
      <c r="I3016" t="s">
        <v>7130</v>
      </c>
      <c r="J3016">
        <v>66</v>
      </c>
      <c r="K3016" t="s">
        <v>84</v>
      </c>
      <c r="L3016" t="s">
        <v>85</v>
      </c>
      <c r="M3016" t="s">
        <v>86</v>
      </c>
      <c r="N3016">
        <v>3</v>
      </c>
      <c r="O3016" s="1">
        <v>44201.704479166663</v>
      </c>
      <c r="P3016" s="1">
        <v>44202.363564814812</v>
      </c>
      <c r="Q3016">
        <v>55829</v>
      </c>
      <c r="R3016">
        <v>1116</v>
      </c>
      <c r="S3016" t="b">
        <v>0</v>
      </c>
      <c r="T3016" t="s">
        <v>87</v>
      </c>
      <c r="U3016" t="b">
        <v>0</v>
      </c>
      <c r="V3016" t="s">
        <v>242</v>
      </c>
      <c r="W3016" s="1">
        <v>44201.735856481479</v>
      </c>
      <c r="X3016">
        <v>498</v>
      </c>
      <c r="Y3016">
        <v>52</v>
      </c>
      <c r="Z3016">
        <v>0</v>
      </c>
      <c r="AA3016">
        <v>52</v>
      </c>
      <c r="AB3016">
        <v>0</v>
      </c>
      <c r="AC3016">
        <v>21</v>
      </c>
      <c r="AD3016">
        <v>14</v>
      </c>
      <c r="AE3016">
        <v>0</v>
      </c>
      <c r="AF3016">
        <v>0</v>
      </c>
      <c r="AG3016">
        <v>0</v>
      </c>
      <c r="AH3016" t="s">
        <v>267</v>
      </c>
      <c r="AI3016" s="1">
        <v>44201.75582175926</v>
      </c>
      <c r="AJ3016">
        <v>84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14</v>
      </c>
      <c r="AQ3016">
        <v>0</v>
      </c>
      <c r="AR3016">
        <v>0</v>
      </c>
      <c r="AS3016">
        <v>0</v>
      </c>
      <c r="AT3016" t="s">
        <v>90</v>
      </c>
      <c r="AU3016" s="1">
        <v>44202.363564814812</v>
      </c>
      <c r="AV3016">
        <v>534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14</v>
      </c>
      <c r="BC3016">
        <v>0</v>
      </c>
      <c r="BD3016">
        <v>0</v>
      </c>
      <c r="BE3016">
        <v>0</v>
      </c>
    </row>
    <row r="3017" spans="1:57" x14ac:dyDescent="0.45">
      <c r="A3017" t="s">
        <v>7131</v>
      </c>
      <c r="B3017" t="s">
        <v>79</v>
      </c>
      <c r="C3017" t="s">
        <v>7125</v>
      </c>
      <c r="D3017" t="s">
        <v>81</v>
      </c>
      <c r="E3017" s="2" t="str">
        <f>HYPERLINK("capsilon://?command=openfolder&amp;siteaddress=FAM.docvelocity-na8.net&amp;folderid=FXFAAD81C0-51D9-E5C9-DB6D-6976255FCBCF","FX20125064")</f>
        <v>FX20125064</v>
      </c>
      <c r="F3017" t="s">
        <v>19</v>
      </c>
      <c r="G3017" t="s">
        <v>19</v>
      </c>
      <c r="H3017" t="s">
        <v>82</v>
      </c>
      <c r="I3017" t="s">
        <v>7126</v>
      </c>
      <c r="J3017">
        <v>155</v>
      </c>
      <c r="K3017" t="s">
        <v>84</v>
      </c>
      <c r="L3017" t="s">
        <v>85</v>
      </c>
      <c r="M3017" t="s">
        <v>86</v>
      </c>
      <c r="N3017">
        <v>3</v>
      </c>
      <c r="O3017" s="1">
        <v>44224.167337962965</v>
      </c>
      <c r="P3017" s="1">
        <v>44224.344687500001</v>
      </c>
      <c r="Q3017">
        <v>9818</v>
      </c>
      <c r="R3017">
        <v>5505</v>
      </c>
      <c r="S3017" t="b">
        <v>0</v>
      </c>
      <c r="T3017" t="s">
        <v>87</v>
      </c>
      <c r="U3017" t="b">
        <v>1</v>
      </c>
      <c r="V3017" t="s">
        <v>88</v>
      </c>
      <c r="W3017" s="1">
        <v>44224.204247685186</v>
      </c>
      <c r="X3017">
        <v>3188</v>
      </c>
      <c r="Y3017">
        <v>350</v>
      </c>
      <c r="Z3017">
        <v>0</v>
      </c>
      <c r="AA3017">
        <v>350</v>
      </c>
      <c r="AB3017">
        <v>0</v>
      </c>
      <c r="AC3017">
        <v>271</v>
      </c>
      <c r="AD3017">
        <v>-195</v>
      </c>
      <c r="AE3017">
        <v>0</v>
      </c>
      <c r="AF3017">
        <v>0</v>
      </c>
      <c r="AG3017">
        <v>0</v>
      </c>
      <c r="AH3017" t="s">
        <v>89</v>
      </c>
      <c r="AI3017" s="1">
        <v>44224.237187500003</v>
      </c>
      <c r="AJ3017">
        <v>2260</v>
      </c>
      <c r="AK3017">
        <v>1</v>
      </c>
      <c r="AL3017">
        <v>0</v>
      </c>
      <c r="AM3017">
        <v>1</v>
      </c>
      <c r="AN3017">
        <v>0</v>
      </c>
      <c r="AO3017">
        <v>0</v>
      </c>
      <c r="AP3017">
        <v>-196</v>
      </c>
      <c r="AQ3017">
        <v>0</v>
      </c>
      <c r="AR3017">
        <v>0</v>
      </c>
      <c r="AS3017">
        <v>0</v>
      </c>
      <c r="AT3017" t="s">
        <v>90</v>
      </c>
      <c r="AU3017" s="1">
        <v>44224.344687500001</v>
      </c>
      <c r="AV3017">
        <v>57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-196</v>
      </c>
      <c r="BC3017">
        <v>0</v>
      </c>
      <c r="BD3017">
        <v>0</v>
      </c>
      <c r="BE3017">
        <v>0</v>
      </c>
    </row>
    <row r="3018" spans="1:57" x14ac:dyDescent="0.45">
      <c r="A3018" t="s">
        <v>7132</v>
      </c>
      <c r="B3018" t="s">
        <v>79</v>
      </c>
      <c r="C3018" t="s">
        <v>1360</v>
      </c>
      <c r="D3018" t="s">
        <v>81</v>
      </c>
      <c r="E3018" s="2" t="str">
        <f>HYPERLINK("capsilon://?command=openfolder&amp;siteaddress=FAM.docvelocity-na8.net&amp;folderid=FX1C24D772-DF79-9A8C-64E1-FBA7876A9537","FX20122688")</f>
        <v>FX20122688</v>
      </c>
      <c r="F3018" t="s">
        <v>19</v>
      </c>
      <c r="G3018" t="s">
        <v>19</v>
      </c>
      <c r="H3018" t="s">
        <v>82</v>
      </c>
      <c r="I3018" t="s">
        <v>7128</v>
      </c>
      <c r="J3018">
        <v>104</v>
      </c>
      <c r="K3018" t="s">
        <v>84</v>
      </c>
      <c r="L3018" t="s">
        <v>85</v>
      </c>
      <c r="M3018" t="s">
        <v>86</v>
      </c>
      <c r="N3018">
        <v>3</v>
      </c>
      <c r="O3018" s="1">
        <v>44224.168043981481</v>
      </c>
      <c r="P3018" s="1">
        <v>44224.34516203704</v>
      </c>
      <c r="Q3018">
        <v>11800</v>
      </c>
      <c r="R3018">
        <v>3503</v>
      </c>
      <c r="S3018" t="b">
        <v>0</v>
      </c>
      <c r="T3018" t="s">
        <v>87</v>
      </c>
      <c r="U3018" t="b">
        <v>1</v>
      </c>
      <c r="V3018" t="s">
        <v>919</v>
      </c>
      <c r="W3018" s="1">
        <v>44224.195439814815</v>
      </c>
      <c r="X3018">
        <v>2364</v>
      </c>
      <c r="Y3018">
        <v>89</v>
      </c>
      <c r="Z3018">
        <v>0</v>
      </c>
      <c r="AA3018">
        <v>89</v>
      </c>
      <c r="AB3018">
        <v>0</v>
      </c>
      <c r="AC3018">
        <v>55</v>
      </c>
      <c r="AD3018">
        <v>15</v>
      </c>
      <c r="AE3018">
        <v>0</v>
      </c>
      <c r="AF3018">
        <v>0</v>
      </c>
      <c r="AG3018">
        <v>0</v>
      </c>
      <c r="AH3018" t="s">
        <v>89</v>
      </c>
      <c r="AI3018" s="1">
        <v>44224.211018518516</v>
      </c>
      <c r="AJ3018">
        <v>1067</v>
      </c>
      <c r="AK3018">
        <v>1</v>
      </c>
      <c r="AL3018">
        <v>0</v>
      </c>
      <c r="AM3018">
        <v>1</v>
      </c>
      <c r="AN3018">
        <v>0</v>
      </c>
      <c r="AO3018">
        <v>0</v>
      </c>
      <c r="AP3018">
        <v>14</v>
      </c>
      <c r="AQ3018">
        <v>0</v>
      </c>
      <c r="AR3018">
        <v>0</v>
      </c>
      <c r="AS3018">
        <v>0</v>
      </c>
      <c r="AT3018" t="s">
        <v>90</v>
      </c>
      <c r="AU3018" s="1">
        <v>44224.34516203704</v>
      </c>
      <c r="AV3018">
        <v>40</v>
      </c>
      <c r="AW3018">
        <v>1</v>
      </c>
      <c r="AX3018">
        <v>0</v>
      </c>
      <c r="AY3018">
        <v>1</v>
      </c>
      <c r="AZ3018">
        <v>0</v>
      </c>
      <c r="BA3018">
        <v>1</v>
      </c>
      <c r="BB3018">
        <v>13</v>
      </c>
      <c r="BC3018">
        <v>0</v>
      </c>
      <c r="BD3018">
        <v>0</v>
      </c>
      <c r="BE3018">
        <v>0</v>
      </c>
    </row>
    <row r="3019" spans="1:57" x14ac:dyDescent="0.45">
      <c r="A3019" t="s">
        <v>7133</v>
      </c>
      <c r="B3019" t="s">
        <v>79</v>
      </c>
      <c r="C3019" t="s">
        <v>3592</v>
      </c>
      <c r="D3019" t="s">
        <v>81</v>
      </c>
      <c r="E3019" s="2" t="str">
        <f>HYPERLINK("capsilon://?command=openfolder&amp;siteaddress=FAM.docvelocity-na8.net&amp;folderid=FXBF04AC29-3BEF-B396-8760-BF582768A35F","FX21019194")</f>
        <v>FX21019194</v>
      </c>
      <c r="F3019" t="s">
        <v>19</v>
      </c>
      <c r="G3019" t="s">
        <v>19</v>
      </c>
      <c r="H3019" t="s">
        <v>82</v>
      </c>
      <c r="I3019" t="s">
        <v>7134</v>
      </c>
      <c r="J3019">
        <v>76</v>
      </c>
      <c r="K3019" t="s">
        <v>84</v>
      </c>
      <c r="L3019" t="s">
        <v>85</v>
      </c>
      <c r="M3019" t="s">
        <v>86</v>
      </c>
      <c r="N3019">
        <v>3</v>
      </c>
      <c r="O3019" s="1">
        <v>44224.285509259258</v>
      </c>
      <c r="P3019" s="1">
        <v>44224.428599537037</v>
      </c>
      <c r="Q3019">
        <v>10498</v>
      </c>
      <c r="R3019">
        <v>1865</v>
      </c>
      <c r="S3019" t="b">
        <v>0</v>
      </c>
      <c r="T3019" t="s">
        <v>87</v>
      </c>
      <c r="U3019" t="b">
        <v>0</v>
      </c>
      <c r="V3019" t="s">
        <v>98</v>
      </c>
      <c r="W3019" s="1">
        <v>44224.312604166669</v>
      </c>
      <c r="X3019">
        <v>1403</v>
      </c>
      <c r="Y3019">
        <v>74</v>
      </c>
      <c r="Z3019">
        <v>0</v>
      </c>
      <c r="AA3019">
        <v>74</v>
      </c>
      <c r="AB3019">
        <v>0</v>
      </c>
      <c r="AC3019">
        <v>64</v>
      </c>
      <c r="AD3019">
        <v>2</v>
      </c>
      <c r="AE3019">
        <v>0</v>
      </c>
      <c r="AF3019">
        <v>0</v>
      </c>
      <c r="AG3019">
        <v>0</v>
      </c>
      <c r="AH3019" t="s">
        <v>94</v>
      </c>
      <c r="AI3019" s="1">
        <v>44224.408541666664</v>
      </c>
      <c r="AJ3019">
        <v>31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2</v>
      </c>
      <c r="AQ3019">
        <v>0</v>
      </c>
      <c r="AR3019">
        <v>0</v>
      </c>
      <c r="AS3019">
        <v>0</v>
      </c>
      <c r="AT3019" t="s">
        <v>90</v>
      </c>
      <c r="AU3019" s="1">
        <v>44224.428599537037</v>
      </c>
      <c r="AV3019">
        <v>11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2</v>
      </c>
      <c r="BC3019">
        <v>0</v>
      </c>
      <c r="BD3019">
        <v>0</v>
      </c>
      <c r="BE3019">
        <v>0</v>
      </c>
    </row>
    <row r="3020" spans="1:57" x14ac:dyDescent="0.45">
      <c r="A3020" t="s">
        <v>7135</v>
      </c>
      <c r="B3020" t="s">
        <v>79</v>
      </c>
      <c r="C3020" t="s">
        <v>7136</v>
      </c>
      <c r="D3020" t="s">
        <v>81</v>
      </c>
      <c r="E3020" s="2" t="str">
        <f>HYPERLINK("capsilon://?command=openfolder&amp;siteaddress=FAM.docvelocity-na8.net&amp;folderid=FX765B54A8-101D-0DFE-D386-4125A74408EB","FX210117475")</f>
        <v>FX210117475</v>
      </c>
      <c r="F3020" t="s">
        <v>19</v>
      </c>
      <c r="G3020" t="s">
        <v>19</v>
      </c>
      <c r="H3020" t="s">
        <v>82</v>
      </c>
      <c r="I3020" t="s">
        <v>7137</v>
      </c>
      <c r="J3020">
        <v>274</v>
      </c>
      <c r="K3020" t="s">
        <v>84</v>
      </c>
      <c r="L3020" t="s">
        <v>85</v>
      </c>
      <c r="M3020" t="s">
        <v>86</v>
      </c>
      <c r="N3020">
        <v>3</v>
      </c>
      <c r="O3020" s="1">
        <v>44224.332280092596</v>
      </c>
      <c r="P3020" s="1">
        <v>44224.428668981483</v>
      </c>
      <c r="Q3020">
        <v>4278</v>
      </c>
      <c r="R3020">
        <v>4050</v>
      </c>
      <c r="S3020" t="b">
        <v>0</v>
      </c>
      <c r="T3020" t="s">
        <v>87</v>
      </c>
      <c r="U3020" t="b">
        <v>0</v>
      </c>
      <c r="V3020" t="s">
        <v>98</v>
      </c>
      <c r="W3020" s="1">
        <v>44224.367673611108</v>
      </c>
      <c r="X3020">
        <v>3048</v>
      </c>
      <c r="Y3020">
        <v>42</v>
      </c>
      <c r="Z3020">
        <v>0</v>
      </c>
      <c r="AA3020">
        <v>42</v>
      </c>
      <c r="AB3020">
        <v>212</v>
      </c>
      <c r="AC3020">
        <v>22</v>
      </c>
      <c r="AD3020">
        <v>232</v>
      </c>
      <c r="AE3020">
        <v>0</v>
      </c>
      <c r="AF3020">
        <v>0</v>
      </c>
      <c r="AG3020">
        <v>0</v>
      </c>
      <c r="AH3020" t="s">
        <v>108</v>
      </c>
      <c r="AI3020" s="1">
        <v>44224.417175925926</v>
      </c>
      <c r="AJ3020">
        <v>997</v>
      </c>
      <c r="AK3020">
        <v>1</v>
      </c>
      <c r="AL3020">
        <v>0</v>
      </c>
      <c r="AM3020">
        <v>1</v>
      </c>
      <c r="AN3020">
        <v>212</v>
      </c>
      <c r="AO3020">
        <v>0</v>
      </c>
      <c r="AP3020">
        <v>231</v>
      </c>
      <c r="AQ3020">
        <v>0</v>
      </c>
      <c r="AR3020">
        <v>0</v>
      </c>
      <c r="AS3020">
        <v>0</v>
      </c>
      <c r="AT3020" t="s">
        <v>90</v>
      </c>
      <c r="AU3020" s="1">
        <v>44224.428668981483</v>
      </c>
      <c r="AV3020">
        <v>5</v>
      </c>
      <c r="AW3020">
        <v>0</v>
      </c>
      <c r="AX3020">
        <v>0</v>
      </c>
      <c r="AY3020">
        <v>0</v>
      </c>
      <c r="AZ3020">
        <v>212</v>
      </c>
      <c r="BA3020">
        <v>0</v>
      </c>
      <c r="BB3020">
        <v>231</v>
      </c>
      <c r="BC3020">
        <v>0</v>
      </c>
      <c r="BD3020">
        <v>0</v>
      </c>
      <c r="BE3020">
        <v>0</v>
      </c>
    </row>
    <row r="3021" spans="1:57" x14ac:dyDescent="0.45">
      <c r="A3021" t="s">
        <v>7138</v>
      </c>
      <c r="B3021" t="s">
        <v>79</v>
      </c>
      <c r="C3021" t="s">
        <v>2687</v>
      </c>
      <c r="D3021" t="s">
        <v>81</v>
      </c>
      <c r="E3021" s="2" t="str">
        <f>HYPERLINK("capsilon://?command=openfolder&amp;siteaddress=FAM.docvelocity-na8.net&amp;folderid=FX69F60238-0A90-2A18-75CB-D496A3FE65E6","FX21015740")</f>
        <v>FX21015740</v>
      </c>
      <c r="F3021" t="s">
        <v>19</v>
      </c>
      <c r="G3021" t="s">
        <v>19</v>
      </c>
      <c r="H3021" t="s">
        <v>82</v>
      </c>
      <c r="I3021" t="s">
        <v>7139</v>
      </c>
      <c r="J3021">
        <v>94</v>
      </c>
      <c r="K3021" t="s">
        <v>84</v>
      </c>
      <c r="L3021" t="s">
        <v>85</v>
      </c>
      <c r="M3021" t="s">
        <v>86</v>
      </c>
      <c r="N3021">
        <v>3</v>
      </c>
      <c r="O3021" s="1">
        <v>44224.34814814815</v>
      </c>
      <c r="P3021" s="1">
        <v>44224.451516203706</v>
      </c>
      <c r="Q3021">
        <v>2290</v>
      </c>
      <c r="R3021">
        <v>6641</v>
      </c>
      <c r="S3021" t="b">
        <v>0</v>
      </c>
      <c r="T3021" t="s">
        <v>87</v>
      </c>
      <c r="U3021" t="b">
        <v>0</v>
      </c>
      <c r="V3021" t="s">
        <v>88</v>
      </c>
      <c r="W3021" s="1">
        <v>44224.389062499999</v>
      </c>
      <c r="X3021">
        <v>3528</v>
      </c>
      <c r="Y3021">
        <v>186</v>
      </c>
      <c r="Z3021">
        <v>0</v>
      </c>
      <c r="AA3021">
        <v>186</v>
      </c>
      <c r="AB3021">
        <v>0</v>
      </c>
      <c r="AC3021">
        <v>162</v>
      </c>
      <c r="AD3021">
        <v>-92</v>
      </c>
      <c r="AE3021">
        <v>0</v>
      </c>
      <c r="AF3021">
        <v>0</v>
      </c>
      <c r="AG3021">
        <v>0</v>
      </c>
      <c r="AH3021" t="s">
        <v>89</v>
      </c>
      <c r="AI3021" s="1">
        <v>44224.448298611111</v>
      </c>
      <c r="AJ3021">
        <v>3047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-92</v>
      </c>
      <c r="AQ3021">
        <v>0</v>
      </c>
      <c r="AR3021">
        <v>0</v>
      </c>
      <c r="AS3021">
        <v>0</v>
      </c>
      <c r="AT3021" t="s">
        <v>90</v>
      </c>
      <c r="AU3021" s="1">
        <v>44224.451516203706</v>
      </c>
      <c r="AV3021">
        <v>44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-92</v>
      </c>
      <c r="BC3021">
        <v>0</v>
      </c>
      <c r="BD3021">
        <v>0</v>
      </c>
      <c r="BE3021">
        <v>0</v>
      </c>
    </row>
    <row r="3022" spans="1:57" hidden="1" x14ac:dyDescent="0.45">
      <c r="A3022" t="s">
        <v>7140</v>
      </c>
      <c r="B3022" t="s">
        <v>79</v>
      </c>
      <c r="C3022" t="s">
        <v>7141</v>
      </c>
      <c r="D3022" t="s">
        <v>81</v>
      </c>
      <c r="E3022" s="2" t="str">
        <f>HYPERLINK("capsilon://?command=openfolder&amp;siteaddress=FAM.docvelocity-na8.net&amp;folderid=FXD01BF6F1-B999-7D71-70A1-671FF93B2FE4","FX20126321")</f>
        <v>FX20126321</v>
      </c>
      <c r="F3022" t="s">
        <v>19</v>
      </c>
      <c r="G3022" t="s">
        <v>19</v>
      </c>
      <c r="H3022" t="s">
        <v>82</v>
      </c>
      <c r="I3022" t="s">
        <v>7142</v>
      </c>
      <c r="J3022">
        <v>75</v>
      </c>
      <c r="K3022" t="s">
        <v>84</v>
      </c>
      <c r="L3022" t="s">
        <v>85</v>
      </c>
      <c r="M3022" t="s">
        <v>86</v>
      </c>
      <c r="N3022">
        <v>1</v>
      </c>
      <c r="O3022" s="1">
        <v>44224.348692129628</v>
      </c>
      <c r="P3022" s="1">
        <v>44224.360949074071</v>
      </c>
      <c r="Q3022">
        <v>20</v>
      </c>
      <c r="R3022">
        <v>1039</v>
      </c>
      <c r="S3022" t="b">
        <v>0</v>
      </c>
      <c r="T3022" t="s">
        <v>87</v>
      </c>
      <c r="U3022" t="b">
        <v>0</v>
      </c>
      <c r="V3022" t="s">
        <v>112</v>
      </c>
      <c r="W3022" s="1">
        <v>44224.360949074071</v>
      </c>
      <c r="X3022">
        <v>1039</v>
      </c>
      <c r="Y3022">
        <v>56</v>
      </c>
      <c r="Z3022">
        <v>0</v>
      </c>
      <c r="AA3022">
        <v>56</v>
      </c>
      <c r="AB3022">
        <v>0</v>
      </c>
      <c r="AC3022">
        <v>46</v>
      </c>
      <c r="AD3022">
        <v>19</v>
      </c>
      <c r="AE3022">
        <v>83</v>
      </c>
      <c r="AF3022">
        <v>0</v>
      </c>
      <c r="AG3022">
        <v>2</v>
      </c>
      <c r="AH3022" t="s">
        <v>87</v>
      </c>
      <c r="AI3022" t="s">
        <v>87</v>
      </c>
      <c r="AJ3022" t="s">
        <v>87</v>
      </c>
      <c r="AK3022" t="s">
        <v>87</v>
      </c>
      <c r="AL3022" t="s">
        <v>87</v>
      </c>
      <c r="AM3022" t="s">
        <v>87</v>
      </c>
      <c r="AN3022" t="s">
        <v>87</v>
      </c>
      <c r="AO3022" t="s">
        <v>87</v>
      </c>
      <c r="AP3022" t="s">
        <v>87</v>
      </c>
      <c r="AQ3022" t="s">
        <v>87</v>
      </c>
      <c r="AR3022" t="s">
        <v>87</v>
      </c>
      <c r="AS3022" t="s">
        <v>87</v>
      </c>
      <c r="AT3022" t="s">
        <v>87</v>
      </c>
      <c r="AU3022" t="s">
        <v>87</v>
      </c>
      <c r="AV3022" t="s">
        <v>87</v>
      </c>
      <c r="AW3022" t="s">
        <v>87</v>
      </c>
      <c r="AX3022" t="s">
        <v>87</v>
      </c>
      <c r="AY3022" t="s">
        <v>87</v>
      </c>
      <c r="AZ3022" t="s">
        <v>87</v>
      </c>
      <c r="BA3022" t="s">
        <v>87</v>
      </c>
      <c r="BB3022" t="s">
        <v>87</v>
      </c>
      <c r="BC3022" t="s">
        <v>87</v>
      </c>
      <c r="BD3022" t="s">
        <v>87</v>
      </c>
      <c r="BE3022" t="s">
        <v>87</v>
      </c>
    </row>
    <row r="3023" spans="1:57" hidden="1" x14ac:dyDescent="0.45">
      <c r="A3023" t="s">
        <v>7143</v>
      </c>
      <c r="B3023" t="s">
        <v>79</v>
      </c>
      <c r="C3023" t="s">
        <v>2283</v>
      </c>
      <c r="D3023" t="s">
        <v>81</v>
      </c>
      <c r="E3023" s="2" t="str">
        <f>HYPERLINK("capsilon://?command=openfolder&amp;siteaddress=FAM.docvelocity-na8.net&amp;folderid=FX357645B6-E31A-09D8-E837-C8284C6B9B0D","FX201222484")</f>
        <v>FX201222484</v>
      </c>
      <c r="F3023" t="s">
        <v>19</v>
      </c>
      <c r="G3023" t="s">
        <v>19</v>
      </c>
      <c r="H3023" t="s">
        <v>82</v>
      </c>
      <c r="I3023" t="s">
        <v>7144</v>
      </c>
      <c r="J3023">
        <v>66</v>
      </c>
      <c r="K3023" t="s">
        <v>84</v>
      </c>
      <c r="L3023" t="s">
        <v>85</v>
      </c>
      <c r="M3023" t="s">
        <v>86</v>
      </c>
      <c r="N3023">
        <v>3</v>
      </c>
      <c r="O3023" s="1">
        <v>44224.352581018517</v>
      </c>
      <c r="P3023" s="1">
        <v>44224.428703703707</v>
      </c>
      <c r="Q3023">
        <v>6371</v>
      </c>
      <c r="R3023">
        <v>206</v>
      </c>
      <c r="S3023" t="b">
        <v>0</v>
      </c>
      <c r="T3023" t="s">
        <v>87</v>
      </c>
      <c r="U3023" t="b">
        <v>0</v>
      </c>
      <c r="V3023" t="s">
        <v>919</v>
      </c>
      <c r="W3023" s="1">
        <v>44224.354131944441</v>
      </c>
      <c r="X3023">
        <v>122</v>
      </c>
      <c r="Y3023">
        <v>0</v>
      </c>
      <c r="Z3023">
        <v>0</v>
      </c>
      <c r="AA3023">
        <v>0</v>
      </c>
      <c r="AB3023">
        <v>52</v>
      </c>
      <c r="AC3023">
        <v>0</v>
      </c>
      <c r="AD3023">
        <v>66</v>
      </c>
      <c r="AE3023">
        <v>0</v>
      </c>
      <c r="AF3023">
        <v>0</v>
      </c>
      <c r="AG3023">
        <v>0</v>
      </c>
      <c r="AH3023" t="s">
        <v>108</v>
      </c>
      <c r="AI3023" s="1">
        <v>44224.418136574073</v>
      </c>
      <c r="AJ3023">
        <v>82</v>
      </c>
      <c r="AK3023">
        <v>0</v>
      </c>
      <c r="AL3023">
        <v>0</v>
      </c>
      <c r="AM3023">
        <v>0</v>
      </c>
      <c r="AN3023">
        <v>52</v>
      </c>
      <c r="AO3023">
        <v>0</v>
      </c>
      <c r="AP3023">
        <v>66</v>
      </c>
      <c r="AQ3023">
        <v>0</v>
      </c>
      <c r="AR3023">
        <v>0</v>
      </c>
      <c r="AS3023">
        <v>0</v>
      </c>
      <c r="AT3023" t="s">
        <v>90</v>
      </c>
      <c r="AU3023" s="1">
        <v>44224.428703703707</v>
      </c>
      <c r="AV3023">
        <v>2</v>
      </c>
      <c r="AW3023">
        <v>0</v>
      </c>
      <c r="AX3023">
        <v>0</v>
      </c>
      <c r="AY3023">
        <v>0</v>
      </c>
      <c r="AZ3023">
        <v>52</v>
      </c>
      <c r="BA3023">
        <v>0</v>
      </c>
      <c r="BB3023">
        <v>66</v>
      </c>
      <c r="BC3023">
        <v>0</v>
      </c>
      <c r="BD3023">
        <v>0</v>
      </c>
      <c r="BE3023">
        <v>0</v>
      </c>
    </row>
    <row r="3024" spans="1:57" x14ac:dyDescent="0.45">
      <c r="A3024" t="s">
        <v>7145</v>
      </c>
      <c r="B3024" t="s">
        <v>79</v>
      </c>
      <c r="C3024" t="s">
        <v>7146</v>
      </c>
      <c r="D3024" t="s">
        <v>81</v>
      </c>
      <c r="E3024" s="2" t="str">
        <f>HYPERLINK("capsilon://?command=openfolder&amp;siteaddress=FAM.docvelocity-na8.net&amp;folderid=FXFBDEA070-FAC8-C643-02EF-6A9A0867A67B","FX210117058")</f>
        <v>FX210117058</v>
      </c>
      <c r="F3024" t="s">
        <v>19</v>
      </c>
      <c r="G3024" t="s">
        <v>19</v>
      </c>
      <c r="H3024" t="s">
        <v>82</v>
      </c>
      <c r="I3024" t="s">
        <v>7147</v>
      </c>
      <c r="J3024">
        <v>250</v>
      </c>
      <c r="K3024" t="s">
        <v>84</v>
      </c>
      <c r="L3024" t="s">
        <v>85</v>
      </c>
      <c r="M3024" t="s">
        <v>86</v>
      </c>
      <c r="N3024">
        <v>3</v>
      </c>
      <c r="O3024" s="1">
        <v>44224.361041666663</v>
      </c>
      <c r="P3024" s="1">
        <v>44224.429456018515</v>
      </c>
      <c r="Q3024">
        <v>3936</v>
      </c>
      <c r="R3024">
        <v>1975</v>
      </c>
      <c r="S3024" t="b">
        <v>0</v>
      </c>
      <c r="T3024" t="s">
        <v>87</v>
      </c>
      <c r="U3024" t="b">
        <v>0</v>
      </c>
      <c r="V3024" t="s">
        <v>112</v>
      </c>
      <c r="W3024" s="1">
        <v>44224.381805555553</v>
      </c>
      <c r="X3024">
        <v>1793</v>
      </c>
      <c r="Y3024">
        <v>196</v>
      </c>
      <c r="Z3024">
        <v>0</v>
      </c>
      <c r="AA3024">
        <v>196</v>
      </c>
      <c r="AB3024">
        <v>37</v>
      </c>
      <c r="AC3024">
        <v>73</v>
      </c>
      <c r="AD3024">
        <v>54</v>
      </c>
      <c r="AE3024">
        <v>0</v>
      </c>
      <c r="AF3024">
        <v>0</v>
      </c>
      <c r="AG3024">
        <v>0</v>
      </c>
      <c r="AH3024" t="s">
        <v>108</v>
      </c>
      <c r="AI3024" s="1">
        <v>44224.427812499998</v>
      </c>
      <c r="AJ3024">
        <v>118</v>
      </c>
      <c r="AK3024">
        <v>2</v>
      </c>
      <c r="AL3024">
        <v>0</v>
      </c>
      <c r="AM3024">
        <v>2</v>
      </c>
      <c r="AN3024">
        <v>37</v>
      </c>
      <c r="AO3024">
        <v>0</v>
      </c>
      <c r="AP3024">
        <v>52</v>
      </c>
      <c r="AQ3024">
        <v>0</v>
      </c>
      <c r="AR3024">
        <v>0</v>
      </c>
      <c r="AS3024">
        <v>0</v>
      </c>
      <c r="AT3024" t="s">
        <v>90</v>
      </c>
      <c r="AU3024" s="1">
        <v>44224.429456018515</v>
      </c>
      <c r="AV3024">
        <v>64</v>
      </c>
      <c r="AW3024">
        <v>0</v>
      </c>
      <c r="AX3024">
        <v>0</v>
      </c>
      <c r="AY3024">
        <v>0</v>
      </c>
      <c r="AZ3024">
        <v>37</v>
      </c>
      <c r="BA3024">
        <v>0</v>
      </c>
      <c r="BB3024">
        <v>52</v>
      </c>
      <c r="BC3024">
        <v>0</v>
      </c>
      <c r="BD3024">
        <v>0</v>
      </c>
      <c r="BE3024">
        <v>0</v>
      </c>
    </row>
    <row r="3025" spans="1:57" x14ac:dyDescent="0.45">
      <c r="A3025" t="s">
        <v>7148</v>
      </c>
      <c r="B3025" t="s">
        <v>79</v>
      </c>
      <c r="C3025" t="s">
        <v>7141</v>
      </c>
      <c r="D3025" t="s">
        <v>81</v>
      </c>
      <c r="E3025" s="2" t="str">
        <f>HYPERLINK("capsilon://?command=openfolder&amp;siteaddress=FAM.docvelocity-na8.net&amp;folderid=FXD01BF6F1-B999-7D71-70A1-671FF93B2FE4","FX20126321")</f>
        <v>FX20126321</v>
      </c>
      <c r="F3025" t="s">
        <v>19</v>
      </c>
      <c r="G3025" t="s">
        <v>19</v>
      </c>
      <c r="H3025" t="s">
        <v>82</v>
      </c>
      <c r="I3025" t="s">
        <v>7142</v>
      </c>
      <c r="J3025">
        <v>75</v>
      </c>
      <c r="K3025" t="s">
        <v>84</v>
      </c>
      <c r="L3025" t="s">
        <v>85</v>
      </c>
      <c r="M3025" t="s">
        <v>86</v>
      </c>
      <c r="N3025">
        <v>3</v>
      </c>
      <c r="O3025" s="1">
        <v>44224.363252314812</v>
      </c>
      <c r="P3025" s="1">
        <v>44224.428460648145</v>
      </c>
      <c r="Q3025">
        <v>3259</v>
      </c>
      <c r="R3025">
        <v>2375</v>
      </c>
      <c r="S3025" t="b">
        <v>0</v>
      </c>
      <c r="T3025" t="s">
        <v>87</v>
      </c>
      <c r="U3025" t="b">
        <v>1</v>
      </c>
      <c r="V3025" t="s">
        <v>919</v>
      </c>
      <c r="W3025" s="1">
        <v>44224.385937500003</v>
      </c>
      <c r="X3025">
        <v>1959</v>
      </c>
      <c r="Y3025">
        <v>130</v>
      </c>
      <c r="Z3025">
        <v>0</v>
      </c>
      <c r="AA3025">
        <v>130</v>
      </c>
      <c r="AB3025">
        <v>0</v>
      </c>
      <c r="AC3025">
        <v>105</v>
      </c>
      <c r="AD3025">
        <v>-55</v>
      </c>
      <c r="AE3025">
        <v>0</v>
      </c>
      <c r="AF3025">
        <v>0</v>
      </c>
      <c r="AG3025">
        <v>0</v>
      </c>
      <c r="AH3025" t="s">
        <v>108</v>
      </c>
      <c r="AI3025" s="1">
        <v>44224.405624999999</v>
      </c>
      <c r="AJ3025">
        <v>382</v>
      </c>
      <c r="AK3025">
        <v>5</v>
      </c>
      <c r="AL3025">
        <v>0</v>
      </c>
      <c r="AM3025">
        <v>5</v>
      </c>
      <c r="AN3025">
        <v>0</v>
      </c>
      <c r="AO3025">
        <v>2</v>
      </c>
      <c r="AP3025">
        <v>-60</v>
      </c>
      <c r="AQ3025">
        <v>0</v>
      </c>
      <c r="AR3025">
        <v>0</v>
      </c>
      <c r="AS3025">
        <v>0</v>
      </c>
      <c r="AT3025" t="s">
        <v>90</v>
      </c>
      <c r="AU3025" s="1">
        <v>44224.428460648145</v>
      </c>
      <c r="AV3025">
        <v>27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-60</v>
      </c>
      <c r="BC3025">
        <v>0</v>
      </c>
      <c r="BD3025">
        <v>0</v>
      </c>
      <c r="BE3025">
        <v>0</v>
      </c>
    </row>
    <row r="3026" spans="1:57" x14ac:dyDescent="0.45">
      <c r="A3026" t="s">
        <v>7149</v>
      </c>
      <c r="B3026" t="s">
        <v>79</v>
      </c>
      <c r="C3026" t="s">
        <v>7150</v>
      </c>
      <c r="D3026" t="s">
        <v>81</v>
      </c>
      <c r="E3026" s="2" t="str">
        <f>HYPERLINK("capsilon://?command=openfolder&amp;siteaddress=FAM.docvelocity-na8.net&amp;folderid=FX456DF9E3-58A7-6AE8-B78A-21A672571AB9","FX210116889")</f>
        <v>FX210116889</v>
      </c>
      <c r="F3026" t="s">
        <v>19</v>
      </c>
      <c r="G3026" t="s">
        <v>19</v>
      </c>
      <c r="H3026" t="s">
        <v>82</v>
      </c>
      <c r="I3026" t="s">
        <v>7151</v>
      </c>
      <c r="J3026">
        <v>175</v>
      </c>
      <c r="K3026" t="s">
        <v>84</v>
      </c>
      <c r="L3026" t="s">
        <v>85</v>
      </c>
      <c r="M3026" t="s">
        <v>86</v>
      </c>
      <c r="N3026">
        <v>3</v>
      </c>
      <c r="O3026" s="1">
        <v>44224.367812500001</v>
      </c>
      <c r="P3026" s="1">
        <v>44224.452141203707</v>
      </c>
      <c r="Q3026">
        <v>5193</v>
      </c>
      <c r="R3026">
        <v>2093</v>
      </c>
      <c r="S3026" t="b">
        <v>0</v>
      </c>
      <c r="T3026" t="s">
        <v>87</v>
      </c>
      <c r="U3026" t="b">
        <v>0</v>
      </c>
      <c r="V3026" t="s">
        <v>105</v>
      </c>
      <c r="W3026" s="1">
        <v>44224.38008101852</v>
      </c>
      <c r="X3026">
        <v>1059</v>
      </c>
      <c r="Y3026">
        <v>106</v>
      </c>
      <c r="Z3026">
        <v>0</v>
      </c>
      <c r="AA3026">
        <v>106</v>
      </c>
      <c r="AB3026">
        <v>37</v>
      </c>
      <c r="AC3026">
        <v>21</v>
      </c>
      <c r="AD3026">
        <v>69</v>
      </c>
      <c r="AE3026">
        <v>0</v>
      </c>
      <c r="AF3026">
        <v>0</v>
      </c>
      <c r="AG3026">
        <v>0</v>
      </c>
      <c r="AH3026" t="s">
        <v>94</v>
      </c>
      <c r="AI3026" s="1">
        <v>44224.429756944446</v>
      </c>
      <c r="AJ3026">
        <v>981</v>
      </c>
      <c r="AK3026">
        <v>1</v>
      </c>
      <c r="AL3026">
        <v>0</v>
      </c>
      <c r="AM3026">
        <v>1</v>
      </c>
      <c r="AN3026">
        <v>37</v>
      </c>
      <c r="AO3026">
        <v>1</v>
      </c>
      <c r="AP3026">
        <v>68</v>
      </c>
      <c r="AQ3026">
        <v>0</v>
      </c>
      <c r="AR3026">
        <v>0</v>
      </c>
      <c r="AS3026">
        <v>0</v>
      </c>
      <c r="AT3026" t="s">
        <v>90</v>
      </c>
      <c r="AU3026" s="1">
        <v>44224.452141203707</v>
      </c>
      <c r="AV3026">
        <v>53</v>
      </c>
      <c r="AW3026">
        <v>0</v>
      </c>
      <c r="AX3026">
        <v>0</v>
      </c>
      <c r="AY3026">
        <v>0</v>
      </c>
      <c r="AZ3026">
        <v>37</v>
      </c>
      <c r="BA3026">
        <v>0</v>
      </c>
      <c r="BB3026">
        <v>68</v>
      </c>
      <c r="BC3026">
        <v>0</v>
      </c>
      <c r="BD3026">
        <v>0</v>
      </c>
      <c r="BE3026">
        <v>0</v>
      </c>
    </row>
    <row r="3027" spans="1:57" hidden="1" x14ac:dyDescent="0.45">
      <c r="A3027" t="s">
        <v>7152</v>
      </c>
      <c r="B3027" t="s">
        <v>79</v>
      </c>
      <c r="C3027" t="s">
        <v>6785</v>
      </c>
      <c r="D3027" t="s">
        <v>81</v>
      </c>
      <c r="E3027" s="2" t="str">
        <f>HYPERLINK("capsilon://?command=openfolder&amp;siteaddress=FAM.docvelocity-na8.net&amp;folderid=FX3004F275-49A5-0DBF-FB98-EF588E85FD26","FX201221559")</f>
        <v>FX201221559</v>
      </c>
      <c r="F3027" t="s">
        <v>19</v>
      </c>
      <c r="G3027" t="s">
        <v>19</v>
      </c>
      <c r="H3027" t="s">
        <v>82</v>
      </c>
      <c r="I3027" t="s">
        <v>7153</v>
      </c>
      <c r="J3027">
        <v>66</v>
      </c>
      <c r="K3027" t="s">
        <v>84</v>
      </c>
      <c r="L3027" t="s">
        <v>85</v>
      </c>
      <c r="M3027" t="s">
        <v>86</v>
      </c>
      <c r="N3027">
        <v>3</v>
      </c>
      <c r="O3027" s="1">
        <v>44224.373726851853</v>
      </c>
      <c r="P3027" s="1">
        <v>44224.429490740738</v>
      </c>
      <c r="Q3027">
        <v>4441</v>
      </c>
      <c r="R3027">
        <v>377</v>
      </c>
      <c r="S3027" t="b">
        <v>0</v>
      </c>
      <c r="T3027" t="s">
        <v>87</v>
      </c>
      <c r="U3027" t="b">
        <v>0</v>
      </c>
      <c r="V3027" t="s">
        <v>105</v>
      </c>
      <c r="W3027" s="1">
        <v>44224.383333333331</v>
      </c>
      <c r="X3027">
        <v>280</v>
      </c>
      <c r="Y3027">
        <v>0</v>
      </c>
      <c r="Z3027">
        <v>0</v>
      </c>
      <c r="AA3027">
        <v>0</v>
      </c>
      <c r="AB3027">
        <v>52</v>
      </c>
      <c r="AC3027">
        <v>0</v>
      </c>
      <c r="AD3027">
        <v>66</v>
      </c>
      <c r="AE3027">
        <v>0</v>
      </c>
      <c r="AF3027">
        <v>0</v>
      </c>
      <c r="AG3027">
        <v>0</v>
      </c>
      <c r="AH3027" t="s">
        <v>108</v>
      </c>
      <c r="AI3027" s="1">
        <v>44224.428912037038</v>
      </c>
      <c r="AJ3027">
        <v>94</v>
      </c>
      <c r="AK3027">
        <v>0</v>
      </c>
      <c r="AL3027">
        <v>0</v>
      </c>
      <c r="AM3027">
        <v>0</v>
      </c>
      <c r="AN3027">
        <v>52</v>
      </c>
      <c r="AO3027">
        <v>0</v>
      </c>
      <c r="AP3027">
        <v>66</v>
      </c>
      <c r="AQ3027">
        <v>0</v>
      </c>
      <c r="AR3027">
        <v>0</v>
      </c>
      <c r="AS3027">
        <v>0</v>
      </c>
      <c r="AT3027" t="s">
        <v>90</v>
      </c>
      <c r="AU3027" s="1">
        <v>44224.429490740738</v>
      </c>
      <c r="AV3027">
        <v>3</v>
      </c>
      <c r="AW3027">
        <v>0</v>
      </c>
      <c r="AX3027">
        <v>0</v>
      </c>
      <c r="AY3027">
        <v>0</v>
      </c>
      <c r="AZ3027">
        <v>52</v>
      </c>
      <c r="BA3027">
        <v>0</v>
      </c>
      <c r="BB3027">
        <v>66</v>
      </c>
      <c r="BC3027">
        <v>0</v>
      </c>
      <c r="BD3027">
        <v>0</v>
      </c>
      <c r="BE3027">
        <v>0</v>
      </c>
    </row>
    <row r="3028" spans="1:57" x14ac:dyDescent="0.45">
      <c r="A3028" t="s">
        <v>7154</v>
      </c>
      <c r="B3028" t="s">
        <v>79</v>
      </c>
      <c r="C3028" t="s">
        <v>7155</v>
      </c>
      <c r="D3028" t="s">
        <v>81</v>
      </c>
      <c r="E3028" s="2" t="str">
        <f>HYPERLINK("capsilon://?command=openfolder&amp;siteaddress=FAM.docvelocity-na8.net&amp;folderid=FX2F0087F5-7B5D-133F-EEAB-9C82C752B7F1","FX210116927")</f>
        <v>FX210116927</v>
      </c>
      <c r="F3028" t="s">
        <v>19</v>
      </c>
      <c r="G3028" t="s">
        <v>19</v>
      </c>
      <c r="H3028" t="s">
        <v>82</v>
      </c>
      <c r="I3028" t="s">
        <v>7156</v>
      </c>
      <c r="J3028">
        <v>309</v>
      </c>
      <c r="K3028" t="s">
        <v>84</v>
      </c>
      <c r="L3028" t="s">
        <v>85</v>
      </c>
      <c r="M3028" t="s">
        <v>86</v>
      </c>
      <c r="N3028">
        <v>3</v>
      </c>
      <c r="O3028" s="1">
        <v>44224.383229166669</v>
      </c>
      <c r="P3028" s="1">
        <v>44224.452916666669</v>
      </c>
      <c r="Q3028">
        <v>1426</v>
      </c>
      <c r="R3028">
        <v>4595</v>
      </c>
      <c r="S3028" t="b">
        <v>0</v>
      </c>
      <c r="T3028" t="s">
        <v>87</v>
      </c>
      <c r="U3028" t="b">
        <v>0</v>
      </c>
      <c r="V3028" t="s">
        <v>98</v>
      </c>
      <c r="W3028" s="1">
        <v>44224.424780092595</v>
      </c>
      <c r="X3028">
        <v>3458</v>
      </c>
      <c r="Y3028">
        <v>192</v>
      </c>
      <c r="Z3028">
        <v>0</v>
      </c>
      <c r="AA3028">
        <v>192</v>
      </c>
      <c r="AB3028">
        <v>74</v>
      </c>
      <c r="AC3028">
        <v>86</v>
      </c>
      <c r="AD3028">
        <v>117</v>
      </c>
      <c r="AE3028">
        <v>0</v>
      </c>
      <c r="AF3028">
        <v>0</v>
      </c>
      <c r="AG3028">
        <v>0</v>
      </c>
      <c r="AH3028" t="s">
        <v>108</v>
      </c>
      <c r="AI3028" s="1">
        <v>44224.441307870373</v>
      </c>
      <c r="AJ3028">
        <v>1071</v>
      </c>
      <c r="AK3028">
        <v>1</v>
      </c>
      <c r="AL3028">
        <v>0</v>
      </c>
      <c r="AM3028">
        <v>1</v>
      </c>
      <c r="AN3028">
        <v>74</v>
      </c>
      <c r="AO3028">
        <v>0</v>
      </c>
      <c r="AP3028">
        <v>116</v>
      </c>
      <c r="AQ3028">
        <v>0</v>
      </c>
      <c r="AR3028">
        <v>0</v>
      </c>
      <c r="AS3028">
        <v>0</v>
      </c>
      <c r="AT3028" t="s">
        <v>90</v>
      </c>
      <c r="AU3028" s="1">
        <v>44224.452916666669</v>
      </c>
      <c r="AV3028">
        <v>66</v>
      </c>
      <c r="AW3028">
        <v>0</v>
      </c>
      <c r="AX3028">
        <v>0</v>
      </c>
      <c r="AY3028">
        <v>0</v>
      </c>
      <c r="AZ3028">
        <v>74</v>
      </c>
      <c r="BA3028">
        <v>0</v>
      </c>
      <c r="BB3028">
        <v>116</v>
      </c>
      <c r="BC3028">
        <v>0</v>
      </c>
      <c r="BD3028">
        <v>0</v>
      </c>
      <c r="BE3028">
        <v>0</v>
      </c>
    </row>
    <row r="3029" spans="1:57" x14ac:dyDescent="0.45">
      <c r="A3029" t="s">
        <v>7157</v>
      </c>
      <c r="B3029" t="s">
        <v>79</v>
      </c>
      <c r="C3029" t="s">
        <v>7158</v>
      </c>
      <c r="D3029" t="s">
        <v>81</v>
      </c>
      <c r="E3029" s="2" t="str">
        <f>HYPERLINK("capsilon://?command=openfolder&amp;siteaddress=FAM.docvelocity-na8.net&amp;folderid=FX3840B58B-9719-7828-4BC0-9276DADA3164","FX20126618")</f>
        <v>FX20126618</v>
      </c>
      <c r="F3029" t="s">
        <v>19</v>
      </c>
      <c r="G3029" t="s">
        <v>19</v>
      </c>
      <c r="H3029" t="s">
        <v>82</v>
      </c>
      <c r="I3029" t="s">
        <v>7159</v>
      </c>
      <c r="J3029">
        <v>66</v>
      </c>
      <c r="K3029" t="s">
        <v>84</v>
      </c>
      <c r="L3029" t="s">
        <v>85</v>
      </c>
      <c r="M3029" t="s">
        <v>86</v>
      </c>
      <c r="N3029">
        <v>3</v>
      </c>
      <c r="O3029" s="1">
        <v>44224.389178240737</v>
      </c>
      <c r="P3029" s="1">
        <v>44224.453587962962</v>
      </c>
      <c r="Q3029">
        <v>3347</v>
      </c>
      <c r="R3029">
        <v>2218</v>
      </c>
      <c r="S3029" t="b">
        <v>0</v>
      </c>
      <c r="T3029" t="s">
        <v>87</v>
      </c>
      <c r="U3029" t="b">
        <v>0</v>
      </c>
      <c r="V3029" t="s">
        <v>88</v>
      </c>
      <c r="W3029" s="1">
        <v>44224.412175925929</v>
      </c>
      <c r="X3029">
        <v>1968</v>
      </c>
      <c r="Y3029">
        <v>52</v>
      </c>
      <c r="Z3029">
        <v>0</v>
      </c>
      <c r="AA3029">
        <v>52</v>
      </c>
      <c r="AB3029">
        <v>0</v>
      </c>
      <c r="AC3029">
        <v>44</v>
      </c>
      <c r="AD3029">
        <v>14</v>
      </c>
      <c r="AE3029">
        <v>0</v>
      </c>
      <c r="AF3029">
        <v>0</v>
      </c>
      <c r="AG3029">
        <v>0</v>
      </c>
      <c r="AH3029" t="s">
        <v>94</v>
      </c>
      <c r="AI3029" s="1">
        <v>44224.431990740741</v>
      </c>
      <c r="AJ3029">
        <v>192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14</v>
      </c>
      <c r="AQ3029">
        <v>0</v>
      </c>
      <c r="AR3029">
        <v>0</v>
      </c>
      <c r="AS3029">
        <v>0</v>
      </c>
      <c r="AT3029" t="s">
        <v>90</v>
      </c>
      <c r="AU3029" s="1">
        <v>44224.453587962962</v>
      </c>
      <c r="AV3029">
        <v>58</v>
      </c>
      <c r="AW3029">
        <v>1</v>
      </c>
      <c r="AX3029">
        <v>0</v>
      </c>
      <c r="AY3029">
        <v>1</v>
      </c>
      <c r="AZ3029">
        <v>0</v>
      </c>
      <c r="BA3029">
        <v>1</v>
      </c>
      <c r="BB3029">
        <v>13</v>
      </c>
      <c r="BC3029">
        <v>0</v>
      </c>
      <c r="BD3029">
        <v>0</v>
      </c>
      <c r="BE3029">
        <v>0</v>
      </c>
    </row>
    <row r="3030" spans="1:57" x14ac:dyDescent="0.45">
      <c r="A3030" t="s">
        <v>7160</v>
      </c>
      <c r="B3030" t="s">
        <v>79</v>
      </c>
      <c r="C3030" t="s">
        <v>7161</v>
      </c>
      <c r="D3030" t="s">
        <v>81</v>
      </c>
      <c r="E3030" s="2" t="str">
        <f>HYPERLINK("capsilon://?command=openfolder&amp;siteaddress=FAM.docvelocity-na8.net&amp;folderid=FXC00262A0-8192-73D9-6E5C-38AB7668A9B4","FX201223659")</f>
        <v>FX201223659</v>
      </c>
      <c r="F3030" t="s">
        <v>19</v>
      </c>
      <c r="G3030" t="s">
        <v>19</v>
      </c>
      <c r="H3030" t="s">
        <v>82</v>
      </c>
      <c r="I3030" t="s">
        <v>7162</v>
      </c>
      <c r="J3030">
        <v>51</v>
      </c>
      <c r="K3030" t="s">
        <v>84</v>
      </c>
      <c r="L3030" t="s">
        <v>85</v>
      </c>
      <c r="M3030" t="s">
        <v>86</v>
      </c>
      <c r="N3030">
        <v>3</v>
      </c>
      <c r="O3030" s="1">
        <v>44201.705520833333</v>
      </c>
      <c r="P3030" s="1">
        <v>44202.364537037036</v>
      </c>
      <c r="Q3030">
        <v>55906</v>
      </c>
      <c r="R3030">
        <v>1033</v>
      </c>
      <c r="S3030" t="b">
        <v>0</v>
      </c>
      <c r="T3030" t="s">
        <v>87</v>
      </c>
      <c r="U3030" t="b">
        <v>0</v>
      </c>
      <c r="V3030" t="s">
        <v>266</v>
      </c>
      <c r="W3030" s="1">
        <v>44201.745532407411</v>
      </c>
      <c r="X3030">
        <v>806</v>
      </c>
      <c r="Y3030">
        <v>59</v>
      </c>
      <c r="Z3030">
        <v>0</v>
      </c>
      <c r="AA3030">
        <v>59</v>
      </c>
      <c r="AB3030">
        <v>0</v>
      </c>
      <c r="AC3030">
        <v>33</v>
      </c>
      <c r="AD3030">
        <v>-8</v>
      </c>
      <c r="AE3030">
        <v>0</v>
      </c>
      <c r="AF3030">
        <v>0</v>
      </c>
      <c r="AG3030">
        <v>0</v>
      </c>
      <c r="AH3030" t="s">
        <v>267</v>
      </c>
      <c r="AI3030" s="1">
        <v>44201.7575</v>
      </c>
      <c r="AJ3030">
        <v>144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-8</v>
      </c>
      <c r="AQ3030">
        <v>0</v>
      </c>
      <c r="AR3030">
        <v>0</v>
      </c>
      <c r="AS3030">
        <v>0</v>
      </c>
      <c r="AT3030" t="s">
        <v>90</v>
      </c>
      <c r="AU3030" s="1">
        <v>44202.364537037036</v>
      </c>
      <c r="AV3030">
        <v>83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-8</v>
      </c>
      <c r="BC3030">
        <v>0</v>
      </c>
      <c r="BD3030">
        <v>0</v>
      </c>
      <c r="BE3030">
        <v>0</v>
      </c>
    </row>
    <row r="3031" spans="1:57" x14ac:dyDescent="0.45">
      <c r="A3031" t="s">
        <v>7163</v>
      </c>
      <c r="B3031" t="s">
        <v>79</v>
      </c>
      <c r="C3031" t="s">
        <v>6893</v>
      </c>
      <c r="D3031" t="s">
        <v>81</v>
      </c>
      <c r="E3031" s="2" t="str">
        <f>HYPERLINK("capsilon://?command=openfolder&amp;siteaddress=FAM.docvelocity-na8.net&amp;folderid=FXF083E94D-9494-CBD6-6E98-663BA2E97620","FX210117394")</f>
        <v>FX210117394</v>
      </c>
      <c r="F3031" t="s">
        <v>19</v>
      </c>
      <c r="G3031" t="s">
        <v>19</v>
      </c>
      <c r="H3031" t="s">
        <v>82</v>
      </c>
      <c r="I3031" t="s">
        <v>7164</v>
      </c>
      <c r="J3031">
        <v>66</v>
      </c>
      <c r="K3031" t="s">
        <v>84</v>
      </c>
      <c r="L3031" t="s">
        <v>85</v>
      </c>
      <c r="M3031" t="s">
        <v>86</v>
      </c>
      <c r="N3031">
        <v>3</v>
      </c>
      <c r="O3031" s="1">
        <v>44224.392002314817</v>
      </c>
      <c r="P3031" s="1">
        <v>44224.453842592593</v>
      </c>
      <c r="Q3031">
        <v>3886</v>
      </c>
      <c r="R3031">
        <v>1457</v>
      </c>
      <c r="S3031" t="b">
        <v>0</v>
      </c>
      <c r="T3031" t="s">
        <v>87</v>
      </c>
      <c r="U3031" t="b">
        <v>0</v>
      </c>
      <c r="V3031" t="s">
        <v>112</v>
      </c>
      <c r="W3031" s="1">
        <v>44224.401759259257</v>
      </c>
      <c r="X3031">
        <v>831</v>
      </c>
      <c r="Y3031">
        <v>52</v>
      </c>
      <c r="Z3031">
        <v>0</v>
      </c>
      <c r="AA3031">
        <v>52</v>
      </c>
      <c r="AB3031">
        <v>0</v>
      </c>
      <c r="AC3031">
        <v>31</v>
      </c>
      <c r="AD3031">
        <v>14</v>
      </c>
      <c r="AE3031">
        <v>0</v>
      </c>
      <c r="AF3031">
        <v>0</v>
      </c>
      <c r="AG3031">
        <v>0</v>
      </c>
      <c r="AH3031" t="s">
        <v>94</v>
      </c>
      <c r="AI3031" s="1">
        <v>44224.438993055555</v>
      </c>
      <c r="AJ3031">
        <v>604</v>
      </c>
      <c r="AK3031">
        <v>1</v>
      </c>
      <c r="AL3031">
        <v>0</v>
      </c>
      <c r="AM3031">
        <v>1</v>
      </c>
      <c r="AN3031">
        <v>0</v>
      </c>
      <c r="AO3031">
        <v>1</v>
      </c>
      <c r="AP3031">
        <v>13</v>
      </c>
      <c r="AQ3031">
        <v>0</v>
      </c>
      <c r="AR3031">
        <v>0</v>
      </c>
      <c r="AS3031">
        <v>0</v>
      </c>
      <c r="AT3031" t="s">
        <v>90</v>
      </c>
      <c r="AU3031" s="1">
        <v>44224.453842592593</v>
      </c>
      <c r="AV3031">
        <v>22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13</v>
      </c>
      <c r="BC3031">
        <v>0</v>
      </c>
      <c r="BD3031">
        <v>0</v>
      </c>
      <c r="BE3031">
        <v>0</v>
      </c>
    </row>
    <row r="3032" spans="1:57" hidden="1" x14ac:dyDescent="0.45">
      <c r="A3032" t="s">
        <v>7165</v>
      </c>
      <c r="B3032" t="s">
        <v>79</v>
      </c>
      <c r="C3032" t="s">
        <v>7166</v>
      </c>
      <c r="D3032" t="s">
        <v>81</v>
      </c>
      <c r="E3032" s="2" t="str">
        <f>HYPERLINK("capsilon://?command=openfolder&amp;siteaddress=FAM.docvelocity-na8.net&amp;folderid=FXF1290960-1F36-4794-7098-DAD45A855F74","FX2003306")</f>
        <v>FX2003306</v>
      </c>
      <c r="F3032" t="s">
        <v>19</v>
      </c>
      <c r="G3032" t="s">
        <v>19</v>
      </c>
      <c r="H3032" t="s">
        <v>82</v>
      </c>
      <c r="I3032" t="s">
        <v>7167</v>
      </c>
      <c r="J3032">
        <v>441</v>
      </c>
      <c r="K3032" t="s">
        <v>84</v>
      </c>
      <c r="L3032" t="s">
        <v>85</v>
      </c>
      <c r="M3032" t="s">
        <v>86</v>
      </c>
      <c r="N3032">
        <v>3</v>
      </c>
      <c r="O3032" s="1">
        <v>44224.395405092589</v>
      </c>
      <c r="P3032" s="1">
        <v>44224.453888888886</v>
      </c>
      <c r="Q3032">
        <v>4696</v>
      </c>
      <c r="R3032">
        <v>357</v>
      </c>
      <c r="S3032" t="b">
        <v>0</v>
      </c>
      <c r="T3032" t="s">
        <v>87</v>
      </c>
      <c r="U3032" t="b">
        <v>0</v>
      </c>
      <c r="V3032" t="s">
        <v>919</v>
      </c>
      <c r="W3032" s="1">
        <v>44224.3987037037</v>
      </c>
      <c r="X3032">
        <v>283</v>
      </c>
      <c r="Y3032">
        <v>0</v>
      </c>
      <c r="Z3032">
        <v>0</v>
      </c>
      <c r="AA3032">
        <v>0</v>
      </c>
      <c r="AB3032">
        <v>98</v>
      </c>
      <c r="AC3032">
        <v>0</v>
      </c>
      <c r="AD3032">
        <v>441</v>
      </c>
      <c r="AE3032">
        <v>0</v>
      </c>
      <c r="AF3032">
        <v>0</v>
      </c>
      <c r="AG3032">
        <v>0</v>
      </c>
      <c r="AH3032" t="s">
        <v>94</v>
      </c>
      <c r="AI3032" s="1">
        <v>44224.441655092596</v>
      </c>
      <c r="AJ3032">
        <v>36</v>
      </c>
      <c r="AK3032">
        <v>0</v>
      </c>
      <c r="AL3032">
        <v>0</v>
      </c>
      <c r="AM3032">
        <v>0</v>
      </c>
      <c r="AN3032">
        <v>98</v>
      </c>
      <c r="AO3032">
        <v>0</v>
      </c>
      <c r="AP3032">
        <v>441</v>
      </c>
      <c r="AQ3032">
        <v>0</v>
      </c>
      <c r="AR3032">
        <v>0</v>
      </c>
      <c r="AS3032">
        <v>0</v>
      </c>
      <c r="AT3032" t="s">
        <v>90</v>
      </c>
      <c r="AU3032" s="1">
        <v>44224.453888888886</v>
      </c>
      <c r="AV3032">
        <v>3</v>
      </c>
      <c r="AW3032">
        <v>0</v>
      </c>
      <c r="AX3032">
        <v>0</v>
      </c>
      <c r="AY3032">
        <v>0</v>
      </c>
      <c r="AZ3032">
        <v>98</v>
      </c>
      <c r="BA3032">
        <v>0</v>
      </c>
      <c r="BB3032">
        <v>441</v>
      </c>
      <c r="BC3032">
        <v>0</v>
      </c>
      <c r="BD3032">
        <v>0</v>
      </c>
      <c r="BE3032">
        <v>0</v>
      </c>
    </row>
    <row r="3033" spans="1:57" x14ac:dyDescent="0.45">
      <c r="A3033" t="s">
        <v>7168</v>
      </c>
      <c r="B3033" t="s">
        <v>79</v>
      </c>
      <c r="C3033" t="s">
        <v>4576</v>
      </c>
      <c r="D3033" t="s">
        <v>81</v>
      </c>
      <c r="E3033" s="2" t="str">
        <f>HYPERLINK("capsilon://?command=openfolder&amp;siteaddress=FAM.docvelocity-na8.net&amp;folderid=FXDD9E33D1-4FC9-C36F-19E6-B3009F24DD09","FX21018005")</f>
        <v>FX21018005</v>
      </c>
      <c r="F3033" t="s">
        <v>19</v>
      </c>
      <c r="G3033" t="s">
        <v>19</v>
      </c>
      <c r="H3033" t="s">
        <v>82</v>
      </c>
      <c r="I3033" t="s">
        <v>7169</v>
      </c>
      <c r="J3033">
        <v>66</v>
      </c>
      <c r="K3033" t="s">
        <v>84</v>
      </c>
      <c r="L3033" t="s">
        <v>85</v>
      </c>
      <c r="M3033" t="s">
        <v>86</v>
      </c>
      <c r="N3033">
        <v>3</v>
      </c>
      <c r="O3033" s="1">
        <v>44224.400601851848</v>
      </c>
      <c r="P3033" s="1">
        <v>44224.454548611109</v>
      </c>
      <c r="Q3033">
        <v>2943</v>
      </c>
      <c r="R3033">
        <v>1718</v>
      </c>
      <c r="S3033" t="b">
        <v>0</v>
      </c>
      <c r="T3033" t="s">
        <v>87</v>
      </c>
      <c r="U3033" t="b">
        <v>0</v>
      </c>
      <c r="V3033" t="s">
        <v>105</v>
      </c>
      <c r="W3033" s="1">
        <v>44224.417118055557</v>
      </c>
      <c r="X3033">
        <v>1394</v>
      </c>
      <c r="Y3033">
        <v>52</v>
      </c>
      <c r="Z3033">
        <v>0</v>
      </c>
      <c r="AA3033">
        <v>52</v>
      </c>
      <c r="AB3033">
        <v>0</v>
      </c>
      <c r="AC3033">
        <v>31</v>
      </c>
      <c r="AD3033">
        <v>14</v>
      </c>
      <c r="AE3033">
        <v>0</v>
      </c>
      <c r="AF3033">
        <v>0</v>
      </c>
      <c r="AG3033">
        <v>0</v>
      </c>
      <c r="AH3033" t="s">
        <v>108</v>
      </c>
      <c r="AI3033" s="1">
        <v>44224.444421296299</v>
      </c>
      <c r="AJ3033">
        <v>268</v>
      </c>
      <c r="AK3033">
        <v>2</v>
      </c>
      <c r="AL3033">
        <v>0</v>
      </c>
      <c r="AM3033">
        <v>2</v>
      </c>
      <c r="AN3033">
        <v>0</v>
      </c>
      <c r="AO3033">
        <v>0</v>
      </c>
      <c r="AP3033">
        <v>12</v>
      </c>
      <c r="AQ3033">
        <v>0</v>
      </c>
      <c r="AR3033">
        <v>0</v>
      </c>
      <c r="AS3033">
        <v>0</v>
      </c>
      <c r="AT3033" t="s">
        <v>90</v>
      </c>
      <c r="AU3033" s="1">
        <v>44224.454548611109</v>
      </c>
      <c r="AV3033">
        <v>56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12</v>
      </c>
      <c r="BC3033">
        <v>0</v>
      </c>
      <c r="BD3033">
        <v>0</v>
      </c>
      <c r="BE3033">
        <v>0</v>
      </c>
    </row>
    <row r="3034" spans="1:57" hidden="1" x14ac:dyDescent="0.45">
      <c r="A3034" t="s">
        <v>7170</v>
      </c>
      <c r="B3034" t="s">
        <v>79</v>
      </c>
      <c r="C3034" t="s">
        <v>3102</v>
      </c>
      <c r="D3034" t="s">
        <v>81</v>
      </c>
      <c r="E3034" s="2" t="str">
        <f>HYPERLINK("capsilon://?command=openfolder&amp;siteaddress=FAM.docvelocity-na8.net&amp;folderid=FX5B476B35-4DDB-C558-CAFC-3B0E57D82057","FX20124445")</f>
        <v>FX20124445</v>
      </c>
      <c r="F3034" t="s">
        <v>19</v>
      </c>
      <c r="G3034" t="s">
        <v>19</v>
      </c>
      <c r="H3034" t="s">
        <v>82</v>
      </c>
      <c r="I3034" t="s">
        <v>7171</v>
      </c>
      <c r="J3034">
        <v>66</v>
      </c>
      <c r="K3034" t="s">
        <v>84</v>
      </c>
      <c r="L3034" t="s">
        <v>85</v>
      </c>
      <c r="M3034" t="s">
        <v>81</v>
      </c>
      <c r="N3034">
        <v>3</v>
      </c>
      <c r="O3034" s="1">
        <v>44224.402511574073</v>
      </c>
      <c r="P3034" s="1">
        <v>44224.448159722226</v>
      </c>
      <c r="Q3034">
        <v>3811</v>
      </c>
      <c r="R3034">
        <v>133</v>
      </c>
      <c r="S3034" t="b">
        <v>0</v>
      </c>
      <c r="T3034" t="s">
        <v>90</v>
      </c>
      <c r="U3034" t="b">
        <v>0</v>
      </c>
      <c r="V3034" t="s">
        <v>919</v>
      </c>
      <c r="W3034" s="1">
        <v>44224.403749999998</v>
      </c>
      <c r="X3034">
        <v>88</v>
      </c>
      <c r="Y3034">
        <v>0</v>
      </c>
      <c r="Z3034">
        <v>0</v>
      </c>
      <c r="AA3034">
        <v>0</v>
      </c>
      <c r="AB3034">
        <v>52</v>
      </c>
      <c r="AC3034">
        <v>0</v>
      </c>
      <c r="AD3034">
        <v>66</v>
      </c>
      <c r="AE3034">
        <v>0</v>
      </c>
      <c r="AF3034">
        <v>0</v>
      </c>
      <c r="AG3034">
        <v>0</v>
      </c>
      <c r="AH3034" t="s">
        <v>94</v>
      </c>
      <c r="AI3034" s="1">
        <v>44224.442141203705</v>
      </c>
      <c r="AJ3034">
        <v>41</v>
      </c>
      <c r="AK3034">
        <v>0</v>
      </c>
      <c r="AL3034">
        <v>0</v>
      </c>
      <c r="AM3034">
        <v>0</v>
      </c>
      <c r="AN3034">
        <v>52</v>
      </c>
      <c r="AO3034">
        <v>0</v>
      </c>
      <c r="AP3034">
        <v>66</v>
      </c>
      <c r="AQ3034">
        <v>0</v>
      </c>
      <c r="AR3034">
        <v>0</v>
      </c>
      <c r="AS3034">
        <v>0</v>
      </c>
      <c r="AT3034" t="s">
        <v>90</v>
      </c>
      <c r="AU3034" s="1">
        <v>44224.448159722226</v>
      </c>
      <c r="AV3034">
        <v>4</v>
      </c>
      <c r="AW3034">
        <v>0</v>
      </c>
      <c r="AX3034">
        <v>0</v>
      </c>
      <c r="AY3034">
        <v>0</v>
      </c>
      <c r="AZ3034">
        <v>52</v>
      </c>
      <c r="BA3034">
        <v>0</v>
      </c>
      <c r="BB3034">
        <v>66</v>
      </c>
      <c r="BC3034">
        <v>0</v>
      </c>
      <c r="BD3034">
        <v>0</v>
      </c>
      <c r="BE3034">
        <v>0</v>
      </c>
    </row>
    <row r="3035" spans="1:57" x14ac:dyDescent="0.45">
      <c r="A3035" t="s">
        <v>7172</v>
      </c>
      <c r="B3035" t="s">
        <v>79</v>
      </c>
      <c r="C3035" t="s">
        <v>6851</v>
      </c>
      <c r="D3035" t="s">
        <v>81</v>
      </c>
      <c r="E3035" s="2" t="str">
        <f>HYPERLINK("capsilon://?command=openfolder&amp;siteaddress=FAM.docvelocity-na8.net&amp;folderid=FX431475FC-A179-6EDE-8AF9-2C37289D8086","FX201222414")</f>
        <v>FX201222414</v>
      </c>
      <c r="F3035" t="s">
        <v>19</v>
      </c>
      <c r="G3035" t="s">
        <v>19</v>
      </c>
      <c r="H3035" t="s">
        <v>82</v>
      </c>
      <c r="I3035" t="s">
        <v>7173</v>
      </c>
      <c r="J3035">
        <v>109</v>
      </c>
      <c r="K3035" t="s">
        <v>84</v>
      </c>
      <c r="L3035" t="s">
        <v>85</v>
      </c>
      <c r="M3035" t="s">
        <v>86</v>
      </c>
      <c r="N3035">
        <v>3</v>
      </c>
      <c r="O3035" s="1">
        <v>44224.403877314813</v>
      </c>
      <c r="P3035" s="1">
        <v>44224.47074074074</v>
      </c>
      <c r="Q3035">
        <v>2204</v>
      </c>
      <c r="R3035">
        <v>3573</v>
      </c>
      <c r="S3035" t="b">
        <v>0</v>
      </c>
      <c r="T3035" t="s">
        <v>87</v>
      </c>
      <c r="U3035" t="b">
        <v>0</v>
      </c>
      <c r="V3035" t="s">
        <v>919</v>
      </c>
      <c r="W3035" s="1">
        <v>44224.426261574074</v>
      </c>
      <c r="X3035">
        <v>1930</v>
      </c>
      <c r="Y3035">
        <v>166</v>
      </c>
      <c r="Z3035">
        <v>0</v>
      </c>
      <c r="AA3035">
        <v>166</v>
      </c>
      <c r="AB3035">
        <v>0</v>
      </c>
      <c r="AC3035">
        <v>119</v>
      </c>
      <c r="AD3035">
        <v>-57</v>
      </c>
      <c r="AE3035">
        <v>0</v>
      </c>
      <c r="AF3035">
        <v>0</v>
      </c>
      <c r="AG3035">
        <v>0</v>
      </c>
      <c r="AH3035" t="s">
        <v>89</v>
      </c>
      <c r="AI3035" s="1">
        <v>44224.464826388888</v>
      </c>
      <c r="AJ3035">
        <v>1427</v>
      </c>
      <c r="AK3035">
        <v>2</v>
      </c>
      <c r="AL3035">
        <v>0</v>
      </c>
      <c r="AM3035">
        <v>2</v>
      </c>
      <c r="AN3035">
        <v>0</v>
      </c>
      <c r="AO3035">
        <v>1</v>
      </c>
      <c r="AP3035">
        <v>-59</v>
      </c>
      <c r="AQ3035">
        <v>0</v>
      </c>
      <c r="AR3035">
        <v>0</v>
      </c>
      <c r="AS3035">
        <v>0</v>
      </c>
      <c r="AT3035" t="s">
        <v>90</v>
      </c>
      <c r="AU3035" s="1">
        <v>44224.47074074074</v>
      </c>
      <c r="AV3035">
        <v>117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-59</v>
      </c>
      <c r="BC3035">
        <v>0</v>
      </c>
      <c r="BD3035">
        <v>0</v>
      </c>
      <c r="BE3035">
        <v>0</v>
      </c>
    </row>
    <row r="3036" spans="1:57" hidden="1" x14ac:dyDescent="0.45">
      <c r="A3036" t="s">
        <v>7174</v>
      </c>
      <c r="B3036" t="s">
        <v>79</v>
      </c>
      <c r="C3036" t="s">
        <v>7025</v>
      </c>
      <c r="D3036" t="s">
        <v>81</v>
      </c>
      <c r="E3036" s="2" t="str">
        <f>HYPERLINK("capsilon://?command=openfolder&amp;siteaddress=FAM.docvelocity-na8.net&amp;folderid=FX9631251D-3F8D-AF34-90E4-E5FCA4E4D025","FX210117320")</f>
        <v>FX210117320</v>
      </c>
      <c r="F3036" t="s">
        <v>19</v>
      </c>
      <c r="G3036" t="s">
        <v>19</v>
      </c>
      <c r="H3036" t="s">
        <v>82</v>
      </c>
      <c r="I3036" t="s">
        <v>7175</v>
      </c>
      <c r="J3036">
        <v>66</v>
      </c>
      <c r="K3036" t="s">
        <v>84</v>
      </c>
      <c r="L3036" t="s">
        <v>85</v>
      </c>
      <c r="M3036" t="s">
        <v>86</v>
      </c>
      <c r="N3036">
        <v>3</v>
      </c>
      <c r="O3036" s="1">
        <v>44224.404062499998</v>
      </c>
      <c r="P3036" s="1">
        <v>44224.454594907409</v>
      </c>
      <c r="Q3036">
        <v>4231</v>
      </c>
      <c r="R3036">
        <v>135</v>
      </c>
      <c r="S3036" t="b">
        <v>0</v>
      </c>
      <c r="T3036" t="s">
        <v>87</v>
      </c>
      <c r="U3036" t="b">
        <v>0</v>
      </c>
      <c r="V3036" t="s">
        <v>112</v>
      </c>
      <c r="W3036" s="1">
        <v>44224.406423611108</v>
      </c>
      <c r="X3036">
        <v>88</v>
      </c>
      <c r="Y3036">
        <v>0</v>
      </c>
      <c r="Z3036">
        <v>0</v>
      </c>
      <c r="AA3036">
        <v>0</v>
      </c>
      <c r="AB3036">
        <v>52</v>
      </c>
      <c r="AC3036">
        <v>0</v>
      </c>
      <c r="AD3036">
        <v>66</v>
      </c>
      <c r="AE3036">
        <v>0</v>
      </c>
      <c r="AF3036">
        <v>0</v>
      </c>
      <c r="AG3036">
        <v>0</v>
      </c>
      <c r="AH3036" t="s">
        <v>94</v>
      </c>
      <c r="AI3036" s="1">
        <v>44224.449259259258</v>
      </c>
      <c r="AJ3036">
        <v>44</v>
      </c>
      <c r="AK3036">
        <v>0</v>
      </c>
      <c r="AL3036">
        <v>0</v>
      </c>
      <c r="AM3036">
        <v>0</v>
      </c>
      <c r="AN3036">
        <v>52</v>
      </c>
      <c r="AO3036">
        <v>0</v>
      </c>
      <c r="AP3036">
        <v>66</v>
      </c>
      <c r="AQ3036">
        <v>0</v>
      </c>
      <c r="AR3036">
        <v>0</v>
      </c>
      <c r="AS3036">
        <v>0</v>
      </c>
      <c r="AT3036" t="s">
        <v>90</v>
      </c>
      <c r="AU3036" s="1">
        <v>44224.454594907409</v>
      </c>
      <c r="AV3036">
        <v>3</v>
      </c>
      <c r="AW3036">
        <v>0</v>
      </c>
      <c r="AX3036">
        <v>0</v>
      </c>
      <c r="AY3036">
        <v>0</v>
      </c>
      <c r="AZ3036">
        <v>52</v>
      </c>
      <c r="BA3036">
        <v>0</v>
      </c>
      <c r="BB3036">
        <v>66</v>
      </c>
      <c r="BC3036">
        <v>0</v>
      </c>
      <c r="BD3036">
        <v>0</v>
      </c>
      <c r="BE3036">
        <v>0</v>
      </c>
    </row>
    <row r="3037" spans="1:57" x14ac:dyDescent="0.45">
      <c r="A3037" t="s">
        <v>7176</v>
      </c>
      <c r="B3037" t="s">
        <v>79</v>
      </c>
      <c r="C3037" t="s">
        <v>5147</v>
      </c>
      <c r="D3037" t="s">
        <v>81</v>
      </c>
      <c r="E3037" s="2" t="str">
        <f>HYPERLINK("capsilon://?command=openfolder&amp;siteaddress=FAM.docvelocity-na8.net&amp;folderid=FX38BB4C63-0877-36DE-4729-EAEEACF784A5","FX20122937")</f>
        <v>FX20122937</v>
      </c>
      <c r="F3037" t="s">
        <v>19</v>
      </c>
      <c r="G3037" t="s">
        <v>19</v>
      </c>
      <c r="H3037" t="s">
        <v>82</v>
      </c>
      <c r="I3037" t="s">
        <v>7177</v>
      </c>
      <c r="J3037">
        <v>66</v>
      </c>
      <c r="K3037" t="s">
        <v>84</v>
      </c>
      <c r="L3037" t="s">
        <v>85</v>
      </c>
      <c r="M3037" t="s">
        <v>86</v>
      </c>
      <c r="N3037">
        <v>3</v>
      </c>
      <c r="O3037" s="1">
        <v>44224.414525462962</v>
      </c>
      <c r="P3037" s="1">
        <v>44224.455057870371</v>
      </c>
      <c r="Q3037">
        <v>2365</v>
      </c>
      <c r="R3037">
        <v>1137</v>
      </c>
      <c r="S3037" t="b">
        <v>0</v>
      </c>
      <c r="T3037" t="s">
        <v>87</v>
      </c>
      <c r="U3037" t="b">
        <v>0</v>
      </c>
      <c r="V3037" t="s">
        <v>112</v>
      </c>
      <c r="W3037" s="1">
        <v>44224.424108796295</v>
      </c>
      <c r="X3037">
        <v>820</v>
      </c>
      <c r="Y3037">
        <v>52</v>
      </c>
      <c r="Z3037">
        <v>0</v>
      </c>
      <c r="AA3037">
        <v>52</v>
      </c>
      <c r="AB3037">
        <v>0</v>
      </c>
      <c r="AC3037">
        <v>19</v>
      </c>
      <c r="AD3037">
        <v>14</v>
      </c>
      <c r="AE3037">
        <v>0</v>
      </c>
      <c r="AF3037">
        <v>0</v>
      </c>
      <c r="AG3037">
        <v>0</v>
      </c>
      <c r="AH3037" t="s">
        <v>94</v>
      </c>
      <c r="AI3037" s="1">
        <v>44224.452476851853</v>
      </c>
      <c r="AJ3037">
        <v>277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14</v>
      </c>
      <c r="AQ3037">
        <v>0</v>
      </c>
      <c r="AR3037">
        <v>0</v>
      </c>
      <c r="AS3037">
        <v>0</v>
      </c>
      <c r="AT3037" t="s">
        <v>90</v>
      </c>
      <c r="AU3037" s="1">
        <v>44224.455057870371</v>
      </c>
      <c r="AV3037">
        <v>40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14</v>
      </c>
      <c r="BC3037">
        <v>0</v>
      </c>
      <c r="BD3037">
        <v>0</v>
      </c>
      <c r="BE3037">
        <v>0</v>
      </c>
    </row>
    <row r="3038" spans="1:57" x14ac:dyDescent="0.45">
      <c r="A3038" t="s">
        <v>7178</v>
      </c>
      <c r="B3038" t="s">
        <v>79</v>
      </c>
      <c r="C3038" t="s">
        <v>326</v>
      </c>
      <c r="D3038" t="s">
        <v>81</v>
      </c>
      <c r="E3038" s="2" t="str">
        <f>HYPERLINK("capsilon://?command=openfolder&amp;siteaddress=FAM.docvelocity-na8.net&amp;folderid=FX3BF4975A-982D-D67F-A18D-9DC38CA4C521","FX210114390")</f>
        <v>FX210114390</v>
      </c>
      <c r="F3038" t="s">
        <v>19</v>
      </c>
      <c r="G3038" t="s">
        <v>19</v>
      </c>
      <c r="H3038" t="s">
        <v>82</v>
      </c>
      <c r="I3038" t="s">
        <v>7179</v>
      </c>
      <c r="J3038">
        <v>38</v>
      </c>
      <c r="K3038" t="s">
        <v>84</v>
      </c>
      <c r="L3038" t="s">
        <v>85</v>
      </c>
      <c r="M3038" t="s">
        <v>86</v>
      </c>
      <c r="N3038">
        <v>3</v>
      </c>
      <c r="O3038" s="1">
        <v>44224.415208333332</v>
      </c>
      <c r="P3038" s="1">
        <v>44224.45516203704</v>
      </c>
      <c r="Q3038">
        <v>2445</v>
      </c>
      <c r="R3038">
        <v>1007</v>
      </c>
      <c r="S3038" t="b">
        <v>0</v>
      </c>
      <c r="T3038" t="s">
        <v>87</v>
      </c>
      <c r="U3038" t="b">
        <v>0</v>
      </c>
      <c r="V3038" t="s">
        <v>88</v>
      </c>
      <c r="W3038" s="1">
        <v>44224.426145833335</v>
      </c>
      <c r="X3038">
        <v>802</v>
      </c>
      <c r="Y3038">
        <v>37</v>
      </c>
      <c r="Z3038">
        <v>0</v>
      </c>
      <c r="AA3038">
        <v>37</v>
      </c>
      <c r="AB3038">
        <v>0</v>
      </c>
      <c r="AC3038">
        <v>34</v>
      </c>
      <c r="AD3038">
        <v>1</v>
      </c>
      <c r="AE3038">
        <v>0</v>
      </c>
      <c r="AF3038">
        <v>0</v>
      </c>
      <c r="AG3038">
        <v>0</v>
      </c>
      <c r="AH3038" t="s">
        <v>108</v>
      </c>
      <c r="AI3038" s="1">
        <v>44224.453530092593</v>
      </c>
      <c r="AJ3038">
        <v>196</v>
      </c>
      <c r="AK3038">
        <v>2</v>
      </c>
      <c r="AL3038">
        <v>0</v>
      </c>
      <c r="AM3038">
        <v>2</v>
      </c>
      <c r="AN3038">
        <v>0</v>
      </c>
      <c r="AO3038">
        <v>0</v>
      </c>
      <c r="AP3038">
        <v>-1</v>
      </c>
      <c r="AQ3038">
        <v>0</v>
      </c>
      <c r="AR3038">
        <v>0</v>
      </c>
      <c r="AS3038">
        <v>0</v>
      </c>
      <c r="AT3038" t="s">
        <v>90</v>
      </c>
      <c r="AU3038" s="1">
        <v>44224.45516203704</v>
      </c>
      <c r="AV3038">
        <v>9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-1</v>
      </c>
      <c r="BC3038">
        <v>0</v>
      </c>
      <c r="BD3038">
        <v>0</v>
      </c>
      <c r="BE3038">
        <v>0</v>
      </c>
    </row>
    <row r="3039" spans="1:57" hidden="1" x14ac:dyDescent="0.45">
      <c r="A3039" t="s">
        <v>7180</v>
      </c>
      <c r="B3039" t="s">
        <v>79</v>
      </c>
      <c r="C3039" t="s">
        <v>476</v>
      </c>
      <c r="D3039" t="s">
        <v>81</v>
      </c>
      <c r="E3039" s="2" t="str">
        <f>HYPERLINK("capsilon://?command=openfolder&amp;siteaddress=FAM.docvelocity-na8.net&amp;folderid=FX8F4C26B2-DABA-62D8-ECAE-1110F6E9A3BD","FX201227029")</f>
        <v>FX201227029</v>
      </c>
      <c r="F3039" t="s">
        <v>19</v>
      </c>
      <c r="G3039" t="s">
        <v>19</v>
      </c>
      <c r="H3039" t="s">
        <v>82</v>
      </c>
      <c r="I3039" t="s">
        <v>7181</v>
      </c>
      <c r="J3039">
        <v>66</v>
      </c>
      <c r="K3039" t="s">
        <v>84</v>
      </c>
      <c r="L3039" t="s">
        <v>85</v>
      </c>
      <c r="M3039" t="s">
        <v>86</v>
      </c>
      <c r="N3039">
        <v>1</v>
      </c>
      <c r="O3039" s="1">
        <v>44224.41578703704</v>
      </c>
      <c r="P3039" s="1">
        <v>44224.419409722221</v>
      </c>
      <c r="Q3039">
        <v>116</v>
      </c>
      <c r="R3039">
        <v>197</v>
      </c>
      <c r="S3039" t="b">
        <v>0</v>
      </c>
      <c r="T3039" t="s">
        <v>87</v>
      </c>
      <c r="U3039" t="b">
        <v>0</v>
      </c>
      <c r="V3039" t="s">
        <v>105</v>
      </c>
      <c r="W3039" s="1">
        <v>44224.419409722221</v>
      </c>
      <c r="X3039">
        <v>197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66</v>
      </c>
      <c r="AE3039">
        <v>52</v>
      </c>
      <c r="AF3039">
        <v>0</v>
      </c>
      <c r="AG3039">
        <v>1</v>
      </c>
      <c r="AH3039" t="s">
        <v>87</v>
      </c>
      <c r="AI3039" t="s">
        <v>87</v>
      </c>
      <c r="AJ3039" t="s">
        <v>87</v>
      </c>
      <c r="AK3039" t="s">
        <v>87</v>
      </c>
      <c r="AL3039" t="s">
        <v>87</v>
      </c>
      <c r="AM3039" t="s">
        <v>87</v>
      </c>
      <c r="AN3039" t="s">
        <v>87</v>
      </c>
      <c r="AO3039" t="s">
        <v>87</v>
      </c>
      <c r="AP3039" t="s">
        <v>87</v>
      </c>
      <c r="AQ3039" t="s">
        <v>87</v>
      </c>
      <c r="AR3039" t="s">
        <v>87</v>
      </c>
      <c r="AS3039" t="s">
        <v>87</v>
      </c>
      <c r="AT3039" t="s">
        <v>87</v>
      </c>
      <c r="AU3039" t="s">
        <v>87</v>
      </c>
      <c r="AV3039" t="s">
        <v>87</v>
      </c>
      <c r="AW3039" t="s">
        <v>87</v>
      </c>
      <c r="AX3039" t="s">
        <v>87</v>
      </c>
      <c r="AY3039" t="s">
        <v>87</v>
      </c>
      <c r="AZ3039" t="s">
        <v>87</v>
      </c>
      <c r="BA3039" t="s">
        <v>87</v>
      </c>
      <c r="BB3039" t="s">
        <v>87</v>
      </c>
      <c r="BC3039" t="s">
        <v>87</v>
      </c>
      <c r="BD3039" t="s">
        <v>87</v>
      </c>
      <c r="BE3039" t="s">
        <v>87</v>
      </c>
    </row>
    <row r="3040" spans="1:57" x14ac:dyDescent="0.45">
      <c r="A3040" t="s">
        <v>7182</v>
      </c>
      <c r="B3040" t="s">
        <v>79</v>
      </c>
      <c r="C3040" t="s">
        <v>476</v>
      </c>
      <c r="D3040" t="s">
        <v>81</v>
      </c>
      <c r="E3040" s="2" t="str">
        <f>HYPERLINK("capsilon://?command=openfolder&amp;siteaddress=FAM.docvelocity-na8.net&amp;folderid=FX8F4C26B2-DABA-62D8-ECAE-1110F6E9A3BD","FX201227029")</f>
        <v>FX201227029</v>
      </c>
      <c r="F3040" t="s">
        <v>19</v>
      </c>
      <c r="G3040" t="s">
        <v>19</v>
      </c>
      <c r="H3040" t="s">
        <v>82</v>
      </c>
      <c r="I3040" t="s">
        <v>7181</v>
      </c>
      <c r="J3040">
        <v>38</v>
      </c>
      <c r="K3040" t="s">
        <v>84</v>
      </c>
      <c r="L3040" t="s">
        <v>85</v>
      </c>
      <c r="M3040" t="s">
        <v>86</v>
      </c>
      <c r="N3040">
        <v>3</v>
      </c>
      <c r="O3040" s="1">
        <v>44224.419664351852</v>
      </c>
      <c r="P3040" s="1">
        <v>44224.450995370367</v>
      </c>
      <c r="Q3040">
        <v>1239</v>
      </c>
      <c r="R3040">
        <v>1468</v>
      </c>
      <c r="S3040" t="b">
        <v>0</v>
      </c>
      <c r="T3040" t="s">
        <v>87</v>
      </c>
      <c r="U3040" t="b">
        <v>1</v>
      </c>
      <c r="V3040" t="s">
        <v>112</v>
      </c>
      <c r="W3040" s="1">
        <v>44224.439085648148</v>
      </c>
      <c r="X3040">
        <v>1293</v>
      </c>
      <c r="Y3040">
        <v>37</v>
      </c>
      <c r="Z3040">
        <v>0</v>
      </c>
      <c r="AA3040">
        <v>37</v>
      </c>
      <c r="AB3040">
        <v>0</v>
      </c>
      <c r="AC3040">
        <v>17</v>
      </c>
      <c r="AD3040">
        <v>1</v>
      </c>
      <c r="AE3040">
        <v>0</v>
      </c>
      <c r="AF3040">
        <v>0</v>
      </c>
      <c r="AG3040">
        <v>0</v>
      </c>
      <c r="AH3040" t="s">
        <v>94</v>
      </c>
      <c r="AI3040" s="1">
        <v>44224.44122685185</v>
      </c>
      <c r="AJ3040">
        <v>167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</v>
      </c>
      <c r="AQ3040">
        <v>0</v>
      </c>
      <c r="AR3040">
        <v>0</v>
      </c>
      <c r="AS3040">
        <v>0</v>
      </c>
      <c r="AT3040" t="s">
        <v>90</v>
      </c>
      <c r="AU3040" s="1">
        <v>44224.450995370367</v>
      </c>
      <c r="AV3040">
        <v>8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1</v>
      </c>
      <c r="BC3040">
        <v>0</v>
      </c>
      <c r="BD3040">
        <v>0</v>
      </c>
      <c r="BE3040">
        <v>0</v>
      </c>
    </row>
    <row r="3041" spans="1:57" x14ac:dyDescent="0.45">
      <c r="A3041" t="s">
        <v>7183</v>
      </c>
      <c r="B3041" t="s">
        <v>79</v>
      </c>
      <c r="C3041" t="s">
        <v>7184</v>
      </c>
      <c r="D3041" t="s">
        <v>81</v>
      </c>
      <c r="E3041" s="2" t="str">
        <f>HYPERLINK("capsilon://?command=openfolder&amp;siteaddress=FAM.docvelocity-na8.net&amp;folderid=FXE69A4300-B850-6B31-2B4E-82E60E6D1732","FX210118073")</f>
        <v>FX210118073</v>
      </c>
      <c r="F3041" t="s">
        <v>19</v>
      </c>
      <c r="G3041" t="s">
        <v>19</v>
      </c>
      <c r="H3041" t="s">
        <v>82</v>
      </c>
      <c r="I3041" t="s">
        <v>7185</v>
      </c>
      <c r="J3041">
        <v>104</v>
      </c>
      <c r="K3041" t="s">
        <v>84</v>
      </c>
      <c r="L3041" t="s">
        <v>85</v>
      </c>
      <c r="M3041" t="s">
        <v>86</v>
      </c>
      <c r="N3041">
        <v>3</v>
      </c>
      <c r="O3041" s="1">
        <v>44224.425173611111</v>
      </c>
      <c r="P3041" s="1">
        <v>44224.47216435185</v>
      </c>
      <c r="Q3041">
        <v>1580</v>
      </c>
      <c r="R3041">
        <v>2480</v>
      </c>
      <c r="S3041" t="b">
        <v>0</v>
      </c>
      <c r="T3041" t="s">
        <v>87</v>
      </c>
      <c r="U3041" t="b">
        <v>0</v>
      </c>
      <c r="V3041" t="s">
        <v>98</v>
      </c>
      <c r="W3041" s="1">
        <v>44224.443368055552</v>
      </c>
      <c r="X3041">
        <v>1561</v>
      </c>
      <c r="Y3041">
        <v>86</v>
      </c>
      <c r="Z3041">
        <v>0</v>
      </c>
      <c r="AA3041">
        <v>86</v>
      </c>
      <c r="AB3041">
        <v>0</v>
      </c>
      <c r="AC3041">
        <v>42</v>
      </c>
      <c r="AD3041">
        <v>18</v>
      </c>
      <c r="AE3041">
        <v>0</v>
      </c>
      <c r="AF3041">
        <v>0</v>
      </c>
      <c r="AG3041">
        <v>0</v>
      </c>
      <c r="AH3041" t="s">
        <v>132</v>
      </c>
      <c r="AI3041" s="1">
        <v>44224.461770833332</v>
      </c>
      <c r="AJ3041">
        <v>264</v>
      </c>
      <c r="AK3041">
        <v>5</v>
      </c>
      <c r="AL3041">
        <v>0</v>
      </c>
      <c r="AM3041">
        <v>5</v>
      </c>
      <c r="AN3041">
        <v>0</v>
      </c>
      <c r="AO3041">
        <v>4</v>
      </c>
      <c r="AP3041">
        <v>13</v>
      </c>
      <c r="AQ3041">
        <v>0</v>
      </c>
      <c r="AR3041">
        <v>0</v>
      </c>
      <c r="AS3041">
        <v>0</v>
      </c>
      <c r="AT3041" t="s">
        <v>90</v>
      </c>
      <c r="AU3041" s="1">
        <v>44224.47216435185</v>
      </c>
      <c r="AV3041">
        <v>122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13</v>
      </c>
      <c r="BC3041">
        <v>0</v>
      </c>
      <c r="BD3041">
        <v>0</v>
      </c>
      <c r="BE3041">
        <v>0</v>
      </c>
    </row>
    <row r="3042" spans="1:57" hidden="1" x14ac:dyDescent="0.45">
      <c r="A3042" t="s">
        <v>7186</v>
      </c>
      <c r="B3042" t="s">
        <v>79</v>
      </c>
      <c r="C3042" t="s">
        <v>2816</v>
      </c>
      <c r="D3042" t="s">
        <v>81</v>
      </c>
      <c r="E3042" s="2" t="str">
        <f>HYPERLINK("capsilon://?command=openfolder&amp;siteaddress=FAM.docvelocity-na8.net&amp;folderid=FX672373A6-312E-34C7-66AE-B28921FFE6D9","FX20128557")</f>
        <v>FX20128557</v>
      </c>
      <c r="F3042" t="s">
        <v>19</v>
      </c>
      <c r="G3042" t="s">
        <v>19</v>
      </c>
      <c r="H3042" t="s">
        <v>82</v>
      </c>
      <c r="I3042" t="s">
        <v>7187</v>
      </c>
      <c r="J3042">
        <v>66</v>
      </c>
      <c r="K3042" t="s">
        <v>84</v>
      </c>
      <c r="L3042" t="s">
        <v>85</v>
      </c>
      <c r="M3042" t="s">
        <v>86</v>
      </c>
      <c r="N3042">
        <v>3</v>
      </c>
      <c r="O3042" s="1">
        <v>44224.431388888886</v>
      </c>
      <c r="P3042" s="1">
        <v>44224.455231481479</v>
      </c>
      <c r="Q3042">
        <v>1936</v>
      </c>
      <c r="R3042">
        <v>124</v>
      </c>
      <c r="S3042" t="b">
        <v>0</v>
      </c>
      <c r="T3042" t="s">
        <v>87</v>
      </c>
      <c r="U3042" t="b">
        <v>0</v>
      </c>
      <c r="V3042" t="s">
        <v>919</v>
      </c>
      <c r="W3042" s="1">
        <v>44224.432175925926</v>
      </c>
      <c r="X3042">
        <v>66</v>
      </c>
      <c r="Y3042">
        <v>0</v>
      </c>
      <c r="Z3042">
        <v>0</v>
      </c>
      <c r="AA3042">
        <v>0</v>
      </c>
      <c r="AB3042">
        <v>52</v>
      </c>
      <c r="AC3042">
        <v>0</v>
      </c>
      <c r="AD3042">
        <v>66</v>
      </c>
      <c r="AE3042">
        <v>0</v>
      </c>
      <c r="AF3042">
        <v>0</v>
      </c>
      <c r="AG3042">
        <v>0</v>
      </c>
      <c r="AH3042" t="s">
        <v>108</v>
      </c>
      <c r="AI3042" s="1">
        <v>44224.454155092593</v>
      </c>
      <c r="AJ3042">
        <v>53</v>
      </c>
      <c r="AK3042">
        <v>0</v>
      </c>
      <c r="AL3042">
        <v>0</v>
      </c>
      <c r="AM3042">
        <v>0</v>
      </c>
      <c r="AN3042">
        <v>52</v>
      </c>
      <c r="AO3042">
        <v>0</v>
      </c>
      <c r="AP3042">
        <v>66</v>
      </c>
      <c r="AQ3042">
        <v>0</v>
      </c>
      <c r="AR3042">
        <v>0</v>
      </c>
      <c r="AS3042">
        <v>0</v>
      </c>
      <c r="AT3042" t="s">
        <v>90</v>
      </c>
      <c r="AU3042" s="1">
        <v>44224.455231481479</v>
      </c>
      <c r="AV3042">
        <v>5</v>
      </c>
      <c r="AW3042">
        <v>0</v>
      </c>
      <c r="AX3042">
        <v>0</v>
      </c>
      <c r="AY3042">
        <v>0</v>
      </c>
      <c r="AZ3042">
        <v>52</v>
      </c>
      <c r="BA3042">
        <v>0</v>
      </c>
      <c r="BB3042">
        <v>66</v>
      </c>
      <c r="BC3042">
        <v>0</v>
      </c>
      <c r="BD3042">
        <v>0</v>
      </c>
      <c r="BE3042">
        <v>0</v>
      </c>
    </row>
    <row r="3043" spans="1:57" hidden="1" x14ac:dyDescent="0.45">
      <c r="A3043" t="s">
        <v>7188</v>
      </c>
      <c r="B3043" t="s">
        <v>79</v>
      </c>
      <c r="C3043" t="s">
        <v>2816</v>
      </c>
      <c r="D3043" t="s">
        <v>81</v>
      </c>
      <c r="E3043" s="2" t="str">
        <f>HYPERLINK("capsilon://?command=openfolder&amp;siteaddress=FAM.docvelocity-na8.net&amp;folderid=FX672373A6-312E-34C7-66AE-B28921FFE6D9","FX20128557")</f>
        <v>FX20128557</v>
      </c>
      <c r="F3043" t="s">
        <v>19</v>
      </c>
      <c r="G3043" t="s">
        <v>19</v>
      </c>
      <c r="H3043" t="s">
        <v>82</v>
      </c>
      <c r="I3043" t="s">
        <v>7189</v>
      </c>
      <c r="J3043">
        <v>66</v>
      </c>
      <c r="K3043" t="s">
        <v>84</v>
      </c>
      <c r="L3043" t="s">
        <v>85</v>
      </c>
      <c r="M3043" t="s">
        <v>86</v>
      </c>
      <c r="N3043">
        <v>3</v>
      </c>
      <c r="O3043" s="1">
        <v>44224.431759259256</v>
      </c>
      <c r="P3043" s="1">
        <v>44224.455370370371</v>
      </c>
      <c r="Q3043">
        <v>1828</v>
      </c>
      <c r="R3043">
        <v>212</v>
      </c>
      <c r="S3043" t="b">
        <v>0</v>
      </c>
      <c r="T3043" t="s">
        <v>87</v>
      </c>
      <c r="U3043" t="b">
        <v>0</v>
      </c>
      <c r="V3043" t="s">
        <v>88</v>
      </c>
      <c r="W3043" s="1">
        <v>44224.434039351851</v>
      </c>
      <c r="X3043">
        <v>184</v>
      </c>
      <c r="Y3043">
        <v>0</v>
      </c>
      <c r="Z3043">
        <v>0</v>
      </c>
      <c r="AA3043">
        <v>0</v>
      </c>
      <c r="AB3043">
        <v>52</v>
      </c>
      <c r="AC3043">
        <v>0</v>
      </c>
      <c r="AD3043">
        <v>66</v>
      </c>
      <c r="AE3043">
        <v>0</v>
      </c>
      <c r="AF3043">
        <v>0</v>
      </c>
      <c r="AG3043">
        <v>0</v>
      </c>
      <c r="AH3043" t="s">
        <v>128</v>
      </c>
      <c r="AI3043" s="1">
        <v>44224.454641203702</v>
      </c>
      <c r="AJ3043">
        <v>17</v>
      </c>
      <c r="AK3043">
        <v>0</v>
      </c>
      <c r="AL3043">
        <v>0</v>
      </c>
      <c r="AM3043">
        <v>0</v>
      </c>
      <c r="AN3043">
        <v>52</v>
      </c>
      <c r="AO3043">
        <v>0</v>
      </c>
      <c r="AP3043">
        <v>66</v>
      </c>
      <c r="AQ3043">
        <v>0</v>
      </c>
      <c r="AR3043">
        <v>0</v>
      </c>
      <c r="AS3043">
        <v>0</v>
      </c>
      <c r="AT3043" t="s">
        <v>90</v>
      </c>
      <c r="AU3043" s="1">
        <v>44224.455370370371</v>
      </c>
      <c r="AV3043">
        <v>11</v>
      </c>
      <c r="AW3043">
        <v>0</v>
      </c>
      <c r="AX3043">
        <v>0</v>
      </c>
      <c r="AY3043">
        <v>0</v>
      </c>
      <c r="AZ3043">
        <v>52</v>
      </c>
      <c r="BA3043">
        <v>0</v>
      </c>
      <c r="BB3043">
        <v>66</v>
      </c>
      <c r="BC3043">
        <v>0</v>
      </c>
      <c r="BD3043">
        <v>0</v>
      </c>
      <c r="BE3043">
        <v>0</v>
      </c>
    </row>
    <row r="3044" spans="1:57" hidden="1" x14ac:dyDescent="0.45">
      <c r="A3044" t="s">
        <v>7190</v>
      </c>
      <c r="B3044" t="s">
        <v>79</v>
      </c>
      <c r="C3044" t="s">
        <v>5188</v>
      </c>
      <c r="D3044" t="s">
        <v>81</v>
      </c>
      <c r="E3044" s="2" t="str">
        <f>HYPERLINK("capsilon://?command=openfolder&amp;siteaddress=FAM.docvelocity-na8.net&amp;folderid=FX01680138-7C8B-8B5C-E693-9A3E6E1375C3","FX201227128")</f>
        <v>FX201227128</v>
      </c>
      <c r="F3044" t="s">
        <v>19</v>
      </c>
      <c r="G3044" t="s">
        <v>19</v>
      </c>
      <c r="H3044" t="s">
        <v>82</v>
      </c>
      <c r="I3044" t="s">
        <v>7191</v>
      </c>
      <c r="J3044">
        <v>66</v>
      </c>
      <c r="K3044" t="s">
        <v>84</v>
      </c>
      <c r="L3044" t="s">
        <v>85</v>
      </c>
      <c r="M3044" t="s">
        <v>86</v>
      </c>
      <c r="N3044">
        <v>1</v>
      </c>
      <c r="O3044" s="1">
        <v>44224.434594907405</v>
      </c>
      <c r="P3044" s="1">
        <v>44224.436793981484</v>
      </c>
      <c r="Q3044">
        <v>52</v>
      </c>
      <c r="R3044">
        <v>138</v>
      </c>
      <c r="S3044" t="b">
        <v>0</v>
      </c>
      <c r="T3044" t="s">
        <v>87</v>
      </c>
      <c r="U3044" t="b">
        <v>0</v>
      </c>
      <c r="V3044" t="s">
        <v>919</v>
      </c>
      <c r="W3044" s="1">
        <v>44224.436793981484</v>
      </c>
      <c r="X3044">
        <v>138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66</v>
      </c>
      <c r="AE3044">
        <v>52</v>
      </c>
      <c r="AF3044">
        <v>0</v>
      </c>
      <c r="AG3044">
        <v>1</v>
      </c>
      <c r="AH3044" t="s">
        <v>87</v>
      </c>
      <c r="AI3044" t="s">
        <v>87</v>
      </c>
      <c r="AJ3044" t="s">
        <v>87</v>
      </c>
      <c r="AK3044" t="s">
        <v>87</v>
      </c>
      <c r="AL3044" t="s">
        <v>87</v>
      </c>
      <c r="AM3044" t="s">
        <v>87</v>
      </c>
      <c r="AN3044" t="s">
        <v>87</v>
      </c>
      <c r="AO3044" t="s">
        <v>87</v>
      </c>
      <c r="AP3044" t="s">
        <v>87</v>
      </c>
      <c r="AQ3044" t="s">
        <v>87</v>
      </c>
      <c r="AR3044" t="s">
        <v>87</v>
      </c>
      <c r="AS3044" t="s">
        <v>87</v>
      </c>
      <c r="AT3044" t="s">
        <v>87</v>
      </c>
      <c r="AU3044" t="s">
        <v>87</v>
      </c>
      <c r="AV3044" t="s">
        <v>87</v>
      </c>
      <c r="AW3044" t="s">
        <v>87</v>
      </c>
      <c r="AX3044" t="s">
        <v>87</v>
      </c>
      <c r="AY3044" t="s">
        <v>87</v>
      </c>
      <c r="AZ3044" t="s">
        <v>87</v>
      </c>
      <c r="BA3044" t="s">
        <v>87</v>
      </c>
      <c r="BB3044" t="s">
        <v>87</v>
      </c>
      <c r="BC3044" t="s">
        <v>87</v>
      </c>
      <c r="BD3044" t="s">
        <v>87</v>
      </c>
      <c r="BE3044" t="s">
        <v>87</v>
      </c>
    </row>
    <row r="3045" spans="1:57" x14ac:dyDescent="0.45">
      <c r="A3045" t="s">
        <v>7192</v>
      </c>
      <c r="B3045" t="s">
        <v>79</v>
      </c>
      <c r="C3045" t="s">
        <v>7193</v>
      </c>
      <c r="D3045" t="s">
        <v>81</v>
      </c>
      <c r="E3045" s="2" t="str">
        <f>HYPERLINK("capsilon://?command=openfolder&amp;siteaddress=FAM.docvelocity-na8.net&amp;folderid=FX5D695D66-ECE5-F351-9E06-FC5D82DA530A","FX210118260")</f>
        <v>FX210118260</v>
      </c>
      <c r="F3045" t="s">
        <v>19</v>
      </c>
      <c r="G3045" t="s">
        <v>19</v>
      </c>
      <c r="H3045" t="s">
        <v>82</v>
      </c>
      <c r="I3045" t="s">
        <v>7194</v>
      </c>
      <c r="J3045">
        <v>376</v>
      </c>
      <c r="K3045" t="s">
        <v>84</v>
      </c>
      <c r="L3045" t="s">
        <v>85</v>
      </c>
      <c r="M3045" t="s">
        <v>86</v>
      </c>
      <c r="N3045">
        <v>3</v>
      </c>
      <c r="O3045" s="1">
        <v>44224.435763888891</v>
      </c>
      <c r="P3045" s="1">
        <v>44224.531226851854</v>
      </c>
      <c r="Q3045">
        <v>2334</v>
      </c>
      <c r="R3045">
        <v>5914</v>
      </c>
      <c r="S3045" t="b">
        <v>0</v>
      </c>
      <c r="T3045" t="s">
        <v>87</v>
      </c>
      <c r="U3045" t="b">
        <v>0</v>
      </c>
      <c r="V3045" t="s">
        <v>88</v>
      </c>
      <c r="W3045" s="1">
        <v>44224.480000000003</v>
      </c>
      <c r="X3045">
        <v>3798</v>
      </c>
      <c r="Y3045">
        <v>325</v>
      </c>
      <c r="Z3045">
        <v>0</v>
      </c>
      <c r="AA3045">
        <v>325</v>
      </c>
      <c r="AB3045">
        <v>0</v>
      </c>
      <c r="AC3045">
        <v>260</v>
      </c>
      <c r="AD3045">
        <v>51</v>
      </c>
      <c r="AE3045">
        <v>0</v>
      </c>
      <c r="AF3045">
        <v>0</v>
      </c>
      <c r="AG3045">
        <v>0</v>
      </c>
      <c r="AH3045" t="s">
        <v>89</v>
      </c>
      <c r="AI3045" s="1">
        <v>44224.510231481479</v>
      </c>
      <c r="AJ3045">
        <v>1990</v>
      </c>
      <c r="AK3045">
        <v>1</v>
      </c>
      <c r="AL3045">
        <v>0</v>
      </c>
      <c r="AM3045">
        <v>1</v>
      </c>
      <c r="AN3045">
        <v>0</v>
      </c>
      <c r="AO3045">
        <v>0</v>
      </c>
      <c r="AP3045">
        <v>50</v>
      </c>
      <c r="AQ3045">
        <v>0</v>
      </c>
      <c r="AR3045">
        <v>0</v>
      </c>
      <c r="AS3045">
        <v>0</v>
      </c>
      <c r="AT3045" t="s">
        <v>90</v>
      </c>
      <c r="AU3045" s="1">
        <v>44224.531226851854</v>
      </c>
      <c r="AV3045">
        <v>55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50</v>
      </c>
      <c r="BC3045">
        <v>0</v>
      </c>
      <c r="BD3045">
        <v>0</v>
      </c>
      <c r="BE3045">
        <v>0</v>
      </c>
    </row>
    <row r="3046" spans="1:57" hidden="1" x14ac:dyDescent="0.45">
      <c r="A3046" t="s">
        <v>7195</v>
      </c>
      <c r="B3046" t="s">
        <v>79</v>
      </c>
      <c r="C3046" t="s">
        <v>1317</v>
      </c>
      <c r="D3046" t="s">
        <v>81</v>
      </c>
      <c r="E3046" s="2" t="str">
        <f>HYPERLINK("capsilon://?command=openfolder&amp;siteaddress=FAM.docvelocity-na8.net&amp;folderid=FXB116B044-2931-863F-54C9-8462069A5A4A","FX20128681")</f>
        <v>FX20128681</v>
      </c>
      <c r="F3046" t="s">
        <v>19</v>
      </c>
      <c r="G3046" t="s">
        <v>19</v>
      </c>
      <c r="H3046" t="s">
        <v>82</v>
      </c>
      <c r="I3046" t="s">
        <v>7196</v>
      </c>
      <c r="J3046">
        <v>66</v>
      </c>
      <c r="K3046" t="s">
        <v>84</v>
      </c>
      <c r="L3046" t="s">
        <v>85</v>
      </c>
      <c r="M3046" t="s">
        <v>86</v>
      </c>
      <c r="N3046">
        <v>3</v>
      </c>
      <c r="O3046" s="1">
        <v>44224.436192129629</v>
      </c>
      <c r="P3046" s="1">
        <v>44224.455416666664</v>
      </c>
      <c r="Q3046">
        <v>1494</v>
      </c>
      <c r="R3046">
        <v>167</v>
      </c>
      <c r="S3046" t="b">
        <v>0</v>
      </c>
      <c r="T3046" t="s">
        <v>87</v>
      </c>
      <c r="U3046" t="b">
        <v>0</v>
      </c>
      <c r="V3046" t="s">
        <v>146</v>
      </c>
      <c r="W3046" s="1">
        <v>44224.438333333332</v>
      </c>
      <c r="X3046">
        <v>155</v>
      </c>
      <c r="Y3046">
        <v>0</v>
      </c>
      <c r="Z3046">
        <v>0</v>
      </c>
      <c r="AA3046">
        <v>0</v>
      </c>
      <c r="AB3046">
        <v>52</v>
      </c>
      <c r="AC3046">
        <v>0</v>
      </c>
      <c r="AD3046">
        <v>66</v>
      </c>
      <c r="AE3046">
        <v>0</v>
      </c>
      <c r="AF3046">
        <v>0</v>
      </c>
      <c r="AG3046">
        <v>0</v>
      </c>
      <c r="AH3046" t="s">
        <v>128</v>
      </c>
      <c r="AI3046" s="1">
        <v>44224.454745370371</v>
      </c>
      <c r="AJ3046">
        <v>8</v>
      </c>
      <c r="AK3046">
        <v>0</v>
      </c>
      <c r="AL3046">
        <v>0</v>
      </c>
      <c r="AM3046">
        <v>0</v>
      </c>
      <c r="AN3046">
        <v>52</v>
      </c>
      <c r="AO3046">
        <v>0</v>
      </c>
      <c r="AP3046">
        <v>66</v>
      </c>
      <c r="AQ3046">
        <v>0</v>
      </c>
      <c r="AR3046">
        <v>0</v>
      </c>
      <c r="AS3046">
        <v>0</v>
      </c>
      <c r="AT3046" t="s">
        <v>90</v>
      </c>
      <c r="AU3046" s="1">
        <v>44224.455416666664</v>
      </c>
      <c r="AV3046">
        <v>4</v>
      </c>
      <c r="AW3046">
        <v>0</v>
      </c>
      <c r="AX3046">
        <v>0</v>
      </c>
      <c r="AY3046">
        <v>0</v>
      </c>
      <c r="AZ3046">
        <v>52</v>
      </c>
      <c r="BA3046">
        <v>0</v>
      </c>
      <c r="BB3046">
        <v>66</v>
      </c>
      <c r="BC3046">
        <v>0</v>
      </c>
      <c r="BD3046">
        <v>0</v>
      </c>
      <c r="BE3046">
        <v>0</v>
      </c>
    </row>
    <row r="3047" spans="1:57" x14ac:dyDescent="0.45">
      <c r="A3047" t="s">
        <v>7197</v>
      </c>
      <c r="B3047" t="s">
        <v>79</v>
      </c>
      <c r="C3047" t="s">
        <v>5188</v>
      </c>
      <c r="D3047" t="s">
        <v>81</v>
      </c>
      <c r="E3047" s="2" t="str">
        <f>HYPERLINK("capsilon://?command=openfolder&amp;siteaddress=FAM.docvelocity-na8.net&amp;folderid=FX01680138-7C8B-8B5C-E693-9A3E6E1375C3","FX201227128")</f>
        <v>FX201227128</v>
      </c>
      <c r="F3047" t="s">
        <v>19</v>
      </c>
      <c r="G3047" t="s">
        <v>19</v>
      </c>
      <c r="H3047" t="s">
        <v>82</v>
      </c>
      <c r="I3047" t="s">
        <v>7191</v>
      </c>
      <c r="J3047">
        <v>38</v>
      </c>
      <c r="K3047" t="s">
        <v>84</v>
      </c>
      <c r="L3047" t="s">
        <v>85</v>
      </c>
      <c r="M3047" t="s">
        <v>86</v>
      </c>
      <c r="N3047">
        <v>3</v>
      </c>
      <c r="O3047" s="1">
        <v>44224.437002314815</v>
      </c>
      <c r="P3047" s="1">
        <v>44224.469293981485</v>
      </c>
      <c r="Q3047">
        <v>1427</v>
      </c>
      <c r="R3047">
        <v>1363</v>
      </c>
      <c r="S3047" t="b">
        <v>0</v>
      </c>
      <c r="T3047" t="s">
        <v>87</v>
      </c>
      <c r="U3047" t="b">
        <v>1</v>
      </c>
      <c r="V3047" t="s">
        <v>146</v>
      </c>
      <c r="W3047" s="1">
        <v>44224.453692129631</v>
      </c>
      <c r="X3047">
        <v>1058</v>
      </c>
      <c r="Y3047">
        <v>37</v>
      </c>
      <c r="Z3047">
        <v>0</v>
      </c>
      <c r="AA3047">
        <v>37</v>
      </c>
      <c r="AB3047">
        <v>0</v>
      </c>
      <c r="AC3047">
        <v>35</v>
      </c>
      <c r="AD3047">
        <v>1</v>
      </c>
      <c r="AE3047">
        <v>0</v>
      </c>
      <c r="AF3047">
        <v>0</v>
      </c>
      <c r="AG3047">
        <v>0</v>
      </c>
      <c r="AH3047" t="s">
        <v>108</v>
      </c>
      <c r="AI3047" s="1">
        <v>44224.457546296297</v>
      </c>
      <c r="AJ3047">
        <v>292</v>
      </c>
      <c r="AK3047">
        <v>2</v>
      </c>
      <c r="AL3047">
        <v>0</v>
      </c>
      <c r="AM3047">
        <v>2</v>
      </c>
      <c r="AN3047">
        <v>0</v>
      </c>
      <c r="AO3047">
        <v>0</v>
      </c>
      <c r="AP3047">
        <v>-1</v>
      </c>
      <c r="AQ3047">
        <v>0</v>
      </c>
      <c r="AR3047">
        <v>0</v>
      </c>
      <c r="AS3047">
        <v>0</v>
      </c>
      <c r="AT3047" t="s">
        <v>90</v>
      </c>
      <c r="AU3047" s="1">
        <v>44224.469293981485</v>
      </c>
      <c r="AV3047">
        <v>13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-1</v>
      </c>
      <c r="BC3047">
        <v>0</v>
      </c>
      <c r="BD3047">
        <v>0</v>
      </c>
      <c r="BE3047">
        <v>0</v>
      </c>
    </row>
    <row r="3048" spans="1:57" x14ac:dyDescent="0.45">
      <c r="A3048" t="s">
        <v>7198</v>
      </c>
      <c r="B3048" t="s">
        <v>79</v>
      </c>
      <c r="C3048" t="s">
        <v>7199</v>
      </c>
      <c r="D3048" t="s">
        <v>81</v>
      </c>
      <c r="E3048" s="2" t="str">
        <f>HYPERLINK("capsilon://?command=openfolder&amp;siteaddress=FAM.docvelocity-na8.net&amp;folderid=FXE62009E9-5A4C-6790-85D0-E0E993A7437F","FX210117930")</f>
        <v>FX210117930</v>
      </c>
      <c r="F3048" t="s">
        <v>19</v>
      </c>
      <c r="G3048" t="s">
        <v>19</v>
      </c>
      <c r="H3048" t="s">
        <v>82</v>
      </c>
      <c r="I3048" t="s">
        <v>7200</v>
      </c>
      <c r="J3048">
        <v>250</v>
      </c>
      <c r="K3048" t="s">
        <v>84</v>
      </c>
      <c r="L3048" t="s">
        <v>85</v>
      </c>
      <c r="M3048" t="s">
        <v>86</v>
      </c>
      <c r="N3048">
        <v>3</v>
      </c>
      <c r="O3048" s="1">
        <v>44224.441331018519</v>
      </c>
      <c r="P3048" s="1">
        <v>44224.503819444442</v>
      </c>
      <c r="Q3048">
        <v>926</v>
      </c>
      <c r="R3048">
        <v>4473</v>
      </c>
      <c r="S3048" t="b">
        <v>0</v>
      </c>
      <c r="T3048" t="s">
        <v>87</v>
      </c>
      <c r="U3048" t="b">
        <v>0</v>
      </c>
      <c r="V3048" t="s">
        <v>919</v>
      </c>
      <c r="W3048" s="1">
        <v>44224.477986111109</v>
      </c>
      <c r="X3048">
        <v>3088</v>
      </c>
      <c r="Y3048">
        <v>237</v>
      </c>
      <c r="Z3048">
        <v>0</v>
      </c>
      <c r="AA3048">
        <v>237</v>
      </c>
      <c r="AB3048">
        <v>0</v>
      </c>
      <c r="AC3048">
        <v>59</v>
      </c>
      <c r="AD3048">
        <v>13</v>
      </c>
      <c r="AE3048">
        <v>0</v>
      </c>
      <c r="AF3048">
        <v>0</v>
      </c>
      <c r="AG3048">
        <v>0</v>
      </c>
      <c r="AH3048" t="s">
        <v>128</v>
      </c>
      <c r="AI3048" s="1">
        <v>44224.494837962964</v>
      </c>
      <c r="AJ3048">
        <v>1356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13</v>
      </c>
      <c r="AQ3048">
        <v>0</v>
      </c>
      <c r="AR3048">
        <v>0</v>
      </c>
      <c r="AS3048">
        <v>0</v>
      </c>
      <c r="AT3048" t="s">
        <v>90</v>
      </c>
      <c r="AU3048" s="1">
        <v>44224.503819444442</v>
      </c>
      <c r="AV3048">
        <v>29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13</v>
      </c>
      <c r="BC3048">
        <v>0</v>
      </c>
      <c r="BD3048">
        <v>0</v>
      </c>
      <c r="BE3048">
        <v>0</v>
      </c>
    </row>
    <row r="3049" spans="1:57" x14ac:dyDescent="0.45">
      <c r="A3049" t="s">
        <v>7201</v>
      </c>
      <c r="B3049" t="s">
        <v>79</v>
      </c>
      <c r="C3049" t="s">
        <v>7202</v>
      </c>
      <c r="D3049" t="s">
        <v>81</v>
      </c>
      <c r="E3049" s="2" t="str">
        <f>HYPERLINK("capsilon://?command=openfolder&amp;siteaddress=FAM.docvelocity-na8.net&amp;folderid=FXB5C34CD0-D83E-7AB0-6F52-C57693DDB54E","FX210117995")</f>
        <v>FX210117995</v>
      </c>
      <c r="F3049" t="s">
        <v>19</v>
      </c>
      <c r="G3049" t="s">
        <v>19</v>
      </c>
      <c r="H3049" t="s">
        <v>82</v>
      </c>
      <c r="I3049" t="s">
        <v>7203</v>
      </c>
      <c r="J3049">
        <v>38</v>
      </c>
      <c r="K3049" t="s">
        <v>84</v>
      </c>
      <c r="L3049" t="s">
        <v>85</v>
      </c>
      <c r="M3049" t="s">
        <v>86</v>
      </c>
      <c r="N3049">
        <v>3</v>
      </c>
      <c r="O3049" s="1">
        <v>44224.446388888886</v>
      </c>
      <c r="P3049" s="1">
        <v>44224.472326388888</v>
      </c>
      <c r="Q3049">
        <v>1679</v>
      </c>
      <c r="R3049">
        <v>562</v>
      </c>
      <c r="S3049" t="b">
        <v>0</v>
      </c>
      <c r="T3049" t="s">
        <v>87</v>
      </c>
      <c r="U3049" t="b">
        <v>0</v>
      </c>
      <c r="V3049" t="s">
        <v>179</v>
      </c>
      <c r="W3049" s="1">
        <v>44224.450810185182</v>
      </c>
      <c r="X3049">
        <v>382</v>
      </c>
      <c r="Y3049">
        <v>37</v>
      </c>
      <c r="Z3049">
        <v>0</v>
      </c>
      <c r="AA3049">
        <v>37</v>
      </c>
      <c r="AB3049">
        <v>0</v>
      </c>
      <c r="AC3049">
        <v>25</v>
      </c>
      <c r="AD3049">
        <v>1</v>
      </c>
      <c r="AE3049">
        <v>0</v>
      </c>
      <c r="AF3049">
        <v>0</v>
      </c>
      <c r="AG3049">
        <v>0</v>
      </c>
      <c r="AH3049" t="s">
        <v>128</v>
      </c>
      <c r="AI3049" s="1">
        <v>44224.456678240742</v>
      </c>
      <c r="AJ3049">
        <v>166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</v>
      </c>
      <c r="AQ3049">
        <v>0</v>
      </c>
      <c r="AR3049">
        <v>0</v>
      </c>
      <c r="AS3049">
        <v>0</v>
      </c>
      <c r="AT3049" t="s">
        <v>90</v>
      </c>
      <c r="AU3049" s="1">
        <v>44224.472326388888</v>
      </c>
      <c r="AV3049">
        <v>14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1</v>
      </c>
      <c r="BC3049">
        <v>0</v>
      </c>
      <c r="BD3049">
        <v>0</v>
      </c>
      <c r="BE3049">
        <v>0</v>
      </c>
    </row>
    <row r="3050" spans="1:57" x14ac:dyDescent="0.45">
      <c r="A3050" t="s">
        <v>7204</v>
      </c>
      <c r="B3050" t="s">
        <v>79</v>
      </c>
      <c r="C3050" t="s">
        <v>7205</v>
      </c>
      <c r="D3050" t="s">
        <v>81</v>
      </c>
      <c r="E3050" s="2" t="str">
        <f>HYPERLINK("capsilon://?command=openfolder&amp;siteaddress=FAM.docvelocity-na8.net&amp;folderid=FX499EEEED-9283-FC75-2C37-BFEFEFAB685D","FX210117032")</f>
        <v>FX210117032</v>
      </c>
      <c r="F3050" t="s">
        <v>19</v>
      </c>
      <c r="G3050" t="s">
        <v>19</v>
      </c>
      <c r="H3050" t="s">
        <v>82</v>
      </c>
      <c r="I3050" t="s">
        <v>7206</v>
      </c>
      <c r="J3050">
        <v>38</v>
      </c>
      <c r="K3050" t="s">
        <v>84</v>
      </c>
      <c r="L3050" t="s">
        <v>85</v>
      </c>
      <c r="M3050" t="s">
        <v>86</v>
      </c>
      <c r="N3050">
        <v>3</v>
      </c>
      <c r="O3050" s="1">
        <v>44224.44767361111</v>
      </c>
      <c r="P3050" s="1">
        <v>44224.472418981481</v>
      </c>
      <c r="Q3050">
        <v>1604</v>
      </c>
      <c r="R3050">
        <v>534</v>
      </c>
      <c r="S3050" t="b">
        <v>0</v>
      </c>
      <c r="T3050" t="s">
        <v>87</v>
      </c>
      <c r="U3050" t="b">
        <v>0</v>
      </c>
      <c r="V3050" t="s">
        <v>168</v>
      </c>
      <c r="W3050" s="1">
        <v>44224.451631944445</v>
      </c>
      <c r="X3050">
        <v>342</v>
      </c>
      <c r="Y3050">
        <v>37</v>
      </c>
      <c r="Z3050">
        <v>0</v>
      </c>
      <c r="AA3050">
        <v>37</v>
      </c>
      <c r="AB3050">
        <v>0</v>
      </c>
      <c r="AC3050">
        <v>11</v>
      </c>
      <c r="AD3050">
        <v>1</v>
      </c>
      <c r="AE3050">
        <v>0</v>
      </c>
      <c r="AF3050">
        <v>0</v>
      </c>
      <c r="AG3050">
        <v>0</v>
      </c>
      <c r="AH3050" t="s">
        <v>128</v>
      </c>
      <c r="AI3050" s="1">
        <v>44224.458819444444</v>
      </c>
      <c r="AJ3050">
        <v>184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1</v>
      </c>
      <c r="AQ3050">
        <v>0</v>
      </c>
      <c r="AR3050">
        <v>0</v>
      </c>
      <c r="AS3050">
        <v>0</v>
      </c>
      <c r="AT3050" t="s">
        <v>90</v>
      </c>
      <c r="AU3050" s="1">
        <v>44224.472418981481</v>
      </c>
      <c r="AV3050">
        <v>8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1</v>
      </c>
      <c r="BC3050">
        <v>0</v>
      </c>
      <c r="BD3050">
        <v>0</v>
      </c>
      <c r="BE3050">
        <v>0</v>
      </c>
    </row>
    <row r="3051" spans="1:57" hidden="1" x14ac:dyDescent="0.45">
      <c r="A3051" t="s">
        <v>7207</v>
      </c>
      <c r="B3051" t="s">
        <v>79</v>
      </c>
      <c r="C3051" t="s">
        <v>7208</v>
      </c>
      <c r="D3051" t="s">
        <v>81</v>
      </c>
      <c r="E3051" s="2" t="str">
        <f>HYPERLINK("capsilon://?command=openfolder&amp;siteaddress=FAM.docvelocity-na8.net&amp;folderid=FX1E86CD97-E3A6-B5CA-1B65-B2A54777C016","FX20126085")</f>
        <v>FX20126085</v>
      </c>
      <c r="F3051" t="s">
        <v>19</v>
      </c>
      <c r="G3051" t="s">
        <v>19</v>
      </c>
      <c r="H3051" t="s">
        <v>82</v>
      </c>
      <c r="I3051" t="s">
        <v>7209</v>
      </c>
      <c r="J3051">
        <v>66</v>
      </c>
      <c r="K3051" t="s">
        <v>84</v>
      </c>
      <c r="L3051" t="s">
        <v>85</v>
      </c>
      <c r="M3051" t="s">
        <v>86</v>
      </c>
      <c r="N3051">
        <v>1</v>
      </c>
      <c r="O3051" s="1">
        <v>44224.449282407404</v>
      </c>
      <c r="P3051" s="1">
        <v>44224.449606481481</v>
      </c>
      <c r="Q3051">
        <v>1</v>
      </c>
      <c r="R3051">
        <v>27</v>
      </c>
      <c r="S3051" t="b">
        <v>0</v>
      </c>
      <c r="T3051" t="s">
        <v>87</v>
      </c>
      <c r="U3051" t="b">
        <v>0</v>
      </c>
      <c r="V3051" t="s">
        <v>160</v>
      </c>
      <c r="W3051" s="1">
        <v>44224.449606481481</v>
      </c>
      <c r="X3051">
        <v>27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66</v>
      </c>
      <c r="AE3051">
        <v>52</v>
      </c>
      <c r="AF3051">
        <v>0</v>
      </c>
      <c r="AG3051">
        <v>1</v>
      </c>
      <c r="AH3051" t="s">
        <v>87</v>
      </c>
      <c r="AI3051" t="s">
        <v>87</v>
      </c>
      <c r="AJ3051" t="s">
        <v>87</v>
      </c>
      <c r="AK3051" t="s">
        <v>87</v>
      </c>
      <c r="AL3051" t="s">
        <v>87</v>
      </c>
      <c r="AM3051" t="s">
        <v>87</v>
      </c>
      <c r="AN3051" t="s">
        <v>87</v>
      </c>
      <c r="AO3051" t="s">
        <v>87</v>
      </c>
      <c r="AP3051" t="s">
        <v>87</v>
      </c>
      <c r="AQ3051" t="s">
        <v>87</v>
      </c>
      <c r="AR3051" t="s">
        <v>87</v>
      </c>
      <c r="AS3051" t="s">
        <v>87</v>
      </c>
      <c r="AT3051" t="s">
        <v>87</v>
      </c>
      <c r="AU3051" t="s">
        <v>87</v>
      </c>
      <c r="AV3051" t="s">
        <v>87</v>
      </c>
      <c r="AW3051" t="s">
        <v>87</v>
      </c>
      <c r="AX3051" t="s">
        <v>87</v>
      </c>
      <c r="AY3051" t="s">
        <v>87</v>
      </c>
      <c r="AZ3051" t="s">
        <v>87</v>
      </c>
      <c r="BA3051" t="s">
        <v>87</v>
      </c>
      <c r="BB3051" t="s">
        <v>87</v>
      </c>
      <c r="BC3051" t="s">
        <v>87</v>
      </c>
      <c r="BD3051" t="s">
        <v>87</v>
      </c>
      <c r="BE3051" t="s">
        <v>87</v>
      </c>
    </row>
    <row r="3052" spans="1:57" x14ac:dyDescent="0.45">
      <c r="A3052" t="s">
        <v>6106</v>
      </c>
      <c r="B3052" t="s">
        <v>79</v>
      </c>
      <c r="C3052" t="s">
        <v>7208</v>
      </c>
      <c r="D3052" t="s">
        <v>81</v>
      </c>
      <c r="E3052" s="2" t="str">
        <f>HYPERLINK("capsilon://?command=openfolder&amp;siteaddress=FAM.docvelocity-na8.net&amp;folderid=FX1E86CD97-E3A6-B5CA-1B65-B2A54777C016","FX20126085")</f>
        <v>FX20126085</v>
      </c>
      <c r="F3052" t="s">
        <v>19</v>
      </c>
      <c r="G3052" t="s">
        <v>19</v>
      </c>
      <c r="H3052" t="s">
        <v>82</v>
      </c>
      <c r="I3052" t="s">
        <v>7209</v>
      </c>
      <c r="J3052">
        <v>38</v>
      </c>
      <c r="K3052" t="s">
        <v>84</v>
      </c>
      <c r="L3052" t="s">
        <v>85</v>
      </c>
      <c r="M3052" t="s">
        <v>86</v>
      </c>
      <c r="N3052">
        <v>3</v>
      </c>
      <c r="O3052" s="1">
        <v>44224.449826388889</v>
      </c>
      <c r="P3052" s="1">
        <v>44224.469386574077</v>
      </c>
      <c r="Q3052">
        <v>1166</v>
      </c>
      <c r="R3052">
        <v>524</v>
      </c>
      <c r="S3052" t="b">
        <v>0</v>
      </c>
      <c r="T3052" t="s">
        <v>87</v>
      </c>
      <c r="U3052" t="b">
        <v>1</v>
      </c>
      <c r="V3052" t="s">
        <v>160</v>
      </c>
      <c r="W3052" s="1">
        <v>44224.454907407409</v>
      </c>
      <c r="X3052">
        <v>438</v>
      </c>
      <c r="Y3052">
        <v>37</v>
      </c>
      <c r="Z3052">
        <v>0</v>
      </c>
      <c r="AA3052">
        <v>37</v>
      </c>
      <c r="AB3052">
        <v>0</v>
      </c>
      <c r="AC3052">
        <v>35</v>
      </c>
      <c r="AD3052">
        <v>1</v>
      </c>
      <c r="AE3052">
        <v>0</v>
      </c>
      <c r="AF3052">
        <v>0</v>
      </c>
      <c r="AG3052">
        <v>0</v>
      </c>
      <c r="AH3052" t="s">
        <v>132</v>
      </c>
      <c r="AI3052" s="1">
        <v>44224.456909722219</v>
      </c>
      <c r="AJ3052">
        <v>78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0</v>
      </c>
      <c r="AR3052">
        <v>0</v>
      </c>
      <c r="AS3052">
        <v>0</v>
      </c>
      <c r="AT3052" t="s">
        <v>90</v>
      </c>
      <c r="AU3052" s="1">
        <v>44224.469386574077</v>
      </c>
      <c r="AV3052">
        <v>8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1</v>
      </c>
      <c r="BC3052">
        <v>0</v>
      </c>
      <c r="BD3052">
        <v>0</v>
      </c>
      <c r="BE3052">
        <v>0</v>
      </c>
    </row>
    <row r="3053" spans="1:57" x14ac:dyDescent="0.45">
      <c r="A3053" t="s">
        <v>7210</v>
      </c>
      <c r="B3053" t="s">
        <v>79</v>
      </c>
      <c r="C3053" t="s">
        <v>7211</v>
      </c>
      <c r="D3053" t="s">
        <v>81</v>
      </c>
      <c r="E3053" s="2" t="str">
        <f>HYPERLINK("capsilon://?command=openfolder&amp;siteaddress=FAM.docvelocity-na8.net&amp;folderid=FX6FF6C3B9-FD3E-5A99-C03D-341E7EA44FF7","FX210118400")</f>
        <v>FX210118400</v>
      </c>
      <c r="F3053" t="s">
        <v>19</v>
      </c>
      <c r="G3053" t="s">
        <v>19</v>
      </c>
      <c r="H3053" t="s">
        <v>82</v>
      </c>
      <c r="I3053" t="s">
        <v>7212</v>
      </c>
      <c r="J3053">
        <v>148</v>
      </c>
      <c r="K3053" t="s">
        <v>84</v>
      </c>
      <c r="L3053" t="s">
        <v>85</v>
      </c>
      <c r="M3053" t="s">
        <v>86</v>
      </c>
      <c r="N3053">
        <v>3</v>
      </c>
      <c r="O3053" s="1">
        <v>44224.454016203701</v>
      </c>
      <c r="P3053" s="1">
        <v>44224.473182870373</v>
      </c>
      <c r="Q3053">
        <v>648</v>
      </c>
      <c r="R3053">
        <v>1008</v>
      </c>
      <c r="S3053" t="b">
        <v>0</v>
      </c>
      <c r="T3053" t="s">
        <v>87</v>
      </c>
      <c r="U3053" t="b">
        <v>0</v>
      </c>
      <c r="V3053" t="s">
        <v>171</v>
      </c>
      <c r="W3053" s="1">
        <v>44224.463043981479</v>
      </c>
      <c r="X3053">
        <v>780</v>
      </c>
      <c r="Y3053">
        <v>66</v>
      </c>
      <c r="Z3053">
        <v>0</v>
      </c>
      <c r="AA3053">
        <v>66</v>
      </c>
      <c r="AB3053">
        <v>37</v>
      </c>
      <c r="AC3053">
        <v>19</v>
      </c>
      <c r="AD3053">
        <v>82</v>
      </c>
      <c r="AE3053">
        <v>0</v>
      </c>
      <c r="AF3053">
        <v>0</v>
      </c>
      <c r="AG3053">
        <v>0</v>
      </c>
      <c r="AH3053" t="s">
        <v>132</v>
      </c>
      <c r="AI3053" s="1">
        <v>44224.465520833335</v>
      </c>
      <c r="AJ3053">
        <v>163</v>
      </c>
      <c r="AK3053">
        <v>0</v>
      </c>
      <c r="AL3053">
        <v>0</v>
      </c>
      <c r="AM3053">
        <v>0</v>
      </c>
      <c r="AN3053">
        <v>37</v>
      </c>
      <c r="AO3053">
        <v>0</v>
      </c>
      <c r="AP3053">
        <v>82</v>
      </c>
      <c r="AQ3053">
        <v>0</v>
      </c>
      <c r="AR3053">
        <v>0</v>
      </c>
      <c r="AS3053">
        <v>0</v>
      </c>
      <c r="AT3053" t="s">
        <v>90</v>
      </c>
      <c r="AU3053" s="1">
        <v>44224.473182870373</v>
      </c>
      <c r="AV3053">
        <v>65</v>
      </c>
      <c r="AW3053">
        <v>0</v>
      </c>
      <c r="AX3053">
        <v>0</v>
      </c>
      <c r="AY3053">
        <v>0</v>
      </c>
      <c r="AZ3053">
        <v>37</v>
      </c>
      <c r="BA3053">
        <v>0</v>
      </c>
      <c r="BB3053">
        <v>82</v>
      </c>
      <c r="BC3053">
        <v>0</v>
      </c>
      <c r="BD3053">
        <v>0</v>
      </c>
      <c r="BE3053">
        <v>0</v>
      </c>
    </row>
    <row r="3054" spans="1:57" x14ac:dyDescent="0.45">
      <c r="A3054" t="s">
        <v>7213</v>
      </c>
      <c r="B3054" t="s">
        <v>79</v>
      </c>
      <c r="C3054" t="s">
        <v>2507</v>
      </c>
      <c r="D3054" t="s">
        <v>81</v>
      </c>
      <c r="E3054" s="2" t="str">
        <f>HYPERLINK("capsilon://?command=openfolder&amp;siteaddress=FAM.docvelocity-na8.net&amp;folderid=FXC96E4D4C-315F-5E79-9E32-B07763E00DE6","FX20127105")</f>
        <v>FX20127105</v>
      </c>
      <c r="F3054" t="s">
        <v>19</v>
      </c>
      <c r="G3054" t="s">
        <v>19</v>
      </c>
      <c r="H3054" t="s">
        <v>82</v>
      </c>
      <c r="I3054" t="s">
        <v>7037</v>
      </c>
      <c r="J3054">
        <v>38</v>
      </c>
      <c r="K3054" t="s">
        <v>84</v>
      </c>
      <c r="L3054" t="s">
        <v>85</v>
      </c>
      <c r="M3054" t="s">
        <v>86</v>
      </c>
      <c r="N3054">
        <v>3</v>
      </c>
      <c r="O3054" s="1">
        <v>44201.708854166667</v>
      </c>
      <c r="P3054" s="1">
        <v>44202.339004629626</v>
      </c>
      <c r="Q3054">
        <v>53319</v>
      </c>
      <c r="R3054">
        <v>1126</v>
      </c>
      <c r="S3054" t="b">
        <v>0</v>
      </c>
      <c r="T3054" t="s">
        <v>87</v>
      </c>
      <c r="U3054" t="b">
        <v>1</v>
      </c>
      <c r="V3054" t="s">
        <v>160</v>
      </c>
      <c r="W3054" s="1">
        <v>44201.718680555554</v>
      </c>
      <c r="X3054">
        <v>845</v>
      </c>
      <c r="Y3054">
        <v>37</v>
      </c>
      <c r="Z3054">
        <v>0</v>
      </c>
      <c r="AA3054">
        <v>37</v>
      </c>
      <c r="AB3054">
        <v>0</v>
      </c>
      <c r="AC3054">
        <v>17</v>
      </c>
      <c r="AD3054">
        <v>1</v>
      </c>
      <c r="AE3054">
        <v>0</v>
      </c>
      <c r="AF3054">
        <v>0</v>
      </c>
      <c r="AG3054">
        <v>0</v>
      </c>
      <c r="AH3054" t="s">
        <v>128</v>
      </c>
      <c r="AI3054" s="1">
        <v>44201.722974537035</v>
      </c>
      <c r="AJ3054">
        <v>273</v>
      </c>
      <c r="AK3054">
        <v>1</v>
      </c>
      <c r="AL3054">
        <v>0</v>
      </c>
      <c r="AM3054">
        <v>1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 t="s">
        <v>90</v>
      </c>
      <c r="AU3054" s="1">
        <v>44202.339004629626</v>
      </c>
      <c r="AV3054">
        <v>8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</row>
    <row r="3055" spans="1:57" x14ac:dyDescent="0.45">
      <c r="A3055" t="s">
        <v>7214</v>
      </c>
      <c r="B3055" t="s">
        <v>79</v>
      </c>
      <c r="C3055" t="s">
        <v>7215</v>
      </c>
      <c r="D3055" t="s">
        <v>81</v>
      </c>
      <c r="E3055" s="2" t="str">
        <f>HYPERLINK("capsilon://?command=openfolder&amp;siteaddress=FAM.docvelocity-na8.net&amp;folderid=FX7CE88292-ACA6-CC26-F27D-4C98738CBF7A","FX201224004")</f>
        <v>FX201224004</v>
      </c>
      <c r="F3055" t="s">
        <v>19</v>
      </c>
      <c r="G3055" t="s">
        <v>19</v>
      </c>
      <c r="H3055" t="s">
        <v>82</v>
      </c>
      <c r="I3055" t="s">
        <v>7216</v>
      </c>
      <c r="J3055">
        <v>200</v>
      </c>
      <c r="K3055" t="s">
        <v>84</v>
      </c>
      <c r="L3055" t="s">
        <v>85</v>
      </c>
      <c r="M3055" t="s">
        <v>86</v>
      </c>
      <c r="N3055">
        <v>3</v>
      </c>
      <c r="O3055" s="1">
        <v>44224.464513888888</v>
      </c>
      <c r="P3055" s="1">
        <v>44224.504016203704</v>
      </c>
      <c r="Q3055">
        <v>1363</v>
      </c>
      <c r="R3055">
        <v>2050</v>
      </c>
      <c r="S3055" t="b">
        <v>0</v>
      </c>
      <c r="T3055" t="s">
        <v>87</v>
      </c>
      <c r="U3055" t="b">
        <v>0</v>
      </c>
      <c r="V3055" t="s">
        <v>168</v>
      </c>
      <c r="W3055" s="1">
        <v>44224.480300925927</v>
      </c>
      <c r="X3055">
        <v>1363</v>
      </c>
      <c r="Y3055">
        <v>188</v>
      </c>
      <c r="Z3055">
        <v>0</v>
      </c>
      <c r="AA3055">
        <v>188</v>
      </c>
      <c r="AB3055">
        <v>0</v>
      </c>
      <c r="AC3055">
        <v>60</v>
      </c>
      <c r="AD3055">
        <v>12</v>
      </c>
      <c r="AE3055">
        <v>0</v>
      </c>
      <c r="AF3055">
        <v>0</v>
      </c>
      <c r="AG3055">
        <v>0</v>
      </c>
      <c r="AH3055" t="s">
        <v>108</v>
      </c>
      <c r="AI3055" s="1">
        <v>44224.495138888888</v>
      </c>
      <c r="AJ3055">
        <v>670</v>
      </c>
      <c r="AK3055">
        <v>1</v>
      </c>
      <c r="AL3055">
        <v>0</v>
      </c>
      <c r="AM3055">
        <v>1</v>
      </c>
      <c r="AN3055">
        <v>0</v>
      </c>
      <c r="AO3055">
        <v>0</v>
      </c>
      <c r="AP3055">
        <v>11</v>
      </c>
      <c r="AQ3055">
        <v>0</v>
      </c>
      <c r="AR3055">
        <v>0</v>
      </c>
      <c r="AS3055">
        <v>0</v>
      </c>
      <c r="AT3055" t="s">
        <v>90</v>
      </c>
      <c r="AU3055" s="1">
        <v>44224.504016203704</v>
      </c>
      <c r="AV3055">
        <v>17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11</v>
      </c>
      <c r="BC3055">
        <v>0</v>
      </c>
      <c r="BD3055">
        <v>0</v>
      </c>
      <c r="BE3055">
        <v>0</v>
      </c>
    </row>
    <row r="3056" spans="1:57" x14ac:dyDescent="0.45">
      <c r="A3056" t="s">
        <v>7217</v>
      </c>
      <c r="B3056" t="s">
        <v>79</v>
      </c>
      <c r="C3056" t="s">
        <v>7218</v>
      </c>
      <c r="D3056" t="s">
        <v>81</v>
      </c>
      <c r="E3056" s="2" t="str">
        <f>HYPERLINK("capsilon://?command=openfolder&amp;siteaddress=FAM.docvelocity-na8.net&amp;folderid=FX4994024A-E72B-9623-68DD-9F8D0FB2E511","FX210118091")</f>
        <v>FX210118091</v>
      </c>
      <c r="F3056" t="s">
        <v>19</v>
      </c>
      <c r="G3056" t="s">
        <v>19</v>
      </c>
      <c r="H3056" t="s">
        <v>82</v>
      </c>
      <c r="I3056" t="s">
        <v>7219</v>
      </c>
      <c r="J3056">
        <v>38</v>
      </c>
      <c r="K3056" t="s">
        <v>84</v>
      </c>
      <c r="L3056" t="s">
        <v>85</v>
      </c>
      <c r="M3056" t="s">
        <v>86</v>
      </c>
      <c r="N3056">
        <v>3</v>
      </c>
      <c r="O3056" s="1">
        <v>44224.466168981482</v>
      </c>
      <c r="P3056" s="1">
        <v>44224.50408564815</v>
      </c>
      <c r="Q3056">
        <v>2190</v>
      </c>
      <c r="R3056">
        <v>1086</v>
      </c>
      <c r="S3056" t="b">
        <v>0</v>
      </c>
      <c r="T3056" t="s">
        <v>87</v>
      </c>
      <c r="U3056" t="b">
        <v>0</v>
      </c>
      <c r="V3056" t="s">
        <v>146</v>
      </c>
      <c r="W3056" s="1">
        <v>44224.477500000001</v>
      </c>
      <c r="X3056">
        <v>978</v>
      </c>
      <c r="Y3056">
        <v>37</v>
      </c>
      <c r="Z3056">
        <v>0</v>
      </c>
      <c r="AA3056">
        <v>37</v>
      </c>
      <c r="AB3056">
        <v>0</v>
      </c>
      <c r="AC3056">
        <v>35</v>
      </c>
      <c r="AD3056">
        <v>1</v>
      </c>
      <c r="AE3056">
        <v>0</v>
      </c>
      <c r="AF3056">
        <v>0</v>
      </c>
      <c r="AG3056">
        <v>0</v>
      </c>
      <c r="AH3056" t="s">
        <v>132</v>
      </c>
      <c r="AI3056" s="1">
        <v>44224.478761574072</v>
      </c>
      <c r="AJ3056">
        <v>103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  <c r="AS3056">
        <v>0</v>
      </c>
      <c r="AT3056" t="s">
        <v>90</v>
      </c>
      <c r="AU3056" s="1">
        <v>44224.50408564815</v>
      </c>
      <c r="AV3056">
        <v>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1</v>
      </c>
      <c r="BC3056">
        <v>0</v>
      </c>
      <c r="BD3056">
        <v>0</v>
      </c>
      <c r="BE3056">
        <v>0</v>
      </c>
    </row>
    <row r="3057" spans="1:57" hidden="1" x14ac:dyDescent="0.45">
      <c r="A3057" t="s">
        <v>7220</v>
      </c>
      <c r="B3057" t="s">
        <v>79</v>
      </c>
      <c r="C3057" t="s">
        <v>7215</v>
      </c>
      <c r="D3057" t="s">
        <v>81</v>
      </c>
      <c r="E3057" s="2" t="str">
        <f>HYPERLINK("capsilon://?command=openfolder&amp;siteaddress=FAM.docvelocity-na8.net&amp;folderid=FX7CE88292-ACA6-CC26-F27D-4C98738CBF7A","FX201224004")</f>
        <v>FX201224004</v>
      </c>
      <c r="F3057" t="s">
        <v>19</v>
      </c>
      <c r="G3057" t="s">
        <v>19</v>
      </c>
      <c r="H3057" t="s">
        <v>82</v>
      </c>
      <c r="I3057" t="s">
        <v>7221</v>
      </c>
      <c r="J3057">
        <v>66</v>
      </c>
      <c r="K3057" t="s">
        <v>84</v>
      </c>
      <c r="L3057" t="s">
        <v>85</v>
      </c>
      <c r="M3057" t="s">
        <v>86</v>
      </c>
      <c r="N3057">
        <v>1</v>
      </c>
      <c r="O3057" s="1">
        <v>44224.46979166667</v>
      </c>
      <c r="P3057" s="1">
        <v>44224.473333333335</v>
      </c>
      <c r="Q3057">
        <v>207</v>
      </c>
      <c r="R3057">
        <v>99</v>
      </c>
      <c r="S3057" t="b">
        <v>0</v>
      </c>
      <c r="T3057" t="s">
        <v>87</v>
      </c>
      <c r="U3057" t="b">
        <v>0</v>
      </c>
      <c r="V3057" t="s">
        <v>179</v>
      </c>
      <c r="W3057" s="1">
        <v>44224.473333333335</v>
      </c>
      <c r="X3057">
        <v>44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66</v>
      </c>
      <c r="AE3057">
        <v>0</v>
      </c>
      <c r="AF3057">
        <v>0</v>
      </c>
      <c r="AG3057">
        <v>1</v>
      </c>
      <c r="AH3057" t="s">
        <v>87</v>
      </c>
      <c r="AI3057" t="s">
        <v>87</v>
      </c>
      <c r="AJ3057" t="s">
        <v>87</v>
      </c>
      <c r="AK3057" t="s">
        <v>87</v>
      </c>
      <c r="AL3057" t="s">
        <v>87</v>
      </c>
      <c r="AM3057" t="s">
        <v>87</v>
      </c>
      <c r="AN3057" t="s">
        <v>87</v>
      </c>
      <c r="AO3057" t="s">
        <v>87</v>
      </c>
      <c r="AP3057" t="s">
        <v>87</v>
      </c>
      <c r="AQ3057" t="s">
        <v>87</v>
      </c>
      <c r="AR3057" t="s">
        <v>87</v>
      </c>
      <c r="AS3057" t="s">
        <v>87</v>
      </c>
      <c r="AT3057" t="s">
        <v>87</v>
      </c>
      <c r="AU3057" t="s">
        <v>87</v>
      </c>
      <c r="AV3057" t="s">
        <v>87</v>
      </c>
      <c r="AW3057" t="s">
        <v>87</v>
      </c>
      <c r="AX3057" t="s">
        <v>87</v>
      </c>
      <c r="AY3057" t="s">
        <v>87</v>
      </c>
      <c r="AZ3057" t="s">
        <v>87</v>
      </c>
      <c r="BA3057" t="s">
        <v>87</v>
      </c>
      <c r="BB3057" t="s">
        <v>87</v>
      </c>
      <c r="BC3057" t="s">
        <v>87</v>
      </c>
      <c r="BD3057" t="s">
        <v>87</v>
      </c>
      <c r="BE3057" t="s">
        <v>87</v>
      </c>
    </row>
    <row r="3058" spans="1:57" x14ac:dyDescent="0.45">
      <c r="A3058" t="s">
        <v>7222</v>
      </c>
      <c r="B3058" t="s">
        <v>79</v>
      </c>
      <c r="C3058" t="s">
        <v>7215</v>
      </c>
      <c r="D3058" t="s">
        <v>81</v>
      </c>
      <c r="E3058" s="2" t="str">
        <f>HYPERLINK("capsilon://?command=openfolder&amp;siteaddress=FAM.docvelocity-na8.net&amp;folderid=FX7CE88292-ACA6-CC26-F27D-4C98738CBF7A","FX201224004")</f>
        <v>FX201224004</v>
      </c>
      <c r="F3058" t="s">
        <v>19</v>
      </c>
      <c r="G3058" t="s">
        <v>19</v>
      </c>
      <c r="H3058" t="s">
        <v>82</v>
      </c>
      <c r="I3058" t="s">
        <v>7221</v>
      </c>
      <c r="J3058">
        <v>38</v>
      </c>
      <c r="K3058" t="s">
        <v>84</v>
      </c>
      <c r="L3058" t="s">
        <v>85</v>
      </c>
      <c r="M3058" t="s">
        <v>86</v>
      </c>
      <c r="N3058">
        <v>3</v>
      </c>
      <c r="O3058" s="1">
        <v>44224.473541666666</v>
      </c>
      <c r="P3058" s="1">
        <v>44224.503391203703</v>
      </c>
      <c r="Q3058">
        <v>2005</v>
      </c>
      <c r="R3058">
        <v>574</v>
      </c>
      <c r="S3058" t="b">
        <v>0</v>
      </c>
      <c r="T3058" t="s">
        <v>87</v>
      </c>
      <c r="U3058" t="b">
        <v>1</v>
      </c>
      <c r="V3058" t="s">
        <v>160</v>
      </c>
      <c r="W3058" s="1">
        <v>44224.47859953704</v>
      </c>
      <c r="X3058">
        <v>436</v>
      </c>
      <c r="Y3058">
        <v>37</v>
      </c>
      <c r="Z3058">
        <v>0</v>
      </c>
      <c r="AA3058">
        <v>37</v>
      </c>
      <c r="AB3058">
        <v>0</v>
      </c>
      <c r="AC3058">
        <v>35</v>
      </c>
      <c r="AD3058">
        <v>1</v>
      </c>
      <c r="AE3058">
        <v>0</v>
      </c>
      <c r="AF3058">
        <v>0</v>
      </c>
      <c r="AG3058">
        <v>0</v>
      </c>
      <c r="AH3058" t="s">
        <v>132</v>
      </c>
      <c r="AI3058" s="1">
        <v>44224.480300925927</v>
      </c>
      <c r="AJ3058">
        <v>132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 t="s">
        <v>90</v>
      </c>
      <c r="AU3058" s="1">
        <v>44224.503391203703</v>
      </c>
      <c r="AV3058">
        <v>6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1</v>
      </c>
      <c r="BC3058">
        <v>0</v>
      </c>
      <c r="BD3058">
        <v>0</v>
      </c>
      <c r="BE3058">
        <v>0</v>
      </c>
    </row>
    <row r="3059" spans="1:57" x14ac:dyDescent="0.45">
      <c r="A3059" t="s">
        <v>7223</v>
      </c>
      <c r="B3059" t="s">
        <v>79</v>
      </c>
      <c r="C3059" t="s">
        <v>247</v>
      </c>
      <c r="D3059" t="s">
        <v>81</v>
      </c>
      <c r="E3059" s="2" t="str">
        <f>HYPERLINK("capsilon://?command=openfolder&amp;siteaddress=FAM.docvelocity-na8.net&amp;folderid=FX7A9BBBDB-CEB6-8284-2B0A-47A65583CAFA","FX20126965")</f>
        <v>FX20126965</v>
      </c>
      <c r="F3059" t="s">
        <v>19</v>
      </c>
      <c r="G3059" t="s">
        <v>19</v>
      </c>
      <c r="H3059" t="s">
        <v>82</v>
      </c>
      <c r="I3059" t="s">
        <v>7224</v>
      </c>
      <c r="J3059">
        <v>39</v>
      </c>
      <c r="K3059" t="s">
        <v>84</v>
      </c>
      <c r="L3059" t="s">
        <v>85</v>
      </c>
      <c r="M3059" t="s">
        <v>86</v>
      </c>
      <c r="N3059">
        <v>3</v>
      </c>
      <c r="O3059" s="1">
        <v>44224.474398148152</v>
      </c>
      <c r="P3059" s="1">
        <v>44224.504872685182</v>
      </c>
      <c r="Q3059">
        <v>2004</v>
      </c>
      <c r="R3059">
        <v>629</v>
      </c>
      <c r="S3059" t="b">
        <v>0</v>
      </c>
      <c r="T3059" t="s">
        <v>87</v>
      </c>
      <c r="U3059" t="b">
        <v>0</v>
      </c>
      <c r="V3059" t="s">
        <v>179</v>
      </c>
      <c r="W3059" s="1">
        <v>44224.47997685185</v>
      </c>
      <c r="X3059">
        <v>481</v>
      </c>
      <c r="Y3059">
        <v>36</v>
      </c>
      <c r="Z3059">
        <v>0</v>
      </c>
      <c r="AA3059">
        <v>36</v>
      </c>
      <c r="AB3059">
        <v>0</v>
      </c>
      <c r="AC3059">
        <v>16</v>
      </c>
      <c r="AD3059">
        <v>3</v>
      </c>
      <c r="AE3059">
        <v>0</v>
      </c>
      <c r="AF3059">
        <v>0</v>
      </c>
      <c r="AG3059">
        <v>0</v>
      </c>
      <c r="AH3059" t="s">
        <v>128</v>
      </c>
      <c r="AI3059" s="1">
        <v>44224.495787037034</v>
      </c>
      <c r="AJ3059">
        <v>81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3</v>
      </c>
      <c r="AQ3059">
        <v>0</v>
      </c>
      <c r="AR3059">
        <v>0</v>
      </c>
      <c r="AS3059">
        <v>0</v>
      </c>
      <c r="AT3059" t="s">
        <v>90</v>
      </c>
      <c r="AU3059" s="1">
        <v>44224.504872685182</v>
      </c>
      <c r="AV3059">
        <v>67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3</v>
      </c>
      <c r="BC3059">
        <v>0</v>
      </c>
      <c r="BD3059">
        <v>0</v>
      </c>
      <c r="BE3059">
        <v>0</v>
      </c>
    </row>
    <row r="3060" spans="1:57" hidden="1" x14ac:dyDescent="0.45">
      <c r="A3060" t="s">
        <v>7225</v>
      </c>
      <c r="B3060" t="s">
        <v>79</v>
      </c>
      <c r="C3060" t="s">
        <v>4917</v>
      </c>
      <c r="D3060" t="s">
        <v>81</v>
      </c>
      <c r="E3060" s="2" t="str">
        <f>HYPERLINK("capsilon://?command=openfolder&amp;siteaddress=FAM.docvelocity-na8.net&amp;folderid=FXCF985B09-006F-3EAF-DFA5-819DA7FF2B33","FX21011124")</f>
        <v>FX21011124</v>
      </c>
      <c r="F3060" t="s">
        <v>19</v>
      </c>
      <c r="G3060" t="s">
        <v>19</v>
      </c>
      <c r="H3060" t="s">
        <v>82</v>
      </c>
      <c r="I3060" t="s">
        <v>7226</v>
      </c>
      <c r="J3060">
        <v>66</v>
      </c>
      <c r="K3060" t="s">
        <v>84</v>
      </c>
      <c r="L3060" t="s">
        <v>85</v>
      </c>
      <c r="M3060" t="s">
        <v>86</v>
      </c>
      <c r="N3060">
        <v>1</v>
      </c>
      <c r="O3060" s="1">
        <v>44224.474791666667</v>
      </c>
      <c r="P3060" s="1">
        <v>44224.476909722223</v>
      </c>
      <c r="Q3060">
        <v>14</v>
      </c>
      <c r="R3060">
        <v>169</v>
      </c>
      <c r="S3060" t="b">
        <v>0</v>
      </c>
      <c r="T3060" t="s">
        <v>87</v>
      </c>
      <c r="U3060" t="b">
        <v>0</v>
      </c>
      <c r="V3060" t="s">
        <v>242</v>
      </c>
      <c r="W3060" s="1">
        <v>44224.476909722223</v>
      </c>
      <c r="X3060">
        <v>169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66</v>
      </c>
      <c r="AE3060">
        <v>52</v>
      </c>
      <c r="AF3060">
        <v>0</v>
      </c>
      <c r="AG3060">
        <v>1</v>
      </c>
      <c r="AH3060" t="s">
        <v>87</v>
      </c>
      <c r="AI3060" t="s">
        <v>87</v>
      </c>
      <c r="AJ3060" t="s">
        <v>87</v>
      </c>
      <c r="AK3060" t="s">
        <v>87</v>
      </c>
      <c r="AL3060" t="s">
        <v>87</v>
      </c>
      <c r="AM3060" t="s">
        <v>87</v>
      </c>
      <c r="AN3060" t="s">
        <v>87</v>
      </c>
      <c r="AO3060" t="s">
        <v>87</v>
      </c>
      <c r="AP3060" t="s">
        <v>87</v>
      </c>
      <c r="AQ3060" t="s">
        <v>87</v>
      </c>
      <c r="AR3060" t="s">
        <v>87</v>
      </c>
      <c r="AS3060" t="s">
        <v>87</v>
      </c>
      <c r="AT3060" t="s">
        <v>87</v>
      </c>
      <c r="AU3060" t="s">
        <v>87</v>
      </c>
      <c r="AV3060" t="s">
        <v>87</v>
      </c>
      <c r="AW3060" t="s">
        <v>87</v>
      </c>
      <c r="AX3060" t="s">
        <v>87</v>
      </c>
      <c r="AY3060" t="s">
        <v>87</v>
      </c>
      <c r="AZ3060" t="s">
        <v>87</v>
      </c>
      <c r="BA3060" t="s">
        <v>87</v>
      </c>
      <c r="BB3060" t="s">
        <v>87</v>
      </c>
      <c r="BC3060" t="s">
        <v>87</v>
      </c>
      <c r="BD3060" t="s">
        <v>87</v>
      </c>
      <c r="BE3060" t="s">
        <v>87</v>
      </c>
    </row>
    <row r="3061" spans="1:57" x14ac:dyDescent="0.45">
      <c r="A3061" t="s">
        <v>7227</v>
      </c>
      <c r="B3061" t="s">
        <v>79</v>
      </c>
      <c r="C3061" t="s">
        <v>4917</v>
      </c>
      <c r="D3061" t="s">
        <v>81</v>
      </c>
      <c r="E3061" s="2" t="str">
        <f>HYPERLINK("capsilon://?command=openfolder&amp;siteaddress=FAM.docvelocity-na8.net&amp;folderid=FXCF985B09-006F-3EAF-DFA5-819DA7FF2B33","FX21011124")</f>
        <v>FX21011124</v>
      </c>
      <c r="F3061" t="s">
        <v>19</v>
      </c>
      <c r="G3061" t="s">
        <v>19</v>
      </c>
      <c r="H3061" t="s">
        <v>82</v>
      </c>
      <c r="I3061" t="s">
        <v>7226</v>
      </c>
      <c r="J3061">
        <v>38</v>
      </c>
      <c r="K3061" t="s">
        <v>84</v>
      </c>
      <c r="L3061" t="s">
        <v>85</v>
      </c>
      <c r="M3061" t="s">
        <v>86</v>
      </c>
      <c r="N3061">
        <v>3</v>
      </c>
      <c r="O3061" s="1">
        <v>44224.477141203701</v>
      </c>
      <c r="P3061" s="1">
        <v>44224.504942129628</v>
      </c>
      <c r="Q3061">
        <v>153</v>
      </c>
      <c r="R3061">
        <v>2249</v>
      </c>
      <c r="S3061" t="b">
        <v>0</v>
      </c>
      <c r="T3061" t="s">
        <v>87</v>
      </c>
      <c r="U3061" t="b">
        <v>1</v>
      </c>
      <c r="V3061" t="s">
        <v>242</v>
      </c>
      <c r="W3061" s="1">
        <v>44224.499965277777</v>
      </c>
      <c r="X3061">
        <v>1966</v>
      </c>
      <c r="Y3061">
        <v>37</v>
      </c>
      <c r="Z3061">
        <v>0</v>
      </c>
      <c r="AA3061">
        <v>37</v>
      </c>
      <c r="AB3061">
        <v>0</v>
      </c>
      <c r="AC3061">
        <v>34</v>
      </c>
      <c r="AD3061">
        <v>1</v>
      </c>
      <c r="AE3061">
        <v>0</v>
      </c>
      <c r="AF3061">
        <v>0</v>
      </c>
      <c r="AG3061">
        <v>0</v>
      </c>
      <c r="AH3061" t="s">
        <v>94</v>
      </c>
      <c r="AI3061" s="1">
        <v>44224.504340277781</v>
      </c>
      <c r="AJ3061">
        <v>278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 t="s">
        <v>90</v>
      </c>
      <c r="AU3061" s="1">
        <v>44224.504942129628</v>
      </c>
      <c r="AV3061">
        <v>5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0</v>
      </c>
    </row>
    <row r="3062" spans="1:57" x14ac:dyDescent="0.45">
      <c r="A3062" t="s">
        <v>7228</v>
      </c>
      <c r="B3062" t="s">
        <v>79</v>
      </c>
      <c r="C3062" t="s">
        <v>7229</v>
      </c>
      <c r="D3062" t="s">
        <v>81</v>
      </c>
      <c r="E3062" s="2" t="str">
        <f>HYPERLINK("capsilon://?command=openfolder&amp;siteaddress=FAM.docvelocity-na8.net&amp;folderid=FX9DAA220E-E2F6-03DD-4AD3-3AFAD6C03969","FX210118610")</f>
        <v>FX210118610</v>
      </c>
      <c r="F3062" t="s">
        <v>19</v>
      </c>
      <c r="G3062" t="s">
        <v>19</v>
      </c>
      <c r="H3062" t="s">
        <v>82</v>
      </c>
      <c r="I3062" t="s">
        <v>7230</v>
      </c>
      <c r="J3062">
        <v>176</v>
      </c>
      <c r="K3062" t="s">
        <v>84</v>
      </c>
      <c r="L3062" t="s">
        <v>85</v>
      </c>
      <c r="M3062" t="s">
        <v>86</v>
      </c>
      <c r="N3062">
        <v>3</v>
      </c>
      <c r="O3062" s="1">
        <v>44224.47797453704</v>
      </c>
      <c r="P3062" s="1">
        <v>44224.53197916667</v>
      </c>
      <c r="Q3062">
        <v>1639</v>
      </c>
      <c r="R3062">
        <v>3027</v>
      </c>
      <c r="S3062" t="b">
        <v>0</v>
      </c>
      <c r="T3062" t="s">
        <v>87</v>
      </c>
      <c r="U3062" t="b">
        <v>0</v>
      </c>
      <c r="V3062" t="s">
        <v>171</v>
      </c>
      <c r="W3062" s="1">
        <v>44224.501539351855</v>
      </c>
      <c r="X3062">
        <v>2035</v>
      </c>
      <c r="Y3062">
        <v>191</v>
      </c>
      <c r="Z3062">
        <v>0</v>
      </c>
      <c r="AA3062">
        <v>191</v>
      </c>
      <c r="AB3062">
        <v>0</v>
      </c>
      <c r="AC3062">
        <v>114</v>
      </c>
      <c r="AD3062">
        <v>-15</v>
      </c>
      <c r="AE3062">
        <v>0</v>
      </c>
      <c r="AF3062">
        <v>0</v>
      </c>
      <c r="AG3062">
        <v>0</v>
      </c>
      <c r="AH3062" t="s">
        <v>128</v>
      </c>
      <c r="AI3062" s="1">
        <v>44224.516840277778</v>
      </c>
      <c r="AJ3062">
        <v>767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-15</v>
      </c>
      <c r="AQ3062">
        <v>0</v>
      </c>
      <c r="AR3062">
        <v>0</v>
      </c>
      <c r="AS3062">
        <v>0</v>
      </c>
      <c r="AT3062" t="s">
        <v>90</v>
      </c>
      <c r="AU3062" s="1">
        <v>44224.53197916667</v>
      </c>
      <c r="AV3062">
        <v>64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-15</v>
      </c>
      <c r="BC3062">
        <v>0</v>
      </c>
      <c r="BD3062">
        <v>0</v>
      </c>
      <c r="BE3062">
        <v>0</v>
      </c>
    </row>
    <row r="3063" spans="1:57" x14ac:dyDescent="0.45">
      <c r="A3063" t="s">
        <v>7231</v>
      </c>
      <c r="B3063" t="s">
        <v>79</v>
      </c>
      <c r="C3063" t="s">
        <v>7232</v>
      </c>
      <c r="D3063" t="s">
        <v>81</v>
      </c>
      <c r="E3063" s="2" t="str">
        <f>HYPERLINK("capsilon://?command=openfolder&amp;siteaddress=FAM.docvelocity-na8.net&amp;folderid=FXE1CA53DB-17F9-54F9-396E-ADF74245254D","FX210118011")</f>
        <v>FX210118011</v>
      </c>
      <c r="F3063" t="s">
        <v>19</v>
      </c>
      <c r="G3063" t="s">
        <v>19</v>
      </c>
      <c r="H3063" t="s">
        <v>82</v>
      </c>
      <c r="I3063" t="s">
        <v>7233</v>
      </c>
      <c r="J3063">
        <v>38</v>
      </c>
      <c r="K3063" t="s">
        <v>84</v>
      </c>
      <c r="L3063" t="s">
        <v>85</v>
      </c>
      <c r="M3063" t="s">
        <v>86</v>
      </c>
      <c r="N3063">
        <v>3</v>
      </c>
      <c r="O3063" s="1">
        <v>44224.47828703704</v>
      </c>
      <c r="P3063" s="1">
        <v>44224.505011574074</v>
      </c>
      <c r="Q3063">
        <v>1742</v>
      </c>
      <c r="R3063">
        <v>567</v>
      </c>
      <c r="S3063" t="b">
        <v>0</v>
      </c>
      <c r="T3063" t="s">
        <v>87</v>
      </c>
      <c r="U3063" t="b">
        <v>0</v>
      </c>
      <c r="V3063" t="s">
        <v>259</v>
      </c>
      <c r="W3063" s="1">
        <v>44224.482569444444</v>
      </c>
      <c r="X3063">
        <v>365</v>
      </c>
      <c r="Y3063">
        <v>37</v>
      </c>
      <c r="Z3063">
        <v>0</v>
      </c>
      <c r="AA3063">
        <v>37</v>
      </c>
      <c r="AB3063">
        <v>0</v>
      </c>
      <c r="AC3063">
        <v>12</v>
      </c>
      <c r="AD3063">
        <v>1</v>
      </c>
      <c r="AE3063">
        <v>0</v>
      </c>
      <c r="AF3063">
        <v>0</v>
      </c>
      <c r="AG3063">
        <v>0</v>
      </c>
      <c r="AH3063" t="s">
        <v>108</v>
      </c>
      <c r="AI3063" s="1">
        <v>44224.497430555559</v>
      </c>
      <c r="AJ3063">
        <v>197</v>
      </c>
      <c r="AK3063">
        <v>2</v>
      </c>
      <c r="AL3063">
        <v>0</v>
      </c>
      <c r="AM3063">
        <v>2</v>
      </c>
      <c r="AN3063">
        <v>0</v>
      </c>
      <c r="AO3063">
        <v>0</v>
      </c>
      <c r="AP3063">
        <v>-1</v>
      </c>
      <c r="AQ3063">
        <v>0</v>
      </c>
      <c r="AR3063">
        <v>0</v>
      </c>
      <c r="AS3063">
        <v>0</v>
      </c>
      <c r="AT3063" t="s">
        <v>90</v>
      </c>
      <c r="AU3063" s="1">
        <v>44224.505011574074</v>
      </c>
      <c r="AV3063">
        <v>5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-1</v>
      </c>
      <c r="BC3063">
        <v>0</v>
      </c>
      <c r="BD3063">
        <v>0</v>
      </c>
      <c r="BE3063">
        <v>0</v>
      </c>
    </row>
    <row r="3064" spans="1:57" x14ac:dyDescent="0.45">
      <c r="A3064" t="s">
        <v>7234</v>
      </c>
      <c r="B3064" t="s">
        <v>79</v>
      </c>
      <c r="C3064" t="s">
        <v>7235</v>
      </c>
      <c r="D3064" t="s">
        <v>81</v>
      </c>
      <c r="E3064" s="2" t="str">
        <f>HYPERLINK("capsilon://?command=openfolder&amp;siteaddress=FAM.docvelocity-na8.net&amp;folderid=FXFCC5144D-C58D-B6FF-5B8E-3CAC0DD11984","FX210118486")</f>
        <v>FX210118486</v>
      </c>
      <c r="F3064" t="s">
        <v>19</v>
      </c>
      <c r="G3064" t="s">
        <v>19</v>
      </c>
      <c r="H3064" t="s">
        <v>82</v>
      </c>
      <c r="I3064" t="s">
        <v>7236</v>
      </c>
      <c r="J3064">
        <v>95</v>
      </c>
      <c r="K3064" t="s">
        <v>84</v>
      </c>
      <c r="L3064" t="s">
        <v>85</v>
      </c>
      <c r="M3064" t="s">
        <v>86</v>
      </c>
      <c r="N3064">
        <v>3</v>
      </c>
      <c r="O3064" s="1">
        <v>44224.479687500003</v>
      </c>
      <c r="P3064" s="1">
        <v>44224.506412037037</v>
      </c>
      <c r="Q3064">
        <v>705</v>
      </c>
      <c r="R3064">
        <v>1604</v>
      </c>
      <c r="S3064" t="b">
        <v>0</v>
      </c>
      <c r="T3064" t="s">
        <v>87</v>
      </c>
      <c r="U3064" t="b">
        <v>0</v>
      </c>
      <c r="V3064" t="s">
        <v>160</v>
      </c>
      <c r="W3064" s="1">
        <v>44224.494756944441</v>
      </c>
      <c r="X3064">
        <v>1301</v>
      </c>
      <c r="Y3064">
        <v>53</v>
      </c>
      <c r="Z3064">
        <v>0</v>
      </c>
      <c r="AA3064">
        <v>53</v>
      </c>
      <c r="AB3064">
        <v>37</v>
      </c>
      <c r="AC3064">
        <v>46</v>
      </c>
      <c r="AD3064">
        <v>42</v>
      </c>
      <c r="AE3064">
        <v>0</v>
      </c>
      <c r="AF3064">
        <v>0</v>
      </c>
      <c r="AG3064">
        <v>0</v>
      </c>
      <c r="AH3064" t="s">
        <v>128</v>
      </c>
      <c r="AI3064" s="1">
        <v>44224.49795138889</v>
      </c>
      <c r="AJ3064">
        <v>167</v>
      </c>
      <c r="AK3064">
        <v>1</v>
      </c>
      <c r="AL3064">
        <v>0</v>
      </c>
      <c r="AM3064">
        <v>1</v>
      </c>
      <c r="AN3064">
        <v>37</v>
      </c>
      <c r="AO3064">
        <v>1</v>
      </c>
      <c r="AP3064">
        <v>41</v>
      </c>
      <c r="AQ3064">
        <v>0</v>
      </c>
      <c r="AR3064">
        <v>0</v>
      </c>
      <c r="AS3064">
        <v>0</v>
      </c>
      <c r="AT3064" t="s">
        <v>90</v>
      </c>
      <c r="AU3064" s="1">
        <v>44224.506412037037</v>
      </c>
      <c r="AV3064">
        <v>120</v>
      </c>
      <c r="AW3064">
        <v>0</v>
      </c>
      <c r="AX3064">
        <v>0</v>
      </c>
      <c r="AY3064">
        <v>0</v>
      </c>
      <c r="AZ3064">
        <v>37</v>
      </c>
      <c r="BA3064">
        <v>0</v>
      </c>
      <c r="BB3064">
        <v>41</v>
      </c>
      <c r="BC3064">
        <v>0</v>
      </c>
      <c r="BD3064">
        <v>0</v>
      </c>
      <c r="BE3064">
        <v>0</v>
      </c>
    </row>
    <row r="3065" spans="1:57" hidden="1" x14ac:dyDescent="0.45">
      <c r="A3065" t="s">
        <v>7237</v>
      </c>
      <c r="B3065" t="s">
        <v>79</v>
      </c>
      <c r="C3065" t="s">
        <v>806</v>
      </c>
      <c r="D3065" t="s">
        <v>81</v>
      </c>
      <c r="E3065" s="2" t="str">
        <f>HYPERLINK("capsilon://?command=openfolder&amp;siteaddress=FAM.docvelocity-na8.net&amp;folderid=FX04727687-20A6-8CB2-7A19-E29F9354E5FA","FX21011814")</f>
        <v>FX21011814</v>
      </c>
      <c r="F3065" t="s">
        <v>19</v>
      </c>
      <c r="G3065" t="s">
        <v>19</v>
      </c>
      <c r="H3065" t="s">
        <v>82</v>
      </c>
      <c r="I3065" t="s">
        <v>7238</v>
      </c>
      <c r="J3065">
        <v>66</v>
      </c>
      <c r="K3065" t="s">
        <v>84</v>
      </c>
      <c r="L3065" t="s">
        <v>85</v>
      </c>
      <c r="M3065" t="s">
        <v>86</v>
      </c>
      <c r="N3065">
        <v>1</v>
      </c>
      <c r="O3065" s="1">
        <v>44224.480833333335</v>
      </c>
      <c r="P3065" s="1">
        <v>44224.483611111114</v>
      </c>
      <c r="Q3065">
        <v>64</v>
      </c>
      <c r="R3065">
        <v>176</v>
      </c>
      <c r="S3065" t="b">
        <v>0</v>
      </c>
      <c r="T3065" t="s">
        <v>87</v>
      </c>
      <c r="U3065" t="b">
        <v>0</v>
      </c>
      <c r="V3065" t="s">
        <v>179</v>
      </c>
      <c r="W3065" s="1">
        <v>44224.483611111114</v>
      </c>
      <c r="X3065">
        <v>7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66</v>
      </c>
      <c r="AE3065">
        <v>0</v>
      </c>
      <c r="AF3065">
        <v>0</v>
      </c>
      <c r="AG3065">
        <v>1</v>
      </c>
      <c r="AH3065" t="s">
        <v>87</v>
      </c>
      <c r="AI3065" t="s">
        <v>87</v>
      </c>
      <c r="AJ3065" t="s">
        <v>87</v>
      </c>
      <c r="AK3065" t="s">
        <v>87</v>
      </c>
      <c r="AL3065" t="s">
        <v>87</v>
      </c>
      <c r="AM3065" t="s">
        <v>87</v>
      </c>
      <c r="AN3065" t="s">
        <v>87</v>
      </c>
      <c r="AO3065" t="s">
        <v>87</v>
      </c>
      <c r="AP3065" t="s">
        <v>87</v>
      </c>
      <c r="AQ3065" t="s">
        <v>87</v>
      </c>
      <c r="AR3065" t="s">
        <v>87</v>
      </c>
      <c r="AS3065" t="s">
        <v>87</v>
      </c>
      <c r="AT3065" t="s">
        <v>87</v>
      </c>
      <c r="AU3065" t="s">
        <v>87</v>
      </c>
      <c r="AV3065" t="s">
        <v>87</v>
      </c>
      <c r="AW3065" t="s">
        <v>87</v>
      </c>
      <c r="AX3065" t="s">
        <v>87</v>
      </c>
      <c r="AY3065" t="s">
        <v>87</v>
      </c>
      <c r="AZ3065" t="s">
        <v>87</v>
      </c>
      <c r="BA3065" t="s">
        <v>87</v>
      </c>
      <c r="BB3065" t="s">
        <v>87</v>
      </c>
      <c r="BC3065" t="s">
        <v>87</v>
      </c>
      <c r="BD3065" t="s">
        <v>87</v>
      </c>
      <c r="BE3065" t="s">
        <v>87</v>
      </c>
    </row>
    <row r="3066" spans="1:57" x14ac:dyDescent="0.45">
      <c r="A3066" t="s">
        <v>7239</v>
      </c>
      <c r="B3066" t="s">
        <v>79</v>
      </c>
      <c r="C3066" t="s">
        <v>163</v>
      </c>
      <c r="D3066" t="s">
        <v>81</v>
      </c>
      <c r="E3066" s="2" t="str">
        <f>HYPERLINK("capsilon://?command=openfolder&amp;siteaddress=FAM.docvelocity-na8.net&amp;folderid=FX90B95D14-9D27-4D28-D34C-8A8ACC748A6D","FX210113106")</f>
        <v>FX210113106</v>
      </c>
      <c r="F3066" t="s">
        <v>19</v>
      </c>
      <c r="G3066" t="s">
        <v>19</v>
      </c>
      <c r="H3066" t="s">
        <v>82</v>
      </c>
      <c r="I3066" t="s">
        <v>7240</v>
      </c>
      <c r="J3066">
        <v>300</v>
      </c>
      <c r="K3066" t="s">
        <v>84</v>
      </c>
      <c r="L3066" t="s">
        <v>85</v>
      </c>
      <c r="M3066" t="s">
        <v>86</v>
      </c>
      <c r="N3066">
        <v>3</v>
      </c>
      <c r="O3066" s="1">
        <v>44224.48128472222</v>
      </c>
      <c r="P3066" s="1">
        <v>44224.536643518521</v>
      </c>
      <c r="Q3066">
        <v>602</v>
      </c>
      <c r="R3066">
        <v>4181</v>
      </c>
      <c r="S3066" t="b">
        <v>0</v>
      </c>
      <c r="T3066" t="s">
        <v>87</v>
      </c>
      <c r="U3066" t="b">
        <v>0</v>
      </c>
      <c r="V3066" t="s">
        <v>919</v>
      </c>
      <c r="W3066" s="1">
        <v>44224.513981481483</v>
      </c>
      <c r="X3066">
        <v>2825</v>
      </c>
      <c r="Y3066">
        <v>273</v>
      </c>
      <c r="Z3066">
        <v>0</v>
      </c>
      <c r="AA3066">
        <v>273</v>
      </c>
      <c r="AB3066">
        <v>0</v>
      </c>
      <c r="AC3066">
        <v>45</v>
      </c>
      <c r="AD3066">
        <v>27</v>
      </c>
      <c r="AE3066">
        <v>0</v>
      </c>
      <c r="AF3066">
        <v>0</v>
      </c>
      <c r="AG3066">
        <v>0</v>
      </c>
      <c r="AH3066" t="s">
        <v>132</v>
      </c>
      <c r="AI3066" s="1">
        <v>44224.529374999998</v>
      </c>
      <c r="AJ3066">
        <v>934</v>
      </c>
      <c r="AK3066">
        <v>3</v>
      </c>
      <c r="AL3066">
        <v>0</v>
      </c>
      <c r="AM3066">
        <v>3</v>
      </c>
      <c r="AN3066">
        <v>0</v>
      </c>
      <c r="AO3066">
        <v>2</v>
      </c>
      <c r="AP3066">
        <v>24</v>
      </c>
      <c r="AQ3066">
        <v>0</v>
      </c>
      <c r="AR3066">
        <v>0</v>
      </c>
      <c r="AS3066">
        <v>0</v>
      </c>
      <c r="AT3066" t="s">
        <v>90</v>
      </c>
      <c r="AU3066" s="1">
        <v>44224.536643518521</v>
      </c>
      <c r="AV3066">
        <v>402</v>
      </c>
      <c r="AW3066">
        <v>1</v>
      </c>
      <c r="AX3066">
        <v>0</v>
      </c>
      <c r="AY3066">
        <v>1</v>
      </c>
      <c r="AZ3066">
        <v>0</v>
      </c>
      <c r="BA3066">
        <v>1</v>
      </c>
      <c r="BB3066">
        <v>23</v>
      </c>
      <c r="BC3066">
        <v>0</v>
      </c>
      <c r="BD3066">
        <v>0</v>
      </c>
      <c r="BE3066">
        <v>0</v>
      </c>
    </row>
    <row r="3067" spans="1:57" x14ac:dyDescent="0.45">
      <c r="A3067" t="s">
        <v>7241</v>
      </c>
      <c r="B3067" t="s">
        <v>79</v>
      </c>
      <c r="C3067" t="s">
        <v>806</v>
      </c>
      <c r="D3067" t="s">
        <v>81</v>
      </c>
      <c r="E3067" s="2" t="str">
        <f>HYPERLINK("capsilon://?command=openfolder&amp;siteaddress=FAM.docvelocity-na8.net&amp;folderid=FX04727687-20A6-8CB2-7A19-E29F9354E5FA","FX21011814")</f>
        <v>FX21011814</v>
      </c>
      <c r="F3067" t="s">
        <v>19</v>
      </c>
      <c r="G3067" t="s">
        <v>19</v>
      </c>
      <c r="H3067" t="s">
        <v>82</v>
      </c>
      <c r="I3067" t="s">
        <v>7238</v>
      </c>
      <c r="J3067">
        <v>38</v>
      </c>
      <c r="K3067" t="s">
        <v>84</v>
      </c>
      <c r="L3067" t="s">
        <v>85</v>
      </c>
      <c r="M3067" t="s">
        <v>86</v>
      </c>
      <c r="N3067">
        <v>3</v>
      </c>
      <c r="O3067" s="1">
        <v>44224.483865740738</v>
      </c>
      <c r="P3067" s="1">
        <v>44224.503483796296</v>
      </c>
      <c r="Q3067">
        <v>981</v>
      </c>
      <c r="R3067">
        <v>714</v>
      </c>
      <c r="S3067" t="b">
        <v>0</v>
      </c>
      <c r="T3067" t="s">
        <v>87</v>
      </c>
      <c r="U3067" t="b">
        <v>1</v>
      </c>
      <c r="V3067" t="s">
        <v>179</v>
      </c>
      <c r="W3067" s="1">
        <v>44224.489942129629</v>
      </c>
      <c r="X3067">
        <v>524</v>
      </c>
      <c r="Y3067">
        <v>37</v>
      </c>
      <c r="Z3067">
        <v>0</v>
      </c>
      <c r="AA3067">
        <v>37</v>
      </c>
      <c r="AB3067">
        <v>0</v>
      </c>
      <c r="AC3067">
        <v>34</v>
      </c>
      <c r="AD3067">
        <v>1</v>
      </c>
      <c r="AE3067">
        <v>0</v>
      </c>
      <c r="AF3067">
        <v>0</v>
      </c>
      <c r="AG3067">
        <v>0</v>
      </c>
      <c r="AH3067" t="s">
        <v>94</v>
      </c>
      <c r="AI3067" s="1">
        <v>44224.49695601852</v>
      </c>
      <c r="AJ3067">
        <v>183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 t="s">
        <v>90</v>
      </c>
      <c r="AU3067" s="1">
        <v>44224.503483796296</v>
      </c>
      <c r="AV3067">
        <v>7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1</v>
      </c>
      <c r="BC3067">
        <v>0</v>
      </c>
      <c r="BD3067">
        <v>0</v>
      </c>
      <c r="BE3067">
        <v>0</v>
      </c>
    </row>
    <row r="3068" spans="1:57" x14ac:dyDescent="0.45">
      <c r="A3068" t="s">
        <v>7242</v>
      </c>
      <c r="B3068" t="s">
        <v>79</v>
      </c>
      <c r="C3068" t="s">
        <v>6530</v>
      </c>
      <c r="D3068" t="s">
        <v>81</v>
      </c>
      <c r="E3068" s="2" t="str">
        <f>HYPERLINK("capsilon://?command=openfolder&amp;siteaddress=FAM.docvelocity-na8.net&amp;folderid=FX2A434F0C-286D-49C4-E4EF-6AA29B301326","FX21019647")</f>
        <v>FX21019647</v>
      </c>
      <c r="F3068" t="s">
        <v>19</v>
      </c>
      <c r="G3068" t="s">
        <v>19</v>
      </c>
      <c r="H3068" t="s">
        <v>82</v>
      </c>
      <c r="I3068" t="s">
        <v>7243</v>
      </c>
      <c r="J3068">
        <v>66</v>
      </c>
      <c r="K3068" t="s">
        <v>84</v>
      </c>
      <c r="L3068" t="s">
        <v>85</v>
      </c>
      <c r="M3068" t="s">
        <v>86</v>
      </c>
      <c r="N3068">
        <v>3</v>
      </c>
      <c r="O3068" s="1">
        <v>44224.494120370371</v>
      </c>
      <c r="P3068" s="1">
        <v>44224.538831018515</v>
      </c>
      <c r="Q3068">
        <v>2784</v>
      </c>
      <c r="R3068">
        <v>1079</v>
      </c>
      <c r="S3068" t="b">
        <v>0</v>
      </c>
      <c r="T3068" t="s">
        <v>87</v>
      </c>
      <c r="U3068" t="b">
        <v>0</v>
      </c>
      <c r="V3068" t="s">
        <v>179</v>
      </c>
      <c r="W3068" s="1">
        <v>44224.503587962965</v>
      </c>
      <c r="X3068">
        <v>817</v>
      </c>
      <c r="Y3068">
        <v>52</v>
      </c>
      <c r="Z3068">
        <v>0</v>
      </c>
      <c r="AA3068">
        <v>52</v>
      </c>
      <c r="AB3068">
        <v>0</v>
      </c>
      <c r="AC3068">
        <v>41</v>
      </c>
      <c r="AD3068">
        <v>14</v>
      </c>
      <c r="AE3068">
        <v>0</v>
      </c>
      <c r="AF3068">
        <v>0</v>
      </c>
      <c r="AG3068">
        <v>0</v>
      </c>
      <c r="AH3068" t="s">
        <v>94</v>
      </c>
      <c r="AI3068" s="1">
        <v>44224.511273148149</v>
      </c>
      <c r="AJ3068">
        <v>231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14</v>
      </c>
      <c r="AQ3068">
        <v>0</v>
      </c>
      <c r="AR3068">
        <v>0</v>
      </c>
      <c r="AS3068">
        <v>0</v>
      </c>
      <c r="AT3068" t="s">
        <v>90</v>
      </c>
      <c r="AU3068" s="1">
        <v>44224.538831018515</v>
      </c>
      <c r="AV3068">
        <v>31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14</v>
      </c>
      <c r="BC3068">
        <v>0</v>
      </c>
      <c r="BD3068">
        <v>0</v>
      </c>
      <c r="BE3068">
        <v>0</v>
      </c>
    </row>
    <row r="3069" spans="1:57" hidden="1" x14ac:dyDescent="0.45">
      <c r="A3069" t="s">
        <v>7244</v>
      </c>
      <c r="B3069" t="s">
        <v>79</v>
      </c>
      <c r="C3069" t="s">
        <v>7245</v>
      </c>
      <c r="D3069" t="s">
        <v>81</v>
      </c>
      <c r="E3069" s="2" t="str">
        <f>HYPERLINK("capsilon://?command=openfolder&amp;siteaddress=FAM.docvelocity-na8.net&amp;folderid=FX61356DE4-AE88-035C-6B42-7B7F98194250","FX2012133")</f>
        <v>FX2012133</v>
      </c>
      <c r="F3069" t="s">
        <v>19</v>
      </c>
      <c r="G3069" t="s">
        <v>19</v>
      </c>
      <c r="H3069" t="s">
        <v>82</v>
      </c>
      <c r="I3069" t="s">
        <v>7246</v>
      </c>
      <c r="J3069">
        <v>31</v>
      </c>
      <c r="K3069" t="s">
        <v>84</v>
      </c>
      <c r="L3069" t="s">
        <v>85</v>
      </c>
      <c r="M3069" t="s">
        <v>86</v>
      </c>
      <c r="N3069">
        <v>1</v>
      </c>
      <c r="O3069" s="1">
        <v>44224.507673611108</v>
      </c>
      <c r="P3069" s="1">
        <v>44224.510370370372</v>
      </c>
      <c r="Q3069">
        <v>16</v>
      </c>
      <c r="R3069">
        <v>217</v>
      </c>
      <c r="S3069" t="b">
        <v>0</v>
      </c>
      <c r="T3069" t="s">
        <v>87</v>
      </c>
      <c r="U3069" t="b">
        <v>0</v>
      </c>
      <c r="V3069" t="s">
        <v>255</v>
      </c>
      <c r="W3069" s="1">
        <v>44224.510370370372</v>
      </c>
      <c r="X3069">
        <v>217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31</v>
      </c>
      <c r="AE3069">
        <v>27</v>
      </c>
      <c r="AF3069">
        <v>0</v>
      </c>
      <c r="AG3069">
        <v>5</v>
      </c>
      <c r="AH3069" t="s">
        <v>87</v>
      </c>
      <c r="AI3069" t="s">
        <v>87</v>
      </c>
      <c r="AJ3069" t="s">
        <v>87</v>
      </c>
      <c r="AK3069" t="s">
        <v>87</v>
      </c>
      <c r="AL3069" t="s">
        <v>87</v>
      </c>
      <c r="AM3069" t="s">
        <v>87</v>
      </c>
      <c r="AN3069" t="s">
        <v>87</v>
      </c>
      <c r="AO3069" t="s">
        <v>87</v>
      </c>
      <c r="AP3069" t="s">
        <v>87</v>
      </c>
      <c r="AQ3069" t="s">
        <v>87</v>
      </c>
      <c r="AR3069" t="s">
        <v>87</v>
      </c>
      <c r="AS3069" t="s">
        <v>87</v>
      </c>
      <c r="AT3069" t="s">
        <v>87</v>
      </c>
      <c r="AU3069" t="s">
        <v>87</v>
      </c>
      <c r="AV3069" t="s">
        <v>87</v>
      </c>
      <c r="AW3069" t="s">
        <v>87</v>
      </c>
      <c r="AX3069" t="s">
        <v>87</v>
      </c>
      <c r="AY3069" t="s">
        <v>87</v>
      </c>
      <c r="AZ3069" t="s">
        <v>87</v>
      </c>
      <c r="BA3069" t="s">
        <v>87</v>
      </c>
      <c r="BB3069" t="s">
        <v>87</v>
      </c>
      <c r="BC3069" t="s">
        <v>87</v>
      </c>
      <c r="BD3069" t="s">
        <v>87</v>
      </c>
      <c r="BE3069" t="s">
        <v>87</v>
      </c>
    </row>
    <row r="3070" spans="1:57" hidden="1" x14ac:dyDescent="0.45">
      <c r="A3070" t="s">
        <v>7247</v>
      </c>
      <c r="B3070" t="s">
        <v>79</v>
      </c>
      <c r="C3070" t="s">
        <v>278</v>
      </c>
      <c r="D3070" t="s">
        <v>81</v>
      </c>
      <c r="E3070" s="2" t="str">
        <f>HYPERLINK("capsilon://?command=openfolder&amp;siteaddress=FAM.docvelocity-na8.net&amp;folderid=FX03419559-4EBF-1E98-3A7C-B73F43662617","FX20119760")</f>
        <v>FX20119760</v>
      </c>
      <c r="F3070" t="s">
        <v>19</v>
      </c>
      <c r="G3070" t="s">
        <v>19</v>
      </c>
      <c r="H3070" t="s">
        <v>82</v>
      </c>
      <c r="I3070" t="s">
        <v>279</v>
      </c>
      <c r="J3070">
        <v>110</v>
      </c>
      <c r="K3070" t="s">
        <v>84</v>
      </c>
      <c r="L3070" t="s">
        <v>85</v>
      </c>
      <c r="M3070" t="s">
        <v>86</v>
      </c>
      <c r="N3070">
        <v>1</v>
      </c>
      <c r="O3070" s="1">
        <v>44201.714363425926</v>
      </c>
      <c r="P3070" s="1">
        <v>44201.748761574076</v>
      </c>
      <c r="Q3070">
        <v>2562</v>
      </c>
      <c r="R3070">
        <v>410</v>
      </c>
      <c r="S3070" t="b">
        <v>0</v>
      </c>
      <c r="T3070" t="s">
        <v>87</v>
      </c>
      <c r="U3070" t="b">
        <v>0</v>
      </c>
      <c r="V3070" t="s">
        <v>266</v>
      </c>
      <c r="W3070" s="1">
        <v>44201.748761574076</v>
      </c>
      <c r="X3070">
        <v>278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110</v>
      </c>
      <c r="AE3070">
        <v>106</v>
      </c>
      <c r="AF3070">
        <v>0</v>
      </c>
      <c r="AG3070">
        <v>6</v>
      </c>
      <c r="AH3070" t="s">
        <v>87</v>
      </c>
      <c r="AI3070" t="s">
        <v>87</v>
      </c>
      <c r="AJ3070" t="s">
        <v>87</v>
      </c>
      <c r="AK3070" t="s">
        <v>87</v>
      </c>
      <c r="AL3070" t="s">
        <v>87</v>
      </c>
      <c r="AM3070" t="s">
        <v>87</v>
      </c>
      <c r="AN3070" t="s">
        <v>87</v>
      </c>
      <c r="AO3070" t="s">
        <v>87</v>
      </c>
      <c r="AP3070" t="s">
        <v>87</v>
      </c>
      <c r="AQ3070" t="s">
        <v>87</v>
      </c>
      <c r="AR3070" t="s">
        <v>87</v>
      </c>
      <c r="AS3070" t="s">
        <v>87</v>
      </c>
      <c r="AT3070" t="s">
        <v>87</v>
      </c>
      <c r="AU3070" t="s">
        <v>87</v>
      </c>
      <c r="AV3070" t="s">
        <v>87</v>
      </c>
      <c r="AW3070" t="s">
        <v>87</v>
      </c>
      <c r="AX3070" t="s">
        <v>87</v>
      </c>
      <c r="AY3070" t="s">
        <v>87</v>
      </c>
      <c r="AZ3070" t="s">
        <v>87</v>
      </c>
      <c r="BA3070" t="s">
        <v>87</v>
      </c>
      <c r="BB3070" t="s">
        <v>87</v>
      </c>
      <c r="BC3070" t="s">
        <v>87</v>
      </c>
      <c r="BD3070" t="s">
        <v>87</v>
      </c>
      <c r="BE3070" t="s">
        <v>87</v>
      </c>
    </row>
    <row r="3071" spans="1:57" x14ac:dyDescent="0.45">
      <c r="A3071" t="s">
        <v>7248</v>
      </c>
      <c r="B3071" t="s">
        <v>79</v>
      </c>
      <c r="C3071" t="s">
        <v>7245</v>
      </c>
      <c r="D3071" t="s">
        <v>81</v>
      </c>
      <c r="E3071" s="2" t="str">
        <f>HYPERLINK("capsilon://?command=openfolder&amp;siteaddress=FAM.docvelocity-na8.net&amp;folderid=FX61356DE4-AE88-035C-6B42-7B7F98194250","FX2012133")</f>
        <v>FX2012133</v>
      </c>
      <c r="F3071" t="s">
        <v>19</v>
      </c>
      <c r="G3071" t="s">
        <v>19</v>
      </c>
      <c r="H3071" t="s">
        <v>82</v>
      </c>
      <c r="I3071" t="s">
        <v>7246</v>
      </c>
      <c r="J3071">
        <v>155</v>
      </c>
      <c r="K3071" t="s">
        <v>84</v>
      </c>
      <c r="L3071" t="s">
        <v>85</v>
      </c>
      <c r="M3071" t="s">
        <v>86</v>
      </c>
      <c r="N3071">
        <v>3</v>
      </c>
      <c r="O3071" s="1">
        <v>44224.51153935185</v>
      </c>
      <c r="P3071" s="1">
        <v>44224.538460648146</v>
      </c>
      <c r="Q3071">
        <v>385</v>
      </c>
      <c r="R3071">
        <v>1941</v>
      </c>
      <c r="S3071" t="b">
        <v>0</v>
      </c>
      <c r="T3071" t="s">
        <v>87</v>
      </c>
      <c r="U3071" t="b">
        <v>1</v>
      </c>
      <c r="V3071" t="s">
        <v>255</v>
      </c>
      <c r="W3071" s="1">
        <v>44224.522905092592</v>
      </c>
      <c r="X3071">
        <v>979</v>
      </c>
      <c r="Y3071">
        <v>305</v>
      </c>
      <c r="Z3071">
        <v>0</v>
      </c>
      <c r="AA3071">
        <v>305</v>
      </c>
      <c r="AB3071">
        <v>0</v>
      </c>
      <c r="AC3071">
        <v>215</v>
      </c>
      <c r="AD3071">
        <v>-150</v>
      </c>
      <c r="AE3071">
        <v>0</v>
      </c>
      <c r="AF3071">
        <v>0</v>
      </c>
      <c r="AG3071">
        <v>0</v>
      </c>
      <c r="AH3071" t="s">
        <v>128</v>
      </c>
      <c r="AI3071" s="1">
        <v>44224.532326388886</v>
      </c>
      <c r="AJ3071">
        <v>806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-150</v>
      </c>
      <c r="AQ3071">
        <v>0</v>
      </c>
      <c r="AR3071">
        <v>0</v>
      </c>
      <c r="AS3071">
        <v>0</v>
      </c>
      <c r="AT3071" t="s">
        <v>90</v>
      </c>
      <c r="AU3071" s="1">
        <v>44224.538460648146</v>
      </c>
      <c r="AV3071">
        <v>156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-150</v>
      </c>
      <c r="BC3071">
        <v>0</v>
      </c>
      <c r="BD3071">
        <v>0</v>
      </c>
      <c r="BE3071">
        <v>0</v>
      </c>
    </row>
    <row r="3072" spans="1:57" x14ac:dyDescent="0.45">
      <c r="A3072" t="s">
        <v>7249</v>
      </c>
      <c r="B3072" t="s">
        <v>79</v>
      </c>
      <c r="C3072" t="s">
        <v>7250</v>
      </c>
      <c r="D3072" t="s">
        <v>81</v>
      </c>
      <c r="E3072" s="2" t="str">
        <f>HYPERLINK("capsilon://?command=openfolder&amp;siteaddress=FAM.docvelocity-na8.net&amp;folderid=FX11C00ED4-FDCC-FC8A-E444-3F3043D11C10","FX201224857")</f>
        <v>FX201224857</v>
      </c>
      <c r="F3072" t="s">
        <v>19</v>
      </c>
      <c r="G3072" t="s">
        <v>19</v>
      </c>
      <c r="H3072" t="s">
        <v>82</v>
      </c>
      <c r="I3072" t="s">
        <v>7251</v>
      </c>
      <c r="J3072">
        <v>90</v>
      </c>
      <c r="K3072" t="s">
        <v>84</v>
      </c>
      <c r="L3072" t="s">
        <v>85</v>
      </c>
      <c r="M3072" t="s">
        <v>86</v>
      </c>
      <c r="N3072">
        <v>3</v>
      </c>
      <c r="O3072" s="1">
        <v>44224.511701388888</v>
      </c>
      <c r="P3072" s="1">
        <v>44224.539166666669</v>
      </c>
      <c r="Q3072">
        <v>1119</v>
      </c>
      <c r="R3072">
        <v>1254</v>
      </c>
      <c r="S3072" t="b">
        <v>0</v>
      </c>
      <c r="T3072" t="s">
        <v>87</v>
      </c>
      <c r="U3072" t="b">
        <v>0</v>
      </c>
      <c r="V3072" t="s">
        <v>343</v>
      </c>
      <c r="W3072" s="1">
        <v>44224.520648148151</v>
      </c>
      <c r="X3072">
        <v>670</v>
      </c>
      <c r="Y3072">
        <v>82</v>
      </c>
      <c r="Z3072">
        <v>0</v>
      </c>
      <c r="AA3072">
        <v>82</v>
      </c>
      <c r="AB3072">
        <v>0</v>
      </c>
      <c r="AC3072">
        <v>14</v>
      </c>
      <c r="AD3072">
        <v>8</v>
      </c>
      <c r="AE3072">
        <v>0</v>
      </c>
      <c r="AF3072">
        <v>0</v>
      </c>
      <c r="AG3072">
        <v>0</v>
      </c>
      <c r="AH3072" t="s">
        <v>89</v>
      </c>
      <c r="AI3072" s="1">
        <v>44224.534178240741</v>
      </c>
      <c r="AJ3072">
        <v>556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8</v>
      </c>
      <c r="AQ3072">
        <v>0</v>
      </c>
      <c r="AR3072">
        <v>0</v>
      </c>
      <c r="AS3072">
        <v>0</v>
      </c>
      <c r="AT3072" t="s">
        <v>90</v>
      </c>
      <c r="AU3072" s="1">
        <v>44224.539166666669</v>
      </c>
      <c r="AV3072">
        <v>28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8</v>
      </c>
      <c r="BC3072">
        <v>0</v>
      </c>
      <c r="BD3072">
        <v>0</v>
      </c>
      <c r="BE3072">
        <v>0</v>
      </c>
    </row>
    <row r="3073" spans="1:57" x14ac:dyDescent="0.45">
      <c r="A3073" t="s">
        <v>7252</v>
      </c>
      <c r="B3073" t="s">
        <v>79</v>
      </c>
      <c r="C3073" t="s">
        <v>7253</v>
      </c>
      <c r="D3073" t="s">
        <v>81</v>
      </c>
      <c r="E3073" s="2" t="str">
        <f>HYPERLINK("capsilon://?command=openfolder&amp;siteaddress=FAM.docvelocity-na8.net&amp;folderid=FX7120C761-BE83-82E9-D298-F7D19D4DD79C","FX210117593")</f>
        <v>FX210117593</v>
      </c>
      <c r="F3073" t="s">
        <v>19</v>
      </c>
      <c r="G3073" t="s">
        <v>19</v>
      </c>
      <c r="H3073" t="s">
        <v>82</v>
      </c>
      <c r="I3073" t="s">
        <v>7254</v>
      </c>
      <c r="J3073">
        <v>273</v>
      </c>
      <c r="K3073" t="s">
        <v>84</v>
      </c>
      <c r="L3073" t="s">
        <v>85</v>
      </c>
      <c r="M3073" t="s">
        <v>86</v>
      </c>
      <c r="N3073">
        <v>3</v>
      </c>
      <c r="O3073" s="1">
        <v>44224.513182870367</v>
      </c>
      <c r="P3073" s="1">
        <v>44224.607453703706</v>
      </c>
      <c r="Q3073">
        <v>5891</v>
      </c>
      <c r="R3073">
        <v>2254</v>
      </c>
      <c r="S3073" t="b">
        <v>0</v>
      </c>
      <c r="T3073" t="s">
        <v>87</v>
      </c>
      <c r="U3073" t="b">
        <v>0</v>
      </c>
      <c r="V3073" t="s">
        <v>259</v>
      </c>
      <c r="W3073" s="1">
        <v>44224.534039351849</v>
      </c>
      <c r="X3073">
        <v>1460</v>
      </c>
      <c r="Y3073">
        <v>201</v>
      </c>
      <c r="Z3073">
        <v>0</v>
      </c>
      <c r="AA3073">
        <v>201</v>
      </c>
      <c r="AB3073">
        <v>74</v>
      </c>
      <c r="AC3073">
        <v>97</v>
      </c>
      <c r="AD3073">
        <v>72</v>
      </c>
      <c r="AE3073">
        <v>0</v>
      </c>
      <c r="AF3073">
        <v>0</v>
      </c>
      <c r="AG3073">
        <v>0</v>
      </c>
      <c r="AH3073" t="s">
        <v>132</v>
      </c>
      <c r="AI3073" s="1">
        <v>44224.540682870371</v>
      </c>
      <c r="AJ3073">
        <v>539</v>
      </c>
      <c r="AK3073">
        <v>0</v>
      </c>
      <c r="AL3073">
        <v>0</v>
      </c>
      <c r="AM3073">
        <v>0</v>
      </c>
      <c r="AN3073">
        <v>74</v>
      </c>
      <c r="AO3073">
        <v>0</v>
      </c>
      <c r="AP3073">
        <v>72</v>
      </c>
      <c r="AQ3073">
        <v>0</v>
      </c>
      <c r="AR3073">
        <v>0</v>
      </c>
      <c r="AS3073">
        <v>0</v>
      </c>
      <c r="AT3073" t="s">
        <v>90</v>
      </c>
      <c r="AU3073" s="1">
        <v>44224.607453703706</v>
      </c>
      <c r="AV3073">
        <v>152</v>
      </c>
      <c r="AW3073">
        <v>0</v>
      </c>
      <c r="AX3073">
        <v>0</v>
      </c>
      <c r="AY3073">
        <v>0</v>
      </c>
      <c r="AZ3073">
        <v>74</v>
      </c>
      <c r="BA3073">
        <v>0</v>
      </c>
      <c r="BB3073">
        <v>72</v>
      </c>
      <c r="BC3073">
        <v>0</v>
      </c>
      <c r="BD3073">
        <v>0</v>
      </c>
      <c r="BE3073">
        <v>0</v>
      </c>
    </row>
    <row r="3074" spans="1:57" hidden="1" x14ac:dyDescent="0.45">
      <c r="A3074" t="s">
        <v>7255</v>
      </c>
      <c r="B3074" t="s">
        <v>79</v>
      </c>
      <c r="C3074" t="s">
        <v>3341</v>
      </c>
      <c r="D3074" t="s">
        <v>81</v>
      </c>
      <c r="E3074" s="2" t="str">
        <f>HYPERLINK("capsilon://?command=openfolder&amp;siteaddress=FAM.docvelocity-na8.net&amp;folderid=FXE3496635-A227-C0F3-17E9-70A673E7B2AA","FX20124858")</f>
        <v>FX20124858</v>
      </c>
      <c r="F3074" t="s">
        <v>19</v>
      </c>
      <c r="G3074" t="s">
        <v>19</v>
      </c>
      <c r="H3074" t="s">
        <v>82</v>
      </c>
      <c r="I3074" t="s">
        <v>7256</v>
      </c>
      <c r="J3074">
        <v>66</v>
      </c>
      <c r="K3074" t="s">
        <v>84</v>
      </c>
      <c r="L3074" t="s">
        <v>85</v>
      </c>
      <c r="M3074" t="s">
        <v>86</v>
      </c>
      <c r="N3074">
        <v>3</v>
      </c>
      <c r="O3074" s="1">
        <v>44224.513298611113</v>
      </c>
      <c r="P3074" s="1">
        <v>44224.539259259262</v>
      </c>
      <c r="Q3074">
        <v>2183</v>
      </c>
      <c r="R3074">
        <v>60</v>
      </c>
      <c r="S3074" t="b">
        <v>0</v>
      </c>
      <c r="T3074" t="s">
        <v>87</v>
      </c>
      <c r="U3074" t="b">
        <v>0</v>
      </c>
      <c r="V3074" t="s">
        <v>171</v>
      </c>
      <c r="W3074" s="1">
        <v>44224.519108796296</v>
      </c>
      <c r="X3074">
        <v>42</v>
      </c>
      <c r="Y3074">
        <v>0</v>
      </c>
      <c r="Z3074">
        <v>0</v>
      </c>
      <c r="AA3074">
        <v>0</v>
      </c>
      <c r="AB3074">
        <v>52</v>
      </c>
      <c r="AC3074">
        <v>0</v>
      </c>
      <c r="AD3074">
        <v>66</v>
      </c>
      <c r="AE3074">
        <v>0</v>
      </c>
      <c r="AF3074">
        <v>0</v>
      </c>
      <c r="AG3074">
        <v>0</v>
      </c>
      <c r="AH3074" t="s">
        <v>132</v>
      </c>
      <c r="AI3074" s="1">
        <v>44224.529513888891</v>
      </c>
      <c r="AJ3074">
        <v>11</v>
      </c>
      <c r="AK3074">
        <v>0</v>
      </c>
      <c r="AL3074">
        <v>0</v>
      </c>
      <c r="AM3074">
        <v>0</v>
      </c>
      <c r="AN3074">
        <v>52</v>
      </c>
      <c r="AO3074">
        <v>0</v>
      </c>
      <c r="AP3074">
        <v>66</v>
      </c>
      <c r="AQ3074">
        <v>0</v>
      </c>
      <c r="AR3074">
        <v>0</v>
      </c>
      <c r="AS3074">
        <v>0</v>
      </c>
      <c r="AT3074" t="s">
        <v>90</v>
      </c>
      <c r="AU3074" s="1">
        <v>44224.539259259262</v>
      </c>
      <c r="AV3074">
        <v>7</v>
      </c>
      <c r="AW3074">
        <v>0</v>
      </c>
      <c r="AX3074">
        <v>0</v>
      </c>
      <c r="AY3074">
        <v>0</v>
      </c>
      <c r="AZ3074">
        <v>52</v>
      </c>
      <c r="BA3074">
        <v>0</v>
      </c>
      <c r="BB3074">
        <v>66</v>
      </c>
      <c r="BC3074">
        <v>0</v>
      </c>
      <c r="BD3074">
        <v>0</v>
      </c>
      <c r="BE3074">
        <v>0</v>
      </c>
    </row>
    <row r="3075" spans="1:57" x14ac:dyDescent="0.45">
      <c r="A3075" t="s">
        <v>7257</v>
      </c>
      <c r="B3075" t="s">
        <v>79</v>
      </c>
      <c r="C3075" t="s">
        <v>7043</v>
      </c>
      <c r="D3075" t="s">
        <v>81</v>
      </c>
      <c r="E3075" s="2" t="str">
        <f>HYPERLINK("capsilon://?command=openfolder&amp;siteaddress=FAM.docvelocity-na8.net&amp;folderid=FX4B9A1D57-11DE-4E32-82D0-C8FF672A2F6A","FX210115309")</f>
        <v>FX210115309</v>
      </c>
      <c r="F3075" t="s">
        <v>19</v>
      </c>
      <c r="G3075" t="s">
        <v>19</v>
      </c>
      <c r="H3075" t="s">
        <v>82</v>
      </c>
      <c r="I3075" t="s">
        <v>7258</v>
      </c>
      <c r="J3075">
        <v>66</v>
      </c>
      <c r="K3075" t="s">
        <v>84</v>
      </c>
      <c r="L3075" t="s">
        <v>85</v>
      </c>
      <c r="M3075" t="s">
        <v>86</v>
      </c>
      <c r="N3075">
        <v>3</v>
      </c>
      <c r="O3075" s="1">
        <v>44224.51458333333</v>
      </c>
      <c r="P3075" s="1">
        <v>44224.539814814816</v>
      </c>
      <c r="Q3075">
        <v>1553</v>
      </c>
      <c r="R3075">
        <v>627</v>
      </c>
      <c r="S3075" t="b">
        <v>0</v>
      </c>
      <c r="T3075" t="s">
        <v>87</v>
      </c>
      <c r="U3075" t="b">
        <v>0</v>
      </c>
      <c r="V3075" t="s">
        <v>168</v>
      </c>
      <c r="W3075" s="1">
        <v>44224.524386574078</v>
      </c>
      <c r="X3075">
        <v>497</v>
      </c>
      <c r="Y3075">
        <v>52</v>
      </c>
      <c r="Z3075">
        <v>0</v>
      </c>
      <c r="AA3075">
        <v>52</v>
      </c>
      <c r="AB3075">
        <v>0</v>
      </c>
      <c r="AC3075">
        <v>27</v>
      </c>
      <c r="AD3075">
        <v>14</v>
      </c>
      <c r="AE3075">
        <v>0</v>
      </c>
      <c r="AF3075">
        <v>0</v>
      </c>
      <c r="AG3075">
        <v>0</v>
      </c>
      <c r="AH3075" t="s">
        <v>132</v>
      </c>
      <c r="AI3075" s="1">
        <v>44224.530486111114</v>
      </c>
      <c r="AJ3075">
        <v>83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14</v>
      </c>
      <c r="AQ3075">
        <v>0</v>
      </c>
      <c r="AR3075">
        <v>0</v>
      </c>
      <c r="AS3075">
        <v>0</v>
      </c>
      <c r="AT3075" t="s">
        <v>90</v>
      </c>
      <c r="AU3075" s="1">
        <v>44224.539814814816</v>
      </c>
      <c r="AV3075">
        <v>47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14</v>
      </c>
      <c r="BC3075">
        <v>0</v>
      </c>
      <c r="BD3075">
        <v>0</v>
      </c>
      <c r="BE3075">
        <v>0</v>
      </c>
    </row>
    <row r="3076" spans="1:57" x14ac:dyDescent="0.45">
      <c r="A3076" t="s">
        <v>7259</v>
      </c>
      <c r="B3076" t="s">
        <v>79</v>
      </c>
      <c r="C3076" t="s">
        <v>3512</v>
      </c>
      <c r="D3076" t="s">
        <v>81</v>
      </c>
      <c r="E3076" s="2" t="str">
        <f>HYPERLINK("capsilon://?command=openfolder&amp;siteaddress=FAM.docvelocity-na8.net&amp;folderid=FXD523401E-A7A5-67EB-7DB2-07AD832A53FD","FX21015552")</f>
        <v>FX21015552</v>
      </c>
      <c r="F3076" t="s">
        <v>19</v>
      </c>
      <c r="G3076" t="s">
        <v>19</v>
      </c>
      <c r="H3076" t="s">
        <v>82</v>
      </c>
      <c r="I3076" t="s">
        <v>7260</v>
      </c>
      <c r="J3076">
        <v>66</v>
      </c>
      <c r="K3076" t="s">
        <v>84</v>
      </c>
      <c r="L3076" t="s">
        <v>85</v>
      </c>
      <c r="M3076" t="s">
        <v>86</v>
      </c>
      <c r="N3076">
        <v>3</v>
      </c>
      <c r="O3076" s="1">
        <v>44224.516412037039</v>
      </c>
      <c r="P3076" s="1">
        <v>44224.540254629632</v>
      </c>
      <c r="Q3076">
        <v>934</v>
      </c>
      <c r="R3076">
        <v>1126</v>
      </c>
      <c r="S3076" t="b">
        <v>0</v>
      </c>
      <c r="T3076" t="s">
        <v>87</v>
      </c>
      <c r="U3076" t="b">
        <v>0</v>
      </c>
      <c r="V3076" t="s">
        <v>160</v>
      </c>
      <c r="W3076" s="1">
        <v>44224.53025462963</v>
      </c>
      <c r="X3076">
        <v>995</v>
      </c>
      <c r="Y3076">
        <v>52</v>
      </c>
      <c r="Z3076">
        <v>0</v>
      </c>
      <c r="AA3076">
        <v>52</v>
      </c>
      <c r="AB3076">
        <v>0</v>
      </c>
      <c r="AC3076">
        <v>36</v>
      </c>
      <c r="AD3076">
        <v>14</v>
      </c>
      <c r="AE3076">
        <v>0</v>
      </c>
      <c r="AF3076">
        <v>0</v>
      </c>
      <c r="AG3076">
        <v>0</v>
      </c>
      <c r="AH3076" t="s">
        <v>132</v>
      </c>
      <c r="AI3076" s="1">
        <v>44224.531574074077</v>
      </c>
      <c r="AJ3076">
        <v>94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14</v>
      </c>
      <c r="AQ3076">
        <v>0</v>
      </c>
      <c r="AR3076">
        <v>0</v>
      </c>
      <c r="AS3076">
        <v>0</v>
      </c>
      <c r="AT3076" t="s">
        <v>90</v>
      </c>
      <c r="AU3076" s="1">
        <v>44224.540254629632</v>
      </c>
      <c r="AV3076">
        <v>37</v>
      </c>
      <c r="AW3076">
        <v>1</v>
      </c>
      <c r="AX3076">
        <v>0</v>
      </c>
      <c r="AY3076">
        <v>1</v>
      </c>
      <c r="AZ3076">
        <v>0</v>
      </c>
      <c r="BA3076">
        <v>1</v>
      </c>
      <c r="BB3076">
        <v>13</v>
      </c>
      <c r="BC3076">
        <v>0</v>
      </c>
      <c r="BD3076">
        <v>0</v>
      </c>
      <c r="BE3076">
        <v>0</v>
      </c>
    </row>
    <row r="3077" spans="1:57" x14ac:dyDescent="0.45">
      <c r="A3077" t="s">
        <v>7261</v>
      </c>
      <c r="B3077" t="s">
        <v>79</v>
      </c>
      <c r="C3077" t="s">
        <v>7155</v>
      </c>
      <c r="D3077" t="s">
        <v>81</v>
      </c>
      <c r="E3077" s="2" t="str">
        <f>HYPERLINK("capsilon://?command=openfolder&amp;siteaddress=FAM.docvelocity-na8.net&amp;folderid=FX2F0087F5-7B5D-133F-EEAB-9C82C752B7F1","FX210116927")</f>
        <v>FX210116927</v>
      </c>
      <c r="F3077" t="s">
        <v>19</v>
      </c>
      <c r="G3077" t="s">
        <v>19</v>
      </c>
      <c r="H3077" t="s">
        <v>82</v>
      </c>
      <c r="I3077" t="s">
        <v>7262</v>
      </c>
      <c r="J3077">
        <v>26</v>
      </c>
      <c r="K3077" t="s">
        <v>84</v>
      </c>
      <c r="L3077" t="s">
        <v>85</v>
      </c>
      <c r="M3077" t="s">
        <v>86</v>
      </c>
      <c r="N3077">
        <v>3</v>
      </c>
      <c r="O3077" s="1">
        <v>44224.519907407404</v>
      </c>
      <c r="P3077" s="1">
        <v>44224.540335648147</v>
      </c>
      <c r="Q3077">
        <v>1145</v>
      </c>
      <c r="R3077">
        <v>620</v>
      </c>
      <c r="S3077" t="b">
        <v>0</v>
      </c>
      <c r="T3077" t="s">
        <v>87</v>
      </c>
      <c r="U3077" t="b">
        <v>0</v>
      </c>
      <c r="V3077" t="s">
        <v>146</v>
      </c>
      <c r="W3077" s="1">
        <v>44224.526273148149</v>
      </c>
      <c r="X3077">
        <v>549</v>
      </c>
      <c r="Y3077">
        <v>21</v>
      </c>
      <c r="Z3077">
        <v>0</v>
      </c>
      <c r="AA3077">
        <v>21</v>
      </c>
      <c r="AB3077">
        <v>0</v>
      </c>
      <c r="AC3077">
        <v>20</v>
      </c>
      <c r="AD3077">
        <v>5</v>
      </c>
      <c r="AE3077">
        <v>0</v>
      </c>
      <c r="AF3077">
        <v>0</v>
      </c>
      <c r="AG3077">
        <v>0</v>
      </c>
      <c r="AH3077" t="s">
        <v>132</v>
      </c>
      <c r="AI3077" s="1">
        <v>44224.532326388886</v>
      </c>
      <c r="AJ3077">
        <v>65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5</v>
      </c>
      <c r="AQ3077">
        <v>0</v>
      </c>
      <c r="AR3077">
        <v>0</v>
      </c>
      <c r="AS3077">
        <v>0</v>
      </c>
      <c r="AT3077" t="s">
        <v>90</v>
      </c>
      <c r="AU3077" s="1">
        <v>44224.540335648147</v>
      </c>
      <c r="AV3077">
        <v>6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5</v>
      </c>
      <c r="BC3077">
        <v>0</v>
      </c>
      <c r="BD3077">
        <v>0</v>
      </c>
      <c r="BE3077">
        <v>0</v>
      </c>
    </row>
    <row r="3078" spans="1:57" x14ac:dyDescent="0.45">
      <c r="A3078" t="s">
        <v>7263</v>
      </c>
      <c r="B3078" t="s">
        <v>79</v>
      </c>
      <c r="C3078" t="s">
        <v>7155</v>
      </c>
      <c r="D3078" t="s">
        <v>81</v>
      </c>
      <c r="E3078" s="2" t="str">
        <f>HYPERLINK("capsilon://?command=openfolder&amp;siteaddress=FAM.docvelocity-na8.net&amp;folderid=FX2F0087F5-7B5D-133F-EEAB-9C82C752B7F1","FX210116927")</f>
        <v>FX210116927</v>
      </c>
      <c r="F3078" t="s">
        <v>19</v>
      </c>
      <c r="G3078" t="s">
        <v>19</v>
      </c>
      <c r="H3078" t="s">
        <v>82</v>
      </c>
      <c r="I3078" t="s">
        <v>7264</v>
      </c>
      <c r="J3078">
        <v>26</v>
      </c>
      <c r="K3078" t="s">
        <v>84</v>
      </c>
      <c r="L3078" t="s">
        <v>85</v>
      </c>
      <c r="M3078" t="s">
        <v>86</v>
      </c>
      <c r="N3078">
        <v>3</v>
      </c>
      <c r="O3078" s="1">
        <v>44224.520266203705</v>
      </c>
      <c r="P3078" s="1">
        <v>44224.540416666663</v>
      </c>
      <c r="Q3078">
        <v>1250</v>
      </c>
      <c r="R3078">
        <v>491</v>
      </c>
      <c r="S3078" t="b">
        <v>0</v>
      </c>
      <c r="T3078" t="s">
        <v>87</v>
      </c>
      <c r="U3078" t="b">
        <v>0</v>
      </c>
      <c r="V3078" t="s">
        <v>171</v>
      </c>
      <c r="W3078" s="1">
        <v>44224.525092592594</v>
      </c>
      <c r="X3078">
        <v>416</v>
      </c>
      <c r="Y3078">
        <v>21</v>
      </c>
      <c r="Z3078">
        <v>0</v>
      </c>
      <c r="AA3078">
        <v>21</v>
      </c>
      <c r="AB3078">
        <v>0</v>
      </c>
      <c r="AC3078">
        <v>2</v>
      </c>
      <c r="AD3078">
        <v>5</v>
      </c>
      <c r="AE3078">
        <v>0</v>
      </c>
      <c r="AF3078">
        <v>0</v>
      </c>
      <c r="AG3078">
        <v>0</v>
      </c>
      <c r="AH3078" t="s">
        <v>132</v>
      </c>
      <c r="AI3078" s="1">
        <v>44224.533125000002</v>
      </c>
      <c r="AJ3078">
        <v>68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5</v>
      </c>
      <c r="AQ3078">
        <v>0</v>
      </c>
      <c r="AR3078">
        <v>0</v>
      </c>
      <c r="AS3078">
        <v>0</v>
      </c>
      <c r="AT3078" t="s">
        <v>90</v>
      </c>
      <c r="AU3078" s="1">
        <v>44224.540416666663</v>
      </c>
      <c r="AV3078">
        <v>7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5</v>
      </c>
      <c r="BC3078">
        <v>0</v>
      </c>
      <c r="BD3078">
        <v>0</v>
      </c>
      <c r="BE3078">
        <v>0</v>
      </c>
    </row>
    <row r="3079" spans="1:57" x14ac:dyDescent="0.45">
      <c r="A3079" t="s">
        <v>7265</v>
      </c>
      <c r="B3079" t="s">
        <v>79</v>
      </c>
      <c r="C3079" t="s">
        <v>7155</v>
      </c>
      <c r="D3079" t="s">
        <v>81</v>
      </c>
      <c r="E3079" s="2" t="str">
        <f>HYPERLINK("capsilon://?command=openfolder&amp;siteaddress=FAM.docvelocity-na8.net&amp;folderid=FX2F0087F5-7B5D-133F-EEAB-9C82C752B7F1","FX210116927")</f>
        <v>FX210116927</v>
      </c>
      <c r="F3079" t="s">
        <v>19</v>
      </c>
      <c r="G3079" t="s">
        <v>19</v>
      </c>
      <c r="H3079" t="s">
        <v>82</v>
      </c>
      <c r="I3079" t="s">
        <v>7266</v>
      </c>
      <c r="J3079">
        <v>81</v>
      </c>
      <c r="K3079" t="s">
        <v>84</v>
      </c>
      <c r="L3079" t="s">
        <v>85</v>
      </c>
      <c r="M3079" t="s">
        <v>86</v>
      </c>
      <c r="N3079">
        <v>3</v>
      </c>
      <c r="O3079" s="1">
        <v>44224.520868055559</v>
      </c>
      <c r="P3079" s="1">
        <v>44224.605613425927</v>
      </c>
      <c r="Q3079">
        <v>817</v>
      </c>
      <c r="R3079">
        <v>6505</v>
      </c>
      <c r="S3079" t="b">
        <v>0</v>
      </c>
      <c r="T3079" t="s">
        <v>87</v>
      </c>
      <c r="U3079" t="b">
        <v>0</v>
      </c>
      <c r="V3079" t="s">
        <v>343</v>
      </c>
      <c r="W3079" s="1">
        <v>44224.528935185182</v>
      </c>
      <c r="X3079">
        <v>689</v>
      </c>
      <c r="Y3079">
        <v>77</v>
      </c>
      <c r="Z3079">
        <v>0</v>
      </c>
      <c r="AA3079">
        <v>77</v>
      </c>
      <c r="AB3079">
        <v>0</v>
      </c>
      <c r="AC3079">
        <v>33</v>
      </c>
      <c r="AD3079">
        <v>4</v>
      </c>
      <c r="AE3079">
        <v>0</v>
      </c>
      <c r="AF3079">
        <v>0</v>
      </c>
      <c r="AG3079">
        <v>0</v>
      </c>
      <c r="AH3079" t="s">
        <v>128</v>
      </c>
      <c r="AI3079" s="1">
        <v>44224.534467592595</v>
      </c>
      <c r="AJ3079">
        <v>184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4</v>
      </c>
      <c r="AQ3079">
        <v>0</v>
      </c>
      <c r="AR3079">
        <v>0</v>
      </c>
      <c r="AS3079">
        <v>0</v>
      </c>
      <c r="AT3079" t="s">
        <v>90</v>
      </c>
      <c r="AU3079" s="1">
        <v>44224.605613425927</v>
      </c>
      <c r="AV3079">
        <v>5632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4</v>
      </c>
      <c r="BC3079">
        <v>0</v>
      </c>
      <c r="BD3079">
        <v>0</v>
      </c>
      <c r="BE3079">
        <v>0</v>
      </c>
    </row>
    <row r="3080" spans="1:57" x14ac:dyDescent="0.45">
      <c r="A3080" t="s">
        <v>7267</v>
      </c>
      <c r="B3080" t="s">
        <v>79</v>
      </c>
      <c r="C3080" t="s">
        <v>6052</v>
      </c>
      <c r="D3080" t="s">
        <v>81</v>
      </c>
      <c r="E3080" s="2" t="str">
        <f>HYPERLINK("capsilon://?command=openfolder&amp;siteaddress=FAM.docvelocity-na8.net&amp;folderid=FX47799D29-E685-EED1-702D-770309E9668C","FX20111146")</f>
        <v>FX20111146</v>
      </c>
      <c r="F3080" t="s">
        <v>19</v>
      </c>
      <c r="G3080" t="s">
        <v>19</v>
      </c>
      <c r="H3080" t="s">
        <v>82</v>
      </c>
      <c r="I3080" t="s">
        <v>7268</v>
      </c>
      <c r="J3080">
        <v>66</v>
      </c>
      <c r="K3080" t="s">
        <v>84</v>
      </c>
      <c r="L3080" t="s">
        <v>85</v>
      </c>
      <c r="M3080" t="s">
        <v>86</v>
      </c>
      <c r="N3080">
        <v>3</v>
      </c>
      <c r="O3080" s="1">
        <v>44201.715671296297</v>
      </c>
      <c r="P3080" s="1">
        <v>44202.366087962961</v>
      </c>
      <c r="Q3080">
        <v>54927</v>
      </c>
      <c r="R3080">
        <v>1269</v>
      </c>
      <c r="S3080" t="b">
        <v>0</v>
      </c>
      <c r="T3080" t="s">
        <v>87</v>
      </c>
      <c r="U3080" t="b">
        <v>0</v>
      </c>
      <c r="V3080" t="s">
        <v>343</v>
      </c>
      <c r="W3080" s="1">
        <v>44201.757685185185</v>
      </c>
      <c r="X3080">
        <v>979</v>
      </c>
      <c r="Y3080">
        <v>52</v>
      </c>
      <c r="Z3080">
        <v>0</v>
      </c>
      <c r="AA3080">
        <v>52</v>
      </c>
      <c r="AB3080">
        <v>0</v>
      </c>
      <c r="AC3080">
        <v>41</v>
      </c>
      <c r="AD3080">
        <v>14</v>
      </c>
      <c r="AE3080">
        <v>0</v>
      </c>
      <c r="AF3080">
        <v>0</v>
      </c>
      <c r="AG3080">
        <v>0</v>
      </c>
      <c r="AH3080" t="s">
        <v>267</v>
      </c>
      <c r="AI3080" s="1">
        <v>44201.760694444441</v>
      </c>
      <c r="AJ3080">
        <v>156</v>
      </c>
      <c r="AK3080">
        <v>3</v>
      </c>
      <c r="AL3080">
        <v>0</v>
      </c>
      <c r="AM3080">
        <v>3</v>
      </c>
      <c r="AN3080">
        <v>0</v>
      </c>
      <c r="AO3080">
        <v>2</v>
      </c>
      <c r="AP3080">
        <v>11</v>
      </c>
      <c r="AQ3080">
        <v>0</v>
      </c>
      <c r="AR3080">
        <v>0</v>
      </c>
      <c r="AS3080">
        <v>0</v>
      </c>
      <c r="AT3080" t="s">
        <v>90</v>
      </c>
      <c r="AU3080" s="1">
        <v>44202.366087962961</v>
      </c>
      <c r="AV3080">
        <v>134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11</v>
      </c>
      <c r="BC3080">
        <v>0</v>
      </c>
      <c r="BD3080">
        <v>0</v>
      </c>
      <c r="BE3080">
        <v>0</v>
      </c>
    </row>
    <row r="3081" spans="1:57" x14ac:dyDescent="0.45">
      <c r="A3081" t="s">
        <v>7269</v>
      </c>
      <c r="B3081" t="s">
        <v>79</v>
      </c>
      <c r="C3081" t="s">
        <v>7270</v>
      </c>
      <c r="D3081" t="s">
        <v>81</v>
      </c>
      <c r="E3081" s="2" t="str">
        <f>HYPERLINK("capsilon://?command=openfolder&amp;siteaddress=FAM.docvelocity-na8.net&amp;folderid=FX61071F75-7713-CD35-8AAD-A431E9D537BE","FX210118231")</f>
        <v>FX210118231</v>
      </c>
      <c r="F3081" t="s">
        <v>19</v>
      </c>
      <c r="G3081" t="s">
        <v>19</v>
      </c>
      <c r="H3081" t="s">
        <v>82</v>
      </c>
      <c r="I3081" t="s">
        <v>7271</v>
      </c>
      <c r="J3081">
        <v>363</v>
      </c>
      <c r="K3081" t="s">
        <v>84</v>
      </c>
      <c r="L3081" t="s">
        <v>85</v>
      </c>
      <c r="M3081" t="s">
        <v>86</v>
      </c>
      <c r="N3081">
        <v>3</v>
      </c>
      <c r="O3081" s="1">
        <v>44224.528564814813</v>
      </c>
      <c r="P3081" s="1">
        <v>44224.608124999999</v>
      </c>
      <c r="Q3081">
        <v>2994</v>
      </c>
      <c r="R3081">
        <v>3880</v>
      </c>
      <c r="S3081" t="b">
        <v>0</v>
      </c>
      <c r="T3081" t="s">
        <v>87</v>
      </c>
      <c r="U3081" t="b">
        <v>0</v>
      </c>
      <c r="V3081" t="s">
        <v>255</v>
      </c>
      <c r="W3081" s="1">
        <v>44224.563981481479</v>
      </c>
      <c r="X3081">
        <v>3036</v>
      </c>
      <c r="Y3081">
        <v>331</v>
      </c>
      <c r="Z3081">
        <v>0</v>
      </c>
      <c r="AA3081">
        <v>331</v>
      </c>
      <c r="AB3081">
        <v>0</v>
      </c>
      <c r="AC3081">
        <v>265</v>
      </c>
      <c r="AD3081">
        <v>32</v>
      </c>
      <c r="AE3081">
        <v>0</v>
      </c>
      <c r="AF3081">
        <v>0</v>
      </c>
      <c r="AG3081">
        <v>0</v>
      </c>
      <c r="AH3081" t="s">
        <v>132</v>
      </c>
      <c r="AI3081" s="1">
        <v>44224.573287037034</v>
      </c>
      <c r="AJ3081">
        <v>786</v>
      </c>
      <c r="AK3081">
        <v>5</v>
      </c>
      <c r="AL3081">
        <v>0</v>
      </c>
      <c r="AM3081">
        <v>5</v>
      </c>
      <c r="AN3081">
        <v>0</v>
      </c>
      <c r="AO3081">
        <v>4</v>
      </c>
      <c r="AP3081">
        <v>27</v>
      </c>
      <c r="AQ3081">
        <v>0</v>
      </c>
      <c r="AR3081">
        <v>0</v>
      </c>
      <c r="AS3081">
        <v>0</v>
      </c>
      <c r="AT3081" t="s">
        <v>90</v>
      </c>
      <c r="AU3081" s="1">
        <v>44224.608124999999</v>
      </c>
      <c r="AV3081">
        <v>58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27</v>
      </c>
      <c r="BC3081">
        <v>0</v>
      </c>
      <c r="BD3081">
        <v>0</v>
      </c>
      <c r="BE3081">
        <v>0</v>
      </c>
    </row>
    <row r="3082" spans="1:57" x14ac:dyDescent="0.45">
      <c r="A3082" t="s">
        <v>7272</v>
      </c>
      <c r="B3082" t="s">
        <v>79</v>
      </c>
      <c r="C3082" t="s">
        <v>6604</v>
      </c>
      <c r="D3082" t="s">
        <v>81</v>
      </c>
      <c r="E3082" s="2" t="str">
        <f>HYPERLINK("capsilon://?command=openfolder&amp;siteaddress=FAM.docvelocity-na8.net&amp;folderid=FX9F98C70E-9A48-E0BB-FD3D-057D83781803","FX210115621")</f>
        <v>FX210115621</v>
      </c>
      <c r="F3082" t="s">
        <v>19</v>
      </c>
      <c r="G3082" t="s">
        <v>19</v>
      </c>
      <c r="H3082" t="s">
        <v>82</v>
      </c>
      <c r="I3082" t="s">
        <v>7273</v>
      </c>
      <c r="J3082">
        <v>66</v>
      </c>
      <c r="K3082" t="s">
        <v>84</v>
      </c>
      <c r="L3082" t="s">
        <v>85</v>
      </c>
      <c r="M3082" t="s">
        <v>86</v>
      </c>
      <c r="N3082">
        <v>3</v>
      </c>
      <c r="O3082" s="1">
        <v>44224.52915509259</v>
      </c>
      <c r="P3082" s="1">
        <v>44224.608425925922</v>
      </c>
      <c r="Q3082">
        <v>6110</v>
      </c>
      <c r="R3082">
        <v>739</v>
      </c>
      <c r="S3082" t="b">
        <v>0</v>
      </c>
      <c r="T3082" t="s">
        <v>87</v>
      </c>
      <c r="U3082" t="b">
        <v>0</v>
      </c>
      <c r="V3082" t="s">
        <v>343</v>
      </c>
      <c r="W3082" s="1">
        <v>44224.534432870372</v>
      </c>
      <c r="X3082">
        <v>452</v>
      </c>
      <c r="Y3082">
        <v>52</v>
      </c>
      <c r="Z3082">
        <v>0</v>
      </c>
      <c r="AA3082">
        <v>52</v>
      </c>
      <c r="AB3082">
        <v>0</v>
      </c>
      <c r="AC3082">
        <v>34</v>
      </c>
      <c r="AD3082">
        <v>14</v>
      </c>
      <c r="AE3082">
        <v>0</v>
      </c>
      <c r="AF3082">
        <v>0</v>
      </c>
      <c r="AG3082">
        <v>0</v>
      </c>
      <c r="AH3082" t="s">
        <v>128</v>
      </c>
      <c r="AI3082" s="1">
        <v>44224.537511574075</v>
      </c>
      <c r="AJ3082">
        <v>262</v>
      </c>
      <c r="AK3082">
        <v>1</v>
      </c>
      <c r="AL3082">
        <v>0</v>
      </c>
      <c r="AM3082">
        <v>1</v>
      </c>
      <c r="AN3082">
        <v>0</v>
      </c>
      <c r="AO3082">
        <v>1</v>
      </c>
      <c r="AP3082">
        <v>13</v>
      </c>
      <c r="AQ3082">
        <v>0</v>
      </c>
      <c r="AR3082">
        <v>0</v>
      </c>
      <c r="AS3082">
        <v>0</v>
      </c>
      <c r="AT3082" t="s">
        <v>90</v>
      </c>
      <c r="AU3082" s="1">
        <v>44224.608425925922</v>
      </c>
      <c r="AV3082">
        <v>25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13</v>
      </c>
      <c r="BC3082">
        <v>0</v>
      </c>
      <c r="BD3082">
        <v>0</v>
      </c>
      <c r="BE3082">
        <v>0</v>
      </c>
    </row>
    <row r="3083" spans="1:57" hidden="1" x14ac:dyDescent="0.45">
      <c r="A3083" t="s">
        <v>7274</v>
      </c>
      <c r="B3083" t="s">
        <v>79</v>
      </c>
      <c r="C3083" t="s">
        <v>7275</v>
      </c>
      <c r="D3083" t="s">
        <v>81</v>
      </c>
      <c r="E3083" s="2" t="str">
        <f>HYPERLINK("capsilon://?command=openfolder&amp;siteaddress=FAM.docvelocity-na8.net&amp;folderid=FX08578C65-0DCD-11A8-83A4-E10FEFCA7A2D","FX20098551")</f>
        <v>FX20098551</v>
      </c>
      <c r="F3083" t="s">
        <v>19</v>
      </c>
      <c r="G3083" t="s">
        <v>19</v>
      </c>
      <c r="H3083" t="s">
        <v>82</v>
      </c>
      <c r="I3083" t="s">
        <v>7276</v>
      </c>
      <c r="J3083">
        <v>882</v>
      </c>
      <c r="K3083" t="s">
        <v>84</v>
      </c>
      <c r="L3083" t="s">
        <v>85</v>
      </c>
      <c r="M3083" t="s">
        <v>86</v>
      </c>
      <c r="N3083">
        <v>3</v>
      </c>
      <c r="O3083" s="1">
        <v>44224.52988425926</v>
      </c>
      <c r="P3083" s="1">
        <v>44224.608472222222</v>
      </c>
      <c r="Q3083">
        <v>6647</v>
      </c>
      <c r="R3083">
        <v>143</v>
      </c>
      <c r="S3083" t="b">
        <v>0</v>
      </c>
      <c r="T3083" t="s">
        <v>87</v>
      </c>
      <c r="U3083" t="b">
        <v>0</v>
      </c>
      <c r="V3083" t="s">
        <v>262</v>
      </c>
      <c r="W3083" s="1">
        <v>44224.534513888888</v>
      </c>
      <c r="X3083">
        <v>118</v>
      </c>
      <c r="Y3083">
        <v>0</v>
      </c>
      <c r="Z3083">
        <v>0</v>
      </c>
      <c r="AA3083">
        <v>0</v>
      </c>
      <c r="AB3083">
        <v>196</v>
      </c>
      <c r="AC3083">
        <v>0</v>
      </c>
      <c r="AD3083">
        <v>882</v>
      </c>
      <c r="AE3083">
        <v>0</v>
      </c>
      <c r="AF3083">
        <v>0</v>
      </c>
      <c r="AG3083">
        <v>0</v>
      </c>
      <c r="AH3083" t="s">
        <v>128</v>
      </c>
      <c r="AI3083" s="1">
        <v>44224.53769675926</v>
      </c>
      <c r="AJ3083">
        <v>15</v>
      </c>
      <c r="AK3083">
        <v>0</v>
      </c>
      <c r="AL3083">
        <v>0</v>
      </c>
      <c r="AM3083">
        <v>0</v>
      </c>
      <c r="AN3083">
        <v>196</v>
      </c>
      <c r="AO3083">
        <v>0</v>
      </c>
      <c r="AP3083">
        <v>882</v>
      </c>
      <c r="AQ3083">
        <v>0</v>
      </c>
      <c r="AR3083">
        <v>0</v>
      </c>
      <c r="AS3083">
        <v>0</v>
      </c>
      <c r="AT3083" t="s">
        <v>90</v>
      </c>
      <c r="AU3083" s="1">
        <v>44224.608472222222</v>
      </c>
      <c r="AV3083">
        <v>4</v>
      </c>
      <c r="AW3083">
        <v>0</v>
      </c>
      <c r="AX3083">
        <v>0</v>
      </c>
      <c r="AY3083">
        <v>0</v>
      </c>
      <c r="AZ3083">
        <v>196</v>
      </c>
      <c r="BA3083">
        <v>0</v>
      </c>
      <c r="BB3083">
        <v>882</v>
      </c>
      <c r="BC3083">
        <v>0</v>
      </c>
      <c r="BD3083">
        <v>0</v>
      </c>
      <c r="BE3083">
        <v>0</v>
      </c>
    </row>
    <row r="3084" spans="1:57" hidden="1" x14ac:dyDescent="0.45">
      <c r="A3084" t="s">
        <v>7277</v>
      </c>
      <c r="B3084" t="s">
        <v>79</v>
      </c>
      <c r="C3084" t="s">
        <v>3341</v>
      </c>
      <c r="D3084" t="s">
        <v>81</v>
      </c>
      <c r="E3084" s="2" t="str">
        <f>HYPERLINK("capsilon://?command=openfolder&amp;siteaddress=FAM.docvelocity-na8.net&amp;folderid=FXE3496635-A227-C0F3-17E9-70A673E7B2AA","FX20124858")</f>
        <v>FX20124858</v>
      </c>
      <c r="F3084" t="s">
        <v>19</v>
      </c>
      <c r="G3084" t="s">
        <v>19</v>
      </c>
      <c r="H3084" t="s">
        <v>82</v>
      </c>
      <c r="I3084" t="s">
        <v>7278</v>
      </c>
      <c r="J3084">
        <v>66</v>
      </c>
      <c r="K3084" t="s">
        <v>84</v>
      </c>
      <c r="L3084" t="s">
        <v>85</v>
      </c>
      <c r="M3084" t="s">
        <v>86</v>
      </c>
      <c r="N3084">
        <v>3</v>
      </c>
      <c r="O3084" s="1">
        <v>44224.533229166664</v>
      </c>
      <c r="P3084" s="1">
        <v>44224.608506944445</v>
      </c>
      <c r="Q3084">
        <v>6371</v>
      </c>
      <c r="R3084">
        <v>133</v>
      </c>
      <c r="S3084" t="b">
        <v>0</v>
      </c>
      <c r="T3084" t="s">
        <v>87</v>
      </c>
      <c r="U3084" t="b">
        <v>0</v>
      </c>
      <c r="V3084" t="s">
        <v>168</v>
      </c>
      <c r="W3084" s="1">
        <v>44224.535266203704</v>
      </c>
      <c r="X3084">
        <v>117</v>
      </c>
      <c r="Y3084">
        <v>0</v>
      </c>
      <c r="Z3084">
        <v>0</v>
      </c>
      <c r="AA3084">
        <v>0</v>
      </c>
      <c r="AB3084">
        <v>52</v>
      </c>
      <c r="AC3084">
        <v>0</v>
      </c>
      <c r="AD3084">
        <v>66</v>
      </c>
      <c r="AE3084">
        <v>0</v>
      </c>
      <c r="AF3084">
        <v>0</v>
      </c>
      <c r="AG3084">
        <v>0</v>
      </c>
      <c r="AH3084" t="s">
        <v>128</v>
      </c>
      <c r="AI3084" s="1">
        <v>44224.537858796299</v>
      </c>
      <c r="AJ3084">
        <v>13</v>
      </c>
      <c r="AK3084">
        <v>0</v>
      </c>
      <c r="AL3084">
        <v>0</v>
      </c>
      <c r="AM3084">
        <v>0</v>
      </c>
      <c r="AN3084">
        <v>52</v>
      </c>
      <c r="AO3084">
        <v>0</v>
      </c>
      <c r="AP3084">
        <v>66</v>
      </c>
      <c r="AQ3084">
        <v>0</v>
      </c>
      <c r="AR3084">
        <v>0</v>
      </c>
      <c r="AS3084">
        <v>0</v>
      </c>
      <c r="AT3084" t="s">
        <v>90</v>
      </c>
      <c r="AU3084" s="1">
        <v>44224.608506944445</v>
      </c>
      <c r="AV3084">
        <v>3</v>
      </c>
      <c r="AW3084">
        <v>0</v>
      </c>
      <c r="AX3084">
        <v>0</v>
      </c>
      <c r="AY3084">
        <v>0</v>
      </c>
      <c r="AZ3084">
        <v>52</v>
      </c>
      <c r="BA3084">
        <v>0</v>
      </c>
      <c r="BB3084">
        <v>66</v>
      </c>
      <c r="BC3084">
        <v>0</v>
      </c>
      <c r="BD3084">
        <v>0</v>
      </c>
      <c r="BE3084">
        <v>0</v>
      </c>
    </row>
    <row r="3085" spans="1:57" x14ac:dyDescent="0.45">
      <c r="A3085" t="s">
        <v>7279</v>
      </c>
      <c r="B3085" t="s">
        <v>79</v>
      </c>
      <c r="C3085" t="s">
        <v>7280</v>
      </c>
      <c r="D3085" t="s">
        <v>81</v>
      </c>
      <c r="E3085" s="2" t="str">
        <f>HYPERLINK("capsilon://?command=openfolder&amp;siteaddress=FAM.docvelocity-na8.net&amp;folderid=FX5D54B858-4C4B-9E69-A91A-450718B96739","FX210117811")</f>
        <v>FX210117811</v>
      </c>
      <c r="F3085" t="s">
        <v>19</v>
      </c>
      <c r="G3085" t="s">
        <v>19</v>
      </c>
      <c r="H3085" t="s">
        <v>82</v>
      </c>
      <c r="I3085" t="s">
        <v>7281</v>
      </c>
      <c r="J3085">
        <v>114</v>
      </c>
      <c r="K3085" t="s">
        <v>84</v>
      </c>
      <c r="L3085" t="s">
        <v>85</v>
      </c>
      <c r="M3085" t="s">
        <v>86</v>
      </c>
      <c r="N3085">
        <v>3</v>
      </c>
      <c r="O3085" s="1">
        <v>44224.533726851849</v>
      </c>
      <c r="P3085" s="1">
        <v>44224.610844907409</v>
      </c>
      <c r="Q3085">
        <v>2521</v>
      </c>
      <c r="R3085">
        <v>4142</v>
      </c>
      <c r="S3085" t="b">
        <v>0</v>
      </c>
      <c r="T3085" t="s">
        <v>87</v>
      </c>
      <c r="U3085" t="b">
        <v>0</v>
      </c>
      <c r="V3085" t="s">
        <v>146</v>
      </c>
      <c r="W3085" s="1">
        <v>44224.577233796299</v>
      </c>
      <c r="X3085">
        <v>3742</v>
      </c>
      <c r="Y3085">
        <v>130</v>
      </c>
      <c r="Z3085">
        <v>0</v>
      </c>
      <c r="AA3085">
        <v>130</v>
      </c>
      <c r="AB3085">
        <v>0</v>
      </c>
      <c r="AC3085">
        <v>116</v>
      </c>
      <c r="AD3085">
        <v>-16</v>
      </c>
      <c r="AE3085">
        <v>0</v>
      </c>
      <c r="AF3085">
        <v>0</v>
      </c>
      <c r="AG3085">
        <v>0</v>
      </c>
      <c r="AH3085" t="s">
        <v>132</v>
      </c>
      <c r="AI3085" s="1">
        <v>44224.582337962966</v>
      </c>
      <c r="AJ3085">
        <v>198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-16</v>
      </c>
      <c r="AQ3085">
        <v>0</v>
      </c>
      <c r="AR3085">
        <v>0</v>
      </c>
      <c r="AS3085">
        <v>0</v>
      </c>
      <c r="AT3085" t="s">
        <v>90</v>
      </c>
      <c r="AU3085" s="1">
        <v>44224.610844907409</v>
      </c>
      <c r="AV3085">
        <v>202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-16</v>
      </c>
      <c r="BC3085">
        <v>0</v>
      </c>
      <c r="BD3085">
        <v>0</v>
      </c>
      <c r="BE3085">
        <v>0</v>
      </c>
    </row>
    <row r="3086" spans="1:57" x14ac:dyDescent="0.45">
      <c r="A3086" t="s">
        <v>7282</v>
      </c>
      <c r="B3086" t="s">
        <v>79</v>
      </c>
      <c r="C3086" t="s">
        <v>7283</v>
      </c>
      <c r="D3086" t="s">
        <v>81</v>
      </c>
      <c r="E3086" s="2" t="str">
        <f>HYPERLINK("capsilon://?command=openfolder&amp;siteaddress=FAM.docvelocity-na8.net&amp;folderid=FX19E57B97-E056-C86C-A9E9-19D4C8C94AD0","FX210112303")</f>
        <v>FX210112303</v>
      </c>
      <c r="F3086" t="s">
        <v>19</v>
      </c>
      <c r="G3086" t="s">
        <v>19</v>
      </c>
      <c r="H3086" t="s">
        <v>82</v>
      </c>
      <c r="I3086" t="s">
        <v>7284</v>
      </c>
      <c r="J3086">
        <v>38</v>
      </c>
      <c r="K3086" t="s">
        <v>84</v>
      </c>
      <c r="L3086" t="s">
        <v>85</v>
      </c>
      <c r="M3086" t="s">
        <v>86</v>
      </c>
      <c r="N3086">
        <v>3</v>
      </c>
      <c r="O3086" s="1">
        <v>44224.53496527778</v>
      </c>
      <c r="P3086" s="1">
        <v>44224.610902777778</v>
      </c>
      <c r="Q3086">
        <v>5750</v>
      </c>
      <c r="R3086">
        <v>811</v>
      </c>
      <c r="S3086" t="b">
        <v>0</v>
      </c>
      <c r="T3086" t="s">
        <v>87</v>
      </c>
      <c r="U3086" t="b">
        <v>0</v>
      </c>
      <c r="V3086" t="s">
        <v>171</v>
      </c>
      <c r="W3086" s="1">
        <v>44224.543090277781</v>
      </c>
      <c r="X3086">
        <v>702</v>
      </c>
      <c r="Y3086">
        <v>37</v>
      </c>
      <c r="Z3086">
        <v>0</v>
      </c>
      <c r="AA3086">
        <v>37</v>
      </c>
      <c r="AB3086">
        <v>0</v>
      </c>
      <c r="AC3086">
        <v>24</v>
      </c>
      <c r="AD3086">
        <v>1</v>
      </c>
      <c r="AE3086">
        <v>0</v>
      </c>
      <c r="AF3086">
        <v>0</v>
      </c>
      <c r="AG3086">
        <v>0</v>
      </c>
      <c r="AH3086" t="s">
        <v>128</v>
      </c>
      <c r="AI3086" s="1">
        <v>44224.54446759259</v>
      </c>
      <c r="AJ3086">
        <v>104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 t="s">
        <v>90</v>
      </c>
      <c r="AU3086" s="1">
        <v>44224.610902777778</v>
      </c>
      <c r="AV3086">
        <v>5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</row>
    <row r="3087" spans="1:57" hidden="1" x14ac:dyDescent="0.45">
      <c r="A3087" t="s">
        <v>7285</v>
      </c>
      <c r="B3087" t="s">
        <v>79</v>
      </c>
      <c r="C3087" t="s">
        <v>3015</v>
      </c>
      <c r="D3087" t="s">
        <v>81</v>
      </c>
      <c r="E3087" s="2" t="str">
        <f>HYPERLINK("capsilon://?command=openfolder&amp;siteaddress=FAM.docvelocity-na8.net&amp;folderid=FXC0B95E1F-595A-7FA4-7E96-0E9C5D6F92DB","FX201221371")</f>
        <v>FX201221371</v>
      </c>
      <c r="F3087" t="s">
        <v>19</v>
      </c>
      <c r="G3087" t="s">
        <v>19</v>
      </c>
      <c r="H3087" t="s">
        <v>82</v>
      </c>
      <c r="I3087" t="s">
        <v>7286</v>
      </c>
      <c r="J3087">
        <v>66</v>
      </c>
      <c r="K3087" t="s">
        <v>84</v>
      </c>
      <c r="L3087" t="s">
        <v>85</v>
      </c>
      <c r="M3087" t="s">
        <v>86</v>
      </c>
      <c r="N3087">
        <v>3</v>
      </c>
      <c r="O3087" s="1">
        <v>44224.535462962966</v>
      </c>
      <c r="P3087" s="1">
        <v>44224.610949074071</v>
      </c>
      <c r="Q3087">
        <v>6277</v>
      </c>
      <c r="R3087">
        <v>245</v>
      </c>
      <c r="S3087" t="b">
        <v>0</v>
      </c>
      <c r="T3087" t="s">
        <v>87</v>
      </c>
      <c r="U3087" t="b">
        <v>0</v>
      </c>
      <c r="V3087" t="s">
        <v>142</v>
      </c>
      <c r="W3087" s="1">
        <v>44224.538171296299</v>
      </c>
      <c r="X3087">
        <v>233</v>
      </c>
      <c r="Y3087">
        <v>0</v>
      </c>
      <c r="Z3087">
        <v>0</v>
      </c>
      <c r="AA3087">
        <v>0</v>
      </c>
      <c r="AB3087">
        <v>52</v>
      </c>
      <c r="AC3087">
        <v>0</v>
      </c>
      <c r="AD3087">
        <v>66</v>
      </c>
      <c r="AE3087">
        <v>0</v>
      </c>
      <c r="AF3087">
        <v>0</v>
      </c>
      <c r="AG3087">
        <v>0</v>
      </c>
      <c r="AH3087" t="s">
        <v>128</v>
      </c>
      <c r="AI3087" s="1">
        <v>44224.54005787037</v>
      </c>
      <c r="AJ3087">
        <v>9</v>
      </c>
      <c r="AK3087">
        <v>0</v>
      </c>
      <c r="AL3087">
        <v>0</v>
      </c>
      <c r="AM3087">
        <v>0</v>
      </c>
      <c r="AN3087">
        <v>52</v>
      </c>
      <c r="AO3087">
        <v>0</v>
      </c>
      <c r="AP3087">
        <v>66</v>
      </c>
      <c r="AQ3087">
        <v>0</v>
      </c>
      <c r="AR3087">
        <v>0</v>
      </c>
      <c r="AS3087">
        <v>0</v>
      </c>
      <c r="AT3087" t="s">
        <v>90</v>
      </c>
      <c r="AU3087" s="1">
        <v>44224.610949074071</v>
      </c>
      <c r="AV3087">
        <v>3</v>
      </c>
      <c r="AW3087">
        <v>0</v>
      </c>
      <c r="AX3087">
        <v>0</v>
      </c>
      <c r="AY3087">
        <v>0</v>
      </c>
      <c r="AZ3087">
        <v>52</v>
      </c>
      <c r="BA3087">
        <v>0</v>
      </c>
      <c r="BB3087">
        <v>66</v>
      </c>
      <c r="BC3087">
        <v>0</v>
      </c>
      <c r="BD3087">
        <v>0</v>
      </c>
      <c r="BE3087">
        <v>0</v>
      </c>
    </row>
    <row r="3088" spans="1:57" x14ac:dyDescent="0.45">
      <c r="A3088" t="s">
        <v>7287</v>
      </c>
      <c r="B3088" t="s">
        <v>79</v>
      </c>
      <c r="C3088" t="s">
        <v>7288</v>
      </c>
      <c r="D3088" t="s">
        <v>81</v>
      </c>
      <c r="E3088" s="2" t="str">
        <f>HYPERLINK("capsilon://?command=openfolder&amp;siteaddress=FAM.docvelocity-na8.net&amp;folderid=FXC9D1725D-8FE2-E808-79FD-2FCED86E6842","FX210117036")</f>
        <v>FX210117036</v>
      </c>
      <c r="F3088" t="s">
        <v>19</v>
      </c>
      <c r="G3088" t="s">
        <v>19</v>
      </c>
      <c r="H3088" t="s">
        <v>82</v>
      </c>
      <c r="I3088" t="s">
        <v>7289</v>
      </c>
      <c r="J3088">
        <v>287</v>
      </c>
      <c r="K3088" t="s">
        <v>84</v>
      </c>
      <c r="L3088" t="s">
        <v>85</v>
      </c>
      <c r="M3088" t="s">
        <v>86</v>
      </c>
      <c r="N3088">
        <v>3</v>
      </c>
      <c r="O3088" s="1">
        <v>44224.540150462963</v>
      </c>
      <c r="P3088" s="1">
        <v>44224.611886574072</v>
      </c>
      <c r="Q3088">
        <v>1467</v>
      </c>
      <c r="R3088">
        <v>4731</v>
      </c>
      <c r="S3088" t="b">
        <v>0</v>
      </c>
      <c r="T3088" t="s">
        <v>87</v>
      </c>
      <c r="U3088" t="b">
        <v>0</v>
      </c>
      <c r="V3088" t="s">
        <v>168</v>
      </c>
      <c r="W3088" s="1">
        <v>44224.571689814817</v>
      </c>
      <c r="X3088">
        <v>2724</v>
      </c>
      <c r="Y3088">
        <v>218</v>
      </c>
      <c r="Z3088">
        <v>0</v>
      </c>
      <c r="AA3088">
        <v>218</v>
      </c>
      <c r="AB3088">
        <v>74</v>
      </c>
      <c r="AC3088">
        <v>115</v>
      </c>
      <c r="AD3088">
        <v>69</v>
      </c>
      <c r="AE3088">
        <v>0</v>
      </c>
      <c r="AF3088">
        <v>0</v>
      </c>
      <c r="AG3088">
        <v>0</v>
      </c>
      <c r="AH3088" t="s">
        <v>128</v>
      </c>
      <c r="AI3088" s="1">
        <v>44224.594652777778</v>
      </c>
      <c r="AJ3088">
        <v>1927</v>
      </c>
      <c r="AK3088">
        <v>50</v>
      </c>
      <c r="AL3088">
        <v>0</v>
      </c>
      <c r="AM3088">
        <v>50</v>
      </c>
      <c r="AN3088">
        <v>74</v>
      </c>
      <c r="AO3088">
        <v>50</v>
      </c>
      <c r="AP3088">
        <v>19</v>
      </c>
      <c r="AQ3088">
        <v>0</v>
      </c>
      <c r="AR3088">
        <v>0</v>
      </c>
      <c r="AS3088">
        <v>0</v>
      </c>
      <c r="AT3088" t="s">
        <v>90</v>
      </c>
      <c r="AU3088" s="1">
        <v>44224.611886574072</v>
      </c>
      <c r="AV3088">
        <v>80</v>
      </c>
      <c r="AW3088">
        <v>0</v>
      </c>
      <c r="AX3088">
        <v>0</v>
      </c>
      <c r="AY3088">
        <v>0</v>
      </c>
      <c r="AZ3088">
        <v>74</v>
      </c>
      <c r="BA3088">
        <v>0</v>
      </c>
      <c r="BB3088">
        <v>19</v>
      </c>
      <c r="BC3088">
        <v>0</v>
      </c>
      <c r="BD3088">
        <v>0</v>
      </c>
      <c r="BE3088">
        <v>0</v>
      </c>
    </row>
    <row r="3089" spans="1:57" x14ac:dyDescent="0.45">
      <c r="A3089" t="s">
        <v>7290</v>
      </c>
      <c r="B3089" t="s">
        <v>79</v>
      </c>
      <c r="C3089" t="s">
        <v>7199</v>
      </c>
      <c r="D3089" t="s">
        <v>81</v>
      </c>
      <c r="E3089" s="2" t="str">
        <f>HYPERLINK("capsilon://?command=openfolder&amp;siteaddress=FAM.docvelocity-na8.net&amp;folderid=FXE62009E9-5A4C-6790-85D0-E0E993A7437F","FX210117930")</f>
        <v>FX210117930</v>
      </c>
      <c r="F3089" t="s">
        <v>19</v>
      </c>
      <c r="G3089" t="s">
        <v>19</v>
      </c>
      <c r="H3089" t="s">
        <v>82</v>
      </c>
      <c r="I3089" t="s">
        <v>7291</v>
      </c>
      <c r="J3089">
        <v>66</v>
      </c>
      <c r="K3089" t="s">
        <v>84</v>
      </c>
      <c r="L3089" t="s">
        <v>85</v>
      </c>
      <c r="M3089" t="s">
        <v>86</v>
      </c>
      <c r="N3089">
        <v>3</v>
      </c>
      <c r="O3089" s="1">
        <v>44224.540821759256</v>
      </c>
      <c r="P3089" s="1">
        <v>44224.61215277778</v>
      </c>
      <c r="Q3089">
        <v>5532</v>
      </c>
      <c r="R3089">
        <v>631</v>
      </c>
      <c r="S3089" t="b">
        <v>0</v>
      </c>
      <c r="T3089" t="s">
        <v>87</v>
      </c>
      <c r="U3089" t="b">
        <v>0</v>
      </c>
      <c r="V3089" t="s">
        <v>160</v>
      </c>
      <c r="W3089" s="1">
        <v>44224.546412037038</v>
      </c>
      <c r="X3089">
        <v>482</v>
      </c>
      <c r="Y3089">
        <v>52</v>
      </c>
      <c r="Z3089">
        <v>0</v>
      </c>
      <c r="AA3089">
        <v>52</v>
      </c>
      <c r="AB3089">
        <v>0</v>
      </c>
      <c r="AC3089">
        <v>34</v>
      </c>
      <c r="AD3089">
        <v>14</v>
      </c>
      <c r="AE3089">
        <v>0</v>
      </c>
      <c r="AF3089">
        <v>0</v>
      </c>
      <c r="AG3089">
        <v>0</v>
      </c>
      <c r="AH3089" t="s">
        <v>132</v>
      </c>
      <c r="AI3089" s="1">
        <v>44224.548113425924</v>
      </c>
      <c r="AJ3089">
        <v>126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14</v>
      </c>
      <c r="AQ3089">
        <v>0</v>
      </c>
      <c r="AR3089">
        <v>0</v>
      </c>
      <c r="AS3089">
        <v>0</v>
      </c>
      <c r="AT3089" t="s">
        <v>90</v>
      </c>
      <c r="AU3089" s="1">
        <v>44224.61215277778</v>
      </c>
      <c r="AV3089">
        <v>23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14</v>
      </c>
      <c r="BC3089">
        <v>0</v>
      </c>
      <c r="BD3089">
        <v>0</v>
      </c>
      <c r="BE3089">
        <v>0</v>
      </c>
    </row>
    <row r="3090" spans="1:57" x14ac:dyDescent="0.45">
      <c r="A3090" t="s">
        <v>7292</v>
      </c>
      <c r="B3090" t="s">
        <v>79</v>
      </c>
      <c r="C3090" t="s">
        <v>3478</v>
      </c>
      <c r="D3090" t="s">
        <v>81</v>
      </c>
      <c r="E3090" s="2" t="str">
        <f>HYPERLINK("capsilon://?command=openfolder&amp;siteaddress=FAM.docvelocity-na8.net&amp;folderid=FX35224586-0A5A-AF07-F6FF-14E3B4E2DE11","FX201221051")</f>
        <v>FX201221051</v>
      </c>
      <c r="F3090" t="s">
        <v>19</v>
      </c>
      <c r="G3090" t="s">
        <v>19</v>
      </c>
      <c r="H3090" t="s">
        <v>82</v>
      </c>
      <c r="I3090" t="s">
        <v>7293</v>
      </c>
      <c r="J3090">
        <v>66</v>
      </c>
      <c r="K3090" t="s">
        <v>84</v>
      </c>
      <c r="L3090" t="s">
        <v>85</v>
      </c>
      <c r="M3090" t="s">
        <v>86</v>
      </c>
      <c r="N3090">
        <v>3</v>
      </c>
      <c r="O3090" s="1">
        <v>44224.543263888889</v>
      </c>
      <c r="P3090" s="1">
        <v>44224.620520833334</v>
      </c>
      <c r="Q3090">
        <v>4832</v>
      </c>
      <c r="R3090">
        <v>1843</v>
      </c>
      <c r="S3090" t="b">
        <v>0</v>
      </c>
      <c r="T3090" t="s">
        <v>87</v>
      </c>
      <c r="U3090" t="b">
        <v>0</v>
      </c>
      <c r="V3090" t="s">
        <v>179</v>
      </c>
      <c r="W3090" s="1">
        <v>44224.555277777778</v>
      </c>
      <c r="X3090">
        <v>1037</v>
      </c>
      <c r="Y3090">
        <v>52</v>
      </c>
      <c r="Z3090">
        <v>0</v>
      </c>
      <c r="AA3090">
        <v>52</v>
      </c>
      <c r="AB3090">
        <v>0</v>
      </c>
      <c r="AC3090">
        <v>44</v>
      </c>
      <c r="AD3090">
        <v>14</v>
      </c>
      <c r="AE3090">
        <v>0</v>
      </c>
      <c r="AF3090">
        <v>0</v>
      </c>
      <c r="AG3090">
        <v>0</v>
      </c>
      <c r="AH3090" t="s">
        <v>132</v>
      </c>
      <c r="AI3090" s="1">
        <v>44224.556481481479</v>
      </c>
      <c r="AJ3090">
        <v>83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14</v>
      </c>
      <c r="AQ3090">
        <v>0</v>
      </c>
      <c r="AR3090">
        <v>0</v>
      </c>
      <c r="AS3090">
        <v>0</v>
      </c>
      <c r="AT3090" t="s">
        <v>90</v>
      </c>
      <c r="AU3090" s="1">
        <v>44224.620520833334</v>
      </c>
      <c r="AV3090">
        <v>723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14</v>
      </c>
      <c r="BC3090">
        <v>0</v>
      </c>
      <c r="BD3090">
        <v>0</v>
      </c>
      <c r="BE3090">
        <v>0</v>
      </c>
    </row>
    <row r="3091" spans="1:57" x14ac:dyDescent="0.45">
      <c r="A3091" t="s">
        <v>7294</v>
      </c>
      <c r="B3091" t="s">
        <v>79</v>
      </c>
      <c r="C3091" t="s">
        <v>1444</v>
      </c>
      <c r="D3091" t="s">
        <v>81</v>
      </c>
      <c r="E3091" s="2" t="str">
        <f>HYPERLINK("capsilon://?command=openfolder&amp;siteaddress=FAM.docvelocity-na8.net&amp;folderid=FXCD375171-C161-661C-D49F-7325BC377B46","FX20122717")</f>
        <v>FX20122717</v>
      </c>
      <c r="F3091" t="s">
        <v>19</v>
      </c>
      <c r="G3091" t="s">
        <v>19</v>
      </c>
      <c r="H3091" t="s">
        <v>82</v>
      </c>
      <c r="I3091" t="s">
        <v>7295</v>
      </c>
      <c r="J3091">
        <v>66</v>
      </c>
      <c r="K3091" t="s">
        <v>84</v>
      </c>
      <c r="L3091" t="s">
        <v>85</v>
      </c>
      <c r="M3091" t="s">
        <v>86</v>
      </c>
      <c r="N3091">
        <v>3</v>
      </c>
      <c r="O3091" s="1">
        <v>44224.544236111113</v>
      </c>
      <c r="P3091" s="1">
        <v>44224.620856481481</v>
      </c>
      <c r="Q3091">
        <v>6200</v>
      </c>
      <c r="R3091">
        <v>420</v>
      </c>
      <c r="S3091" t="b">
        <v>0</v>
      </c>
      <c r="T3091" t="s">
        <v>87</v>
      </c>
      <c r="U3091" t="b">
        <v>0</v>
      </c>
      <c r="V3091" t="s">
        <v>171</v>
      </c>
      <c r="W3091" s="1">
        <v>44224.548657407409</v>
      </c>
      <c r="X3091">
        <v>381</v>
      </c>
      <c r="Y3091">
        <v>4</v>
      </c>
      <c r="Z3091">
        <v>0</v>
      </c>
      <c r="AA3091">
        <v>4</v>
      </c>
      <c r="AB3091">
        <v>52</v>
      </c>
      <c r="AC3091">
        <v>11</v>
      </c>
      <c r="AD3091">
        <v>62</v>
      </c>
      <c r="AE3091">
        <v>0</v>
      </c>
      <c r="AF3091">
        <v>0</v>
      </c>
      <c r="AG3091">
        <v>0</v>
      </c>
      <c r="AH3091" t="s">
        <v>128</v>
      </c>
      <c r="AI3091" s="1">
        <v>44224.549120370371</v>
      </c>
      <c r="AJ3091">
        <v>11</v>
      </c>
      <c r="AK3091">
        <v>0</v>
      </c>
      <c r="AL3091">
        <v>0</v>
      </c>
      <c r="AM3091">
        <v>0</v>
      </c>
      <c r="AN3091">
        <v>52</v>
      </c>
      <c r="AO3091">
        <v>0</v>
      </c>
      <c r="AP3091">
        <v>62</v>
      </c>
      <c r="AQ3091">
        <v>0</v>
      </c>
      <c r="AR3091">
        <v>0</v>
      </c>
      <c r="AS3091">
        <v>0</v>
      </c>
      <c r="AT3091" t="s">
        <v>90</v>
      </c>
      <c r="AU3091" s="1">
        <v>44224.620856481481</v>
      </c>
      <c r="AV3091">
        <v>28</v>
      </c>
      <c r="AW3091">
        <v>0</v>
      </c>
      <c r="AX3091">
        <v>0</v>
      </c>
      <c r="AY3091">
        <v>0</v>
      </c>
      <c r="AZ3091">
        <v>52</v>
      </c>
      <c r="BA3091">
        <v>0</v>
      </c>
      <c r="BB3091">
        <v>62</v>
      </c>
      <c r="BC3091">
        <v>0</v>
      </c>
      <c r="BD3091">
        <v>0</v>
      </c>
      <c r="BE3091">
        <v>0</v>
      </c>
    </row>
    <row r="3092" spans="1:57" x14ac:dyDescent="0.45">
      <c r="A3092" t="s">
        <v>7296</v>
      </c>
      <c r="B3092" t="s">
        <v>79</v>
      </c>
      <c r="C3092" t="s">
        <v>7297</v>
      </c>
      <c r="D3092" t="s">
        <v>81</v>
      </c>
      <c r="E3092" s="2" t="str">
        <f>HYPERLINK("capsilon://?command=openfolder&amp;siteaddress=FAM.docvelocity-na8.net&amp;folderid=FXAA33DE28-6082-5FFF-B8FE-257334E7720A","FX210118690")</f>
        <v>FX210118690</v>
      </c>
      <c r="F3092" t="s">
        <v>19</v>
      </c>
      <c r="G3092" t="s">
        <v>19</v>
      </c>
      <c r="H3092" t="s">
        <v>82</v>
      </c>
      <c r="I3092" t="s">
        <v>7298</v>
      </c>
      <c r="J3092">
        <v>232</v>
      </c>
      <c r="K3092" t="s">
        <v>84</v>
      </c>
      <c r="L3092" t="s">
        <v>85</v>
      </c>
      <c r="M3092" t="s">
        <v>86</v>
      </c>
      <c r="N3092">
        <v>3</v>
      </c>
      <c r="O3092" s="1">
        <v>44224.554791666669</v>
      </c>
      <c r="P3092" s="1">
        <v>44224.62232638889</v>
      </c>
      <c r="Q3092">
        <v>3285</v>
      </c>
      <c r="R3092">
        <v>2550</v>
      </c>
      <c r="S3092" t="b">
        <v>0</v>
      </c>
      <c r="T3092" t="s">
        <v>87</v>
      </c>
      <c r="U3092" t="b">
        <v>0</v>
      </c>
      <c r="V3092" t="s">
        <v>142</v>
      </c>
      <c r="W3092" s="1">
        <v>44224.58021990741</v>
      </c>
      <c r="X3092">
        <v>2196</v>
      </c>
      <c r="Y3092">
        <v>191</v>
      </c>
      <c r="Z3092">
        <v>0</v>
      </c>
      <c r="AA3092">
        <v>191</v>
      </c>
      <c r="AB3092">
        <v>0</v>
      </c>
      <c r="AC3092">
        <v>80</v>
      </c>
      <c r="AD3092">
        <v>41</v>
      </c>
      <c r="AE3092">
        <v>0</v>
      </c>
      <c r="AF3092">
        <v>0</v>
      </c>
      <c r="AG3092">
        <v>0</v>
      </c>
      <c r="AH3092" t="s">
        <v>132</v>
      </c>
      <c r="AI3092" s="1">
        <v>44224.584976851853</v>
      </c>
      <c r="AJ3092">
        <v>227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41</v>
      </c>
      <c r="AQ3092">
        <v>0</v>
      </c>
      <c r="AR3092">
        <v>0</v>
      </c>
      <c r="AS3092">
        <v>0</v>
      </c>
      <c r="AT3092" t="s">
        <v>90</v>
      </c>
      <c r="AU3092" s="1">
        <v>44224.62232638889</v>
      </c>
      <c r="AV3092">
        <v>127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41</v>
      </c>
      <c r="BC3092">
        <v>0</v>
      </c>
      <c r="BD3092">
        <v>0</v>
      </c>
      <c r="BE3092">
        <v>0</v>
      </c>
    </row>
    <row r="3093" spans="1:57" x14ac:dyDescent="0.45">
      <c r="A3093" t="s">
        <v>7299</v>
      </c>
      <c r="B3093" t="s">
        <v>79</v>
      </c>
      <c r="C3093" t="s">
        <v>6540</v>
      </c>
      <c r="D3093" t="s">
        <v>81</v>
      </c>
      <c r="E3093" s="2" t="str">
        <f>HYPERLINK("capsilon://?command=openfolder&amp;siteaddress=FAM.docvelocity-na8.net&amp;folderid=FXA0D89B80-32BA-155D-441F-6953A9562DA1","FX201116391")</f>
        <v>FX201116391</v>
      </c>
      <c r="F3093" t="s">
        <v>19</v>
      </c>
      <c r="G3093" t="s">
        <v>19</v>
      </c>
      <c r="H3093" t="s">
        <v>82</v>
      </c>
      <c r="I3093" t="s">
        <v>7300</v>
      </c>
      <c r="J3093">
        <v>61</v>
      </c>
      <c r="K3093" t="s">
        <v>84</v>
      </c>
      <c r="L3093" t="s">
        <v>85</v>
      </c>
      <c r="M3093" t="s">
        <v>86</v>
      </c>
      <c r="N3093">
        <v>3</v>
      </c>
      <c r="O3093" s="1">
        <v>44224.556481481479</v>
      </c>
      <c r="P3093" s="1">
        <v>44224.62263888889</v>
      </c>
      <c r="Q3093">
        <v>5110</v>
      </c>
      <c r="R3093">
        <v>606</v>
      </c>
      <c r="S3093" t="b">
        <v>0</v>
      </c>
      <c r="T3093" t="s">
        <v>87</v>
      </c>
      <c r="U3093" t="b">
        <v>0</v>
      </c>
      <c r="V3093" t="s">
        <v>179</v>
      </c>
      <c r="W3093" s="1">
        <v>44224.561064814814</v>
      </c>
      <c r="X3093">
        <v>395</v>
      </c>
      <c r="Y3093">
        <v>43</v>
      </c>
      <c r="Z3093">
        <v>0</v>
      </c>
      <c r="AA3093">
        <v>43</v>
      </c>
      <c r="AB3093">
        <v>0</v>
      </c>
      <c r="AC3093">
        <v>21</v>
      </c>
      <c r="AD3093">
        <v>18</v>
      </c>
      <c r="AE3093">
        <v>0</v>
      </c>
      <c r="AF3093">
        <v>0</v>
      </c>
      <c r="AG3093">
        <v>0</v>
      </c>
      <c r="AH3093" t="s">
        <v>128</v>
      </c>
      <c r="AI3093" s="1">
        <v>44224.563333333332</v>
      </c>
      <c r="AJ3093">
        <v>185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18</v>
      </c>
      <c r="AQ3093">
        <v>0</v>
      </c>
      <c r="AR3093">
        <v>0</v>
      </c>
      <c r="AS3093">
        <v>0</v>
      </c>
      <c r="AT3093" t="s">
        <v>90</v>
      </c>
      <c r="AU3093" s="1">
        <v>44224.62263888889</v>
      </c>
      <c r="AV3093">
        <v>26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18</v>
      </c>
      <c r="BC3093">
        <v>0</v>
      </c>
      <c r="BD3093">
        <v>0</v>
      </c>
      <c r="BE3093">
        <v>0</v>
      </c>
    </row>
    <row r="3094" spans="1:57" x14ac:dyDescent="0.45">
      <c r="A3094" t="s">
        <v>7301</v>
      </c>
      <c r="B3094" t="s">
        <v>79</v>
      </c>
      <c r="C3094" t="s">
        <v>7302</v>
      </c>
      <c r="D3094" t="s">
        <v>81</v>
      </c>
      <c r="E3094" s="2" t="str">
        <f>HYPERLINK("capsilon://?command=openfolder&amp;siteaddress=FAM.docvelocity-na8.net&amp;folderid=FX042475DA-BAC4-EA7B-B1F3-CDCE73BDE7CD","FX21015562")</f>
        <v>FX21015562</v>
      </c>
      <c r="F3094" t="s">
        <v>19</v>
      </c>
      <c r="G3094" t="s">
        <v>19</v>
      </c>
      <c r="H3094" t="s">
        <v>82</v>
      </c>
      <c r="I3094" t="s">
        <v>7303</v>
      </c>
      <c r="J3094">
        <v>41</v>
      </c>
      <c r="K3094" t="s">
        <v>84</v>
      </c>
      <c r="L3094" t="s">
        <v>85</v>
      </c>
      <c r="M3094" t="s">
        <v>86</v>
      </c>
      <c r="N3094">
        <v>3</v>
      </c>
      <c r="O3094" s="1">
        <v>44224.562384259261</v>
      </c>
      <c r="P3094" s="1">
        <v>44224.622824074075</v>
      </c>
      <c r="Q3094">
        <v>3722</v>
      </c>
      <c r="R3094">
        <v>1500</v>
      </c>
      <c r="S3094" t="b">
        <v>0</v>
      </c>
      <c r="T3094" t="s">
        <v>87</v>
      </c>
      <c r="U3094" t="b">
        <v>0</v>
      </c>
      <c r="V3094" t="s">
        <v>171</v>
      </c>
      <c r="W3094" s="1">
        <v>44224.578761574077</v>
      </c>
      <c r="X3094">
        <v>1414</v>
      </c>
      <c r="Y3094">
        <v>55</v>
      </c>
      <c r="Z3094">
        <v>0</v>
      </c>
      <c r="AA3094">
        <v>55</v>
      </c>
      <c r="AB3094">
        <v>0</v>
      </c>
      <c r="AC3094">
        <v>29</v>
      </c>
      <c r="AD3094">
        <v>-14</v>
      </c>
      <c r="AE3094">
        <v>0</v>
      </c>
      <c r="AF3094">
        <v>0</v>
      </c>
      <c r="AG3094">
        <v>0</v>
      </c>
      <c r="AH3094" t="s">
        <v>132</v>
      </c>
      <c r="AI3094" s="1">
        <v>44224.585810185185</v>
      </c>
      <c r="AJ3094">
        <v>71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-14</v>
      </c>
      <c r="AQ3094">
        <v>0</v>
      </c>
      <c r="AR3094">
        <v>0</v>
      </c>
      <c r="AS3094">
        <v>0</v>
      </c>
      <c r="AT3094" t="s">
        <v>90</v>
      </c>
      <c r="AU3094" s="1">
        <v>44224.622824074075</v>
      </c>
      <c r="AV3094">
        <v>15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-14</v>
      </c>
      <c r="BC3094">
        <v>0</v>
      </c>
      <c r="BD3094">
        <v>0</v>
      </c>
      <c r="BE3094">
        <v>0</v>
      </c>
    </row>
    <row r="3095" spans="1:57" x14ac:dyDescent="0.45">
      <c r="A3095" t="s">
        <v>7304</v>
      </c>
      <c r="B3095" t="s">
        <v>79</v>
      </c>
      <c r="C3095" t="s">
        <v>7305</v>
      </c>
      <c r="D3095" t="s">
        <v>81</v>
      </c>
      <c r="E3095" s="2" t="str">
        <f>HYPERLINK("capsilon://?command=openfolder&amp;siteaddress=FAM.docvelocity-na8.net&amp;folderid=FXE742908F-2ABD-832E-08A7-57C3856315CF","FX210115777")</f>
        <v>FX210115777</v>
      </c>
      <c r="F3095" t="s">
        <v>19</v>
      </c>
      <c r="G3095" t="s">
        <v>19</v>
      </c>
      <c r="H3095" t="s">
        <v>82</v>
      </c>
      <c r="I3095" t="s">
        <v>7306</v>
      </c>
      <c r="J3095">
        <v>252</v>
      </c>
      <c r="K3095" t="s">
        <v>84</v>
      </c>
      <c r="L3095" t="s">
        <v>85</v>
      </c>
      <c r="M3095" t="s">
        <v>86</v>
      </c>
      <c r="N3095">
        <v>3</v>
      </c>
      <c r="O3095" s="1">
        <v>44224.578252314815</v>
      </c>
      <c r="P3095" s="1">
        <v>44224.626400462963</v>
      </c>
      <c r="Q3095">
        <v>134</v>
      </c>
      <c r="R3095">
        <v>4026</v>
      </c>
      <c r="S3095" t="b">
        <v>0</v>
      </c>
      <c r="T3095" t="s">
        <v>87</v>
      </c>
      <c r="U3095" t="b">
        <v>0</v>
      </c>
      <c r="V3095" t="s">
        <v>171</v>
      </c>
      <c r="W3095" s="1">
        <v>44224.623379629629</v>
      </c>
      <c r="X3095">
        <v>3898</v>
      </c>
      <c r="Y3095">
        <v>193</v>
      </c>
      <c r="Z3095">
        <v>0</v>
      </c>
      <c r="AA3095">
        <v>193</v>
      </c>
      <c r="AB3095">
        <v>0</v>
      </c>
      <c r="AC3095">
        <v>124</v>
      </c>
      <c r="AD3095">
        <v>59</v>
      </c>
      <c r="AE3095">
        <v>0</v>
      </c>
      <c r="AF3095">
        <v>0</v>
      </c>
      <c r="AG3095">
        <v>0</v>
      </c>
      <c r="AH3095" t="s">
        <v>128</v>
      </c>
      <c r="AI3095" s="1">
        <v>44224.624456018515</v>
      </c>
      <c r="AJ3095">
        <v>60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59</v>
      </c>
      <c r="AQ3095">
        <v>0</v>
      </c>
      <c r="AR3095">
        <v>0</v>
      </c>
      <c r="AS3095">
        <v>0</v>
      </c>
      <c r="AT3095" t="s">
        <v>90</v>
      </c>
      <c r="AU3095" s="1">
        <v>44224.626400462963</v>
      </c>
      <c r="AV3095">
        <v>68</v>
      </c>
      <c r="AW3095">
        <v>2</v>
      </c>
      <c r="AX3095">
        <v>0</v>
      </c>
      <c r="AY3095">
        <v>2</v>
      </c>
      <c r="AZ3095">
        <v>0</v>
      </c>
      <c r="BA3095">
        <v>2</v>
      </c>
      <c r="BB3095">
        <v>57</v>
      </c>
      <c r="BC3095">
        <v>0</v>
      </c>
      <c r="BD3095">
        <v>0</v>
      </c>
      <c r="BE3095">
        <v>0</v>
      </c>
    </row>
    <row r="3096" spans="1:57" hidden="1" x14ac:dyDescent="0.45">
      <c r="A3096" t="s">
        <v>7307</v>
      </c>
      <c r="B3096" t="s">
        <v>79</v>
      </c>
      <c r="C3096" t="s">
        <v>7308</v>
      </c>
      <c r="D3096" t="s">
        <v>81</v>
      </c>
      <c r="E3096" s="2" t="str">
        <f>HYPERLINK("capsilon://?command=openfolder&amp;siteaddress=FAM.docvelocity-na8.net&amp;folderid=FXD9540B0A-2B8B-FD4C-CF2B-8D3BCDED6812","FX201224066")</f>
        <v>FX201224066</v>
      </c>
      <c r="F3096" t="s">
        <v>19</v>
      </c>
      <c r="G3096" t="s">
        <v>19</v>
      </c>
      <c r="H3096" t="s">
        <v>82</v>
      </c>
      <c r="I3096" t="s">
        <v>7309</v>
      </c>
      <c r="J3096">
        <v>66</v>
      </c>
      <c r="K3096" t="s">
        <v>84</v>
      </c>
      <c r="L3096" t="s">
        <v>85</v>
      </c>
      <c r="M3096" t="s">
        <v>86</v>
      </c>
      <c r="N3096">
        <v>1</v>
      </c>
      <c r="O3096" s="1">
        <v>44224.588182870371</v>
      </c>
      <c r="P3096" s="1">
        <v>44224.58966435185</v>
      </c>
      <c r="Q3096">
        <v>57</v>
      </c>
      <c r="R3096">
        <v>71</v>
      </c>
      <c r="S3096" t="b">
        <v>0</v>
      </c>
      <c r="T3096" t="s">
        <v>87</v>
      </c>
      <c r="U3096" t="b">
        <v>0</v>
      </c>
      <c r="V3096" t="s">
        <v>179</v>
      </c>
      <c r="W3096" s="1">
        <v>44224.58966435185</v>
      </c>
      <c r="X3096">
        <v>71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66</v>
      </c>
      <c r="AE3096">
        <v>0</v>
      </c>
      <c r="AF3096">
        <v>0</v>
      </c>
      <c r="AG3096">
        <v>1</v>
      </c>
      <c r="AH3096" t="s">
        <v>87</v>
      </c>
      <c r="AI3096" t="s">
        <v>87</v>
      </c>
      <c r="AJ3096" t="s">
        <v>87</v>
      </c>
      <c r="AK3096" t="s">
        <v>87</v>
      </c>
      <c r="AL3096" t="s">
        <v>87</v>
      </c>
      <c r="AM3096" t="s">
        <v>87</v>
      </c>
      <c r="AN3096" t="s">
        <v>87</v>
      </c>
      <c r="AO3096" t="s">
        <v>87</v>
      </c>
      <c r="AP3096" t="s">
        <v>87</v>
      </c>
      <c r="AQ3096" t="s">
        <v>87</v>
      </c>
      <c r="AR3096" t="s">
        <v>87</v>
      </c>
      <c r="AS3096" t="s">
        <v>87</v>
      </c>
      <c r="AT3096" t="s">
        <v>87</v>
      </c>
      <c r="AU3096" t="s">
        <v>87</v>
      </c>
      <c r="AV3096" t="s">
        <v>87</v>
      </c>
      <c r="AW3096" t="s">
        <v>87</v>
      </c>
      <c r="AX3096" t="s">
        <v>87</v>
      </c>
      <c r="AY3096" t="s">
        <v>87</v>
      </c>
      <c r="AZ3096" t="s">
        <v>87</v>
      </c>
      <c r="BA3096" t="s">
        <v>87</v>
      </c>
      <c r="BB3096" t="s">
        <v>87</v>
      </c>
      <c r="BC3096" t="s">
        <v>87</v>
      </c>
      <c r="BD3096" t="s">
        <v>87</v>
      </c>
      <c r="BE3096" t="s">
        <v>87</v>
      </c>
    </row>
    <row r="3097" spans="1:57" x14ac:dyDescent="0.45">
      <c r="A3097" t="s">
        <v>7310</v>
      </c>
      <c r="B3097" t="s">
        <v>79</v>
      </c>
      <c r="C3097" t="s">
        <v>7308</v>
      </c>
      <c r="D3097" t="s">
        <v>81</v>
      </c>
      <c r="E3097" s="2" t="str">
        <f>HYPERLINK("capsilon://?command=openfolder&amp;siteaddress=FAM.docvelocity-na8.net&amp;folderid=FXD9540B0A-2B8B-FD4C-CF2B-8D3BCDED6812","FX201224066")</f>
        <v>FX201224066</v>
      </c>
      <c r="F3097" t="s">
        <v>19</v>
      </c>
      <c r="G3097" t="s">
        <v>19</v>
      </c>
      <c r="H3097" t="s">
        <v>82</v>
      </c>
      <c r="I3097" t="s">
        <v>7309</v>
      </c>
      <c r="J3097">
        <v>38</v>
      </c>
      <c r="K3097" t="s">
        <v>84</v>
      </c>
      <c r="L3097" t="s">
        <v>85</v>
      </c>
      <c r="M3097" t="s">
        <v>86</v>
      </c>
      <c r="N3097">
        <v>3</v>
      </c>
      <c r="O3097" s="1">
        <v>44224.589930555558</v>
      </c>
      <c r="P3097" s="1">
        <v>44224.605682870373</v>
      </c>
      <c r="Q3097">
        <v>306</v>
      </c>
      <c r="R3097">
        <v>1055</v>
      </c>
      <c r="S3097" t="b">
        <v>0</v>
      </c>
      <c r="T3097" t="s">
        <v>87</v>
      </c>
      <c r="U3097" t="b">
        <v>1</v>
      </c>
      <c r="V3097" t="s">
        <v>146</v>
      </c>
      <c r="W3097" s="1">
        <v>44224.601342592592</v>
      </c>
      <c r="X3097">
        <v>985</v>
      </c>
      <c r="Y3097">
        <v>37</v>
      </c>
      <c r="Z3097">
        <v>0</v>
      </c>
      <c r="AA3097">
        <v>37</v>
      </c>
      <c r="AB3097">
        <v>0</v>
      </c>
      <c r="AC3097">
        <v>35</v>
      </c>
      <c r="AD3097">
        <v>1</v>
      </c>
      <c r="AE3097">
        <v>0</v>
      </c>
      <c r="AF3097">
        <v>0</v>
      </c>
      <c r="AG3097">
        <v>0</v>
      </c>
      <c r="AH3097" t="s">
        <v>132</v>
      </c>
      <c r="AI3097" s="1">
        <v>44224.60527777778</v>
      </c>
      <c r="AJ3097">
        <v>65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</v>
      </c>
      <c r="AQ3097">
        <v>0</v>
      </c>
      <c r="AR3097">
        <v>0</v>
      </c>
      <c r="AS3097">
        <v>0</v>
      </c>
      <c r="AT3097" t="s">
        <v>90</v>
      </c>
      <c r="AU3097" s="1">
        <v>44224.605682870373</v>
      </c>
      <c r="AV3097">
        <v>5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1</v>
      </c>
      <c r="BC3097">
        <v>0</v>
      </c>
      <c r="BD3097">
        <v>0</v>
      </c>
      <c r="BE3097">
        <v>0</v>
      </c>
    </row>
    <row r="3098" spans="1:57" x14ac:dyDescent="0.45">
      <c r="A3098" t="s">
        <v>7311</v>
      </c>
      <c r="B3098" t="s">
        <v>79</v>
      </c>
      <c r="C3098" t="s">
        <v>7312</v>
      </c>
      <c r="D3098" t="s">
        <v>81</v>
      </c>
      <c r="E3098" s="2" t="str">
        <f>HYPERLINK("capsilon://?command=openfolder&amp;siteaddress=FAM.docvelocity-na8.net&amp;folderid=FX3A0E955D-BC5F-76E8-BF4A-696D3147A2CF","FX20127189")</f>
        <v>FX20127189</v>
      </c>
      <c r="F3098" t="s">
        <v>19</v>
      </c>
      <c r="G3098" t="s">
        <v>19</v>
      </c>
      <c r="H3098" t="s">
        <v>82</v>
      </c>
      <c r="I3098" t="s">
        <v>7313</v>
      </c>
      <c r="J3098">
        <v>117</v>
      </c>
      <c r="K3098" t="s">
        <v>84</v>
      </c>
      <c r="L3098" t="s">
        <v>85</v>
      </c>
      <c r="M3098" t="s">
        <v>86</v>
      </c>
      <c r="N3098">
        <v>3</v>
      </c>
      <c r="O3098" s="1">
        <v>44224.594074074077</v>
      </c>
      <c r="P3098" s="1">
        <v>44224.623402777775</v>
      </c>
      <c r="Q3098">
        <v>1690</v>
      </c>
      <c r="R3098">
        <v>844</v>
      </c>
      <c r="S3098" t="b">
        <v>0</v>
      </c>
      <c r="T3098" t="s">
        <v>87</v>
      </c>
      <c r="U3098" t="b">
        <v>0</v>
      </c>
      <c r="V3098" t="s">
        <v>168</v>
      </c>
      <c r="W3098" s="1">
        <v>44224.60193287037</v>
      </c>
      <c r="X3098">
        <v>678</v>
      </c>
      <c r="Y3098">
        <v>78</v>
      </c>
      <c r="Z3098">
        <v>0</v>
      </c>
      <c r="AA3098">
        <v>78</v>
      </c>
      <c r="AB3098">
        <v>0</v>
      </c>
      <c r="AC3098">
        <v>30</v>
      </c>
      <c r="AD3098">
        <v>39</v>
      </c>
      <c r="AE3098">
        <v>0</v>
      </c>
      <c r="AF3098">
        <v>0</v>
      </c>
      <c r="AG3098">
        <v>0</v>
      </c>
      <c r="AH3098" t="s">
        <v>132</v>
      </c>
      <c r="AI3098" s="1">
        <v>44224.60664351852</v>
      </c>
      <c r="AJ3098">
        <v>117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39</v>
      </c>
      <c r="AQ3098">
        <v>0</v>
      </c>
      <c r="AR3098">
        <v>0</v>
      </c>
      <c r="AS3098">
        <v>0</v>
      </c>
      <c r="AT3098" t="s">
        <v>90</v>
      </c>
      <c r="AU3098" s="1">
        <v>44224.623402777775</v>
      </c>
      <c r="AV3098">
        <v>49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39</v>
      </c>
      <c r="BC3098">
        <v>0</v>
      </c>
      <c r="BD3098">
        <v>0</v>
      </c>
      <c r="BE3098">
        <v>0</v>
      </c>
    </row>
    <row r="3099" spans="1:57" x14ac:dyDescent="0.45">
      <c r="A3099" t="s">
        <v>7314</v>
      </c>
      <c r="B3099" t="s">
        <v>79</v>
      </c>
      <c r="C3099" t="s">
        <v>349</v>
      </c>
      <c r="D3099" t="s">
        <v>81</v>
      </c>
      <c r="E3099" s="2" t="str">
        <f>HYPERLINK("capsilon://?command=openfolder&amp;siteaddress=FAM.docvelocity-na8.net&amp;folderid=FX46C28C40-7299-63C9-BD02-FBF9B73D2FE5","FX20127220")</f>
        <v>FX20127220</v>
      </c>
      <c r="F3099" t="s">
        <v>19</v>
      </c>
      <c r="G3099" t="s">
        <v>19</v>
      </c>
      <c r="H3099" t="s">
        <v>82</v>
      </c>
      <c r="I3099" t="s">
        <v>7315</v>
      </c>
      <c r="J3099">
        <v>53</v>
      </c>
      <c r="K3099" t="s">
        <v>84</v>
      </c>
      <c r="L3099" t="s">
        <v>85</v>
      </c>
      <c r="M3099" t="s">
        <v>86</v>
      </c>
      <c r="N3099">
        <v>3</v>
      </c>
      <c r="O3099" s="1">
        <v>44224.59584490741</v>
      </c>
      <c r="P3099" s="1">
        <v>44224.625613425924</v>
      </c>
      <c r="Q3099">
        <v>1417</v>
      </c>
      <c r="R3099">
        <v>1155</v>
      </c>
      <c r="S3099" t="b">
        <v>0</v>
      </c>
      <c r="T3099" t="s">
        <v>87</v>
      </c>
      <c r="U3099" t="b">
        <v>0</v>
      </c>
      <c r="V3099" t="s">
        <v>142</v>
      </c>
      <c r="W3099" s="1">
        <v>44224.605810185189</v>
      </c>
      <c r="X3099">
        <v>860</v>
      </c>
      <c r="Y3099">
        <v>49</v>
      </c>
      <c r="Z3099">
        <v>0</v>
      </c>
      <c r="AA3099">
        <v>49</v>
      </c>
      <c r="AB3099">
        <v>0</v>
      </c>
      <c r="AC3099">
        <v>8</v>
      </c>
      <c r="AD3099">
        <v>4</v>
      </c>
      <c r="AE3099">
        <v>0</v>
      </c>
      <c r="AF3099">
        <v>0</v>
      </c>
      <c r="AG3099">
        <v>0</v>
      </c>
      <c r="AH3099" t="s">
        <v>132</v>
      </c>
      <c r="AI3099" s="1">
        <v>44224.607870370368</v>
      </c>
      <c r="AJ3099">
        <v>105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4</v>
      </c>
      <c r="AQ3099">
        <v>0</v>
      </c>
      <c r="AR3099">
        <v>0</v>
      </c>
      <c r="AS3099">
        <v>0</v>
      </c>
      <c r="AT3099" t="s">
        <v>90</v>
      </c>
      <c r="AU3099" s="1">
        <v>44224.625613425924</v>
      </c>
      <c r="AV3099">
        <v>190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4</v>
      </c>
      <c r="BC3099">
        <v>0</v>
      </c>
      <c r="BD3099">
        <v>0</v>
      </c>
      <c r="BE3099">
        <v>0</v>
      </c>
    </row>
    <row r="3100" spans="1:57" x14ac:dyDescent="0.45">
      <c r="A3100" t="s">
        <v>7316</v>
      </c>
      <c r="B3100" t="s">
        <v>79</v>
      </c>
      <c r="C3100" t="s">
        <v>5109</v>
      </c>
      <c r="D3100" t="s">
        <v>81</v>
      </c>
      <c r="E3100" s="2" t="str">
        <f>HYPERLINK("capsilon://?command=openfolder&amp;siteaddress=FAM.docvelocity-na8.net&amp;folderid=FX495A8A31-66DD-7DBA-F4D4-7420698F1895","FX21012338")</f>
        <v>FX21012338</v>
      </c>
      <c r="F3100" t="s">
        <v>19</v>
      </c>
      <c r="G3100" t="s">
        <v>19</v>
      </c>
      <c r="H3100" t="s">
        <v>82</v>
      </c>
      <c r="I3100" t="s">
        <v>7317</v>
      </c>
      <c r="J3100">
        <v>38</v>
      </c>
      <c r="K3100" t="s">
        <v>84</v>
      </c>
      <c r="L3100" t="s">
        <v>85</v>
      </c>
      <c r="M3100" t="s">
        <v>86</v>
      </c>
      <c r="N3100">
        <v>3</v>
      </c>
      <c r="O3100" s="1">
        <v>44224.596562500003</v>
      </c>
      <c r="P3100" s="1">
        <v>44224.626516203702</v>
      </c>
      <c r="Q3100">
        <v>1720</v>
      </c>
      <c r="R3100">
        <v>868</v>
      </c>
      <c r="S3100" t="b">
        <v>0</v>
      </c>
      <c r="T3100" t="s">
        <v>87</v>
      </c>
      <c r="U3100" t="b">
        <v>0</v>
      </c>
      <c r="V3100" t="s">
        <v>179</v>
      </c>
      <c r="W3100" s="1">
        <v>44224.603449074071</v>
      </c>
      <c r="X3100">
        <v>592</v>
      </c>
      <c r="Y3100">
        <v>37</v>
      </c>
      <c r="Z3100">
        <v>0</v>
      </c>
      <c r="AA3100">
        <v>37</v>
      </c>
      <c r="AB3100">
        <v>0</v>
      </c>
      <c r="AC3100">
        <v>34</v>
      </c>
      <c r="AD3100">
        <v>1</v>
      </c>
      <c r="AE3100">
        <v>0</v>
      </c>
      <c r="AF3100">
        <v>0</v>
      </c>
      <c r="AG3100">
        <v>0</v>
      </c>
      <c r="AH3100" t="s">
        <v>128</v>
      </c>
      <c r="AI3100" s="1">
        <v>44224.610405092593</v>
      </c>
      <c r="AJ3100">
        <v>266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</v>
      </c>
      <c r="AQ3100">
        <v>0</v>
      </c>
      <c r="AR3100">
        <v>0</v>
      </c>
      <c r="AS3100">
        <v>0</v>
      </c>
      <c r="AT3100" t="s">
        <v>90</v>
      </c>
      <c r="AU3100" s="1">
        <v>44224.626516203702</v>
      </c>
      <c r="AV3100">
        <v>10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</v>
      </c>
      <c r="BC3100">
        <v>0</v>
      </c>
      <c r="BD3100">
        <v>0</v>
      </c>
      <c r="BE3100">
        <v>0</v>
      </c>
    </row>
    <row r="3101" spans="1:57" x14ac:dyDescent="0.45">
      <c r="A3101" t="s">
        <v>7318</v>
      </c>
      <c r="B3101" t="s">
        <v>79</v>
      </c>
      <c r="C3101" t="s">
        <v>4591</v>
      </c>
      <c r="D3101" t="s">
        <v>81</v>
      </c>
      <c r="E3101" s="2" t="str">
        <f>HYPERLINK("capsilon://?command=openfolder&amp;siteaddress=FAM.docvelocity-na8.net&amp;folderid=FXDCB54F5D-C012-041A-B85E-47E53785339B","FX201223291")</f>
        <v>FX201223291</v>
      </c>
      <c r="F3101" t="s">
        <v>19</v>
      </c>
      <c r="G3101" t="s">
        <v>19</v>
      </c>
      <c r="H3101" t="s">
        <v>82</v>
      </c>
      <c r="I3101" t="s">
        <v>7319</v>
      </c>
      <c r="J3101">
        <v>175</v>
      </c>
      <c r="K3101" t="s">
        <v>84</v>
      </c>
      <c r="L3101" t="s">
        <v>85</v>
      </c>
      <c r="M3101" t="s">
        <v>86</v>
      </c>
      <c r="N3101">
        <v>3</v>
      </c>
      <c r="O3101" s="1">
        <v>44224.600601851853</v>
      </c>
      <c r="P3101" s="1">
        <v>44224.627199074072</v>
      </c>
      <c r="Q3101">
        <v>795</v>
      </c>
      <c r="R3101">
        <v>1503</v>
      </c>
      <c r="S3101" t="b">
        <v>0</v>
      </c>
      <c r="T3101" t="s">
        <v>87</v>
      </c>
      <c r="U3101" t="b">
        <v>0</v>
      </c>
      <c r="V3101" t="s">
        <v>160</v>
      </c>
      <c r="W3101" s="1">
        <v>44224.615219907406</v>
      </c>
      <c r="X3101">
        <v>1259</v>
      </c>
      <c r="Y3101">
        <v>143</v>
      </c>
      <c r="Z3101">
        <v>0</v>
      </c>
      <c r="AA3101">
        <v>143</v>
      </c>
      <c r="AB3101">
        <v>0</v>
      </c>
      <c r="AC3101">
        <v>81</v>
      </c>
      <c r="AD3101">
        <v>32</v>
      </c>
      <c r="AE3101">
        <v>0</v>
      </c>
      <c r="AF3101">
        <v>0</v>
      </c>
      <c r="AG3101">
        <v>0</v>
      </c>
      <c r="AH3101" t="s">
        <v>132</v>
      </c>
      <c r="AI3101" s="1">
        <v>44224.618356481478</v>
      </c>
      <c r="AJ3101">
        <v>186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32</v>
      </c>
      <c r="AQ3101">
        <v>0</v>
      </c>
      <c r="AR3101">
        <v>0</v>
      </c>
      <c r="AS3101">
        <v>0</v>
      </c>
      <c r="AT3101" t="s">
        <v>90</v>
      </c>
      <c r="AU3101" s="1">
        <v>44224.627199074072</v>
      </c>
      <c r="AV3101">
        <v>58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32</v>
      </c>
      <c r="BC3101">
        <v>0</v>
      </c>
      <c r="BD3101">
        <v>0</v>
      </c>
      <c r="BE3101">
        <v>0</v>
      </c>
    </row>
    <row r="3102" spans="1:57" hidden="1" x14ac:dyDescent="0.45">
      <c r="A3102" t="s">
        <v>7320</v>
      </c>
      <c r="B3102" t="s">
        <v>79</v>
      </c>
      <c r="C3102" t="s">
        <v>3824</v>
      </c>
      <c r="D3102" t="s">
        <v>81</v>
      </c>
      <c r="E3102" s="2" t="str">
        <f>HYPERLINK("capsilon://?command=openfolder&amp;siteaddress=FAM.docvelocity-na8.net&amp;folderid=FX916D7369-E95E-75D5-5B50-8E1B0B8D8E7C","FX201116320")</f>
        <v>FX201116320</v>
      </c>
      <c r="F3102" t="s">
        <v>19</v>
      </c>
      <c r="G3102" t="s">
        <v>19</v>
      </c>
      <c r="H3102" t="s">
        <v>82</v>
      </c>
      <c r="I3102" t="s">
        <v>7321</v>
      </c>
      <c r="J3102">
        <v>66</v>
      </c>
      <c r="K3102" t="s">
        <v>84</v>
      </c>
      <c r="L3102" t="s">
        <v>85</v>
      </c>
      <c r="M3102" t="s">
        <v>86</v>
      </c>
      <c r="N3102">
        <v>3</v>
      </c>
      <c r="O3102" s="1">
        <v>44201.720324074071</v>
      </c>
      <c r="P3102" s="1">
        <v>44202.366157407407</v>
      </c>
      <c r="Q3102">
        <v>55678</v>
      </c>
      <c r="R3102">
        <v>122</v>
      </c>
      <c r="S3102" t="b">
        <v>0</v>
      </c>
      <c r="T3102" t="s">
        <v>87</v>
      </c>
      <c r="U3102" t="b">
        <v>0</v>
      </c>
      <c r="V3102" t="s">
        <v>259</v>
      </c>
      <c r="W3102" s="1">
        <v>44201.747511574074</v>
      </c>
      <c r="X3102">
        <v>87</v>
      </c>
      <c r="Y3102">
        <v>0</v>
      </c>
      <c r="Z3102">
        <v>0</v>
      </c>
      <c r="AA3102">
        <v>0</v>
      </c>
      <c r="AB3102">
        <v>52</v>
      </c>
      <c r="AC3102">
        <v>0</v>
      </c>
      <c r="AD3102">
        <v>66</v>
      </c>
      <c r="AE3102">
        <v>0</v>
      </c>
      <c r="AF3102">
        <v>0</v>
      </c>
      <c r="AG3102">
        <v>0</v>
      </c>
      <c r="AH3102" t="s">
        <v>267</v>
      </c>
      <c r="AI3102" s="1">
        <v>44201.761041666665</v>
      </c>
      <c r="AJ3102">
        <v>29</v>
      </c>
      <c r="AK3102">
        <v>0</v>
      </c>
      <c r="AL3102">
        <v>0</v>
      </c>
      <c r="AM3102">
        <v>0</v>
      </c>
      <c r="AN3102">
        <v>52</v>
      </c>
      <c r="AO3102">
        <v>0</v>
      </c>
      <c r="AP3102">
        <v>66</v>
      </c>
      <c r="AQ3102">
        <v>0</v>
      </c>
      <c r="AR3102">
        <v>0</v>
      </c>
      <c r="AS3102">
        <v>0</v>
      </c>
      <c r="AT3102" t="s">
        <v>90</v>
      </c>
      <c r="AU3102" s="1">
        <v>44202.366157407407</v>
      </c>
      <c r="AV3102">
        <v>6</v>
      </c>
      <c r="AW3102">
        <v>0</v>
      </c>
      <c r="AX3102">
        <v>0</v>
      </c>
      <c r="AY3102">
        <v>0</v>
      </c>
      <c r="AZ3102">
        <v>52</v>
      </c>
      <c r="BA3102">
        <v>0</v>
      </c>
      <c r="BB3102">
        <v>66</v>
      </c>
      <c r="BC3102">
        <v>0</v>
      </c>
      <c r="BD3102">
        <v>0</v>
      </c>
      <c r="BE3102">
        <v>0</v>
      </c>
    </row>
    <row r="3103" spans="1:57" x14ac:dyDescent="0.45">
      <c r="A3103" t="s">
        <v>7322</v>
      </c>
      <c r="B3103" t="s">
        <v>79</v>
      </c>
      <c r="C3103" t="s">
        <v>7323</v>
      </c>
      <c r="D3103" t="s">
        <v>81</v>
      </c>
      <c r="E3103" s="2" t="str">
        <f>HYPERLINK("capsilon://?command=openfolder&amp;siteaddress=FAM.docvelocity-na8.net&amp;folderid=FXAC41B02E-9E94-DD73-9EAB-E6FB0998BD14","FX201227776")</f>
        <v>FX201227776</v>
      </c>
      <c r="F3103" t="s">
        <v>19</v>
      </c>
      <c r="G3103" t="s">
        <v>19</v>
      </c>
      <c r="H3103" t="s">
        <v>82</v>
      </c>
      <c r="I3103" t="s">
        <v>7324</v>
      </c>
      <c r="J3103">
        <v>66</v>
      </c>
      <c r="K3103" t="s">
        <v>84</v>
      </c>
      <c r="L3103" t="s">
        <v>85</v>
      </c>
      <c r="M3103" t="s">
        <v>86</v>
      </c>
      <c r="N3103">
        <v>3</v>
      </c>
      <c r="O3103" s="1">
        <v>44224.614444444444</v>
      </c>
      <c r="P3103" s="1">
        <v>44224.627280092594</v>
      </c>
      <c r="Q3103">
        <v>365</v>
      </c>
      <c r="R3103">
        <v>744</v>
      </c>
      <c r="S3103" t="b">
        <v>0</v>
      </c>
      <c r="T3103" t="s">
        <v>87</v>
      </c>
      <c r="U3103" t="b">
        <v>0</v>
      </c>
      <c r="V3103" t="s">
        <v>242</v>
      </c>
      <c r="W3103" s="1">
        <v>44224.61990740741</v>
      </c>
      <c r="X3103">
        <v>469</v>
      </c>
      <c r="Y3103">
        <v>52</v>
      </c>
      <c r="Z3103">
        <v>0</v>
      </c>
      <c r="AA3103">
        <v>52</v>
      </c>
      <c r="AB3103">
        <v>0</v>
      </c>
      <c r="AC3103">
        <v>33</v>
      </c>
      <c r="AD3103">
        <v>14</v>
      </c>
      <c r="AE3103">
        <v>0</v>
      </c>
      <c r="AF3103">
        <v>0</v>
      </c>
      <c r="AG3103">
        <v>0</v>
      </c>
      <c r="AH3103" t="s">
        <v>128</v>
      </c>
      <c r="AI3103" s="1">
        <v>44224.623749999999</v>
      </c>
      <c r="AJ3103">
        <v>269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14</v>
      </c>
      <c r="AQ3103">
        <v>0</v>
      </c>
      <c r="AR3103">
        <v>0</v>
      </c>
      <c r="AS3103">
        <v>0</v>
      </c>
      <c r="AT3103" t="s">
        <v>90</v>
      </c>
      <c r="AU3103" s="1">
        <v>44224.627280092594</v>
      </c>
      <c r="AV3103">
        <v>6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14</v>
      </c>
      <c r="BC3103">
        <v>0</v>
      </c>
      <c r="BD3103">
        <v>0</v>
      </c>
      <c r="BE3103">
        <v>0</v>
      </c>
    </row>
    <row r="3104" spans="1:57" x14ac:dyDescent="0.45">
      <c r="A3104" t="s">
        <v>7325</v>
      </c>
      <c r="B3104" t="s">
        <v>79</v>
      </c>
      <c r="C3104" t="s">
        <v>7326</v>
      </c>
      <c r="D3104" t="s">
        <v>81</v>
      </c>
      <c r="E3104" s="2" t="str">
        <f>HYPERLINK("capsilon://?command=openfolder&amp;siteaddress=FAM.docvelocity-na8.net&amp;folderid=FX627D6C28-CDFC-A321-5685-A9BA3D106AF6","FX20128351")</f>
        <v>FX20128351</v>
      </c>
      <c r="F3104" t="s">
        <v>19</v>
      </c>
      <c r="G3104" t="s">
        <v>19</v>
      </c>
      <c r="H3104" t="s">
        <v>82</v>
      </c>
      <c r="I3104" t="s">
        <v>7327</v>
      </c>
      <c r="J3104">
        <v>186</v>
      </c>
      <c r="K3104" t="s">
        <v>84</v>
      </c>
      <c r="L3104" t="s">
        <v>85</v>
      </c>
      <c r="M3104" t="s">
        <v>86</v>
      </c>
      <c r="N3104">
        <v>3</v>
      </c>
      <c r="O3104" s="1">
        <v>44224.61478009259</v>
      </c>
      <c r="P3104" s="1">
        <v>44225.377465277779</v>
      </c>
      <c r="Q3104">
        <v>57963</v>
      </c>
      <c r="R3104">
        <v>7933</v>
      </c>
      <c r="S3104" t="b">
        <v>0</v>
      </c>
      <c r="T3104" t="s">
        <v>87</v>
      </c>
      <c r="U3104" t="b">
        <v>0</v>
      </c>
      <c r="V3104" t="s">
        <v>259</v>
      </c>
      <c r="W3104" s="1">
        <v>44224.691712962966</v>
      </c>
      <c r="X3104">
        <v>6644</v>
      </c>
      <c r="Y3104">
        <v>372</v>
      </c>
      <c r="Z3104">
        <v>0</v>
      </c>
      <c r="AA3104">
        <v>372</v>
      </c>
      <c r="AB3104">
        <v>0</v>
      </c>
      <c r="AC3104">
        <v>347</v>
      </c>
      <c r="AD3104">
        <v>-186</v>
      </c>
      <c r="AE3104">
        <v>0</v>
      </c>
      <c r="AF3104">
        <v>0</v>
      </c>
      <c r="AG3104">
        <v>0</v>
      </c>
      <c r="AH3104" t="s">
        <v>128</v>
      </c>
      <c r="AI3104" s="1">
        <v>44224.705983796295</v>
      </c>
      <c r="AJ3104">
        <v>1132</v>
      </c>
      <c r="AK3104">
        <v>30</v>
      </c>
      <c r="AL3104">
        <v>0</v>
      </c>
      <c r="AM3104">
        <v>30</v>
      </c>
      <c r="AN3104">
        <v>0</v>
      </c>
      <c r="AO3104">
        <v>30</v>
      </c>
      <c r="AP3104">
        <v>-216</v>
      </c>
      <c r="AQ3104">
        <v>0</v>
      </c>
      <c r="AR3104">
        <v>0</v>
      </c>
      <c r="AS3104">
        <v>0</v>
      </c>
      <c r="AT3104" t="s">
        <v>90</v>
      </c>
      <c r="AU3104" s="1">
        <v>44225.377465277779</v>
      </c>
      <c r="AV3104">
        <v>157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-216</v>
      </c>
      <c r="BC3104">
        <v>0</v>
      </c>
      <c r="BD3104">
        <v>0</v>
      </c>
      <c r="BE3104">
        <v>0</v>
      </c>
    </row>
    <row r="3105" spans="1:57" x14ac:dyDescent="0.45">
      <c r="A3105" t="s">
        <v>7328</v>
      </c>
      <c r="B3105" t="s">
        <v>79</v>
      </c>
      <c r="C3105" t="s">
        <v>7329</v>
      </c>
      <c r="D3105" t="s">
        <v>81</v>
      </c>
      <c r="E3105" s="2" t="str">
        <f>HYPERLINK("capsilon://?command=openfolder&amp;siteaddress=FAM.docvelocity-na8.net&amp;folderid=FX4560BFEC-F6B9-4EC1-21BC-3C3CF714A9B4","FX210118835")</f>
        <v>FX210118835</v>
      </c>
      <c r="F3105" t="s">
        <v>19</v>
      </c>
      <c r="G3105" t="s">
        <v>19</v>
      </c>
      <c r="H3105" t="s">
        <v>82</v>
      </c>
      <c r="I3105" t="s">
        <v>7330</v>
      </c>
      <c r="J3105">
        <v>76</v>
      </c>
      <c r="K3105" t="s">
        <v>84</v>
      </c>
      <c r="L3105" t="s">
        <v>85</v>
      </c>
      <c r="M3105" t="s">
        <v>86</v>
      </c>
      <c r="N3105">
        <v>3</v>
      </c>
      <c r="O3105" s="1">
        <v>44224.61959490741</v>
      </c>
      <c r="P3105" s="1">
        <v>44224.683865740742</v>
      </c>
      <c r="Q3105">
        <v>4280</v>
      </c>
      <c r="R3105">
        <v>1273</v>
      </c>
      <c r="S3105" t="b">
        <v>0</v>
      </c>
      <c r="T3105" t="s">
        <v>87</v>
      </c>
      <c r="U3105" t="b">
        <v>0</v>
      </c>
      <c r="V3105" t="s">
        <v>343</v>
      </c>
      <c r="W3105" s="1">
        <v>44224.634189814817</v>
      </c>
      <c r="X3105">
        <v>983</v>
      </c>
      <c r="Y3105">
        <v>37</v>
      </c>
      <c r="Z3105">
        <v>0</v>
      </c>
      <c r="AA3105">
        <v>37</v>
      </c>
      <c r="AB3105">
        <v>37</v>
      </c>
      <c r="AC3105">
        <v>29</v>
      </c>
      <c r="AD3105">
        <v>39</v>
      </c>
      <c r="AE3105">
        <v>0</v>
      </c>
      <c r="AF3105">
        <v>0</v>
      </c>
      <c r="AG3105">
        <v>0</v>
      </c>
      <c r="AH3105" t="s">
        <v>132</v>
      </c>
      <c r="AI3105" s="1">
        <v>44224.63685185185</v>
      </c>
      <c r="AJ3105">
        <v>87</v>
      </c>
      <c r="AK3105">
        <v>0</v>
      </c>
      <c r="AL3105">
        <v>0</v>
      </c>
      <c r="AM3105">
        <v>0</v>
      </c>
      <c r="AN3105">
        <v>37</v>
      </c>
      <c r="AO3105">
        <v>0</v>
      </c>
      <c r="AP3105">
        <v>39</v>
      </c>
      <c r="AQ3105">
        <v>0</v>
      </c>
      <c r="AR3105">
        <v>0</v>
      </c>
      <c r="AS3105">
        <v>0</v>
      </c>
      <c r="AT3105" t="s">
        <v>90</v>
      </c>
      <c r="AU3105" s="1">
        <v>44224.683865740742</v>
      </c>
      <c r="AV3105">
        <v>58</v>
      </c>
      <c r="AW3105">
        <v>0</v>
      </c>
      <c r="AX3105">
        <v>0</v>
      </c>
      <c r="AY3105">
        <v>0</v>
      </c>
      <c r="AZ3105">
        <v>37</v>
      </c>
      <c r="BA3105">
        <v>0</v>
      </c>
      <c r="BB3105">
        <v>39</v>
      </c>
      <c r="BC3105">
        <v>0</v>
      </c>
      <c r="BD3105">
        <v>0</v>
      </c>
      <c r="BE3105">
        <v>0</v>
      </c>
    </row>
    <row r="3106" spans="1:57" x14ac:dyDescent="0.45">
      <c r="A3106" t="s">
        <v>7331</v>
      </c>
      <c r="B3106" t="s">
        <v>79</v>
      </c>
      <c r="C3106" t="s">
        <v>163</v>
      </c>
      <c r="D3106" t="s">
        <v>81</v>
      </c>
      <c r="E3106" s="2" t="str">
        <f>HYPERLINK("capsilon://?command=openfolder&amp;siteaddress=FAM.docvelocity-na8.net&amp;folderid=FX90B95D14-9D27-4D28-D34C-8A8ACC748A6D","FX210113106")</f>
        <v>FX210113106</v>
      </c>
      <c r="F3106" t="s">
        <v>19</v>
      </c>
      <c r="G3106" t="s">
        <v>19</v>
      </c>
      <c r="H3106" t="s">
        <v>82</v>
      </c>
      <c r="I3106" t="s">
        <v>7332</v>
      </c>
      <c r="J3106">
        <v>66</v>
      </c>
      <c r="K3106" t="s">
        <v>84</v>
      </c>
      <c r="L3106" t="s">
        <v>85</v>
      </c>
      <c r="M3106" t="s">
        <v>86</v>
      </c>
      <c r="N3106">
        <v>3</v>
      </c>
      <c r="O3106" s="1">
        <v>44224.620358796295</v>
      </c>
      <c r="P3106" s="1">
        <v>44224.634108796294</v>
      </c>
      <c r="Q3106">
        <v>206</v>
      </c>
      <c r="R3106">
        <v>982</v>
      </c>
      <c r="S3106" t="b">
        <v>0</v>
      </c>
      <c r="T3106" t="s">
        <v>87</v>
      </c>
      <c r="U3106" t="b">
        <v>0</v>
      </c>
      <c r="V3106" t="s">
        <v>142</v>
      </c>
      <c r="W3106" s="1">
        <v>44224.630439814813</v>
      </c>
      <c r="X3106">
        <v>853</v>
      </c>
      <c r="Y3106">
        <v>52</v>
      </c>
      <c r="Z3106">
        <v>0</v>
      </c>
      <c r="AA3106">
        <v>52</v>
      </c>
      <c r="AB3106">
        <v>0</v>
      </c>
      <c r="AC3106">
        <v>38</v>
      </c>
      <c r="AD3106">
        <v>14</v>
      </c>
      <c r="AE3106">
        <v>0</v>
      </c>
      <c r="AF3106">
        <v>0</v>
      </c>
      <c r="AG3106">
        <v>0</v>
      </c>
      <c r="AH3106" t="s">
        <v>132</v>
      </c>
      <c r="AI3106" s="1">
        <v>44224.632488425923</v>
      </c>
      <c r="AJ3106">
        <v>87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14</v>
      </c>
      <c r="AQ3106">
        <v>0</v>
      </c>
      <c r="AR3106">
        <v>0</v>
      </c>
      <c r="AS3106">
        <v>0</v>
      </c>
      <c r="AT3106" t="s">
        <v>90</v>
      </c>
      <c r="AU3106" s="1">
        <v>44224.634108796294</v>
      </c>
      <c r="AV3106">
        <v>42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14</v>
      </c>
      <c r="BC3106">
        <v>0</v>
      </c>
      <c r="BD3106">
        <v>0</v>
      </c>
      <c r="BE3106">
        <v>0</v>
      </c>
    </row>
    <row r="3107" spans="1:57" x14ac:dyDescent="0.45">
      <c r="A3107" t="s">
        <v>7333</v>
      </c>
      <c r="B3107" t="s">
        <v>79</v>
      </c>
      <c r="C3107" t="s">
        <v>7334</v>
      </c>
      <c r="D3107" t="s">
        <v>81</v>
      </c>
      <c r="E3107" s="2" t="str">
        <f>HYPERLINK("capsilon://?command=openfolder&amp;siteaddress=FAM.docvelocity-na8.net&amp;folderid=FX73B3F4A8-9F2F-D955-0411-203577ABAD04","FX201112620")</f>
        <v>FX201112620</v>
      </c>
      <c r="F3107" t="s">
        <v>19</v>
      </c>
      <c r="G3107" t="s">
        <v>19</v>
      </c>
      <c r="H3107" t="s">
        <v>82</v>
      </c>
      <c r="I3107" t="s">
        <v>7335</v>
      </c>
      <c r="J3107">
        <v>577</v>
      </c>
      <c r="K3107" t="s">
        <v>84</v>
      </c>
      <c r="L3107" t="s">
        <v>85</v>
      </c>
      <c r="M3107" t="s">
        <v>86</v>
      </c>
      <c r="N3107">
        <v>3</v>
      </c>
      <c r="O3107" s="1">
        <v>44224.623935185184</v>
      </c>
      <c r="P3107" s="1">
        <v>44225.378194444442</v>
      </c>
      <c r="Q3107">
        <v>58435</v>
      </c>
      <c r="R3107">
        <v>6733</v>
      </c>
      <c r="S3107" t="b">
        <v>0</v>
      </c>
      <c r="T3107" t="s">
        <v>87</v>
      </c>
      <c r="U3107" t="b">
        <v>0</v>
      </c>
      <c r="V3107" t="s">
        <v>242</v>
      </c>
      <c r="W3107" s="1">
        <v>44224.698101851849</v>
      </c>
      <c r="X3107">
        <v>3482</v>
      </c>
      <c r="Y3107">
        <v>601</v>
      </c>
      <c r="Z3107">
        <v>0</v>
      </c>
      <c r="AA3107">
        <v>601</v>
      </c>
      <c r="AB3107">
        <v>52</v>
      </c>
      <c r="AC3107">
        <v>468</v>
      </c>
      <c r="AD3107">
        <v>-24</v>
      </c>
      <c r="AE3107">
        <v>5</v>
      </c>
      <c r="AF3107">
        <v>0</v>
      </c>
      <c r="AG3107">
        <v>0</v>
      </c>
      <c r="AH3107" t="s">
        <v>132</v>
      </c>
      <c r="AI3107" s="1">
        <v>44224.716481481482</v>
      </c>
      <c r="AJ3107">
        <v>868</v>
      </c>
      <c r="AK3107">
        <v>8</v>
      </c>
      <c r="AL3107">
        <v>0</v>
      </c>
      <c r="AM3107">
        <v>8</v>
      </c>
      <c r="AN3107">
        <v>52</v>
      </c>
      <c r="AO3107">
        <v>7</v>
      </c>
      <c r="AP3107">
        <v>-32</v>
      </c>
      <c r="AQ3107">
        <v>0</v>
      </c>
      <c r="AR3107">
        <v>0</v>
      </c>
      <c r="AS3107">
        <v>0</v>
      </c>
      <c r="AT3107" t="s">
        <v>90</v>
      </c>
      <c r="AU3107" s="1">
        <v>44225.378194444442</v>
      </c>
      <c r="AV3107">
        <v>62</v>
      </c>
      <c r="AW3107">
        <v>0</v>
      </c>
      <c r="AX3107">
        <v>0</v>
      </c>
      <c r="AY3107">
        <v>0</v>
      </c>
      <c r="AZ3107">
        <v>52</v>
      </c>
      <c r="BA3107">
        <v>0</v>
      </c>
      <c r="BB3107">
        <v>-32</v>
      </c>
      <c r="BC3107">
        <v>0</v>
      </c>
      <c r="BD3107">
        <v>0</v>
      </c>
      <c r="BE3107">
        <v>0</v>
      </c>
    </row>
    <row r="3108" spans="1:57" x14ac:dyDescent="0.45">
      <c r="A3108" t="s">
        <v>7336</v>
      </c>
      <c r="B3108" t="s">
        <v>79</v>
      </c>
      <c r="C3108" t="s">
        <v>6887</v>
      </c>
      <c r="D3108" t="s">
        <v>81</v>
      </c>
      <c r="E3108" s="2" t="str">
        <f>HYPERLINK("capsilon://?command=openfolder&amp;siteaddress=FAM.docvelocity-na8.net&amp;folderid=FXDC5B2661-E133-1057-A6FA-909ED8DB7C47","FX210114508")</f>
        <v>FX210114508</v>
      </c>
      <c r="F3108" t="s">
        <v>19</v>
      </c>
      <c r="G3108" t="s">
        <v>19</v>
      </c>
      <c r="H3108" t="s">
        <v>82</v>
      </c>
      <c r="I3108" t="s">
        <v>7337</v>
      </c>
      <c r="J3108">
        <v>66</v>
      </c>
      <c r="K3108" t="s">
        <v>84</v>
      </c>
      <c r="L3108" t="s">
        <v>85</v>
      </c>
      <c r="M3108" t="s">
        <v>86</v>
      </c>
      <c r="N3108">
        <v>3</v>
      </c>
      <c r="O3108" s="1">
        <v>44224.624710648146</v>
      </c>
      <c r="P3108" s="1">
        <v>44224.683969907404</v>
      </c>
      <c r="Q3108">
        <v>4089</v>
      </c>
      <c r="R3108">
        <v>1031</v>
      </c>
      <c r="S3108" t="b">
        <v>0</v>
      </c>
      <c r="T3108" t="s">
        <v>87</v>
      </c>
      <c r="U3108" t="b">
        <v>0</v>
      </c>
      <c r="V3108" t="s">
        <v>142</v>
      </c>
      <c r="W3108" s="1">
        <v>44224.640567129631</v>
      </c>
      <c r="X3108">
        <v>875</v>
      </c>
      <c r="Y3108">
        <v>52</v>
      </c>
      <c r="Z3108">
        <v>0</v>
      </c>
      <c r="AA3108">
        <v>52</v>
      </c>
      <c r="AB3108">
        <v>0</v>
      </c>
      <c r="AC3108">
        <v>32</v>
      </c>
      <c r="AD3108">
        <v>14</v>
      </c>
      <c r="AE3108">
        <v>0</v>
      </c>
      <c r="AF3108">
        <v>0</v>
      </c>
      <c r="AG3108">
        <v>0</v>
      </c>
      <c r="AH3108" t="s">
        <v>128</v>
      </c>
      <c r="AI3108" s="1">
        <v>44224.642638888887</v>
      </c>
      <c r="AJ3108">
        <v>148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14</v>
      </c>
      <c r="AQ3108">
        <v>0</v>
      </c>
      <c r="AR3108">
        <v>0</v>
      </c>
      <c r="AS3108">
        <v>0</v>
      </c>
      <c r="AT3108" t="s">
        <v>90</v>
      </c>
      <c r="AU3108" s="1">
        <v>44224.683969907404</v>
      </c>
      <c r="AV3108">
        <v>8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14</v>
      </c>
      <c r="BC3108">
        <v>0</v>
      </c>
      <c r="BD3108">
        <v>0</v>
      </c>
      <c r="BE3108">
        <v>0</v>
      </c>
    </row>
    <row r="3109" spans="1:57" hidden="1" x14ac:dyDescent="0.45">
      <c r="A3109" t="s">
        <v>7338</v>
      </c>
      <c r="B3109" t="s">
        <v>79</v>
      </c>
      <c r="C3109" t="s">
        <v>7109</v>
      </c>
      <c r="D3109" t="s">
        <v>81</v>
      </c>
      <c r="E3109" s="2" t="str">
        <f>HYPERLINK("capsilon://?command=openfolder&amp;siteaddress=FAM.docvelocity-na8.net&amp;folderid=FXBF061ECD-6C57-1E66-9CAD-BF571F20B4CD","FX20126380")</f>
        <v>FX20126380</v>
      </c>
      <c r="F3109" t="s">
        <v>19</v>
      </c>
      <c r="G3109" t="s">
        <v>19</v>
      </c>
      <c r="H3109" t="s">
        <v>82</v>
      </c>
      <c r="I3109" t="s">
        <v>7339</v>
      </c>
      <c r="J3109">
        <v>72</v>
      </c>
      <c r="K3109" t="s">
        <v>84</v>
      </c>
      <c r="L3109" t="s">
        <v>85</v>
      </c>
      <c r="M3109" t="s">
        <v>86</v>
      </c>
      <c r="N3109">
        <v>1</v>
      </c>
      <c r="O3109" s="1">
        <v>44224.627685185187</v>
      </c>
      <c r="P3109" s="1">
        <v>44224.635428240741</v>
      </c>
      <c r="Q3109">
        <v>370</v>
      </c>
      <c r="R3109">
        <v>299</v>
      </c>
      <c r="S3109" t="b">
        <v>0</v>
      </c>
      <c r="T3109" t="s">
        <v>87</v>
      </c>
      <c r="U3109" t="b">
        <v>0</v>
      </c>
      <c r="V3109" t="s">
        <v>179</v>
      </c>
      <c r="W3109" s="1">
        <v>44224.635428240741</v>
      </c>
      <c r="X3109">
        <v>299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72</v>
      </c>
      <c r="AE3109">
        <v>68</v>
      </c>
      <c r="AF3109">
        <v>0</v>
      </c>
      <c r="AG3109">
        <v>4</v>
      </c>
      <c r="AH3109" t="s">
        <v>87</v>
      </c>
      <c r="AI3109" t="s">
        <v>87</v>
      </c>
      <c r="AJ3109" t="s">
        <v>87</v>
      </c>
      <c r="AK3109" t="s">
        <v>87</v>
      </c>
      <c r="AL3109" t="s">
        <v>87</v>
      </c>
      <c r="AM3109" t="s">
        <v>87</v>
      </c>
      <c r="AN3109" t="s">
        <v>87</v>
      </c>
      <c r="AO3109" t="s">
        <v>87</v>
      </c>
      <c r="AP3109" t="s">
        <v>87</v>
      </c>
      <c r="AQ3109" t="s">
        <v>87</v>
      </c>
      <c r="AR3109" t="s">
        <v>87</v>
      </c>
      <c r="AS3109" t="s">
        <v>87</v>
      </c>
      <c r="AT3109" t="s">
        <v>87</v>
      </c>
      <c r="AU3109" t="s">
        <v>87</v>
      </c>
      <c r="AV3109" t="s">
        <v>87</v>
      </c>
      <c r="AW3109" t="s">
        <v>87</v>
      </c>
      <c r="AX3109" t="s">
        <v>87</v>
      </c>
      <c r="AY3109" t="s">
        <v>87</v>
      </c>
      <c r="AZ3109" t="s">
        <v>87</v>
      </c>
      <c r="BA3109" t="s">
        <v>87</v>
      </c>
      <c r="BB3109" t="s">
        <v>87</v>
      </c>
      <c r="BC3109" t="s">
        <v>87</v>
      </c>
      <c r="BD3109" t="s">
        <v>87</v>
      </c>
      <c r="BE3109" t="s">
        <v>87</v>
      </c>
    </row>
    <row r="3110" spans="1:57" x14ac:dyDescent="0.45">
      <c r="A3110" t="s">
        <v>7340</v>
      </c>
      <c r="B3110" t="s">
        <v>79</v>
      </c>
      <c r="C3110" t="s">
        <v>5945</v>
      </c>
      <c r="D3110" t="s">
        <v>81</v>
      </c>
      <c r="E3110" s="2" t="str">
        <f>HYPERLINK("capsilon://?command=openfolder&amp;siteaddress=FAM.docvelocity-na8.net&amp;folderid=FX6D148520-82EC-FAA4-3432-30A66C456F94","FX210111693")</f>
        <v>FX210111693</v>
      </c>
      <c r="F3110" t="s">
        <v>19</v>
      </c>
      <c r="G3110" t="s">
        <v>19</v>
      </c>
      <c r="H3110" t="s">
        <v>82</v>
      </c>
      <c r="I3110" t="s">
        <v>7341</v>
      </c>
      <c r="J3110">
        <v>66</v>
      </c>
      <c r="K3110" t="s">
        <v>84</v>
      </c>
      <c r="L3110" t="s">
        <v>85</v>
      </c>
      <c r="M3110" t="s">
        <v>86</v>
      </c>
      <c r="N3110">
        <v>3</v>
      </c>
      <c r="O3110" s="1">
        <v>44224.630682870367</v>
      </c>
      <c r="P3110" s="1">
        <v>44224.684374999997</v>
      </c>
      <c r="Q3110">
        <v>3273</v>
      </c>
      <c r="R3110">
        <v>1366</v>
      </c>
      <c r="S3110" t="b">
        <v>0</v>
      </c>
      <c r="T3110" t="s">
        <v>87</v>
      </c>
      <c r="U3110" t="b">
        <v>0</v>
      </c>
      <c r="V3110" t="s">
        <v>171</v>
      </c>
      <c r="W3110" s="1">
        <v>44224.645277777781</v>
      </c>
      <c r="X3110">
        <v>1136</v>
      </c>
      <c r="Y3110">
        <v>52</v>
      </c>
      <c r="Z3110">
        <v>0</v>
      </c>
      <c r="AA3110">
        <v>52</v>
      </c>
      <c r="AB3110">
        <v>0</v>
      </c>
      <c r="AC3110">
        <v>43</v>
      </c>
      <c r="AD3110">
        <v>14</v>
      </c>
      <c r="AE3110">
        <v>0</v>
      </c>
      <c r="AF3110">
        <v>0</v>
      </c>
      <c r="AG3110">
        <v>0</v>
      </c>
      <c r="AH3110" t="s">
        <v>128</v>
      </c>
      <c r="AI3110" s="1">
        <v>44224.648599537039</v>
      </c>
      <c r="AJ3110">
        <v>196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14</v>
      </c>
      <c r="AQ3110">
        <v>0</v>
      </c>
      <c r="AR3110">
        <v>0</v>
      </c>
      <c r="AS3110">
        <v>0</v>
      </c>
      <c r="AT3110" t="s">
        <v>90</v>
      </c>
      <c r="AU3110" s="1">
        <v>44224.684374999997</v>
      </c>
      <c r="AV3110">
        <v>34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14</v>
      </c>
      <c r="BC3110">
        <v>0</v>
      </c>
      <c r="BD3110">
        <v>0</v>
      </c>
      <c r="BE3110">
        <v>0</v>
      </c>
    </row>
    <row r="3111" spans="1:57" x14ac:dyDescent="0.45">
      <c r="A3111" t="s">
        <v>7342</v>
      </c>
      <c r="B3111" t="s">
        <v>79</v>
      </c>
      <c r="C3111" t="s">
        <v>7109</v>
      </c>
      <c r="D3111" t="s">
        <v>81</v>
      </c>
      <c r="E3111" s="2" t="str">
        <f>HYPERLINK("capsilon://?command=openfolder&amp;siteaddress=FAM.docvelocity-na8.net&amp;folderid=FXBF061ECD-6C57-1E66-9CAD-BF571F20B4CD","FX20126380")</f>
        <v>FX20126380</v>
      </c>
      <c r="F3111" t="s">
        <v>19</v>
      </c>
      <c r="G3111" t="s">
        <v>19</v>
      </c>
      <c r="H3111" t="s">
        <v>82</v>
      </c>
      <c r="I3111" t="s">
        <v>7339</v>
      </c>
      <c r="J3111">
        <v>258</v>
      </c>
      <c r="K3111" t="s">
        <v>84</v>
      </c>
      <c r="L3111" t="s">
        <v>85</v>
      </c>
      <c r="M3111" t="s">
        <v>86</v>
      </c>
      <c r="N3111">
        <v>3</v>
      </c>
      <c r="O3111" s="1">
        <v>44224.636736111112</v>
      </c>
      <c r="P3111" s="1">
        <v>44224.683182870373</v>
      </c>
      <c r="Q3111">
        <v>1693</v>
      </c>
      <c r="R3111">
        <v>2320</v>
      </c>
      <c r="S3111" t="b">
        <v>0</v>
      </c>
      <c r="T3111" t="s">
        <v>87</v>
      </c>
      <c r="U3111" t="b">
        <v>1</v>
      </c>
      <c r="V3111" t="s">
        <v>179</v>
      </c>
      <c r="W3111" s="1">
        <v>44224.660034722219</v>
      </c>
      <c r="X3111">
        <v>2012</v>
      </c>
      <c r="Y3111">
        <v>251</v>
      </c>
      <c r="Z3111">
        <v>0</v>
      </c>
      <c r="AA3111">
        <v>251</v>
      </c>
      <c r="AB3111">
        <v>0</v>
      </c>
      <c r="AC3111">
        <v>147</v>
      </c>
      <c r="AD3111">
        <v>7</v>
      </c>
      <c r="AE3111">
        <v>0</v>
      </c>
      <c r="AF3111">
        <v>0</v>
      </c>
      <c r="AG3111">
        <v>0</v>
      </c>
      <c r="AH3111" t="s">
        <v>132</v>
      </c>
      <c r="AI3111" s="1">
        <v>44224.66642361111</v>
      </c>
      <c r="AJ3111">
        <v>288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7</v>
      </c>
      <c r="AQ3111">
        <v>0</v>
      </c>
      <c r="AR3111">
        <v>0</v>
      </c>
      <c r="AS3111">
        <v>0</v>
      </c>
      <c r="AT3111" t="s">
        <v>90</v>
      </c>
      <c r="AU3111" s="1">
        <v>44224.683182870373</v>
      </c>
      <c r="AV3111">
        <v>20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7</v>
      </c>
      <c r="BC3111">
        <v>0</v>
      </c>
      <c r="BD3111">
        <v>0</v>
      </c>
      <c r="BE3111">
        <v>0</v>
      </c>
    </row>
    <row r="3112" spans="1:57" x14ac:dyDescent="0.45">
      <c r="A3112" t="s">
        <v>7343</v>
      </c>
      <c r="B3112" t="s">
        <v>79</v>
      </c>
      <c r="C3112" t="s">
        <v>6510</v>
      </c>
      <c r="D3112" t="s">
        <v>81</v>
      </c>
      <c r="E3112" s="2" t="str">
        <f>HYPERLINK("capsilon://?command=openfolder&amp;siteaddress=FAM.docvelocity-na8.net&amp;folderid=FX7F23BBC5-9601-E6C9-D965-BCF154D3C832","FX210113119")</f>
        <v>FX210113119</v>
      </c>
      <c r="F3112" t="s">
        <v>19</v>
      </c>
      <c r="G3112" t="s">
        <v>19</v>
      </c>
      <c r="H3112" t="s">
        <v>82</v>
      </c>
      <c r="I3112" t="s">
        <v>7344</v>
      </c>
      <c r="J3112">
        <v>66</v>
      </c>
      <c r="K3112" t="s">
        <v>84</v>
      </c>
      <c r="L3112" t="s">
        <v>85</v>
      </c>
      <c r="M3112" t="s">
        <v>86</v>
      </c>
      <c r="N3112">
        <v>3</v>
      </c>
      <c r="O3112" s="1">
        <v>44224.650810185187</v>
      </c>
      <c r="P3112" s="1">
        <v>44224.684560185182</v>
      </c>
      <c r="Q3112">
        <v>1903</v>
      </c>
      <c r="R3112">
        <v>1013</v>
      </c>
      <c r="S3112" t="b">
        <v>0</v>
      </c>
      <c r="T3112" t="s">
        <v>87</v>
      </c>
      <c r="U3112" t="b">
        <v>0</v>
      </c>
      <c r="V3112" t="s">
        <v>171</v>
      </c>
      <c r="W3112" s="1">
        <v>44224.65960648148</v>
      </c>
      <c r="X3112">
        <v>712</v>
      </c>
      <c r="Y3112">
        <v>53</v>
      </c>
      <c r="Z3112">
        <v>0</v>
      </c>
      <c r="AA3112">
        <v>53</v>
      </c>
      <c r="AB3112">
        <v>0</v>
      </c>
      <c r="AC3112">
        <v>29</v>
      </c>
      <c r="AD3112">
        <v>13</v>
      </c>
      <c r="AE3112">
        <v>0</v>
      </c>
      <c r="AF3112">
        <v>0</v>
      </c>
      <c r="AG3112">
        <v>0</v>
      </c>
      <c r="AH3112" t="s">
        <v>132</v>
      </c>
      <c r="AI3112" s="1">
        <v>44224.663078703707</v>
      </c>
      <c r="AJ3112">
        <v>278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13</v>
      </c>
      <c r="AQ3112">
        <v>0</v>
      </c>
      <c r="AR3112">
        <v>0</v>
      </c>
      <c r="AS3112">
        <v>0</v>
      </c>
      <c r="AT3112" t="s">
        <v>90</v>
      </c>
      <c r="AU3112" s="1">
        <v>44224.684560185182</v>
      </c>
      <c r="AV3112">
        <v>15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13</v>
      </c>
      <c r="BC3112">
        <v>0</v>
      </c>
      <c r="BD3112">
        <v>0</v>
      </c>
      <c r="BE3112">
        <v>0</v>
      </c>
    </row>
    <row r="3113" spans="1:57" x14ac:dyDescent="0.45">
      <c r="A3113" t="s">
        <v>7345</v>
      </c>
      <c r="B3113" t="s">
        <v>79</v>
      </c>
      <c r="C3113" t="s">
        <v>123</v>
      </c>
      <c r="D3113" t="s">
        <v>81</v>
      </c>
      <c r="E3113" s="2" t="str">
        <f>HYPERLINK("capsilon://?command=openfolder&amp;siteaddress=FAM.docvelocity-na8.net&amp;folderid=FXD93F3F28-D965-A3D1-BAA5-977D0070E24C","FX201224147")</f>
        <v>FX201224147</v>
      </c>
      <c r="F3113" t="s">
        <v>19</v>
      </c>
      <c r="G3113" t="s">
        <v>19</v>
      </c>
      <c r="H3113" t="s">
        <v>82</v>
      </c>
      <c r="I3113" t="s">
        <v>7346</v>
      </c>
      <c r="J3113">
        <v>38</v>
      </c>
      <c r="K3113" t="s">
        <v>84</v>
      </c>
      <c r="L3113" t="s">
        <v>85</v>
      </c>
      <c r="M3113" t="s">
        <v>86</v>
      </c>
      <c r="N3113">
        <v>3</v>
      </c>
      <c r="O3113" s="1">
        <v>44224.651701388888</v>
      </c>
      <c r="P3113" s="1">
        <v>44224.684652777774</v>
      </c>
      <c r="Q3113">
        <v>2229</v>
      </c>
      <c r="R3113">
        <v>618</v>
      </c>
      <c r="S3113" t="b">
        <v>0</v>
      </c>
      <c r="T3113" t="s">
        <v>87</v>
      </c>
      <c r="U3113" t="b">
        <v>0</v>
      </c>
      <c r="V3113" t="s">
        <v>343</v>
      </c>
      <c r="W3113" s="1">
        <v>44224.658194444448</v>
      </c>
      <c r="X3113">
        <v>546</v>
      </c>
      <c r="Y3113">
        <v>37</v>
      </c>
      <c r="Z3113">
        <v>0</v>
      </c>
      <c r="AA3113">
        <v>37</v>
      </c>
      <c r="AB3113">
        <v>0</v>
      </c>
      <c r="AC3113">
        <v>21</v>
      </c>
      <c r="AD3113">
        <v>1</v>
      </c>
      <c r="AE3113">
        <v>0</v>
      </c>
      <c r="AF3113">
        <v>0</v>
      </c>
      <c r="AG3113">
        <v>0</v>
      </c>
      <c r="AH3113" t="s">
        <v>132</v>
      </c>
      <c r="AI3113" s="1">
        <v>44224.659282407411</v>
      </c>
      <c r="AJ3113">
        <v>65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</v>
      </c>
      <c r="AQ3113">
        <v>0</v>
      </c>
      <c r="AR3113">
        <v>0</v>
      </c>
      <c r="AS3113">
        <v>0</v>
      </c>
      <c r="AT3113" t="s">
        <v>90</v>
      </c>
      <c r="AU3113" s="1">
        <v>44224.684652777774</v>
      </c>
      <c r="AV3113">
        <v>7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</row>
    <row r="3114" spans="1:57" x14ac:dyDescent="0.45">
      <c r="A3114" t="s">
        <v>7347</v>
      </c>
      <c r="B3114" t="s">
        <v>79</v>
      </c>
      <c r="C3114" t="s">
        <v>7348</v>
      </c>
      <c r="D3114" t="s">
        <v>81</v>
      </c>
      <c r="E3114" s="2" t="str">
        <f>HYPERLINK("capsilon://?command=openfolder&amp;siteaddress=FAM.docvelocity-na8.net&amp;folderid=FX5D6F2E45-854E-12D5-7B4E-DC6C36982F9E","FX210115914")</f>
        <v>FX210115914</v>
      </c>
      <c r="F3114" t="s">
        <v>19</v>
      </c>
      <c r="G3114" t="s">
        <v>19</v>
      </c>
      <c r="H3114" t="s">
        <v>82</v>
      </c>
      <c r="I3114" t="s">
        <v>7349</v>
      </c>
      <c r="J3114">
        <v>469</v>
      </c>
      <c r="K3114" t="s">
        <v>84</v>
      </c>
      <c r="L3114" t="s">
        <v>85</v>
      </c>
      <c r="M3114" t="s">
        <v>86</v>
      </c>
      <c r="N3114">
        <v>3</v>
      </c>
      <c r="O3114" s="1">
        <v>44224.656701388885</v>
      </c>
      <c r="P3114" s="1">
        <v>44225.378541666665</v>
      </c>
      <c r="Q3114">
        <v>59231</v>
      </c>
      <c r="R3114">
        <v>3136</v>
      </c>
      <c r="S3114" t="b">
        <v>0</v>
      </c>
      <c r="T3114" t="s">
        <v>87</v>
      </c>
      <c r="U3114" t="b">
        <v>0</v>
      </c>
      <c r="V3114" t="s">
        <v>262</v>
      </c>
      <c r="W3114" s="1">
        <v>44224.683356481481</v>
      </c>
      <c r="X3114">
        <v>2287</v>
      </c>
      <c r="Y3114">
        <v>367</v>
      </c>
      <c r="Z3114">
        <v>0</v>
      </c>
      <c r="AA3114">
        <v>367</v>
      </c>
      <c r="AB3114">
        <v>0</v>
      </c>
      <c r="AC3114">
        <v>151</v>
      </c>
      <c r="AD3114">
        <v>102</v>
      </c>
      <c r="AE3114">
        <v>0</v>
      </c>
      <c r="AF3114">
        <v>0</v>
      </c>
      <c r="AG3114">
        <v>0</v>
      </c>
      <c r="AH3114" t="s">
        <v>128</v>
      </c>
      <c r="AI3114" s="1">
        <v>44224.692870370367</v>
      </c>
      <c r="AJ3114">
        <v>820</v>
      </c>
      <c r="AK3114">
        <v>2</v>
      </c>
      <c r="AL3114">
        <v>0</v>
      </c>
      <c r="AM3114">
        <v>2</v>
      </c>
      <c r="AN3114">
        <v>0</v>
      </c>
      <c r="AO3114">
        <v>2</v>
      </c>
      <c r="AP3114">
        <v>100</v>
      </c>
      <c r="AQ3114">
        <v>0</v>
      </c>
      <c r="AR3114">
        <v>0</v>
      </c>
      <c r="AS3114">
        <v>0</v>
      </c>
      <c r="AT3114" t="s">
        <v>90</v>
      </c>
      <c r="AU3114" s="1">
        <v>44225.378541666665</v>
      </c>
      <c r="AV3114">
        <v>29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100</v>
      </c>
      <c r="BC3114">
        <v>0</v>
      </c>
      <c r="BD3114">
        <v>0</v>
      </c>
      <c r="BE3114">
        <v>0</v>
      </c>
    </row>
    <row r="3115" spans="1:57" x14ac:dyDescent="0.45">
      <c r="A3115" t="s">
        <v>7350</v>
      </c>
      <c r="B3115" t="s">
        <v>79</v>
      </c>
      <c r="C3115" t="s">
        <v>7351</v>
      </c>
      <c r="D3115" t="s">
        <v>81</v>
      </c>
      <c r="E3115" s="2" t="str">
        <f>HYPERLINK("capsilon://?command=openfolder&amp;siteaddress=FAM.docvelocity-na8.net&amp;folderid=FXBC61520F-8BC5-D714-BBF1-CA3AF9E7128D","FX21015733")</f>
        <v>FX21015733</v>
      </c>
      <c r="F3115" t="s">
        <v>19</v>
      </c>
      <c r="G3115" t="s">
        <v>19</v>
      </c>
      <c r="H3115" t="s">
        <v>82</v>
      </c>
      <c r="I3115" t="s">
        <v>7352</v>
      </c>
      <c r="J3115">
        <v>26</v>
      </c>
      <c r="K3115" t="s">
        <v>84</v>
      </c>
      <c r="L3115" t="s">
        <v>85</v>
      </c>
      <c r="M3115" t="s">
        <v>86</v>
      </c>
      <c r="N3115">
        <v>3</v>
      </c>
      <c r="O3115" s="1">
        <v>44224.663518518515</v>
      </c>
      <c r="P3115" s="1">
        <v>44224.68472222222</v>
      </c>
      <c r="Q3115">
        <v>1242</v>
      </c>
      <c r="R3115">
        <v>590</v>
      </c>
      <c r="S3115" t="b">
        <v>0</v>
      </c>
      <c r="T3115" t="s">
        <v>87</v>
      </c>
      <c r="U3115" t="b">
        <v>0</v>
      </c>
      <c r="V3115" t="s">
        <v>179</v>
      </c>
      <c r="W3115" s="1">
        <v>44224.668738425928</v>
      </c>
      <c r="X3115">
        <v>451</v>
      </c>
      <c r="Y3115">
        <v>21</v>
      </c>
      <c r="Z3115">
        <v>0</v>
      </c>
      <c r="AA3115">
        <v>21</v>
      </c>
      <c r="AB3115">
        <v>0</v>
      </c>
      <c r="AC3115">
        <v>4</v>
      </c>
      <c r="AD3115">
        <v>5</v>
      </c>
      <c r="AE3115">
        <v>0</v>
      </c>
      <c r="AF3115">
        <v>0</v>
      </c>
      <c r="AG3115">
        <v>0</v>
      </c>
      <c r="AH3115" t="s">
        <v>128</v>
      </c>
      <c r="AI3115" s="1">
        <v>44224.67087962963</v>
      </c>
      <c r="AJ3115">
        <v>120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5</v>
      </c>
      <c r="AQ3115">
        <v>0</v>
      </c>
      <c r="AR3115">
        <v>0</v>
      </c>
      <c r="AS3115">
        <v>0</v>
      </c>
      <c r="AT3115" t="s">
        <v>90</v>
      </c>
      <c r="AU3115" s="1">
        <v>44224.68472222222</v>
      </c>
      <c r="AV3115">
        <v>5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5</v>
      </c>
      <c r="BC3115">
        <v>0</v>
      </c>
      <c r="BD3115">
        <v>0</v>
      </c>
      <c r="BE3115">
        <v>0</v>
      </c>
    </row>
    <row r="3116" spans="1:57" x14ac:dyDescent="0.45">
      <c r="A3116" t="s">
        <v>7353</v>
      </c>
      <c r="B3116" t="s">
        <v>79</v>
      </c>
      <c r="C3116" t="s">
        <v>7351</v>
      </c>
      <c r="D3116" t="s">
        <v>81</v>
      </c>
      <c r="E3116" s="2" t="str">
        <f>HYPERLINK("capsilon://?command=openfolder&amp;siteaddress=FAM.docvelocity-na8.net&amp;folderid=FXBC61520F-8BC5-D714-BBF1-CA3AF9E7128D","FX21015733")</f>
        <v>FX21015733</v>
      </c>
      <c r="F3116" t="s">
        <v>19</v>
      </c>
      <c r="G3116" t="s">
        <v>19</v>
      </c>
      <c r="H3116" t="s">
        <v>82</v>
      </c>
      <c r="I3116" t="s">
        <v>7354</v>
      </c>
      <c r="J3116">
        <v>26</v>
      </c>
      <c r="K3116" t="s">
        <v>84</v>
      </c>
      <c r="L3116" t="s">
        <v>85</v>
      </c>
      <c r="M3116" t="s">
        <v>86</v>
      </c>
      <c r="N3116">
        <v>3</v>
      </c>
      <c r="O3116" s="1">
        <v>44224.663877314815</v>
      </c>
      <c r="P3116" s="1">
        <v>44224.684803240743</v>
      </c>
      <c r="Q3116">
        <v>1167</v>
      </c>
      <c r="R3116">
        <v>641</v>
      </c>
      <c r="S3116" t="b">
        <v>0</v>
      </c>
      <c r="T3116" t="s">
        <v>87</v>
      </c>
      <c r="U3116" t="b">
        <v>0</v>
      </c>
      <c r="V3116" t="s">
        <v>171</v>
      </c>
      <c r="W3116" s="1">
        <v>44224.669363425928</v>
      </c>
      <c r="X3116">
        <v>473</v>
      </c>
      <c r="Y3116">
        <v>21</v>
      </c>
      <c r="Z3116">
        <v>0</v>
      </c>
      <c r="AA3116">
        <v>21</v>
      </c>
      <c r="AB3116">
        <v>0</v>
      </c>
      <c r="AC3116">
        <v>4</v>
      </c>
      <c r="AD3116">
        <v>5</v>
      </c>
      <c r="AE3116">
        <v>0</v>
      </c>
      <c r="AF3116">
        <v>0</v>
      </c>
      <c r="AG3116">
        <v>0</v>
      </c>
      <c r="AH3116" t="s">
        <v>128</v>
      </c>
      <c r="AI3116" s="1">
        <v>44224.672766203701</v>
      </c>
      <c r="AJ3116">
        <v>162</v>
      </c>
      <c r="AK3116">
        <v>1</v>
      </c>
      <c r="AL3116">
        <v>0</v>
      </c>
      <c r="AM3116">
        <v>1</v>
      </c>
      <c r="AN3116">
        <v>0</v>
      </c>
      <c r="AO3116">
        <v>1</v>
      </c>
      <c r="AP3116">
        <v>4</v>
      </c>
      <c r="AQ3116">
        <v>0</v>
      </c>
      <c r="AR3116">
        <v>0</v>
      </c>
      <c r="AS3116">
        <v>0</v>
      </c>
      <c r="AT3116" t="s">
        <v>90</v>
      </c>
      <c r="AU3116" s="1">
        <v>44224.684803240743</v>
      </c>
      <c r="AV3116">
        <v>6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4</v>
      </c>
      <c r="BC3116">
        <v>0</v>
      </c>
      <c r="BD3116">
        <v>0</v>
      </c>
      <c r="BE3116">
        <v>0</v>
      </c>
    </row>
    <row r="3117" spans="1:57" x14ac:dyDescent="0.45">
      <c r="A3117" t="s">
        <v>7355</v>
      </c>
      <c r="B3117" t="s">
        <v>79</v>
      </c>
      <c r="C3117" t="s">
        <v>7351</v>
      </c>
      <c r="D3117" t="s">
        <v>81</v>
      </c>
      <c r="E3117" s="2" t="str">
        <f>HYPERLINK("capsilon://?command=openfolder&amp;siteaddress=FAM.docvelocity-na8.net&amp;folderid=FXBC61520F-8BC5-D714-BBF1-CA3AF9E7128D","FX21015733")</f>
        <v>FX21015733</v>
      </c>
      <c r="F3117" t="s">
        <v>19</v>
      </c>
      <c r="G3117" t="s">
        <v>19</v>
      </c>
      <c r="H3117" t="s">
        <v>82</v>
      </c>
      <c r="I3117" t="s">
        <v>7356</v>
      </c>
      <c r="J3117">
        <v>31</v>
      </c>
      <c r="K3117" t="s">
        <v>84</v>
      </c>
      <c r="L3117" t="s">
        <v>85</v>
      </c>
      <c r="M3117" t="s">
        <v>86</v>
      </c>
      <c r="N3117">
        <v>3</v>
      </c>
      <c r="O3117" s="1">
        <v>44224.665000000001</v>
      </c>
      <c r="P3117" s="1">
        <v>44224.685127314813</v>
      </c>
      <c r="Q3117">
        <v>1054</v>
      </c>
      <c r="R3117">
        <v>685</v>
      </c>
      <c r="S3117" t="b">
        <v>0</v>
      </c>
      <c r="T3117" t="s">
        <v>87</v>
      </c>
      <c r="U3117" t="b">
        <v>0</v>
      </c>
      <c r="V3117" t="s">
        <v>160</v>
      </c>
      <c r="W3117" s="1">
        <v>44224.671053240738</v>
      </c>
      <c r="X3117">
        <v>522</v>
      </c>
      <c r="Y3117">
        <v>42</v>
      </c>
      <c r="Z3117">
        <v>0</v>
      </c>
      <c r="AA3117">
        <v>42</v>
      </c>
      <c r="AB3117">
        <v>0</v>
      </c>
      <c r="AC3117">
        <v>38</v>
      </c>
      <c r="AD3117">
        <v>-11</v>
      </c>
      <c r="AE3117">
        <v>0</v>
      </c>
      <c r="AF3117">
        <v>0</v>
      </c>
      <c r="AG3117">
        <v>0</v>
      </c>
      <c r="AH3117" t="s">
        <v>128</v>
      </c>
      <c r="AI3117" s="1">
        <v>44224.674259259256</v>
      </c>
      <c r="AJ3117">
        <v>128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-11</v>
      </c>
      <c r="AQ3117">
        <v>0</v>
      </c>
      <c r="AR3117">
        <v>0</v>
      </c>
      <c r="AS3117">
        <v>0</v>
      </c>
      <c r="AT3117" t="s">
        <v>90</v>
      </c>
      <c r="AU3117" s="1">
        <v>44224.685127314813</v>
      </c>
      <c r="AV3117">
        <v>27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-11</v>
      </c>
      <c r="BC3117">
        <v>0</v>
      </c>
      <c r="BD3117">
        <v>0</v>
      </c>
      <c r="BE3117">
        <v>0</v>
      </c>
    </row>
    <row r="3118" spans="1:57" x14ac:dyDescent="0.45">
      <c r="A3118" t="s">
        <v>7357</v>
      </c>
      <c r="B3118" t="s">
        <v>79</v>
      </c>
      <c r="C3118" t="s">
        <v>7351</v>
      </c>
      <c r="D3118" t="s">
        <v>81</v>
      </c>
      <c r="E3118" s="2" t="str">
        <f>HYPERLINK("capsilon://?command=openfolder&amp;siteaddress=FAM.docvelocity-na8.net&amp;folderid=FXBC61520F-8BC5-D714-BBF1-CA3AF9E7128D","FX21015733")</f>
        <v>FX21015733</v>
      </c>
      <c r="F3118" t="s">
        <v>19</v>
      </c>
      <c r="G3118" t="s">
        <v>19</v>
      </c>
      <c r="H3118" t="s">
        <v>82</v>
      </c>
      <c r="I3118" t="s">
        <v>7358</v>
      </c>
      <c r="J3118">
        <v>31</v>
      </c>
      <c r="K3118" t="s">
        <v>84</v>
      </c>
      <c r="L3118" t="s">
        <v>85</v>
      </c>
      <c r="M3118" t="s">
        <v>86</v>
      </c>
      <c r="N3118">
        <v>3</v>
      </c>
      <c r="O3118" s="1">
        <v>44224.667604166665</v>
      </c>
      <c r="P3118" s="1">
        <v>44225.380023148151</v>
      </c>
      <c r="Q3118">
        <v>59711</v>
      </c>
      <c r="R3118">
        <v>1842</v>
      </c>
      <c r="S3118" t="b">
        <v>0</v>
      </c>
      <c r="T3118" t="s">
        <v>87</v>
      </c>
      <c r="U3118" t="b">
        <v>0</v>
      </c>
      <c r="V3118" t="s">
        <v>146</v>
      </c>
      <c r="W3118" s="1">
        <v>44224.686041666668</v>
      </c>
      <c r="X3118">
        <v>1592</v>
      </c>
      <c r="Y3118">
        <v>73</v>
      </c>
      <c r="Z3118">
        <v>0</v>
      </c>
      <c r="AA3118">
        <v>73</v>
      </c>
      <c r="AB3118">
        <v>0</v>
      </c>
      <c r="AC3118">
        <v>64</v>
      </c>
      <c r="AD3118">
        <v>-42</v>
      </c>
      <c r="AE3118">
        <v>0</v>
      </c>
      <c r="AF3118">
        <v>0</v>
      </c>
      <c r="AG3118">
        <v>0</v>
      </c>
      <c r="AH3118" t="s">
        <v>132</v>
      </c>
      <c r="AI3118" s="1">
        <v>44224.688738425924</v>
      </c>
      <c r="AJ3118">
        <v>123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-42</v>
      </c>
      <c r="AQ3118">
        <v>0</v>
      </c>
      <c r="AR3118">
        <v>0</v>
      </c>
      <c r="AS3118">
        <v>0</v>
      </c>
      <c r="AT3118" t="s">
        <v>90</v>
      </c>
      <c r="AU3118" s="1">
        <v>44225.380023148151</v>
      </c>
      <c r="AV3118">
        <v>127</v>
      </c>
      <c r="AW3118">
        <v>1</v>
      </c>
      <c r="AX3118">
        <v>0</v>
      </c>
      <c r="AY3118">
        <v>1</v>
      </c>
      <c r="AZ3118">
        <v>0</v>
      </c>
      <c r="BA3118">
        <v>1</v>
      </c>
      <c r="BB3118">
        <v>-43</v>
      </c>
      <c r="BC3118">
        <v>0</v>
      </c>
      <c r="BD3118">
        <v>0</v>
      </c>
      <c r="BE3118">
        <v>0</v>
      </c>
    </row>
    <row r="3119" spans="1:57" x14ac:dyDescent="0.45">
      <c r="A3119" t="s">
        <v>7359</v>
      </c>
      <c r="B3119" t="s">
        <v>79</v>
      </c>
      <c r="C3119" t="s">
        <v>140</v>
      </c>
      <c r="D3119" t="s">
        <v>81</v>
      </c>
      <c r="E3119" s="2" t="str">
        <f>HYPERLINK("capsilon://?command=openfolder&amp;siteaddress=FAM.docvelocity-na8.net&amp;folderid=FX8FB7B405-804D-D45C-58A8-D9FBD31F8BFC","FX210118876")</f>
        <v>FX210118876</v>
      </c>
      <c r="F3119" t="s">
        <v>19</v>
      </c>
      <c r="G3119" t="s">
        <v>19</v>
      </c>
      <c r="H3119" t="s">
        <v>82</v>
      </c>
      <c r="I3119" t="s">
        <v>7360</v>
      </c>
      <c r="J3119">
        <v>206</v>
      </c>
      <c r="K3119" t="s">
        <v>84</v>
      </c>
      <c r="L3119" t="s">
        <v>85</v>
      </c>
      <c r="M3119" t="s">
        <v>86</v>
      </c>
      <c r="N3119">
        <v>3</v>
      </c>
      <c r="O3119" s="1">
        <v>44224.669016203705</v>
      </c>
      <c r="P3119" s="1">
        <v>44225.380729166667</v>
      </c>
      <c r="Q3119">
        <v>58471</v>
      </c>
      <c r="R3119">
        <v>3021</v>
      </c>
      <c r="S3119" t="b">
        <v>0</v>
      </c>
      <c r="T3119" t="s">
        <v>87</v>
      </c>
      <c r="U3119" t="b">
        <v>0</v>
      </c>
      <c r="V3119" t="s">
        <v>179</v>
      </c>
      <c r="W3119" s="1">
        <v>44224.697268518517</v>
      </c>
      <c r="X3119">
        <v>2440</v>
      </c>
      <c r="Y3119">
        <v>216</v>
      </c>
      <c r="Z3119">
        <v>0</v>
      </c>
      <c r="AA3119">
        <v>216</v>
      </c>
      <c r="AB3119">
        <v>0</v>
      </c>
      <c r="AC3119">
        <v>136</v>
      </c>
      <c r="AD3119">
        <v>-10</v>
      </c>
      <c r="AE3119">
        <v>0</v>
      </c>
      <c r="AF3119">
        <v>0</v>
      </c>
      <c r="AG3119">
        <v>0</v>
      </c>
      <c r="AH3119" t="s">
        <v>128</v>
      </c>
      <c r="AI3119" s="1">
        <v>44224.717789351853</v>
      </c>
      <c r="AJ3119">
        <v>520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-10</v>
      </c>
      <c r="AQ3119">
        <v>0</v>
      </c>
      <c r="AR3119">
        <v>0</v>
      </c>
      <c r="AS3119">
        <v>0</v>
      </c>
      <c r="AT3119" t="s">
        <v>90</v>
      </c>
      <c r="AU3119" s="1">
        <v>44225.380729166667</v>
      </c>
      <c r="AV3119">
        <v>61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-10</v>
      </c>
      <c r="BC3119">
        <v>0</v>
      </c>
      <c r="BD3119">
        <v>0</v>
      </c>
      <c r="BE3119">
        <v>0</v>
      </c>
    </row>
    <row r="3120" spans="1:57" x14ac:dyDescent="0.45">
      <c r="A3120" t="s">
        <v>7361</v>
      </c>
      <c r="B3120" t="s">
        <v>79</v>
      </c>
      <c r="C3120" t="s">
        <v>6902</v>
      </c>
      <c r="D3120" t="s">
        <v>81</v>
      </c>
      <c r="E3120" s="2" t="str">
        <f>HYPERLINK("capsilon://?command=openfolder&amp;siteaddress=FAM.docvelocity-na8.net&amp;folderid=FX88CC96C0-400D-DEB6-9C59-EA257A23B9E3","FX210116764")</f>
        <v>FX210116764</v>
      </c>
      <c r="F3120" t="s">
        <v>19</v>
      </c>
      <c r="G3120" t="s">
        <v>19</v>
      </c>
      <c r="H3120" t="s">
        <v>82</v>
      </c>
      <c r="I3120" t="s">
        <v>7362</v>
      </c>
      <c r="J3120">
        <v>66</v>
      </c>
      <c r="K3120" t="s">
        <v>84</v>
      </c>
      <c r="L3120" t="s">
        <v>85</v>
      </c>
      <c r="M3120" t="s">
        <v>86</v>
      </c>
      <c r="N3120">
        <v>3</v>
      </c>
      <c r="O3120" s="1">
        <v>44224.671215277776</v>
      </c>
      <c r="P3120" s="1">
        <v>44225.382430555554</v>
      </c>
      <c r="Q3120">
        <v>59856</v>
      </c>
      <c r="R3120">
        <v>1593</v>
      </c>
      <c r="S3120" t="b">
        <v>0</v>
      </c>
      <c r="T3120" t="s">
        <v>87</v>
      </c>
      <c r="U3120" t="b">
        <v>0</v>
      </c>
      <c r="V3120" t="s">
        <v>168</v>
      </c>
      <c r="W3120" s="1">
        <v>44224.685891203706</v>
      </c>
      <c r="X3120">
        <v>1267</v>
      </c>
      <c r="Y3120">
        <v>52</v>
      </c>
      <c r="Z3120">
        <v>0</v>
      </c>
      <c r="AA3120">
        <v>52</v>
      </c>
      <c r="AB3120">
        <v>0</v>
      </c>
      <c r="AC3120">
        <v>42</v>
      </c>
      <c r="AD3120">
        <v>14</v>
      </c>
      <c r="AE3120">
        <v>0</v>
      </c>
      <c r="AF3120">
        <v>0</v>
      </c>
      <c r="AG3120">
        <v>0</v>
      </c>
      <c r="AH3120" t="s">
        <v>132</v>
      </c>
      <c r="AI3120" s="1">
        <v>44224.690821759257</v>
      </c>
      <c r="AJ3120">
        <v>179</v>
      </c>
      <c r="AK3120">
        <v>2</v>
      </c>
      <c r="AL3120">
        <v>0</v>
      </c>
      <c r="AM3120">
        <v>2</v>
      </c>
      <c r="AN3120">
        <v>0</v>
      </c>
      <c r="AO3120">
        <v>1</v>
      </c>
      <c r="AP3120">
        <v>12</v>
      </c>
      <c r="AQ3120">
        <v>0</v>
      </c>
      <c r="AR3120">
        <v>0</v>
      </c>
      <c r="AS3120">
        <v>0</v>
      </c>
      <c r="AT3120" t="s">
        <v>90</v>
      </c>
      <c r="AU3120" s="1">
        <v>44225.382430555554</v>
      </c>
      <c r="AV3120">
        <v>147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12</v>
      </c>
      <c r="BC3120">
        <v>0</v>
      </c>
      <c r="BD3120">
        <v>0</v>
      </c>
      <c r="BE3120">
        <v>0</v>
      </c>
    </row>
    <row r="3121" spans="1:57" hidden="1" x14ac:dyDescent="0.45">
      <c r="A3121" t="s">
        <v>7363</v>
      </c>
      <c r="B3121" t="s">
        <v>79</v>
      </c>
      <c r="C3121" t="s">
        <v>7364</v>
      </c>
      <c r="D3121" t="s">
        <v>81</v>
      </c>
      <c r="E3121" s="2" t="str">
        <f>HYPERLINK("capsilon://?command=openfolder&amp;siteaddress=FAM.docvelocity-na8.net&amp;folderid=FX8C776ACE-ADC2-2F8C-D546-BFA0FA142FCF","FX20127933")</f>
        <v>FX20127933</v>
      </c>
      <c r="F3121" t="s">
        <v>19</v>
      </c>
      <c r="G3121" t="s">
        <v>19</v>
      </c>
      <c r="H3121" t="s">
        <v>82</v>
      </c>
      <c r="I3121" t="s">
        <v>7365</v>
      </c>
      <c r="J3121">
        <v>66</v>
      </c>
      <c r="K3121" t="s">
        <v>84</v>
      </c>
      <c r="L3121" t="s">
        <v>85</v>
      </c>
      <c r="M3121" t="s">
        <v>86</v>
      </c>
      <c r="N3121">
        <v>3</v>
      </c>
      <c r="O3121" s="1">
        <v>44224.67328703704</v>
      </c>
      <c r="P3121" s="1">
        <v>44224.685162037036</v>
      </c>
      <c r="Q3121">
        <v>976</v>
      </c>
      <c r="R3121">
        <v>50</v>
      </c>
      <c r="S3121" t="b">
        <v>0</v>
      </c>
      <c r="T3121" t="s">
        <v>87</v>
      </c>
      <c r="U3121" t="b">
        <v>0</v>
      </c>
      <c r="V3121" t="s">
        <v>160</v>
      </c>
      <c r="W3121" s="1">
        <v>44224.673692129632</v>
      </c>
      <c r="X3121">
        <v>34</v>
      </c>
      <c r="Y3121">
        <v>0</v>
      </c>
      <c r="Z3121">
        <v>0</v>
      </c>
      <c r="AA3121">
        <v>0</v>
      </c>
      <c r="AB3121">
        <v>52</v>
      </c>
      <c r="AC3121">
        <v>0</v>
      </c>
      <c r="AD3121">
        <v>66</v>
      </c>
      <c r="AE3121">
        <v>0</v>
      </c>
      <c r="AF3121">
        <v>0</v>
      </c>
      <c r="AG3121">
        <v>0</v>
      </c>
      <c r="AH3121" t="s">
        <v>128</v>
      </c>
      <c r="AI3121" s="1">
        <v>44224.674432870372</v>
      </c>
      <c r="AJ3121">
        <v>14</v>
      </c>
      <c r="AK3121">
        <v>0</v>
      </c>
      <c r="AL3121">
        <v>0</v>
      </c>
      <c r="AM3121">
        <v>0</v>
      </c>
      <c r="AN3121">
        <v>52</v>
      </c>
      <c r="AO3121">
        <v>0</v>
      </c>
      <c r="AP3121">
        <v>66</v>
      </c>
      <c r="AQ3121">
        <v>0</v>
      </c>
      <c r="AR3121">
        <v>0</v>
      </c>
      <c r="AS3121">
        <v>0</v>
      </c>
      <c r="AT3121" t="s">
        <v>90</v>
      </c>
      <c r="AU3121" s="1">
        <v>44224.685162037036</v>
      </c>
      <c r="AV3121">
        <v>2</v>
      </c>
      <c r="AW3121">
        <v>0</v>
      </c>
      <c r="AX3121">
        <v>0</v>
      </c>
      <c r="AY3121">
        <v>0</v>
      </c>
      <c r="AZ3121">
        <v>52</v>
      </c>
      <c r="BA3121">
        <v>0</v>
      </c>
      <c r="BB3121">
        <v>66</v>
      </c>
      <c r="BC3121">
        <v>0</v>
      </c>
      <c r="BD3121">
        <v>0</v>
      </c>
      <c r="BE3121">
        <v>0</v>
      </c>
    </row>
    <row r="3122" spans="1:57" x14ac:dyDescent="0.45">
      <c r="A3122" t="s">
        <v>7366</v>
      </c>
      <c r="B3122" t="s">
        <v>79</v>
      </c>
      <c r="C3122" t="s">
        <v>7367</v>
      </c>
      <c r="D3122" t="s">
        <v>81</v>
      </c>
      <c r="E3122" s="2" t="str">
        <f>HYPERLINK("capsilon://?command=openfolder&amp;siteaddress=FAM.docvelocity-na8.net&amp;folderid=FX3F011454-FE90-7C98-5894-479565C1BC18","FX20126826")</f>
        <v>FX20126826</v>
      </c>
      <c r="F3122" t="s">
        <v>19</v>
      </c>
      <c r="G3122" t="s">
        <v>19</v>
      </c>
      <c r="H3122" t="s">
        <v>82</v>
      </c>
      <c r="I3122" t="s">
        <v>7368</v>
      </c>
      <c r="J3122">
        <v>76</v>
      </c>
      <c r="K3122" t="s">
        <v>84</v>
      </c>
      <c r="L3122" t="s">
        <v>85</v>
      </c>
      <c r="M3122" t="s">
        <v>86</v>
      </c>
      <c r="N3122">
        <v>3</v>
      </c>
      <c r="O3122" s="1">
        <v>44224.67900462963</v>
      </c>
      <c r="P3122" s="1">
        <v>44225.383032407408</v>
      </c>
      <c r="Q3122">
        <v>59518</v>
      </c>
      <c r="R3122">
        <v>1310</v>
      </c>
      <c r="S3122" t="b">
        <v>0</v>
      </c>
      <c r="T3122" t="s">
        <v>87</v>
      </c>
      <c r="U3122" t="b">
        <v>0</v>
      </c>
      <c r="V3122" t="s">
        <v>171</v>
      </c>
      <c r="W3122" s="1">
        <v>44224.692187499997</v>
      </c>
      <c r="X3122">
        <v>1138</v>
      </c>
      <c r="Y3122">
        <v>74</v>
      </c>
      <c r="Z3122">
        <v>0</v>
      </c>
      <c r="AA3122">
        <v>74</v>
      </c>
      <c r="AB3122">
        <v>0</v>
      </c>
      <c r="AC3122">
        <v>69</v>
      </c>
      <c r="AD3122">
        <v>2</v>
      </c>
      <c r="AE3122">
        <v>0</v>
      </c>
      <c r="AF3122">
        <v>0</v>
      </c>
      <c r="AG3122">
        <v>0</v>
      </c>
      <c r="AH3122" t="s">
        <v>132</v>
      </c>
      <c r="AI3122" s="1">
        <v>44224.694398148145</v>
      </c>
      <c r="AJ3122">
        <v>121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2</v>
      </c>
      <c r="AQ3122">
        <v>0</v>
      </c>
      <c r="AR3122">
        <v>0</v>
      </c>
      <c r="AS3122">
        <v>0</v>
      </c>
      <c r="AT3122" t="s">
        <v>90</v>
      </c>
      <c r="AU3122" s="1">
        <v>44225.383032407408</v>
      </c>
      <c r="AV3122">
        <v>51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2</v>
      </c>
      <c r="BC3122">
        <v>0</v>
      </c>
      <c r="BD3122">
        <v>0</v>
      </c>
      <c r="BE3122">
        <v>0</v>
      </c>
    </row>
    <row r="3123" spans="1:57" x14ac:dyDescent="0.45">
      <c r="A3123" t="s">
        <v>7369</v>
      </c>
      <c r="B3123" t="s">
        <v>79</v>
      </c>
      <c r="C3123" t="s">
        <v>285</v>
      </c>
      <c r="D3123" t="s">
        <v>81</v>
      </c>
      <c r="E3123" s="2" t="str">
        <f>HYPERLINK("capsilon://?command=openfolder&amp;siteaddress=FAM.docvelocity-na8.net&amp;folderid=FX2D5E71D1-474C-5A40-734F-6E40DCD221E7","FX20123627")</f>
        <v>FX20123627</v>
      </c>
      <c r="F3123" t="s">
        <v>19</v>
      </c>
      <c r="G3123" t="s">
        <v>19</v>
      </c>
      <c r="H3123" t="s">
        <v>82</v>
      </c>
      <c r="I3123" t="s">
        <v>7370</v>
      </c>
      <c r="J3123">
        <v>66</v>
      </c>
      <c r="K3123" t="s">
        <v>84</v>
      </c>
      <c r="L3123" t="s">
        <v>85</v>
      </c>
      <c r="M3123" t="s">
        <v>86</v>
      </c>
      <c r="N3123">
        <v>3</v>
      </c>
      <c r="O3123" s="1">
        <v>44224.682037037041</v>
      </c>
      <c r="P3123" s="1">
        <v>44225.38349537037</v>
      </c>
      <c r="Q3123">
        <v>59911</v>
      </c>
      <c r="R3123">
        <v>695</v>
      </c>
      <c r="S3123" t="b">
        <v>0</v>
      </c>
      <c r="T3123" t="s">
        <v>87</v>
      </c>
      <c r="U3123" t="b">
        <v>0</v>
      </c>
      <c r="V3123" t="s">
        <v>160</v>
      </c>
      <c r="W3123" s="1">
        <v>44224.687465277777</v>
      </c>
      <c r="X3123">
        <v>469</v>
      </c>
      <c r="Y3123">
        <v>52</v>
      </c>
      <c r="Z3123">
        <v>0</v>
      </c>
      <c r="AA3123">
        <v>52</v>
      </c>
      <c r="AB3123">
        <v>0</v>
      </c>
      <c r="AC3123">
        <v>51</v>
      </c>
      <c r="AD3123">
        <v>14</v>
      </c>
      <c r="AE3123">
        <v>0</v>
      </c>
      <c r="AF3123">
        <v>0</v>
      </c>
      <c r="AG3123">
        <v>0</v>
      </c>
      <c r="AH3123" t="s">
        <v>132</v>
      </c>
      <c r="AI3123" s="1">
        <v>44224.692986111113</v>
      </c>
      <c r="AJ3123">
        <v>186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14</v>
      </c>
      <c r="AQ3123">
        <v>0</v>
      </c>
      <c r="AR3123">
        <v>0</v>
      </c>
      <c r="AS3123">
        <v>0</v>
      </c>
      <c r="AT3123" t="s">
        <v>90</v>
      </c>
      <c r="AU3123" s="1">
        <v>44225.38349537037</v>
      </c>
      <c r="AV3123">
        <v>40</v>
      </c>
      <c r="AW3123">
        <v>1</v>
      </c>
      <c r="AX3123">
        <v>0</v>
      </c>
      <c r="AY3123">
        <v>1</v>
      </c>
      <c r="AZ3123">
        <v>0</v>
      </c>
      <c r="BA3123">
        <v>1</v>
      </c>
      <c r="BB3123">
        <v>13</v>
      </c>
      <c r="BC3123">
        <v>0</v>
      </c>
      <c r="BD3123">
        <v>0</v>
      </c>
      <c r="BE3123">
        <v>0</v>
      </c>
    </row>
    <row r="3124" spans="1:57" x14ac:dyDescent="0.45">
      <c r="A3124" t="s">
        <v>7371</v>
      </c>
      <c r="B3124" t="s">
        <v>79</v>
      </c>
      <c r="C3124" t="s">
        <v>7372</v>
      </c>
      <c r="D3124" t="s">
        <v>81</v>
      </c>
      <c r="E3124" s="2" t="str">
        <f>HYPERLINK("capsilon://?command=openfolder&amp;siteaddress=FAM.docvelocity-na8.net&amp;folderid=FXEC659A07-3BDE-CE90-323E-A9C2EEBDB1EC","FX210116259")</f>
        <v>FX210116259</v>
      </c>
      <c r="F3124" t="s">
        <v>19</v>
      </c>
      <c r="G3124" t="s">
        <v>19</v>
      </c>
      <c r="H3124" t="s">
        <v>82</v>
      </c>
      <c r="I3124" t="s">
        <v>7373</v>
      </c>
      <c r="J3124">
        <v>152</v>
      </c>
      <c r="K3124" t="s">
        <v>84</v>
      </c>
      <c r="L3124" t="s">
        <v>85</v>
      </c>
      <c r="M3124" t="s">
        <v>86</v>
      </c>
      <c r="N3124">
        <v>3</v>
      </c>
      <c r="O3124" s="1">
        <v>44224.686666666668</v>
      </c>
      <c r="P3124" s="1">
        <v>44225.383935185186</v>
      </c>
      <c r="Q3124">
        <v>56238</v>
      </c>
      <c r="R3124">
        <v>4006</v>
      </c>
      <c r="S3124" t="b">
        <v>0</v>
      </c>
      <c r="T3124" t="s">
        <v>87</v>
      </c>
      <c r="U3124" t="b">
        <v>0</v>
      </c>
      <c r="V3124" t="s">
        <v>146</v>
      </c>
      <c r="W3124" s="1">
        <v>44224.727083333331</v>
      </c>
      <c r="X3124">
        <v>3491</v>
      </c>
      <c r="Y3124">
        <v>186</v>
      </c>
      <c r="Z3124">
        <v>0</v>
      </c>
      <c r="AA3124">
        <v>186</v>
      </c>
      <c r="AB3124">
        <v>0</v>
      </c>
      <c r="AC3124">
        <v>128</v>
      </c>
      <c r="AD3124">
        <v>-34</v>
      </c>
      <c r="AE3124">
        <v>0</v>
      </c>
      <c r="AF3124">
        <v>0</v>
      </c>
      <c r="AG3124">
        <v>0</v>
      </c>
      <c r="AH3124" t="s">
        <v>128</v>
      </c>
      <c r="AI3124" s="1">
        <v>44224.733726851853</v>
      </c>
      <c r="AJ3124">
        <v>478</v>
      </c>
      <c r="AK3124">
        <v>6</v>
      </c>
      <c r="AL3124">
        <v>0</v>
      </c>
      <c r="AM3124">
        <v>6</v>
      </c>
      <c r="AN3124">
        <v>0</v>
      </c>
      <c r="AO3124">
        <v>6</v>
      </c>
      <c r="AP3124">
        <v>-40</v>
      </c>
      <c r="AQ3124">
        <v>0</v>
      </c>
      <c r="AR3124">
        <v>0</v>
      </c>
      <c r="AS3124">
        <v>0</v>
      </c>
      <c r="AT3124" t="s">
        <v>90</v>
      </c>
      <c r="AU3124" s="1">
        <v>44225.383935185186</v>
      </c>
      <c r="AV3124">
        <v>37</v>
      </c>
      <c r="AW3124">
        <v>1</v>
      </c>
      <c r="AX3124">
        <v>0</v>
      </c>
      <c r="AY3124">
        <v>1</v>
      </c>
      <c r="AZ3124">
        <v>0</v>
      </c>
      <c r="BA3124">
        <v>1</v>
      </c>
      <c r="BB3124">
        <v>-41</v>
      </c>
      <c r="BC3124">
        <v>0</v>
      </c>
      <c r="BD3124">
        <v>0</v>
      </c>
      <c r="BE3124">
        <v>0</v>
      </c>
    </row>
    <row r="3125" spans="1:57" hidden="1" x14ac:dyDescent="0.45">
      <c r="A3125" t="s">
        <v>7374</v>
      </c>
      <c r="B3125" t="s">
        <v>79</v>
      </c>
      <c r="C3125" t="s">
        <v>7375</v>
      </c>
      <c r="D3125" t="s">
        <v>81</v>
      </c>
      <c r="E3125" s="2" t="str">
        <f>HYPERLINK("capsilon://?command=openfolder&amp;siteaddress=FAM.docvelocity-na8.net&amp;folderid=FX3229CD35-A573-1F8D-5DC2-9DF693D37499","FX210114925")</f>
        <v>FX210114925</v>
      </c>
      <c r="F3125" t="s">
        <v>19</v>
      </c>
      <c r="G3125" t="s">
        <v>19</v>
      </c>
      <c r="H3125" t="s">
        <v>82</v>
      </c>
      <c r="I3125" t="s">
        <v>7376</v>
      </c>
      <c r="J3125">
        <v>94</v>
      </c>
      <c r="K3125" t="s">
        <v>84</v>
      </c>
      <c r="L3125" t="s">
        <v>85</v>
      </c>
      <c r="M3125" t="s">
        <v>86</v>
      </c>
      <c r="N3125">
        <v>1</v>
      </c>
      <c r="O3125" s="1">
        <v>44224.689710648148</v>
      </c>
      <c r="P3125" s="1">
        <v>44224.694733796299</v>
      </c>
      <c r="Q3125">
        <v>5</v>
      </c>
      <c r="R3125">
        <v>429</v>
      </c>
      <c r="S3125" t="b">
        <v>0</v>
      </c>
      <c r="T3125" t="s">
        <v>87</v>
      </c>
      <c r="U3125" t="b">
        <v>0</v>
      </c>
      <c r="V3125" t="s">
        <v>142</v>
      </c>
      <c r="W3125" s="1">
        <v>44224.694733796299</v>
      </c>
      <c r="X3125">
        <v>429</v>
      </c>
      <c r="Y3125">
        <v>42</v>
      </c>
      <c r="Z3125">
        <v>0</v>
      </c>
      <c r="AA3125">
        <v>42</v>
      </c>
      <c r="AB3125">
        <v>0</v>
      </c>
      <c r="AC3125">
        <v>4</v>
      </c>
      <c r="AD3125">
        <v>52</v>
      </c>
      <c r="AE3125">
        <v>38</v>
      </c>
      <c r="AF3125">
        <v>0</v>
      </c>
      <c r="AG3125">
        <v>2</v>
      </c>
      <c r="AH3125" t="s">
        <v>87</v>
      </c>
      <c r="AI3125" t="s">
        <v>87</v>
      </c>
      <c r="AJ3125" t="s">
        <v>87</v>
      </c>
      <c r="AK3125" t="s">
        <v>87</v>
      </c>
      <c r="AL3125" t="s">
        <v>87</v>
      </c>
      <c r="AM3125" t="s">
        <v>87</v>
      </c>
      <c r="AN3125" t="s">
        <v>87</v>
      </c>
      <c r="AO3125" t="s">
        <v>87</v>
      </c>
      <c r="AP3125" t="s">
        <v>87</v>
      </c>
      <c r="AQ3125" t="s">
        <v>87</v>
      </c>
      <c r="AR3125" t="s">
        <v>87</v>
      </c>
      <c r="AS3125" t="s">
        <v>87</v>
      </c>
      <c r="AT3125" t="s">
        <v>87</v>
      </c>
      <c r="AU3125" t="s">
        <v>87</v>
      </c>
      <c r="AV3125" t="s">
        <v>87</v>
      </c>
      <c r="AW3125" t="s">
        <v>87</v>
      </c>
      <c r="AX3125" t="s">
        <v>87</v>
      </c>
      <c r="AY3125" t="s">
        <v>87</v>
      </c>
      <c r="AZ3125" t="s">
        <v>87</v>
      </c>
      <c r="BA3125" t="s">
        <v>87</v>
      </c>
      <c r="BB3125" t="s">
        <v>87</v>
      </c>
      <c r="BC3125" t="s">
        <v>87</v>
      </c>
      <c r="BD3125" t="s">
        <v>87</v>
      </c>
      <c r="BE3125" t="s">
        <v>87</v>
      </c>
    </row>
    <row r="3126" spans="1:57" x14ac:dyDescent="0.45">
      <c r="A3126" t="s">
        <v>7377</v>
      </c>
      <c r="B3126" t="s">
        <v>79</v>
      </c>
      <c r="C3126" t="s">
        <v>6785</v>
      </c>
      <c r="D3126" t="s">
        <v>81</v>
      </c>
      <c r="E3126" s="2" t="str">
        <f>HYPERLINK("capsilon://?command=openfolder&amp;siteaddress=FAM.docvelocity-na8.net&amp;folderid=FX3004F275-49A5-0DBF-FB98-EF588E85FD26","FX201221559")</f>
        <v>FX201221559</v>
      </c>
      <c r="F3126" t="s">
        <v>19</v>
      </c>
      <c r="G3126" t="s">
        <v>19</v>
      </c>
      <c r="H3126" t="s">
        <v>82</v>
      </c>
      <c r="I3126" t="s">
        <v>7378</v>
      </c>
      <c r="J3126">
        <v>54</v>
      </c>
      <c r="K3126" t="s">
        <v>84</v>
      </c>
      <c r="L3126" t="s">
        <v>85</v>
      </c>
      <c r="M3126" t="s">
        <v>86</v>
      </c>
      <c r="N3126">
        <v>3</v>
      </c>
      <c r="O3126" s="1">
        <v>44224.690474537034</v>
      </c>
      <c r="P3126" s="1">
        <v>44225.384201388886</v>
      </c>
      <c r="Q3126">
        <v>58719</v>
      </c>
      <c r="R3126">
        <v>1219</v>
      </c>
      <c r="S3126" t="b">
        <v>0</v>
      </c>
      <c r="T3126" t="s">
        <v>87</v>
      </c>
      <c r="U3126" t="b">
        <v>0</v>
      </c>
      <c r="V3126" t="s">
        <v>168</v>
      </c>
      <c r="W3126" s="1">
        <v>44224.699432870373</v>
      </c>
      <c r="X3126">
        <v>774</v>
      </c>
      <c r="Y3126">
        <v>53</v>
      </c>
      <c r="Z3126">
        <v>0</v>
      </c>
      <c r="AA3126">
        <v>53</v>
      </c>
      <c r="AB3126">
        <v>0</v>
      </c>
      <c r="AC3126">
        <v>19</v>
      </c>
      <c r="AD3126">
        <v>1</v>
      </c>
      <c r="AE3126">
        <v>0</v>
      </c>
      <c r="AF3126">
        <v>0</v>
      </c>
      <c r="AG3126">
        <v>0</v>
      </c>
      <c r="AH3126" t="s">
        <v>132</v>
      </c>
      <c r="AI3126" s="1">
        <v>44224.717835648145</v>
      </c>
      <c r="AJ3126">
        <v>116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1</v>
      </c>
      <c r="AQ3126">
        <v>0</v>
      </c>
      <c r="AR3126">
        <v>0</v>
      </c>
      <c r="AS3126">
        <v>0</v>
      </c>
      <c r="AT3126" t="s">
        <v>90</v>
      </c>
      <c r="AU3126" s="1">
        <v>44225.384201388886</v>
      </c>
      <c r="AV3126">
        <v>22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>
        <v>0</v>
      </c>
      <c r="BD3126">
        <v>0</v>
      </c>
      <c r="BE3126">
        <v>0</v>
      </c>
    </row>
    <row r="3127" spans="1:57" hidden="1" x14ac:dyDescent="0.45">
      <c r="A3127" t="s">
        <v>7379</v>
      </c>
      <c r="B3127" t="s">
        <v>79</v>
      </c>
      <c r="C3127" t="s">
        <v>7380</v>
      </c>
      <c r="D3127" t="s">
        <v>81</v>
      </c>
      <c r="E3127" s="2" t="str">
        <f>HYPERLINK("capsilon://?command=openfolder&amp;siteaddress=FAM.docvelocity-na8.net&amp;folderid=FXCBB4CAB4-BB1E-4A71-2159-703078BCD662","FX201221994")</f>
        <v>FX201221994</v>
      </c>
      <c r="F3127" t="s">
        <v>19</v>
      </c>
      <c r="G3127" t="s">
        <v>19</v>
      </c>
      <c r="H3127" t="s">
        <v>82</v>
      </c>
      <c r="I3127" t="s">
        <v>7381</v>
      </c>
      <c r="J3127">
        <v>66</v>
      </c>
      <c r="K3127" t="s">
        <v>84</v>
      </c>
      <c r="L3127" t="s">
        <v>85</v>
      </c>
      <c r="M3127" t="s">
        <v>86</v>
      </c>
      <c r="N3127">
        <v>3</v>
      </c>
      <c r="O3127" s="1">
        <v>44224.691458333335</v>
      </c>
      <c r="P3127" s="1">
        <v>44225.384236111109</v>
      </c>
      <c r="Q3127">
        <v>59742</v>
      </c>
      <c r="R3127">
        <v>114</v>
      </c>
      <c r="S3127" t="b">
        <v>0</v>
      </c>
      <c r="T3127" t="s">
        <v>87</v>
      </c>
      <c r="U3127" t="b">
        <v>0</v>
      </c>
      <c r="V3127" t="s">
        <v>160</v>
      </c>
      <c r="W3127" s="1">
        <v>44224.69263888889</v>
      </c>
      <c r="X3127">
        <v>102</v>
      </c>
      <c r="Y3127">
        <v>0</v>
      </c>
      <c r="Z3127">
        <v>0</v>
      </c>
      <c r="AA3127">
        <v>0</v>
      </c>
      <c r="AB3127">
        <v>52</v>
      </c>
      <c r="AC3127">
        <v>0</v>
      </c>
      <c r="AD3127">
        <v>66</v>
      </c>
      <c r="AE3127">
        <v>0</v>
      </c>
      <c r="AF3127">
        <v>0</v>
      </c>
      <c r="AG3127">
        <v>0</v>
      </c>
      <c r="AH3127" t="s">
        <v>132</v>
      </c>
      <c r="AI3127" s="1">
        <v>44224.694525462961</v>
      </c>
      <c r="AJ3127">
        <v>10</v>
      </c>
      <c r="AK3127">
        <v>0</v>
      </c>
      <c r="AL3127">
        <v>0</v>
      </c>
      <c r="AM3127">
        <v>0</v>
      </c>
      <c r="AN3127">
        <v>52</v>
      </c>
      <c r="AO3127">
        <v>0</v>
      </c>
      <c r="AP3127">
        <v>66</v>
      </c>
      <c r="AQ3127">
        <v>0</v>
      </c>
      <c r="AR3127">
        <v>0</v>
      </c>
      <c r="AS3127">
        <v>0</v>
      </c>
      <c r="AT3127" t="s">
        <v>90</v>
      </c>
      <c r="AU3127" s="1">
        <v>44225.384236111109</v>
      </c>
      <c r="AV3127">
        <v>2</v>
      </c>
      <c r="AW3127">
        <v>0</v>
      </c>
      <c r="AX3127">
        <v>0</v>
      </c>
      <c r="AY3127">
        <v>0</v>
      </c>
      <c r="AZ3127">
        <v>52</v>
      </c>
      <c r="BA3127">
        <v>0</v>
      </c>
      <c r="BB3127">
        <v>66</v>
      </c>
      <c r="BC3127">
        <v>0</v>
      </c>
      <c r="BD3127">
        <v>0</v>
      </c>
      <c r="BE3127">
        <v>0</v>
      </c>
    </row>
    <row r="3128" spans="1:57" hidden="1" x14ac:dyDescent="0.45">
      <c r="A3128" t="s">
        <v>7382</v>
      </c>
      <c r="B3128" t="s">
        <v>79</v>
      </c>
      <c r="C3128" t="s">
        <v>3651</v>
      </c>
      <c r="D3128" t="s">
        <v>81</v>
      </c>
      <c r="E3128" s="2" t="str">
        <f>HYPERLINK("capsilon://?command=openfolder&amp;siteaddress=FAM.docvelocity-na8.net&amp;folderid=FXFF2EBD16-41F0-E458-C58D-1BE11693EC40","FX201223208")</f>
        <v>FX201223208</v>
      </c>
      <c r="F3128" t="s">
        <v>19</v>
      </c>
      <c r="G3128" t="s">
        <v>19</v>
      </c>
      <c r="H3128" t="s">
        <v>82</v>
      </c>
      <c r="I3128" t="s">
        <v>7383</v>
      </c>
      <c r="J3128">
        <v>66</v>
      </c>
      <c r="K3128" t="s">
        <v>84</v>
      </c>
      <c r="L3128" t="s">
        <v>85</v>
      </c>
      <c r="M3128" t="s">
        <v>86</v>
      </c>
      <c r="N3128">
        <v>1</v>
      </c>
      <c r="O3128" s="1">
        <v>44224.693252314813</v>
      </c>
      <c r="P3128" s="1">
        <v>44224.693831018521</v>
      </c>
      <c r="Q3128">
        <v>1</v>
      </c>
      <c r="R3128">
        <v>49</v>
      </c>
      <c r="S3128" t="b">
        <v>0</v>
      </c>
      <c r="T3128" t="s">
        <v>87</v>
      </c>
      <c r="U3128" t="b">
        <v>0</v>
      </c>
      <c r="V3128" t="s">
        <v>160</v>
      </c>
      <c r="W3128" s="1">
        <v>44224.693831018521</v>
      </c>
      <c r="X3128">
        <v>49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66</v>
      </c>
      <c r="AE3128">
        <v>52</v>
      </c>
      <c r="AF3128">
        <v>0</v>
      </c>
      <c r="AG3128">
        <v>1</v>
      </c>
      <c r="AH3128" t="s">
        <v>87</v>
      </c>
      <c r="AI3128" t="s">
        <v>87</v>
      </c>
      <c r="AJ3128" t="s">
        <v>87</v>
      </c>
      <c r="AK3128" t="s">
        <v>87</v>
      </c>
      <c r="AL3128" t="s">
        <v>87</v>
      </c>
      <c r="AM3128" t="s">
        <v>87</v>
      </c>
      <c r="AN3128" t="s">
        <v>87</v>
      </c>
      <c r="AO3128" t="s">
        <v>87</v>
      </c>
      <c r="AP3128" t="s">
        <v>87</v>
      </c>
      <c r="AQ3128" t="s">
        <v>87</v>
      </c>
      <c r="AR3128" t="s">
        <v>87</v>
      </c>
      <c r="AS3128" t="s">
        <v>87</v>
      </c>
      <c r="AT3128" t="s">
        <v>87</v>
      </c>
      <c r="AU3128" t="s">
        <v>87</v>
      </c>
      <c r="AV3128" t="s">
        <v>87</v>
      </c>
      <c r="AW3128" t="s">
        <v>87</v>
      </c>
      <c r="AX3128" t="s">
        <v>87</v>
      </c>
      <c r="AY3128" t="s">
        <v>87</v>
      </c>
      <c r="AZ3128" t="s">
        <v>87</v>
      </c>
      <c r="BA3128" t="s">
        <v>87</v>
      </c>
      <c r="BB3128" t="s">
        <v>87</v>
      </c>
      <c r="BC3128" t="s">
        <v>87</v>
      </c>
      <c r="BD3128" t="s">
        <v>87</v>
      </c>
      <c r="BE3128" t="s">
        <v>87</v>
      </c>
    </row>
    <row r="3129" spans="1:57" x14ac:dyDescent="0.45">
      <c r="A3129" t="s">
        <v>7384</v>
      </c>
      <c r="B3129" t="s">
        <v>79</v>
      </c>
      <c r="C3129" t="s">
        <v>3651</v>
      </c>
      <c r="D3129" t="s">
        <v>81</v>
      </c>
      <c r="E3129" s="2" t="str">
        <f>HYPERLINK("capsilon://?command=openfolder&amp;siteaddress=FAM.docvelocity-na8.net&amp;folderid=FXFF2EBD16-41F0-E458-C58D-1BE11693EC40","FX201223208")</f>
        <v>FX201223208</v>
      </c>
      <c r="F3129" t="s">
        <v>19</v>
      </c>
      <c r="G3129" t="s">
        <v>19</v>
      </c>
      <c r="H3129" t="s">
        <v>82</v>
      </c>
      <c r="I3129" t="s">
        <v>7383</v>
      </c>
      <c r="J3129">
        <v>38</v>
      </c>
      <c r="K3129" t="s">
        <v>84</v>
      </c>
      <c r="L3129" t="s">
        <v>85</v>
      </c>
      <c r="M3129" t="s">
        <v>86</v>
      </c>
      <c r="N3129">
        <v>3</v>
      </c>
      <c r="O3129" s="1">
        <v>44224.694247685184</v>
      </c>
      <c r="P3129" s="1">
        <v>44225.373703703706</v>
      </c>
      <c r="Q3129">
        <v>58052</v>
      </c>
      <c r="R3129">
        <v>653</v>
      </c>
      <c r="S3129" t="b">
        <v>0</v>
      </c>
      <c r="T3129" t="s">
        <v>87</v>
      </c>
      <c r="U3129" t="b">
        <v>1</v>
      </c>
      <c r="V3129" t="s">
        <v>160</v>
      </c>
      <c r="W3129" s="1">
        <v>44224.700925925928</v>
      </c>
      <c r="X3129">
        <v>576</v>
      </c>
      <c r="Y3129">
        <v>37</v>
      </c>
      <c r="Z3129">
        <v>0</v>
      </c>
      <c r="AA3129">
        <v>37</v>
      </c>
      <c r="AB3129">
        <v>0</v>
      </c>
      <c r="AC3129">
        <v>21</v>
      </c>
      <c r="AD3129">
        <v>1</v>
      </c>
      <c r="AE3129">
        <v>0</v>
      </c>
      <c r="AF3129">
        <v>0</v>
      </c>
      <c r="AG3129">
        <v>0</v>
      </c>
      <c r="AH3129" t="s">
        <v>132</v>
      </c>
      <c r="AI3129" s="1">
        <v>44224.706423611111</v>
      </c>
      <c r="AJ3129">
        <v>66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1</v>
      </c>
      <c r="AQ3129">
        <v>0</v>
      </c>
      <c r="AR3129">
        <v>0</v>
      </c>
      <c r="AS3129">
        <v>0</v>
      </c>
      <c r="AT3129" t="s">
        <v>90</v>
      </c>
      <c r="AU3129" s="1">
        <v>44225.373703703706</v>
      </c>
      <c r="AV3129">
        <v>11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1</v>
      </c>
      <c r="BC3129">
        <v>0</v>
      </c>
      <c r="BD3129">
        <v>0</v>
      </c>
      <c r="BE3129">
        <v>0</v>
      </c>
    </row>
    <row r="3130" spans="1:57" x14ac:dyDescent="0.45">
      <c r="A3130" t="s">
        <v>7385</v>
      </c>
      <c r="B3130" t="s">
        <v>79</v>
      </c>
      <c r="C3130" t="s">
        <v>7375</v>
      </c>
      <c r="D3130" t="s">
        <v>81</v>
      </c>
      <c r="E3130" s="2" t="str">
        <f>HYPERLINK("capsilon://?command=openfolder&amp;siteaddress=FAM.docvelocity-na8.net&amp;folderid=FX3229CD35-A573-1F8D-5DC2-9DF693D37499","FX210114925")</f>
        <v>FX210114925</v>
      </c>
      <c r="F3130" t="s">
        <v>19</v>
      </c>
      <c r="G3130" t="s">
        <v>19</v>
      </c>
      <c r="H3130" t="s">
        <v>82</v>
      </c>
      <c r="I3130" t="s">
        <v>7376</v>
      </c>
      <c r="J3130">
        <v>79</v>
      </c>
      <c r="K3130" t="s">
        <v>84</v>
      </c>
      <c r="L3130" t="s">
        <v>85</v>
      </c>
      <c r="M3130" t="s">
        <v>86</v>
      </c>
      <c r="N3130">
        <v>3</v>
      </c>
      <c r="O3130" s="1">
        <v>44224.696574074071</v>
      </c>
      <c r="P3130" s="1">
        <v>44225.374351851853</v>
      </c>
      <c r="Q3130">
        <v>57438</v>
      </c>
      <c r="R3130">
        <v>1122</v>
      </c>
      <c r="S3130" t="b">
        <v>0</v>
      </c>
      <c r="T3130" t="s">
        <v>87</v>
      </c>
      <c r="U3130" t="b">
        <v>1</v>
      </c>
      <c r="V3130" t="s">
        <v>142</v>
      </c>
      <c r="W3130" s="1">
        <v>44224.703159722223</v>
      </c>
      <c r="X3130">
        <v>568</v>
      </c>
      <c r="Y3130">
        <v>72</v>
      </c>
      <c r="Z3130">
        <v>0</v>
      </c>
      <c r="AA3130">
        <v>72</v>
      </c>
      <c r="AB3130">
        <v>0</v>
      </c>
      <c r="AC3130">
        <v>42</v>
      </c>
      <c r="AD3130">
        <v>7</v>
      </c>
      <c r="AE3130">
        <v>0</v>
      </c>
      <c r="AF3130">
        <v>0</v>
      </c>
      <c r="AG3130">
        <v>0</v>
      </c>
      <c r="AH3130" t="s">
        <v>128</v>
      </c>
      <c r="AI3130" s="1">
        <v>44224.711759259262</v>
      </c>
      <c r="AJ3130">
        <v>499</v>
      </c>
      <c r="AK3130">
        <v>1</v>
      </c>
      <c r="AL3130">
        <v>0</v>
      </c>
      <c r="AM3130">
        <v>1</v>
      </c>
      <c r="AN3130">
        <v>0</v>
      </c>
      <c r="AO3130">
        <v>2</v>
      </c>
      <c r="AP3130">
        <v>6</v>
      </c>
      <c r="AQ3130">
        <v>0</v>
      </c>
      <c r="AR3130">
        <v>0</v>
      </c>
      <c r="AS3130">
        <v>0</v>
      </c>
      <c r="AT3130" t="s">
        <v>90</v>
      </c>
      <c r="AU3130" s="1">
        <v>44225.374351851853</v>
      </c>
      <c r="AV3130">
        <v>55</v>
      </c>
      <c r="AW3130">
        <v>0</v>
      </c>
      <c r="AX3130">
        <v>0</v>
      </c>
      <c r="AY3130">
        <v>0</v>
      </c>
      <c r="AZ3130">
        <v>33</v>
      </c>
      <c r="BA3130">
        <v>0</v>
      </c>
      <c r="BB3130">
        <v>6</v>
      </c>
      <c r="BC3130">
        <v>0</v>
      </c>
      <c r="BD3130">
        <v>0</v>
      </c>
      <c r="BE3130">
        <v>0</v>
      </c>
    </row>
    <row r="3131" spans="1:57" x14ac:dyDescent="0.45">
      <c r="A3131" t="s">
        <v>7386</v>
      </c>
      <c r="B3131" t="s">
        <v>79</v>
      </c>
      <c r="C3131" t="s">
        <v>152</v>
      </c>
      <c r="D3131" t="s">
        <v>81</v>
      </c>
      <c r="E3131" s="2" t="str">
        <f>HYPERLINK("capsilon://?command=openfolder&amp;siteaddress=FAM.docvelocity-na8.net&amp;folderid=FX9A62F38B-A975-7B3E-0B8C-6800CB445E6D","FX210118780")</f>
        <v>FX210118780</v>
      </c>
      <c r="F3131" t="s">
        <v>19</v>
      </c>
      <c r="G3131" t="s">
        <v>19</v>
      </c>
      <c r="H3131" t="s">
        <v>82</v>
      </c>
      <c r="I3131" t="s">
        <v>7387</v>
      </c>
      <c r="J3131">
        <v>226</v>
      </c>
      <c r="K3131" t="s">
        <v>84</v>
      </c>
      <c r="L3131" t="s">
        <v>85</v>
      </c>
      <c r="M3131" t="s">
        <v>86</v>
      </c>
      <c r="N3131">
        <v>3</v>
      </c>
      <c r="O3131" s="1">
        <v>44224.701307870368</v>
      </c>
      <c r="P3131" s="1">
        <v>44225.385104166664</v>
      </c>
      <c r="Q3131">
        <v>57361</v>
      </c>
      <c r="R3131">
        <v>1719</v>
      </c>
      <c r="S3131" t="b">
        <v>0</v>
      </c>
      <c r="T3131" t="s">
        <v>87</v>
      </c>
      <c r="U3131" t="b">
        <v>0</v>
      </c>
      <c r="V3131" t="s">
        <v>171</v>
      </c>
      <c r="W3131" s="1">
        <v>44224.715740740743</v>
      </c>
      <c r="X3131">
        <v>1246</v>
      </c>
      <c r="Y3131">
        <v>164</v>
      </c>
      <c r="Z3131">
        <v>0</v>
      </c>
      <c r="AA3131">
        <v>164</v>
      </c>
      <c r="AB3131">
        <v>0</v>
      </c>
      <c r="AC3131">
        <v>53</v>
      </c>
      <c r="AD3131">
        <v>62</v>
      </c>
      <c r="AE3131">
        <v>0</v>
      </c>
      <c r="AF3131">
        <v>0</v>
      </c>
      <c r="AG3131">
        <v>0</v>
      </c>
      <c r="AH3131" t="s">
        <v>128</v>
      </c>
      <c r="AI3131" s="1">
        <v>44224.722418981481</v>
      </c>
      <c r="AJ3131">
        <v>399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62</v>
      </c>
      <c r="AQ3131">
        <v>0</v>
      </c>
      <c r="AR3131">
        <v>0</v>
      </c>
      <c r="AS3131">
        <v>0</v>
      </c>
      <c r="AT3131" t="s">
        <v>90</v>
      </c>
      <c r="AU3131" s="1">
        <v>44225.385104166664</v>
      </c>
      <c r="AV3131">
        <v>74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62</v>
      </c>
      <c r="BC3131">
        <v>0</v>
      </c>
      <c r="BD3131">
        <v>0</v>
      </c>
      <c r="BE3131">
        <v>0</v>
      </c>
    </row>
    <row r="3132" spans="1:57" x14ac:dyDescent="0.45">
      <c r="A3132" t="s">
        <v>7388</v>
      </c>
      <c r="B3132" t="s">
        <v>79</v>
      </c>
      <c r="C3132" t="s">
        <v>7389</v>
      </c>
      <c r="D3132" t="s">
        <v>81</v>
      </c>
      <c r="E3132" s="2" t="str">
        <f>HYPERLINK("capsilon://?command=openfolder&amp;siteaddress=FAM.docvelocity-na8.net&amp;folderid=FX72528D2B-B2AC-0292-A052-01100074E315","FX210110320")</f>
        <v>FX210110320</v>
      </c>
      <c r="F3132" t="s">
        <v>19</v>
      </c>
      <c r="G3132" t="s">
        <v>19</v>
      </c>
      <c r="H3132" t="s">
        <v>82</v>
      </c>
      <c r="I3132" t="s">
        <v>7390</v>
      </c>
      <c r="J3132">
        <v>38</v>
      </c>
      <c r="K3132" t="s">
        <v>84</v>
      </c>
      <c r="L3132" t="s">
        <v>85</v>
      </c>
      <c r="M3132" t="s">
        <v>86</v>
      </c>
      <c r="N3132">
        <v>3</v>
      </c>
      <c r="O3132" s="1">
        <v>44224.705092592594</v>
      </c>
      <c r="P3132" s="1">
        <v>44225.385277777779</v>
      </c>
      <c r="Q3132">
        <v>57917</v>
      </c>
      <c r="R3132">
        <v>851</v>
      </c>
      <c r="S3132" t="b">
        <v>0</v>
      </c>
      <c r="T3132" t="s">
        <v>87</v>
      </c>
      <c r="U3132" t="b">
        <v>0</v>
      </c>
      <c r="V3132" t="s">
        <v>179</v>
      </c>
      <c r="W3132" s="1">
        <v>44224.714050925926</v>
      </c>
      <c r="X3132">
        <v>774</v>
      </c>
      <c r="Y3132">
        <v>37</v>
      </c>
      <c r="Z3132">
        <v>0</v>
      </c>
      <c r="AA3132">
        <v>37</v>
      </c>
      <c r="AB3132">
        <v>0</v>
      </c>
      <c r="AC3132">
        <v>36</v>
      </c>
      <c r="AD3132">
        <v>1</v>
      </c>
      <c r="AE3132">
        <v>0</v>
      </c>
      <c r="AF3132">
        <v>0</v>
      </c>
      <c r="AG3132">
        <v>0</v>
      </c>
      <c r="AH3132" t="s">
        <v>132</v>
      </c>
      <c r="AI3132" s="1">
        <v>44224.718564814815</v>
      </c>
      <c r="AJ3132">
        <v>62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1</v>
      </c>
      <c r="AQ3132">
        <v>0</v>
      </c>
      <c r="AR3132">
        <v>0</v>
      </c>
      <c r="AS3132">
        <v>0</v>
      </c>
      <c r="AT3132" t="s">
        <v>90</v>
      </c>
      <c r="AU3132" s="1">
        <v>44225.385277777779</v>
      </c>
      <c r="AV3132">
        <v>15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1</v>
      </c>
      <c r="BC3132">
        <v>0</v>
      </c>
      <c r="BD3132">
        <v>0</v>
      </c>
      <c r="BE3132">
        <v>0</v>
      </c>
    </row>
    <row r="3133" spans="1:57" x14ac:dyDescent="0.45">
      <c r="A3133" t="s">
        <v>7391</v>
      </c>
      <c r="B3133" t="s">
        <v>79</v>
      </c>
      <c r="C3133" t="s">
        <v>417</v>
      </c>
      <c r="D3133" t="s">
        <v>81</v>
      </c>
      <c r="E3133" s="2" t="str">
        <f>HYPERLINK("capsilon://?command=openfolder&amp;siteaddress=FAM.docvelocity-na8.net&amp;folderid=FXDD5CC737-B106-12E0-A5D9-392782159236","FX201227130")</f>
        <v>FX201227130</v>
      </c>
      <c r="F3133" t="s">
        <v>19</v>
      </c>
      <c r="G3133" t="s">
        <v>19</v>
      </c>
      <c r="H3133" t="s">
        <v>82</v>
      </c>
      <c r="I3133" t="s">
        <v>7392</v>
      </c>
      <c r="J3133">
        <v>31</v>
      </c>
      <c r="K3133" t="s">
        <v>84</v>
      </c>
      <c r="L3133" t="s">
        <v>85</v>
      </c>
      <c r="M3133" t="s">
        <v>86</v>
      </c>
      <c r="N3133">
        <v>3</v>
      </c>
      <c r="O3133" s="1">
        <v>44224.705381944441</v>
      </c>
      <c r="P3133" s="1">
        <v>44225.386400462965</v>
      </c>
      <c r="Q3133">
        <v>58350</v>
      </c>
      <c r="R3133">
        <v>490</v>
      </c>
      <c r="S3133" t="b">
        <v>0</v>
      </c>
      <c r="T3133" t="s">
        <v>87</v>
      </c>
      <c r="U3133" t="b">
        <v>0</v>
      </c>
      <c r="V3133" t="s">
        <v>242</v>
      </c>
      <c r="W3133" s="1">
        <v>44224.709004629629</v>
      </c>
      <c r="X3133">
        <v>308</v>
      </c>
      <c r="Y3133">
        <v>39</v>
      </c>
      <c r="Z3133">
        <v>0</v>
      </c>
      <c r="AA3133">
        <v>39</v>
      </c>
      <c r="AB3133">
        <v>0</v>
      </c>
      <c r="AC3133">
        <v>28</v>
      </c>
      <c r="AD3133">
        <v>-8</v>
      </c>
      <c r="AE3133">
        <v>0</v>
      </c>
      <c r="AF3133">
        <v>0</v>
      </c>
      <c r="AG3133">
        <v>0</v>
      </c>
      <c r="AH3133" t="s">
        <v>132</v>
      </c>
      <c r="AI3133" s="1">
        <v>44224.71943287037</v>
      </c>
      <c r="AJ3133">
        <v>74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-8</v>
      </c>
      <c r="AQ3133">
        <v>0</v>
      </c>
      <c r="AR3133">
        <v>0</v>
      </c>
      <c r="AS3133">
        <v>0</v>
      </c>
      <c r="AT3133" t="s">
        <v>90</v>
      </c>
      <c r="AU3133" s="1">
        <v>44225.386400462965</v>
      </c>
      <c r="AV3133">
        <v>96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-8</v>
      </c>
      <c r="BC3133">
        <v>0</v>
      </c>
      <c r="BD3133">
        <v>0</v>
      </c>
      <c r="BE3133">
        <v>0</v>
      </c>
    </row>
    <row r="3134" spans="1:57" x14ac:dyDescent="0.45">
      <c r="A3134" t="s">
        <v>7393</v>
      </c>
      <c r="B3134" t="s">
        <v>79</v>
      </c>
      <c r="C3134" t="s">
        <v>417</v>
      </c>
      <c r="D3134" t="s">
        <v>81</v>
      </c>
      <c r="E3134" s="2" t="str">
        <f>HYPERLINK("capsilon://?command=openfolder&amp;siteaddress=FAM.docvelocity-na8.net&amp;folderid=FXDD5CC737-B106-12E0-A5D9-392782159236","FX201227130")</f>
        <v>FX201227130</v>
      </c>
      <c r="F3134" t="s">
        <v>19</v>
      </c>
      <c r="G3134" t="s">
        <v>19</v>
      </c>
      <c r="H3134" t="s">
        <v>82</v>
      </c>
      <c r="I3134" t="s">
        <v>7394</v>
      </c>
      <c r="J3134">
        <v>31</v>
      </c>
      <c r="K3134" t="s">
        <v>84</v>
      </c>
      <c r="L3134" t="s">
        <v>85</v>
      </c>
      <c r="M3134" t="s">
        <v>86</v>
      </c>
      <c r="N3134">
        <v>3</v>
      </c>
      <c r="O3134" s="1">
        <v>44224.706099537034</v>
      </c>
      <c r="P3134" s="1">
        <v>44225.386469907404</v>
      </c>
      <c r="Q3134">
        <v>58134</v>
      </c>
      <c r="R3134">
        <v>650</v>
      </c>
      <c r="S3134" t="b">
        <v>0</v>
      </c>
      <c r="T3134" t="s">
        <v>87</v>
      </c>
      <c r="U3134" t="b">
        <v>0</v>
      </c>
      <c r="V3134" t="s">
        <v>343</v>
      </c>
      <c r="W3134" s="1">
        <v>44224.71266203704</v>
      </c>
      <c r="X3134">
        <v>534</v>
      </c>
      <c r="Y3134">
        <v>39</v>
      </c>
      <c r="Z3134">
        <v>0</v>
      </c>
      <c r="AA3134">
        <v>39</v>
      </c>
      <c r="AB3134">
        <v>0</v>
      </c>
      <c r="AC3134">
        <v>29</v>
      </c>
      <c r="AD3134">
        <v>-8</v>
      </c>
      <c r="AE3134">
        <v>0</v>
      </c>
      <c r="AF3134">
        <v>0</v>
      </c>
      <c r="AG3134">
        <v>0</v>
      </c>
      <c r="AH3134" t="s">
        <v>132</v>
      </c>
      <c r="AI3134" s="1">
        <v>44224.720625000002</v>
      </c>
      <c r="AJ3134">
        <v>102</v>
      </c>
      <c r="AK3134">
        <v>1</v>
      </c>
      <c r="AL3134">
        <v>0</v>
      </c>
      <c r="AM3134">
        <v>1</v>
      </c>
      <c r="AN3134">
        <v>0</v>
      </c>
      <c r="AO3134">
        <v>1</v>
      </c>
      <c r="AP3134">
        <v>-9</v>
      </c>
      <c r="AQ3134">
        <v>0</v>
      </c>
      <c r="AR3134">
        <v>0</v>
      </c>
      <c r="AS3134">
        <v>0</v>
      </c>
      <c r="AT3134" t="s">
        <v>90</v>
      </c>
      <c r="AU3134" s="1">
        <v>44225.386469907404</v>
      </c>
      <c r="AV3134">
        <v>6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-9</v>
      </c>
      <c r="BC3134">
        <v>0</v>
      </c>
      <c r="BD3134">
        <v>0</v>
      </c>
      <c r="BE3134">
        <v>0</v>
      </c>
    </row>
    <row r="3135" spans="1:57" x14ac:dyDescent="0.45">
      <c r="A3135" t="s">
        <v>7395</v>
      </c>
      <c r="B3135" t="s">
        <v>79</v>
      </c>
      <c r="C3135" t="s">
        <v>7396</v>
      </c>
      <c r="D3135" t="s">
        <v>81</v>
      </c>
      <c r="E3135" s="2" t="str">
        <f>HYPERLINK("capsilon://?command=openfolder&amp;siteaddress=FAM.docvelocity-na8.net&amp;folderid=FX52ABF3A9-83BA-88F9-3C95-549ED2C45B55","FX210110310")</f>
        <v>FX210110310</v>
      </c>
      <c r="F3135" t="s">
        <v>19</v>
      </c>
      <c r="G3135" t="s">
        <v>19</v>
      </c>
      <c r="H3135" t="s">
        <v>82</v>
      </c>
      <c r="I3135" t="s">
        <v>7397</v>
      </c>
      <c r="J3135">
        <v>302</v>
      </c>
      <c r="K3135" t="s">
        <v>84</v>
      </c>
      <c r="L3135" t="s">
        <v>85</v>
      </c>
      <c r="M3135" t="s">
        <v>86</v>
      </c>
      <c r="N3135">
        <v>3</v>
      </c>
      <c r="O3135" s="1">
        <v>44224.716493055559</v>
      </c>
      <c r="P3135" s="1">
        <v>44225.386944444443</v>
      </c>
      <c r="Q3135">
        <v>56634</v>
      </c>
      <c r="R3135">
        <v>1293</v>
      </c>
      <c r="S3135" t="b">
        <v>0</v>
      </c>
      <c r="T3135" t="s">
        <v>87</v>
      </c>
      <c r="U3135" t="b">
        <v>0</v>
      </c>
      <c r="V3135" t="s">
        <v>142</v>
      </c>
      <c r="W3135" s="1">
        <v>44224.728692129633</v>
      </c>
      <c r="X3135">
        <v>1053</v>
      </c>
      <c r="Y3135">
        <v>151</v>
      </c>
      <c r="Z3135">
        <v>0</v>
      </c>
      <c r="AA3135">
        <v>151</v>
      </c>
      <c r="AB3135">
        <v>0</v>
      </c>
      <c r="AC3135">
        <v>38</v>
      </c>
      <c r="AD3135">
        <v>151</v>
      </c>
      <c r="AE3135">
        <v>0</v>
      </c>
      <c r="AF3135">
        <v>0</v>
      </c>
      <c r="AG3135">
        <v>0</v>
      </c>
      <c r="AH3135" t="s">
        <v>132</v>
      </c>
      <c r="AI3135" s="1">
        <v>44224.732604166667</v>
      </c>
      <c r="AJ3135">
        <v>200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151</v>
      </c>
      <c r="AQ3135">
        <v>0</v>
      </c>
      <c r="AR3135">
        <v>0</v>
      </c>
      <c r="AS3135">
        <v>0</v>
      </c>
      <c r="AT3135" t="s">
        <v>90</v>
      </c>
      <c r="AU3135" s="1">
        <v>44225.386944444443</v>
      </c>
      <c r="AV3135">
        <v>40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151</v>
      </c>
      <c r="BC3135">
        <v>0</v>
      </c>
      <c r="BD3135">
        <v>0</v>
      </c>
      <c r="BE3135">
        <v>0</v>
      </c>
    </row>
    <row r="3136" spans="1:57" hidden="1" x14ac:dyDescent="0.45">
      <c r="A3136" t="s">
        <v>7398</v>
      </c>
      <c r="B3136" t="s">
        <v>79</v>
      </c>
      <c r="C3136" t="s">
        <v>7399</v>
      </c>
      <c r="D3136" t="s">
        <v>81</v>
      </c>
      <c r="E3136" s="2" t="str">
        <f>HYPERLINK("capsilon://?command=openfolder&amp;siteaddress=FAM.docvelocity-na8.net&amp;folderid=FXAA974079-CB11-1A45-0D0E-9F34592DB8B2","FX210117896")</f>
        <v>FX210117896</v>
      </c>
      <c r="F3136" t="s">
        <v>19</v>
      </c>
      <c r="G3136" t="s">
        <v>19</v>
      </c>
      <c r="H3136" t="s">
        <v>82</v>
      </c>
      <c r="I3136" t="s">
        <v>7400</v>
      </c>
      <c r="J3136">
        <v>462</v>
      </c>
      <c r="K3136" t="s">
        <v>84</v>
      </c>
      <c r="L3136" t="s">
        <v>85</v>
      </c>
      <c r="M3136" t="s">
        <v>86</v>
      </c>
      <c r="N3136">
        <v>1</v>
      </c>
      <c r="O3136" s="1">
        <v>44224.718611111108</v>
      </c>
      <c r="P3136" s="1">
        <v>44224.773506944446</v>
      </c>
      <c r="Q3136">
        <v>1</v>
      </c>
      <c r="R3136">
        <v>4742</v>
      </c>
      <c r="S3136" t="b">
        <v>0</v>
      </c>
      <c r="T3136" t="s">
        <v>87</v>
      </c>
      <c r="U3136" t="b">
        <v>0</v>
      </c>
      <c r="V3136" t="s">
        <v>160</v>
      </c>
      <c r="W3136" s="1">
        <v>44224.773506944446</v>
      </c>
      <c r="X3136">
        <v>4742</v>
      </c>
      <c r="Y3136">
        <v>392</v>
      </c>
      <c r="Z3136">
        <v>0</v>
      </c>
      <c r="AA3136">
        <v>392</v>
      </c>
      <c r="AB3136">
        <v>0</v>
      </c>
      <c r="AC3136">
        <v>223</v>
      </c>
      <c r="AD3136">
        <v>70</v>
      </c>
      <c r="AE3136">
        <v>37</v>
      </c>
      <c r="AF3136">
        <v>0</v>
      </c>
      <c r="AG3136">
        <v>1</v>
      </c>
      <c r="AH3136" t="s">
        <v>87</v>
      </c>
      <c r="AI3136" t="s">
        <v>87</v>
      </c>
      <c r="AJ3136" t="s">
        <v>87</v>
      </c>
      <c r="AK3136" t="s">
        <v>87</v>
      </c>
      <c r="AL3136" t="s">
        <v>87</v>
      </c>
      <c r="AM3136" t="s">
        <v>87</v>
      </c>
      <c r="AN3136" t="s">
        <v>87</v>
      </c>
      <c r="AO3136" t="s">
        <v>87</v>
      </c>
      <c r="AP3136" t="s">
        <v>87</v>
      </c>
      <c r="AQ3136" t="s">
        <v>87</v>
      </c>
      <c r="AR3136" t="s">
        <v>87</v>
      </c>
      <c r="AS3136" t="s">
        <v>87</v>
      </c>
      <c r="AT3136" t="s">
        <v>87</v>
      </c>
      <c r="AU3136" t="s">
        <v>87</v>
      </c>
      <c r="AV3136" t="s">
        <v>87</v>
      </c>
      <c r="AW3136" t="s">
        <v>87</v>
      </c>
      <c r="AX3136" t="s">
        <v>87</v>
      </c>
      <c r="AY3136" t="s">
        <v>87</v>
      </c>
      <c r="AZ3136" t="s">
        <v>87</v>
      </c>
      <c r="BA3136" t="s">
        <v>87</v>
      </c>
      <c r="BB3136" t="s">
        <v>87</v>
      </c>
      <c r="BC3136" t="s">
        <v>87</v>
      </c>
      <c r="BD3136" t="s">
        <v>87</v>
      </c>
      <c r="BE3136" t="s">
        <v>87</v>
      </c>
    </row>
    <row r="3137" spans="1:57" x14ac:dyDescent="0.45">
      <c r="A3137" t="s">
        <v>7401</v>
      </c>
      <c r="B3137" t="s">
        <v>79</v>
      </c>
      <c r="C3137" t="s">
        <v>7402</v>
      </c>
      <c r="D3137" t="s">
        <v>81</v>
      </c>
      <c r="E3137" s="2" t="str">
        <f>HYPERLINK("capsilon://?command=openfolder&amp;siteaddress=FAM.docvelocity-na8.net&amp;folderid=FXEC8B55FA-3FBD-5E8C-6B40-B657050623E6","FX210117256")</f>
        <v>FX210117256</v>
      </c>
      <c r="F3137" t="s">
        <v>19</v>
      </c>
      <c r="G3137" t="s">
        <v>19</v>
      </c>
      <c r="H3137" t="s">
        <v>82</v>
      </c>
      <c r="I3137" t="s">
        <v>7403</v>
      </c>
      <c r="J3137">
        <v>184</v>
      </c>
      <c r="K3137" t="s">
        <v>84</v>
      </c>
      <c r="L3137" t="s">
        <v>85</v>
      </c>
      <c r="M3137" t="s">
        <v>86</v>
      </c>
      <c r="N3137">
        <v>3</v>
      </c>
      <c r="O3137" s="1">
        <v>44224.723692129628</v>
      </c>
      <c r="P3137" s="1">
        <v>44225.388657407406</v>
      </c>
      <c r="Q3137">
        <v>56512</v>
      </c>
      <c r="R3137">
        <v>941</v>
      </c>
      <c r="S3137" t="b">
        <v>0</v>
      </c>
      <c r="T3137" t="s">
        <v>87</v>
      </c>
      <c r="U3137" t="b">
        <v>0</v>
      </c>
      <c r="V3137" t="s">
        <v>255</v>
      </c>
      <c r="W3137" s="1">
        <v>44224.730081018519</v>
      </c>
      <c r="X3137">
        <v>550</v>
      </c>
      <c r="Y3137">
        <v>170</v>
      </c>
      <c r="Z3137">
        <v>0</v>
      </c>
      <c r="AA3137">
        <v>170</v>
      </c>
      <c r="AB3137">
        <v>0</v>
      </c>
      <c r="AC3137">
        <v>40</v>
      </c>
      <c r="AD3137">
        <v>14</v>
      </c>
      <c r="AE3137">
        <v>0</v>
      </c>
      <c r="AF3137">
        <v>0</v>
      </c>
      <c r="AG3137">
        <v>0</v>
      </c>
      <c r="AH3137" t="s">
        <v>132</v>
      </c>
      <c r="AI3137" s="1">
        <v>44224.73542824074</v>
      </c>
      <c r="AJ3137">
        <v>243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14</v>
      </c>
      <c r="AQ3137">
        <v>0</v>
      </c>
      <c r="AR3137">
        <v>0</v>
      </c>
      <c r="AS3137">
        <v>0</v>
      </c>
      <c r="AT3137" t="s">
        <v>90</v>
      </c>
      <c r="AU3137" s="1">
        <v>44225.388657407406</v>
      </c>
      <c r="AV3137">
        <v>148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14</v>
      </c>
      <c r="BC3137">
        <v>0</v>
      </c>
      <c r="BD3137">
        <v>0</v>
      </c>
      <c r="BE3137">
        <v>0</v>
      </c>
    </row>
    <row r="3138" spans="1:57" x14ac:dyDescent="0.45">
      <c r="A3138" t="s">
        <v>7404</v>
      </c>
      <c r="B3138" t="s">
        <v>79</v>
      </c>
      <c r="C3138" t="s">
        <v>7402</v>
      </c>
      <c r="D3138" t="s">
        <v>81</v>
      </c>
      <c r="E3138" s="2" t="str">
        <f>HYPERLINK("capsilon://?command=openfolder&amp;siteaddress=FAM.docvelocity-na8.net&amp;folderid=FXEC8B55FA-3FBD-5E8C-6B40-B657050623E6","FX210117256")</f>
        <v>FX210117256</v>
      </c>
      <c r="F3138" t="s">
        <v>19</v>
      </c>
      <c r="G3138" t="s">
        <v>19</v>
      </c>
      <c r="H3138" t="s">
        <v>82</v>
      </c>
      <c r="I3138" t="s">
        <v>7405</v>
      </c>
      <c r="J3138">
        <v>50</v>
      </c>
      <c r="K3138" t="s">
        <v>84</v>
      </c>
      <c r="L3138" t="s">
        <v>85</v>
      </c>
      <c r="M3138" t="s">
        <v>86</v>
      </c>
      <c r="N3138">
        <v>3</v>
      </c>
      <c r="O3138" s="1">
        <v>44224.724212962959</v>
      </c>
      <c r="P3138" s="1">
        <v>44225.388726851852</v>
      </c>
      <c r="Q3138">
        <v>57015</v>
      </c>
      <c r="R3138">
        <v>399</v>
      </c>
      <c r="S3138" t="b">
        <v>0</v>
      </c>
      <c r="T3138" t="s">
        <v>87</v>
      </c>
      <c r="U3138" t="b">
        <v>0</v>
      </c>
      <c r="V3138" t="s">
        <v>259</v>
      </c>
      <c r="W3138" s="1">
        <v>44224.728206018517</v>
      </c>
      <c r="X3138">
        <v>280</v>
      </c>
      <c r="Y3138">
        <v>46</v>
      </c>
      <c r="Z3138">
        <v>0</v>
      </c>
      <c r="AA3138">
        <v>46</v>
      </c>
      <c r="AB3138">
        <v>0</v>
      </c>
      <c r="AC3138">
        <v>8</v>
      </c>
      <c r="AD3138">
        <v>4</v>
      </c>
      <c r="AE3138">
        <v>0</v>
      </c>
      <c r="AF3138">
        <v>0</v>
      </c>
      <c r="AG3138">
        <v>0</v>
      </c>
      <c r="AH3138" t="s">
        <v>128</v>
      </c>
      <c r="AI3138" s="1">
        <v>44224.73505787037</v>
      </c>
      <c r="AJ3138">
        <v>114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4</v>
      </c>
      <c r="AQ3138">
        <v>0</v>
      </c>
      <c r="AR3138">
        <v>0</v>
      </c>
      <c r="AS3138">
        <v>0</v>
      </c>
      <c r="AT3138" t="s">
        <v>90</v>
      </c>
      <c r="AU3138" s="1">
        <v>44225.388726851852</v>
      </c>
      <c r="AV3138">
        <v>5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4</v>
      </c>
      <c r="BC3138">
        <v>0</v>
      </c>
      <c r="BD3138">
        <v>0</v>
      </c>
      <c r="BE3138">
        <v>0</v>
      </c>
    </row>
    <row r="3139" spans="1:57" x14ac:dyDescent="0.45">
      <c r="A3139" t="s">
        <v>7406</v>
      </c>
      <c r="B3139" t="s">
        <v>79</v>
      </c>
      <c r="C3139" t="s">
        <v>7402</v>
      </c>
      <c r="D3139" t="s">
        <v>81</v>
      </c>
      <c r="E3139" s="2" t="str">
        <f>HYPERLINK("capsilon://?command=openfolder&amp;siteaddress=FAM.docvelocity-na8.net&amp;folderid=FXEC8B55FA-3FBD-5E8C-6B40-B657050623E6","FX210117256")</f>
        <v>FX210117256</v>
      </c>
      <c r="F3139" t="s">
        <v>19</v>
      </c>
      <c r="G3139" t="s">
        <v>19</v>
      </c>
      <c r="H3139" t="s">
        <v>82</v>
      </c>
      <c r="I3139" t="s">
        <v>7407</v>
      </c>
      <c r="J3139">
        <v>70</v>
      </c>
      <c r="K3139" t="s">
        <v>84</v>
      </c>
      <c r="L3139" t="s">
        <v>85</v>
      </c>
      <c r="M3139" t="s">
        <v>86</v>
      </c>
      <c r="N3139">
        <v>3</v>
      </c>
      <c r="O3139" s="1">
        <v>44224.724699074075</v>
      </c>
      <c r="P3139" s="1">
        <v>44225.388784722221</v>
      </c>
      <c r="Q3139">
        <v>56991</v>
      </c>
      <c r="R3139">
        <v>386</v>
      </c>
      <c r="S3139" t="b">
        <v>0</v>
      </c>
      <c r="T3139" t="s">
        <v>87</v>
      </c>
      <c r="U3139" t="b">
        <v>0</v>
      </c>
      <c r="V3139" t="s">
        <v>343</v>
      </c>
      <c r="W3139" s="1">
        <v>44224.729618055557</v>
      </c>
      <c r="X3139">
        <v>249</v>
      </c>
      <c r="Y3139">
        <v>66</v>
      </c>
      <c r="Z3139">
        <v>0</v>
      </c>
      <c r="AA3139">
        <v>66</v>
      </c>
      <c r="AB3139">
        <v>0</v>
      </c>
      <c r="AC3139">
        <v>21</v>
      </c>
      <c r="AD3139">
        <v>4</v>
      </c>
      <c r="AE3139">
        <v>0</v>
      </c>
      <c r="AF3139">
        <v>0</v>
      </c>
      <c r="AG3139">
        <v>0</v>
      </c>
      <c r="AH3139" t="s">
        <v>128</v>
      </c>
      <c r="AI3139" s="1">
        <v>44224.736608796295</v>
      </c>
      <c r="AJ3139">
        <v>133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4</v>
      </c>
      <c r="AQ3139">
        <v>0</v>
      </c>
      <c r="AR3139">
        <v>0</v>
      </c>
      <c r="AS3139">
        <v>0</v>
      </c>
      <c r="AT3139" t="s">
        <v>90</v>
      </c>
      <c r="AU3139" s="1">
        <v>44225.388784722221</v>
      </c>
      <c r="AV3139">
        <v>4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4</v>
      </c>
      <c r="BC3139">
        <v>0</v>
      </c>
      <c r="BD3139">
        <v>0</v>
      </c>
      <c r="BE3139">
        <v>0</v>
      </c>
    </row>
    <row r="3140" spans="1:57" x14ac:dyDescent="0.45">
      <c r="A3140" t="s">
        <v>7408</v>
      </c>
      <c r="B3140" t="s">
        <v>79</v>
      </c>
      <c r="C3140" t="s">
        <v>7402</v>
      </c>
      <c r="D3140" t="s">
        <v>81</v>
      </c>
      <c r="E3140" s="2" t="str">
        <f>HYPERLINK("capsilon://?command=openfolder&amp;siteaddress=FAM.docvelocity-na8.net&amp;folderid=FXEC8B55FA-3FBD-5E8C-6B40-B657050623E6","FX210117256")</f>
        <v>FX210117256</v>
      </c>
      <c r="F3140" t="s">
        <v>19</v>
      </c>
      <c r="G3140" t="s">
        <v>19</v>
      </c>
      <c r="H3140" t="s">
        <v>82</v>
      </c>
      <c r="I3140" t="s">
        <v>7409</v>
      </c>
      <c r="J3140">
        <v>26</v>
      </c>
      <c r="K3140" t="s">
        <v>84</v>
      </c>
      <c r="L3140" t="s">
        <v>85</v>
      </c>
      <c r="M3140" t="s">
        <v>86</v>
      </c>
      <c r="N3140">
        <v>3</v>
      </c>
      <c r="O3140" s="1">
        <v>44224.724849537037</v>
      </c>
      <c r="P3140" s="1">
        <v>44225.388854166667</v>
      </c>
      <c r="Q3140">
        <v>57120</v>
      </c>
      <c r="R3140">
        <v>250</v>
      </c>
      <c r="S3140" t="b">
        <v>0</v>
      </c>
      <c r="T3140" t="s">
        <v>87</v>
      </c>
      <c r="U3140" t="b">
        <v>0</v>
      </c>
      <c r="V3140" t="s">
        <v>262</v>
      </c>
      <c r="W3140" s="1">
        <v>44224.727719907409</v>
      </c>
      <c r="X3140">
        <v>191</v>
      </c>
      <c r="Y3140">
        <v>21</v>
      </c>
      <c r="Z3140">
        <v>0</v>
      </c>
      <c r="AA3140">
        <v>21</v>
      </c>
      <c r="AB3140">
        <v>0</v>
      </c>
      <c r="AC3140">
        <v>1</v>
      </c>
      <c r="AD3140">
        <v>5</v>
      </c>
      <c r="AE3140">
        <v>0</v>
      </c>
      <c r="AF3140">
        <v>0</v>
      </c>
      <c r="AG3140">
        <v>0</v>
      </c>
      <c r="AH3140" t="s">
        <v>132</v>
      </c>
      <c r="AI3140" s="1">
        <v>44224.736064814817</v>
      </c>
      <c r="AJ3140">
        <v>54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5</v>
      </c>
      <c r="AQ3140">
        <v>0</v>
      </c>
      <c r="AR3140">
        <v>0</v>
      </c>
      <c r="AS3140">
        <v>0</v>
      </c>
      <c r="AT3140" t="s">
        <v>90</v>
      </c>
      <c r="AU3140" s="1">
        <v>44225.388854166667</v>
      </c>
      <c r="AV3140">
        <v>5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5</v>
      </c>
      <c r="BC3140">
        <v>0</v>
      </c>
      <c r="BD3140">
        <v>0</v>
      </c>
      <c r="BE3140">
        <v>0</v>
      </c>
    </row>
    <row r="3141" spans="1:57" x14ac:dyDescent="0.45">
      <c r="A3141" t="s">
        <v>7410</v>
      </c>
      <c r="B3141" t="s">
        <v>79</v>
      </c>
      <c r="C3141" t="s">
        <v>155</v>
      </c>
      <c r="D3141" t="s">
        <v>81</v>
      </c>
      <c r="E3141" s="2" t="str">
        <f>HYPERLINK("capsilon://?command=openfolder&amp;siteaddress=FAM.docvelocity-na8.net&amp;folderid=FXC8A4420B-55E7-B143-0FD2-A7C870748C91","FX210118267")</f>
        <v>FX210118267</v>
      </c>
      <c r="F3141" t="s">
        <v>19</v>
      </c>
      <c r="G3141" t="s">
        <v>19</v>
      </c>
      <c r="H3141" t="s">
        <v>82</v>
      </c>
      <c r="I3141" t="s">
        <v>7411</v>
      </c>
      <c r="J3141">
        <v>153</v>
      </c>
      <c r="K3141" t="s">
        <v>84</v>
      </c>
      <c r="L3141" t="s">
        <v>85</v>
      </c>
      <c r="M3141" t="s">
        <v>86</v>
      </c>
      <c r="N3141">
        <v>3</v>
      </c>
      <c r="O3141" s="1">
        <v>44224.733715277776</v>
      </c>
      <c r="P3141" s="1">
        <v>44225.399641203701</v>
      </c>
      <c r="Q3141">
        <v>53846</v>
      </c>
      <c r="R3141">
        <v>3690</v>
      </c>
      <c r="S3141" t="b">
        <v>0</v>
      </c>
      <c r="T3141" t="s">
        <v>87</v>
      </c>
      <c r="U3141" t="b">
        <v>0</v>
      </c>
      <c r="V3141" t="s">
        <v>146</v>
      </c>
      <c r="W3141" s="1">
        <v>44224.756967592592</v>
      </c>
      <c r="X3141">
        <v>2008</v>
      </c>
      <c r="Y3141">
        <v>129</v>
      </c>
      <c r="Z3141">
        <v>0</v>
      </c>
      <c r="AA3141">
        <v>129</v>
      </c>
      <c r="AB3141">
        <v>0</v>
      </c>
      <c r="AC3141">
        <v>69</v>
      </c>
      <c r="AD3141">
        <v>24</v>
      </c>
      <c r="AE3141">
        <v>0</v>
      </c>
      <c r="AF3141">
        <v>0</v>
      </c>
      <c r="AG3141">
        <v>0</v>
      </c>
      <c r="AH3141" t="s">
        <v>128</v>
      </c>
      <c r="AI3141" s="1">
        <v>44224.767500000002</v>
      </c>
      <c r="AJ3141">
        <v>427</v>
      </c>
      <c r="AK3141">
        <v>2</v>
      </c>
      <c r="AL3141">
        <v>0</v>
      </c>
      <c r="AM3141">
        <v>2</v>
      </c>
      <c r="AN3141">
        <v>0</v>
      </c>
      <c r="AO3141">
        <v>2</v>
      </c>
      <c r="AP3141">
        <v>22</v>
      </c>
      <c r="AQ3141">
        <v>0</v>
      </c>
      <c r="AR3141">
        <v>0</v>
      </c>
      <c r="AS3141">
        <v>0</v>
      </c>
      <c r="AT3141" t="s">
        <v>90</v>
      </c>
      <c r="AU3141" s="1">
        <v>44225.399641203701</v>
      </c>
      <c r="AV3141">
        <v>932</v>
      </c>
      <c r="AW3141">
        <v>2</v>
      </c>
      <c r="AX3141">
        <v>0</v>
      </c>
      <c r="AY3141">
        <v>2</v>
      </c>
      <c r="AZ3141">
        <v>0</v>
      </c>
      <c r="BA3141">
        <v>2</v>
      </c>
      <c r="BB3141">
        <v>20</v>
      </c>
      <c r="BC3141">
        <v>0</v>
      </c>
      <c r="BD3141">
        <v>0</v>
      </c>
      <c r="BE3141">
        <v>0</v>
      </c>
    </row>
    <row r="3142" spans="1:57" x14ac:dyDescent="0.45">
      <c r="A3142" t="s">
        <v>7412</v>
      </c>
      <c r="B3142" t="s">
        <v>79</v>
      </c>
      <c r="C3142" t="s">
        <v>5627</v>
      </c>
      <c r="D3142" t="s">
        <v>81</v>
      </c>
      <c r="E3142" s="2" t="str">
        <f>HYPERLINK("capsilon://?command=openfolder&amp;siteaddress=FAM.docvelocity-na8.net&amp;folderid=FXB76D95DE-4EEC-C871-272D-902C1D765D8B","FX210114528")</f>
        <v>FX210114528</v>
      </c>
      <c r="F3142" t="s">
        <v>19</v>
      </c>
      <c r="G3142" t="s">
        <v>19</v>
      </c>
      <c r="H3142" t="s">
        <v>82</v>
      </c>
      <c r="I3142" t="s">
        <v>7413</v>
      </c>
      <c r="J3142">
        <v>66</v>
      </c>
      <c r="K3142" t="s">
        <v>84</v>
      </c>
      <c r="L3142" t="s">
        <v>85</v>
      </c>
      <c r="M3142" t="s">
        <v>86</v>
      </c>
      <c r="N3142">
        <v>3</v>
      </c>
      <c r="O3142" s="1">
        <v>44224.738541666666</v>
      </c>
      <c r="P3142" s="1">
        <v>44225.401076388887</v>
      </c>
      <c r="Q3142">
        <v>55909</v>
      </c>
      <c r="R3142">
        <v>1334</v>
      </c>
      <c r="S3142" t="b">
        <v>0</v>
      </c>
      <c r="T3142" t="s">
        <v>87</v>
      </c>
      <c r="U3142" t="b">
        <v>0</v>
      </c>
      <c r="V3142" t="s">
        <v>171</v>
      </c>
      <c r="W3142" s="1">
        <v>44224.751701388886</v>
      </c>
      <c r="X3142">
        <v>1136</v>
      </c>
      <c r="Y3142">
        <v>52</v>
      </c>
      <c r="Z3142">
        <v>0</v>
      </c>
      <c r="AA3142">
        <v>52</v>
      </c>
      <c r="AB3142">
        <v>0</v>
      </c>
      <c r="AC3142">
        <v>39</v>
      </c>
      <c r="AD3142">
        <v>14</v>
      </c>
      <c r="AE3142">
        <v>0</v>
      </c>
      <c r="AF3142">
        <v>0</v>
      </c>
      <c r="AG3142">
        <v>0</v>
      </c>
      <c r="AH3142" t="s">
        <v>132</v>
      </c>
      <c r="AI3142" s="1">
        <v>44224.766377314816</v>
      </c>
      <c r="AJ3142">
        <v>74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14</v>
      </c>
      <c r="AQ3142">
        <v>0</v>
      </c>
      <c r="AR3142">
        <v>0</v>
      </c>
      <c r="AS3142">
        <v>0</v>
      </c>
      <c r="AT3142" t="s">
        <v>90</v>
      </c>
      <c r="AU3142" s="1">
        <v>44225.401076388887</v>
      </c>
      <c r="AV3142">
        <v>124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14</v>
      </c>
      <c r="BC3142">
        <v>0</v>
      </c>
      <c r="BD3142">
        <v>0</v>
      </c>
      <c r="BE3142">
        <v>0</v>
      </c>
    </row>
    <row r="3143" spans="1:57" x14ac:dyDescent="0.45">
      <c r="A3143" t="s">
        <v>7414</v>
      </c>
      <c r="B3143" t="s">
        <v>79</v>
      </c>
      <c r="C3143" t="s">
        <v>6385</v>
      </c>
      <c r="D3143" t="s">
        <v>81</v>
      </c>
      <c r="E3143" s="2" t="str">
        <f>HYPERLINK("capsilon://?command=openfolder&amp;siteaddress=FAM.docvelocity-na8.net&amp;folderid=FX0EB09D78-F83C-10F9-33EC-578469372E57","FX210111352")</f>
        <v>FX210111352</v>
      </c>
      <c r="F3143" t="s">
        <v>19</v>
      </c>
      <c r="G3143" t="s">
        <v>19</v>
      </c>
      <c r="H3143" t="s">
        <v>82</v>
      </c>
      <c r="I3143" t="s">
        <v>7415</v>
      </c>
      <c r="J3143">
        <v>66</v>
      </c>
      <c r="K3143" t="s">
        <v>84</v>
      </c>
      <c r="L3143" t="s">
        <v>85</v>
      </c>
      <c r="M3143" t="s">
        <v>86</v>
      </c>
      <c r="N3143">
        <v>3</v>
      </c>
      <c r="O3143" s="1">
        <v>44224.741678240738</v>
      </c>
      <c r="P3143" s="1">
        <v>44225.401180555556</v>
      </c>
      <c r="Q3143">
        <v>56528</v>
      </c>
      <c r="R3143">
        <v>453</v>
      </c>
      <c r="S3143" t="b">
        <v>0</v>
      </c>
      <c r="T3143" t="s">
        <v>87</v>
      </c>
      <c r="U3143" t="b">
        <v>0</v>
      </c>
      <c r="V3143" t="s">
        <v>255</v>
      </c>
      <c r="W3143" s="1">
        <v>44224.744189814817</v>
      </c>
      <c r="X3143">
        <v>216</v>
      </c>
      <c r="Y3143">
        <v>52</v>
      </c>
      <c r="Z3143">
        <v>0</v>
      </c>
      <c r="AA3143">
        <v>52</v>
      </c>
      <c r="AB3143">
        <v>0</v>
      </c>
      <c r="AC3143">
        <v>33</v>
      </c>
      <c r="AD3143">
        <v>14</v>
      </c>
      <c r="AE3143">
        <v>0</v>
      </c>
      <c r="AF3143">
        <v>0</v>
      </c>
      <c r="AG3143">
        <v>0</v>
      </c>
      <c r="AH3143" t="s">
        <v>128</v>
      </c>
      <c r="AI3143" s="1">
        <v>44224.74900462963</v>
      </c>
      <c r="AJ3143">
        <v>229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14</v>
      </c>
      <c r="AQ3143">
        <v>0</v>
      </c>
      <c r="AR3143">
        <v>0</v>
      </c>
      <c r="AS3143">
        <v>0</v>
      </c>
      <c r="AT3143" t="s">
        <v>90</v>
      </c>
      <c r="AU3143" s="1">
        <v>44225.401180555556</v>
      </c>
      <c r="AV3143">
        <v>8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14</v>
      </c>
      <c r="BC3143">
        <v>0</v>
      </c>
      <c r="BD3143">
        <v>0</v>
      </c>
      <c r="BE3143">
        <v>0</v>
      </c>
    </row>
    <row r="3144" spans="1:57" hidden="1" x14ac:dyDescent="0.45">
      <c r="A3144" t="s">
        <v>7416</v>
      </c>
      <c r="B3144" t="s">
        <v>79</v>
      </c>
      <c r="C3144" t="s">
        <v>7417</v>
      </c>
      <c r="D3144" t="s">
        <v>81</v>
      </c>
      <c r="E3144" s="2" t="str">
        <f>HYPERLINK("capsilon://?command=openfolder&amp;siteaddress=FAM.docvelocity-na8.net&amp;folderid=FXBC3DF28E-9DDB-5E85-DF52-47E91AE8DF5B","FX20127571")</f>
        <v>FX20127571</v>
      </c>
      <c r="F3144" t="s">
        <v>19</v>
      </c>
      <c r="G3144" t="s">
        <v>19</v>
      </c>
      <c r="H3144" t="s">
        <v>82</v>
      </c>
      <c r="I3144" t="s">
        <v>7418</v>
      </c>
      <c r="J3144">
        <v>129</v>
      </c>
      <c r="K3144" t="s">
        <v>84</v>
      </c>
      <c r="L3144" t="s">
        <v>85</v>
      </c>
      <c r="M3144" t="s">
        <v>86</v>
      </c>
      <c r="N3144">
        <v>1</v>
      </c>
      <c r="O3144" s="1">
        <v>44224.743425925924</v>
      </c>
      <c r="P3144" s="1">
        <v>44224.745358796295</v>
      </c>
      <c r="Q3144">
        <v>1</v>
      </c>
      <c r="R3144">
        <v>166</v>
      </c>
      <c r="S3144" t="b">
        <v>0</v>
      </c>
      <c r="T3144" t="s">
        <v>87</v>
      </c>
      <c r="U3144" t="b">
        <v>0</v>
      </c>
      <c r="V3144" t="s">
        <v>179</v>
      </c>
      <c r="W3144" s="1">
        <v>44224.745358796295</v>
      </c>
      <c r="X3144">
        <v>166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129</v>
      </c>
      <c r="AE3144">
        <v>125</v>
      </c>
      <c r="AF3144">
        <v>0</v>
      </c>
      <c r="AG3144">
        <v>4</v>
      </c>
      <c r="AH3144" t="s">
        <v>87</v>
      </c>
      <c r="AI3144" t="s">
        <v>87</v>
      </c>
      <c r="AJ3144" t="s">
        <v>87</v>
      </c>
      <c r="AK3144" t="s">
        <v>87</v>
      </c>
      <c r="AL3144" t="s">
        <v>87</v>
      </c>
      <c r="AM3144" t="s">
        <v>87</v>
      </c>
      <c r="AN3144" t="s">
        <v>87</v>
      </c>
      <c r="AO3144" t="s">
        <v>87</v>
      </c>
      <c r="AP3144" t="s">
        <v>87</v>
      </c>
      <c r="AQ3144" t="s">
        <v>87</v>
      </c>
      <c r="AR3144" t="s">
        <v>87</v>
      </c>
      <c r="AS3144" t="s">
        <v>87</v>
      </c>
      <c r="AT3144" t="s">
        <v>87</v>
      </c>
      <c r="AU3144" t="s">
        <v>87</v>
      </c>
      <c r="AV3144" t="s">
        <v>87</v>
      </c>
      <c r="AW3144" t="s">
        <v>87</v>
      </c>
      <c r="AX3144" t="s">
        <v>87</v>
      </c>
      <c r="AY3144" t="s">
        <v>87</v>
      </c>
      <c r="AZ3144" t="s">
        <v>87</v>
      </c>
      <c r="BA3144" t="s">
        <v>87</v>
      </c>
      <c r="BB3144" t="s">
        <v>87</v>
      </c>
      <c r="BC3144" t="s">
        <v>87</v>
      </c>
      <c r="BD3144" t="s">
        <v>87</v>
      </c>
      <c r="BE3144" t="s">
        <v>87</v>
      </c>
    </row>
    <row r="3145" spans="1:57" x14ac:dyDescent="0.45">
      <c r="A3145" t="s">
        <v>7419</v>
      </c>
      <c r="B3145" t="s">
        <v>79</v>
      </c>
      <c r="C3145" t="s">
        <v>7417</v>
      </c>
      <c r="D3145" t="s">
        <v>81</v>
      </c>
      <c r="E3145" s="2" t="str">
        <f>HYPERLINK("capsilon://?command=openfolder&amp;siteaddress=FAM.docvelocity-na8.net&amp;folderid=FXBC3DF28E-9DDB-5E85-DF52-47E91AE8DF5B","FX20127571")</f>
        <v>FX20127571</v>
      </c>
      <c r="F3145" t="s">
        <v>19</v>
      </c>
      <c r="G3145" t="s">
        <v>19</v>
      </c>
      <c r="H3145" t="s">
        <v>82</v>
      </c>
      <c r="I3145" t="s">
        <v>7418</v>
      </c>
      <c r="J3145">
        <v>454</v>
      </c>
      <c r="K3145" t="s">
        <v>84</v>
      </c>
      <c r="L3145" t="s">
        <v>85</v>
      </c>
      <c r="M3145" t="s">
        <v>86</v>
      </c>
      <c r="N3145">
        <v>3</v>
      </c>
      <c r="O3145" s="1">
        <v>44224.746840277781</v>
      </c>
      <c r="P3145" s="1">
        <v>44225.374594907407</v>
      </c>
      <c r="Q3145">
        <v>53273</v>
      </c>
      <c r="R3145">
        <v>965</v>
      </c>
      <c r="S3145" t="b">
        <v>0</v>
      </c>
      <c r="T3145" t="s">
        <v>87</v>
      </c>
      <c r="U3145" t="b">
        <v>1</v>
      </c>
      <c r="V3145" t="s">
        <v>255</v>
      </c>
      <c r="W3145" s="1">
        <v>44224.754675925928</v>
      </c>
      <c r="X3145">
        <v>673</v>
      </c>
      <c r="Y3145">
        <v>267</v>
      </c>
      <c r="Z3145">
        <v>0</v>
      </c>
      <c r="AA3145">
        <v>267</v>
      </c>
      <c r="AB3145">
        <v>0</v>
      </c>
      <c r="AC3145">
        <v>69</v>
      </c>
      <c r="AD3145">
        <v>187</v>
      </c>
      <c r="AE3145">
        <v>0</v>
      </c>
      <c r="AF3145">
        <v>0</v>
      </c>
      <c r="AG3145">
        <v>0</v>
      </c>
      <c r="AH3145" t="s">
        <v>132</v>
      </c>
      <c r="AI3145" s="1">
        <v>44224.765509259261</v>
      </c>
      <c r="AJ3145">
        <v>261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187</v>
      </c>
      <c r="AQ3145">
        <v>0</v>
      </c>
      <c r="AR3145">
        <v>0</v>
      </c>
      <c r="AS3145">
        <v>0</v>
      </c>
      <c r="AT3145" t="s">
        <v>90</v>
      </c>
      <c r="AU3145" s="1">
        <v>44225.374594907407</v>
      </c>
      <c r="AV3145">
        <v>21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187</v>
      </c>
      <c r="BC3145">
        <v>0</v>
      </c>
      <c r="BD3145">
        <v>0</v>
      </c>
      <c r="BE3145">
        <v>0</v>
      </c>
    </row>
    <row r="3146" spans="1:57" x14ac:dyDescent="0.45">
      <c r="A3146" t="s">
        <v>7420</v>
      </c>
      <c r="B3146" t="s">
        <v>79</v>
      </c>
      <c r="C3146" t="s">
        <v>435</v>
      </c>
      <c r="D3146" t="s">
        <v>81</v>
      </c>
      <c r="E3146" s="2" t="str">
        <f>HYPERLINK("capsilon://?command=openfolder&amp;siteaddress=FAM.docvelocity-na8.net&amp;folderid=FX6BCC71FD-49D5-7670-3D74-130175EBC378","FX210117253")</f>
        <v>FX210117253</v>
      </c>
      <c r="F3146" t="s">
        <v>19</v>
      </c>
      <c r="G3146" t="s">
        <v>19</v>
      </c>
      <c r="H3146" t="s">
        <v>82</v>
      </c>
      <c r="I3146" t="s">
        <v>7421</v>
      </c>
      <c r="J3146">
        <v>363</v>
      </c>
      <c r="K3146" t="s">
        <v>84</v>
      </c>
      <c r="L3146" t="s">
        <v>85</v>
      </c>
      <c r="M3146" t="s">
        <v>86</v>
      </c>
      <c r="N3146">
        <v>3</v>
      </c>
      <c r="O3146" s="1">
        <v>44224.752488425926</v>
      </c>
      <c r="P3146" s="1">
        <v>44225.404652777775</v>
      </c>
      <c r="Q3146">
        <v>52822</v>
      </c>
      <c r="R3146">
        <v>3525</v>
      </c>
      <c r="S3146" t="b">
        <v>0</v>
      </c>
      <c r="T3146" t="s">
        <v>87</v>
      </c>
      <c r="U3146" t="b">
        <v>0</v>
      </c>
      <c r="V3146" t="s">
        <v>171</v>
      </c>
      <c r="W3146" s="1">
        <v>44224.779027777775</v>
      </c>
      <c r="X3146">
        <v>2293</v>
      </c>
      <c r="Y3146">
        <v>298</v>
      </c>
      <c r="Z3146">
        <v>0</v>
      </c>
      <c r="AA3146">
        <v>298</v>
      </c>
      <c r="AB3146">
        <v>0</v>
      </c>
      <c r="AC3146">
        <v>107</v>
      </c>
      <c r="AD3146">
        <v>65</v>
      </c>
      <c r="AE3146">
        <v>0</v>
      </c>
      <c r="AF3146">
        <v>0</v>
      </c>
      <c r="AG3146">
        <v>0</v>
      </c>
      <c r="AH3146" t="s">
        <v>128</v>
      </c>
      <c r="AI3146" s="1">
        <v>44224.790671296294</v>
      </c>
      <c r="AJ3146">
        <v>919</v>
      </c>
      <c r="AK3146">
        <v>1</v>
      </c>
      <c r="AL3146">
        <v>0</v>
      </c>
      <c r="AM3146">
        <v>1</v>
      </c>
      <c r="AN3146">
        <v>0</v>
      </c>
      <c r="AO3146">
        <v>1</v>
      </c>
      <c r="AP3146">
        <v>64</v>
      </c>
      <c r="AQ3146">
        <v>0</v>
      </c>
      <c r="AR3146">
        <v>0</v>
      </c>
      <c r="AS3146">
        <v>0</v>
      </c>
      <c r="AT3146" t="s">
        <v>90</v>
      </c>
      <c r="AU3146" s="1">
        <v>44225.404652777775</v>
      </c>
      <c r="AV3146">
        <v>300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64</v>
      </c>
      <c r="BC3146">
        <v>0</v>
      </c>
      <c r="BD3146">
        <v>0</v>
      </c>
      <c r="BE3146">
        <v>0</v>
      </c>
    </row>
    <row r="3147" spans="1:57" x14ac:dyDescent="0.45">
      <c r="A3147" t="s">
        <v>7422</v>
      </c>
      <c r="B3147" t="s">
        <v>79</v>
      </c>
      <c r="C3147" t="s">
        <v>7058</v>
      </c>
      <c r="D3147" t="s">
        <v>81</v>
      </c>
      <c r="E3147" s="2" t="str">
        <f>HYPERLINK("capsilon://?command=openfolder&amp;siteaddress=FAM.docvelocity-na8.net&amp;folderid=FXC9040B40-28CC-39F0-9301-FA5E529B9305","FX210113446")</f>
        <v>FX210113446</v>
      </c>
      <c r="F3147" t="s">
        <v>19</v>
      </c>
      <c r="G3147" t="s">
        <v>19</v>
      </c>
      <c r="H3147" t="s">
        <v>82</v>
      </c>
      <c r="I3147" t="s">
        <v>7423</v>
      </c>
      <c r="J3147">
        <v>66</v>
      </c>
      <c r="K3147" t="s">
        <v>84</v>
      </c>
      <c r="L3147" t="s">
        <v>85</v>
      </c>
      <c r="M3147" t="s">
        <v>86</v>
      </c>
      <c r="N3147">
        <v>3</v>
      </c>
      <c r="O3147" s="1">
        <v>44224.755613425928</v>
      </c>
      <c r="P3147" s="1">
        <v>44225.404745370368</v>
      </c>
      <c r="Q3147">
        <v>55349</v>
      </c>
      <c r="R3147">
        <v>736</v>
      </c>
      <c r="S3147" t="b">
        <v>0</v>
      </c>
      <c r="T3147" t="s">
        <v>87</v>
      </c>
      <c r="U3147" t="b">
        <v>0</v>
      </c>
      <c r="V3147" t="s">
        <v>179</v>
      </c>
      <c r="W3147" s="1">
        <v>44224.763344907406</v>
      </c>
      <c r="X3147">
        <v>667</v>
      </c>
      <c r="Y3147">
        <v>52</v>
      </c>
      <c r="Z3147">
        <v>0</v>
      </c>
      <c r="AA3147">
        <v>52</v>
      </c>
      <c r="AB3147">
        <v>0</v>
      </c>
      <c r="AC3147">
        <v>37</v>
      </c>
      <c r="AD3147">
        <v>14</v>
      </c>
      <c r="AE3147">
        <v>0</v>
      </c>
      <c r="AF3147">
        <v>0</v>
      </c>
      <c r="AG3147">
        <v>0</v>
      </c>
      <c r="AH3147" t="s">
        <v>132</v>
      </c>
      <c r="AI3147" s="1">
        <v>44224.767106481479</v>
      </c>
      <c r="AJ3147">
        <v>62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14</v>
      </c>
      <c r="AQ3147">
        <v>0</v>
      </c>
      <c r="AR3147">
        <v>0</v>
      </c>
      <c r="AS3147">
        <v>0</v>
      </c>
      <c r="AT3147" t="s">
        <v>90</v>
      </c>
      <c r="AU3147" s="1">
        <v>44225.404745370368</v>
      </c>
      <c r="AV3147">
        <v>7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14</v>
      </c>
      <c r="BC3147">
        <v>0</v>
      </c>
      <c r="BD3147">
        <v>0</v>
      </c>
      <c r="BE3147">
        <v>0</v>
      </c>
    </row>
    <row r="3148" spans="1:57" hidden="1" x14ac:dyDescent="0.45">
      <c r="A3148" t="s">
        <v>7424</v>
      </c>
      <c r="B3148" t="s">
        <v>79</v>
      </c>
      <c r="C3148" t="s">
        <v>264</v>
      </c>
      <c r="D3148" t="s">
        <v>81</v>
      </c>
      <c r="E3148" s="2" t="str">
        <f>HYPERLINK("capsilon://?command=openfolder&amp;siteaddress=FAM.docvelocity-na8.net&amp;folderid=FX8648AFB7-A673-7E5E-1826-6822EAF61057","FX20127389")</f>
        <v>FX20127389</v>
      </c>
      <c r="F3148" t="s">
        <v>19</v>
      </c>
      <c r="G3148" t="s">
        <v>19</v>
      </c>
      <c r="H3148" t="s">
        <v>82</v>
      </c>
      <c r="I3148" t="s">
        <v>265</v>
      </c>
      <c r="J3148">
        <v>66</v>
      </c>
      <c r="K3148" t="s">
        <v>84</v>
      </c>
      <c r="L3148" t="s">
        <v>85</v>
      </c>
      <c r="M3148" t="s">
        <v>86</v>
      </c>
      <c r="N3148">
        <v>1</v>
      </c>
      <c r="O3148" s="1">
        <v>44201.728668981479</v>
      </c>
      <c r="P3148" s="1">
        <v>44201.747569444444</v>
      </c>
      <c r="Q3148">
        <v>1551</v>
      </c>
      <c r="R3148">
        <v>82</v>
      </c>
      <c r="S3148" t="b">
        <v>0</v>
      </c>
      <c r="T3148" t="s">
        <v>87</v>
      </c>
      <c r="U3148" t="b">
        <v>0</v>
      </c>
      <c r="V3148" t="s">
        <v>255</v>
      </c>
      <c r="W3148" s="1">
        <v>44201.747569444444</v>
      </c>
      <c r="X3148">
        <v>82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66</v>
      </c>
      <c r="AE3148">
        <v>52</v>
      </c>
      <c r="AF3148">
        <v>0</v>
      </c>
      <c r="AG3148">
        <v>1</v>
      </c>
      <c r="AH3148" t="s">
        <v>87</v>
      </c>
      <c r="AI3148" t="s">
        <v>87</v>
      </c>
      <c r="AJ3148" t="s">
        <v>87</v>
      </c>
      <c r="AK3148" t="s">
        <v>87</v>
      </c>
      <c r="AL3148" t="s">
        <v>87</v>
      </c>
      <c r="AM3148" t="s">
        <v>87</v>
      </c>
      <c r="AN3148" t="s">
        <v>87</v>
      </c>
      <c r="AO3148" t="s">
        <v>87</v>
      </c>
      <c r="AP3148" t="s">
        <v>87</v>
      </c>
      <c r="AQ3148" t="s">
        <v>87</v>
      </c>
      <c r="AR3148" t="s">
        <v>87</v>
      </c>
      <c r="AS3148" t="s">
        <v>87</v>
      </c>
      <c r="AT3148" t="s">
        <v>87</v>
      </c>
      <c r="AU3148" t="s">
        <v>87</v>
      </c>
      <c r="AV3148" t="s">
        <v>87</v>
      </c>
      <c r="AW3148" t="s">
        <v>87</v>
      </c>
      <c r="AX3148" t="s">
        <v>87</v>
      </c>
      <c r="AY3148" t="s">
        <v>87</v>
      </c>
      <c r="AZ3148" t="s">
        <v>87</v>
      </c>
      <c r="BA3148" t="s">
        <v>87</v>
      </c>
      <c r="BB3148" t="s">
        <v>87</v>
      </c>
      <c r="BC3148" t="s">
        <v>87</v>
      </c>
      <c r="BD3148" t="s">
        <v>87</v>
      </c>
      <c r="BE3148" t="s">
        <v>87</v>
      </c>
    </row>
    <row r="3149" spans="1:57" hidden="1" x14ac:dyDescent="0.45">
      <c r="A3149" t="s">
        <v>7425</v>
      </c>
      <c r="B3149" t="s">
        <v>79</v>
      </c>
      <c r="C3149" t="s">
        <v>272</v>
      </c>
      <c r="D3149" t="s">
        <v>81</v>
      </c>
      <c r="E3149" s="2" t="str">
        <f>HYPERLINK("capsilon://?command=openfolder&amp;siteaddress=FAM.docvelocity-na8.net&amp;folderid=FXC2F14801-28B9-CFE9-D8D4-95D71E85657A","FX20128353")</f>
        <v>FX20128353</v>
      </c>
      <c r="F3149" t="s">
        <v>19</v>
      </c>
      <c r="G3149" t="s">
        <v>19</v>
      </c>
      <c r="H3149" t="s">
        <v>82</v>
      </c>
      <c r="I3149" t="s">
        <v>273</v>
      </c>
      <c r="J3149">
        <v>66</v>
      </c>
      <c r="K3149" t="s">
        <v>84</v>
      </c>
      <c r="L3149" t="s">
        <v>85</v>
      </c>
      <c r="M3149" t="s">
        <v>86</v>
      </c>
      <c r="N3149">
        <v>1</v>
      </c>
      <c r="O3149" s="1">
        <v>44201.728680555556</v>
      </c>
      <c r="P3149" s="1">
        <v>44201.749108796299</v>
      </c>
      <c r="Q3149">
        <v>1628</v>
      </c>
      <c r="R3149">
        <v>137</v>
      </c>
      <c r="S3149" t="b">
        <v>0</v>
      </c>
      <c r="T3149" t="s">
        <v>87</v>
      </c>
      <c r="U3149" t="b">
        <v>0</v>
      </c>
      <c r="V3149" t="s">
        <v>259</v>
      </c>
      <c r="W3149" s="1">
        <v>44201.749108796299</v>
      </c>
      <c r="X3149">
        <v>137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66</v>
      </c>
      <c r="AE3149">
        <v>52</v>
      </c>
      <c r="AF3149">
        <v>0</v>
      </c>
      <c r="AG3149">
        <v>1</v>
      </c>
      <c r="AH3149" t="s">
        <v>87</v>
      </c>
      <c r="AI3149" t="s">
        <v>87</v>
      </c>
      <c r="AJ3149" t="s">
        <v>87</v>
      </c>
      <c r="AK3149" t="s">
        <v>87</v>
      </c>
      <c r="AL3149" t="s">
        <v>87</v>
      </c>
      <c r="AM3149" t="s">
        <v>87</v>
      </c>
      <c r="AN3149" t="s">
        <v>87</v>
      </c>
      <c r="AO3149" t="s">
        <v>87</v>
      </c>
      <c r="AP3149" t="s">
        <v>87</v>
      </c>
      <c r="AQ3149" t="s">
        <v>87</v>
      </c>
      <c r="AR3149" t="s">
        <v>87</v>
      </c>
      <c r="AS3149" t="s">
        <v>87</v>
      </c>
      <c r="AT3149" t="s">
        <v>87</v>
      </c>
      <c r="AU3149" t="s">
        <v>87</v>
      </c>
      <c r="AV3149" t="s">
        <v>87</v>
      </c>
      <c r="AW3149" t="s">
        <v>87</v>
      </c>
      <c r="AX3149" t="s">
        <v>87</v>
      </c>
      <c r="AY3149" t="s">
        <v>87</v>
      </c>
      <c r="AZ3149" t="s">
        <v>87</v>
      </c>
      <c r="BA3149" t="s">
        <v>87</v>
      </c>
      <c r="BB3149" t="s">
        <v>87</v>
      </c>
      <c r="BC3149" t="s">
        <v>87</v>
      </c>
      <c r="BD3149" t="s">
        <v>87</v>
      </c>
      <c r="BE3149" t="s">
        <v>87</v>
      </c>
    </row>
    <row r="3150" spans="1:57" x14ac:dyDescent="0.45">
      <c r="A3150" t="s">
        <v>7426</v>
      </c>
      <c r="B3150" t="s">
        <v>79</v>
      </c>
      <c r="C3150" t="s">
        <v>6524</v>
      </c>
      <c r="D3150" t="s">
        <v>81</v>
      </c>
      <c r="E3150" s="2" t="str">
        <f>HYPERLINK("capsilon://?command=openfolder&amp;siteaddress=FAM.docvelocity-na8.net&amp;folderid=FX14BEC2D7-5149-7777-7C38-86ACDB6C1DCC","FX210116774")</f>
        <v>FX210116774</v>
      </c>
      <c r="F3150" t="s">
        <v>19</v>
      </c>
      <c r="G3150" t="s">
        <v>19</v>
      </c>
      <c r="H3150" t="s">
        <v>82</v>
      </c>
      <c r="I3150" t="s">
        <v>7427</v>
      </c>
      <c r="J3150">
        <v>66</v>
      </c>
      <c r="K3150" t="s">
        <v>84</v>
      </c>
      <c r="L3150" t="s">
        <v>85</v>
      </c>
      <c r="M3150" t="s">
        <v>86</v>
      </c>
      <c r="N3150">
        <v>3</v>
      </c>
      <c r="O3150" s="1">
        <v>44224.768738425926</v>
      </c>
      <c r="P3150" s="1">
        <v>44225.405636574076</v>
      </c>
      <c r="Q3150">
        <v>54097</v>
      </c>
      <c r="R3150">
        <v>931</v>
      </c>
      <c r="S3150" t="b">
        <v>0</v>
      </c>
      <c r="T3150" t="s">
        <v>87</v>
      </c>
      <c r="U3150" t="b">
        <v>0</v>
      </c>
      <c r="V3150" t="s">
        <v>179</v>
      </c>
      <c r="W3150" s="1">
        <v>44224.774953703702</v>
      </c>
      <c r="X3150">
        <v>537</v>
      </c>
      <c r="Y3150">
        <v>52</v>
      </c>
      <c r="Z3150">
        <v>0</v>
      </c>
      <c r="AA3150">
        <v>52</v>
      </c>
      <c r="AB3150">
        <v>0</v>
      </c>
      <c r="AC3150">
        <v>32</v>
      </c>
      <c r="AD3150">
        <v>14</v>
      </c>
      <c r="AE3150">
        <v>0</v>
      </c>
      <c r="AF3150">
        <v>0</v>
      </c>
      <c r="AG3150">
        <v>0</v>
      </c>
      <c r="AH3150" t="s">
        <v>147</v>
      </c>
      <c r="AI3150" s="1">
        <v>44224.778634259259</v>
      </c>
      <c r="AJ3150">
        <v>318</v>
      </c>
      <c r="AK3150">
        <v>2</v>
      </c>
      <c r="AL3150">
        <v>0</v>
      </c>
      <c r="AM3150">
        <v>2</v>
      </c>
      <c r="AN3150">
        <v>0</v>
      </c>
      <c r="AO3150">
        <v>0</v>
      </c>
      <c r="AP3150">
        <v>12</v>
      </c>
      <c r="AQ3150">
        <v>0</v>
      </c>
      <c r="AR3150">
        <v>0</v>
      </c>
      <c r="AS3150">
        <v>0</v>
      </c>
      <c r="AT3150" t="s">
        <v>90</v>
      </c>
      <c r="AU3150" s="1">
        <v>44225.405636574076</v>
      </c>
      <c r="AV3150">
        <v>76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12</v>
      </c>
      <c r="BC3150">
        <v>0</v>
      </c>
      <c r="BD3150">
        <v>0</v>
      </c>
      <c r="BE3150">
        <v>0</v>
      </c>
    </row>
    <row r="3151" spans="1:57" x14ac:dyDescent="0.45">
      <c r="A3151" t="s">
        <v>7428</v>
      </c>
      <c r="B3151" t="s">
        <v>79</v>
      </c>
      <c r="C3151" t="s">
        <v>6578</v>
      </c>
      <c r="D3151" t="s">
        <v>81</v>
      </c>
      <c r="E3151" s="2" t="str">
        <f>HYPERLINK("capsilon://?command=openfolder&amp;siteaddress=FAM.docvelocity-na8.net&amp;folderid=FXFEBD18ED-A50E-79F7-BA7A-4BEB57C6EE69","FX210112169")</f>
        <v>FX210112169</v>
      </c>
      <c r="F3151" t="s">
        <v>19</v>
      </c>
      <c r="G3151" t="s">
        <v>19</v>
      </c>
      <c r="H3151" t="s">
        <v>82</v>
      </c>
      <c r="I3151" t="s">
        <v>7429</v>
      </c>
      <c r="J3151">
        <v>66</v>
      </c>
      <c r="K3151" t="s">
        <v>84</v>
      </c>
      <c r="L3151" t="s">
        <v>85</v>
      </c>
      <c r="M3151" t="s">
        <v>86</v>
      </c>
      <c r="N3151">
        <v>3</v>
      </c>
      <c r="O3151" s="1">
        <v>44224.772256944445</v>
      </c>
      <c r="P3151" s="1">
        <v>44225.407604166663</v>
      </c>
      <c r="Q3151">
        <v>53996</v>
      </c>
      <c r="R3151">
        <v>898</v>
      </c>
      <c r="S3151" t="b">
        <v>0</v>
      </c>
      <c r="T3151" t="s">
        <v>87</v>
      </c>
      <c r="U3151" t="b">
        <v>0</v>
      </c>
      <c r="V3151" t="s">
        <v>146</v>
      </c>
      <c r="W3151" s="1">
        <v>44224.779050925928</v>
      </c>
      <c r="X3151">
        <v>586</v>
      </c>
      <c r="Y3151">
        <v>52</v>
      </c>
      <c r="Z3151">
        <v>0</v>
      </c>
      <c r="AA3151">
        <v>52</v>
      </c>
      <c r="AB3151">
        <v>0</v>
      </c>
      <c r="AC3151">
        <v>23</v>
      </c>
      <c r="AD3151">
        <v>14</v>
      </c>
      <c r="AE3151">
        <v>0</v>
      </c>
      <c r="AF3151">
        <v>0</v>
      </c>
      <c r="AG3151">
        <v>0</v>
      </c>
      <c r="AH3151" t="s">
        <v>147</v>
      </c>
      <c r="AI3151" s="1">
        <v>44224.780833333331</v>
      </c>
      <c r="AJ3151">
        <v>143</v>
      </c>
      <c r="AK3151">
        <v>1</v>
      </c>
      <c r="AL3151">
        <v>0</v>
      </c>
      <c r="AM3151">
        <v>1</v>
      </c>
      <c r="AN3151">
        <v>0</v>
      </c>
      <c r="AO3151">
        <v>0</v>
      </c>
      <c r="AP3151">
        <v>13</v>
      </c>
      <c r="AQ3151">
        <v>0</v>
      </c>
      <c r="AR3151">
        <v>0</v>
      </c>
      <c r="AS3151">
        <v>0</v>
      </c>
      <c r="AT3151" t="s">
        <v>90</v>
      </c>
      <c r="AU3151" s="1">
        <v>44225.407604166663</v>
      </c>
      <c r="AV3151">
        <v>169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13</v>
      </c>
      <c r="BC3151">
        <v>0</v>
      </c>
      <c r="BD3151">
        <v>0</v>
      </c>
      <c r="BE3151">
        <v>0</v>
      </c>
    </row>
    <row r="3152" spans="1:57" x14ac:dyDescent="0.45">
      <c r="A3152" t="s">
        <v>7430</v>
      </c>
      <c r="B3152" t="s">
        <v>79</v>
      </c>
      <c r="C3152" t="s">
        <v>7399</v>
      </c>
      <c r="D3152" t="s">
        <v>81</v>
      </c>
      <c r="E3152" s="2" t="str">
        <f>HYPERLINK("capsilon://?command=openfolder&amp;siteaddress=FAM.docvelocity-na8.net&amp;folderid=FXAA974079-CB11-1A45-0D0E-9F34592DB8B2","FX210117896")</f>
        <v>FX210117896</v>
      </c>
      <c r="F3152" t="s">
        <v>19</v>
      </c>
      <c r="G3152" t="s">
        <v>19</v>
      </c>
      <c r="H3152" t="s">
        <v>82</v>
      </c>
      <c r="I3152" t="s">
        <v>7400</v>
      </c>
      <c r="J3152">
        <v>89</v>
      </c>
      <c r="K3152" t="s">
        <v>84</v>
      </c>
      <c r="L3152" t="s">
        <v>85</v>
      </c>
      <c r="M3152" t="s">
        <v>86</v>
      </c>
      <c r="N3152">
        <v>3</v>
      </c>
      <c r="O3152" s="1">
        <v>44224.774675925924</v>
      </c>
      <c r="P3152" s="1">
        <v>44225.375636574077</v>
      </c>
      <c r="Q3152">
        <v>50093</v>
      </c>
      <c r="R3152">
        <v>1830</v>
      </c>
      <c r="S3152" t="b">
        <v>0</v>
      </c>
      <c r="T3152" t="s">
        <v>87</v>
      </c>
      <c r="U3152" t="b">
        <v>1</v>
      </c>
      <c r="V3152" t="s">
        <v>160</v>
      </c>
      <c r="W3152" s="1">
        <v>44224.784131944441</v>
      </c>
      <c r="X3152">
        <v>816</v>
      </c>
      <c r="Y3152">
        <v>68</v>
      </c>
      <c r="Z3152">
        <v>0</v>
      </c>
      <c r="AA3152">
        <v>68</v>
      </c>
      <c r="AB3152">
        <v>0</v>
      </c>
      <c r="AC3152">
        <v>54</v>
      </c>
      <c r="AD3152">
        <v>21</v>
      </c>
      <c r="AE3152">
        <v>0</v>
      </c>
      <c r="AF3152">
        <v>0</v>
      </c>
      <c r="AG3152">
        <v>0</v>
      </c>
      <c r="AH3152" t="s">
        <v>128</v>
      </c>
      <c r="AI3152" s="1">
        <v>44224.801180555558</v>
      </c>
      <c r="AJ3152">
        <v>907</v>
      </c>
      <c r="AK3152">
        <v>1</v>
      </c>
      <c r="AL3152">
        <v>0</v>
      </c>
      <c r="AM3152">
        <v>1</v>
      </c>
      <c r="AN3152">
        <v>0</v>
      </c>
      <c r="AO3152">
        <v>2</v>
      </c>
      <c r="AP3152">
        <v>20</v>
      </c>
      <c r="AQ3152">
        <v>0</v>
      </c>
      <c r="AR3152">
        <v>0</v>
      </c>
      <c r="AS3152">
        <v>0</v>
      </c>
      <c r="AT3152" t="s">
        <v>90</v>
      </c>
      <c r="AU3152" s="1">
        <v>44225.375636574077</v>
      </c>
      <c r="AV3152">
        <v>89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20</v>
      </c>
      <c r="BC3152">
        <v>0</v>
      </c>
      <c r="BD3152">
        <v>0</v>
      </c>
      <c r="BE3152">
        <v>0</v>
      </c>
    </row>
    <row r="3153" spans="1:57" x14ac:dyDescent="0.45">
      <c r="A3153" t="s">
        <v>7431</v>
      </c>
      <c r="B3153" t="s">
        <v>79</v>
      </c>
      <c r="C3153" t="s">
        <v>140</v>
      </c>
      <c r="D3153" t="s">
        <v>81</v>
      </c>
      <c r="E3153" s="2" t="str">
        <f>HYPERLINK("capsilon://?command=openfolder&amp;siteaddress=FAM.docvelocity-na8.net&amp;folderid=FX8FB7B405-804D-D45C-58A8-D9FBD31F8BFC","FX210118876")</f>
        <v>FX210118876</v>
      </c>
      <c r="F3153" t="s">
        <v>19</v>
      </c>
      <c r="G3153" t="s">
        <v>19</v>
      </c>
      <c r="H3153" t="s">
        <v>82</v>
      </c>
      <c r="I3153" t="s">
        <v>7432</v>
      </c>
      <c r="J3153">
        <v>117</v>
      </c>
      <c r="K3153" t="s">
        <v>84</v>
      </c>
      <c r="L3153" t="s">
        <v>85</v>
      </c>
      <c r="M3153" t="s">
        <v>86</v>
      </c>
      <c r="N3153">
        <v>3</v>
      </c>
      <c r="O3153" s="1">
        <v>44224.775648148148</v>
      </c>
      <c r="P3153" s="1">
        <v>44225.407847222225</v>
      </c>
      <c r="Q3153">
        <v>52279</v>
      </c>
      <c r="R3153">
        <v>2343</v>
      </c>
      <c r="S3153" t="b">
        <v>0</v>
      </c>
      <c r="T3153" t="s">
        <v>87</v>
      </c>
      <c r="U3153" t="b">
        <v>0</v>
      </c>
      <c r="V3153" t="s">
        <v>179</v>
      </c>
      <c r="W3153" s="1">
        <v>44224.794166666667</v>
      </c>
      <c r="X3153">
        <v>1429</v>
      </c>
      <c r="Y3153">
        <v>76</v>
      </c>
      <c r="Z3153">
        <v>0</v>
      </c>
      <c r="AA3153">
        <v>76</v>
      </c>
      <c r="AB3153">
        <v>0</v>
      </c>
      <c r="AC3153">
        <v>46</v>
      </c>
      <c r="AD3153">
        <v>41</v>
      </c>
      <c r="AE3153">
        <v>0</v>
      </c>
      <c r="AF3153">
        <v>0</v>
      </c>
      <c r="AG3153">
        <v>0</v>
      </c>
      <c r="AH3153" t="s">
        <v>147</v>
      </c>
      <c r="AI3153" s="1">
        <v>44224.806122685186</v>
      </c>
      <c r="AJ3153">
        <v>894</v>
      </c>
      <c r="AK3153">
        <v>11</v>
      </c>
      <c r="AL3153">
        <v>0</v>
      </c>
      <c r="AM3153">
        <v>11</v>
      </c>
      <c r="AN3153">
        <v>0</v>
      </c>
      <c r="AO3153">
        <v>18</v>
      </c>
      <c r="AP3153">
        <v>30</v>
      </c>
      <c r="AQ3153">
        <v>0</v>
      </c>
      <c r="AR3153">
        <v>0</v>
      </c>
      <c r="AS3153">
        <v>0</v>
      </c>
      <c r="AT3153" t="s">
        <v>90</v>
      </c>
      <c r="AU3153" s="1">
        <v>44225.407847222225</v>
      </c>
      <c r="AV3153">
        <v>20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30</v>
      </c>
      <c r="BC3153">
        <v>0</v>
      </c>
      <c r="BD3153">
        <v>0</v>
      </c>
      <c r="BE3153">
        <v>0</v>
      </c>
    </row>
    <row r="3154" spans="1:57" x14ac:dyDescent="0.45">
      <c r="A3154" t="s">
        <v>7433</v>
      </c>
      <c r="B3154" t="s">
        <v>79</v>
      </c>
      <c r="C3154" t="s">
        <v>140</v>
      </c>
      <c r="D3154" t="s">
        <v>81</v>
      </c>
      <c r="E3154" s="2" t="str">
        <f>HYPERLINK("capsilon://?command=openfolder&amp;siteaddress=FAM.docvelocity-na8.net&amp;folderid=FX8FB7B405-804D-D45C-58A8-D9FBD31F8BFC","FX210118876")</f>
        <v>FX210118876</v>
      </c>
      <c r="F3154" t="s">
        <v>19</v>
      </c>
      <c r="G3154" t="s">
        <v>19</v>
      </c>
      <c r="H3154" t="s">
        <v>82</v>
      </c>
      <c r="I3154" t="s">
        <v>7434</v>
      </c>
      <c r="J3154">
        <v>26</v>
      </c>
      <c r="K3154" t="s">
        <v>84</v>
      </c>
      <c r="L3154" t="s">
        <v>85</v>
      </c>
      <c r="M3154" t="s">
        <v>86</v>
      </c>
      <c r="N3154">
        <v>3</v>
      </c>
      <c r="O3154" s="1">
        <v>44224.776018518518</v>
      </c>
      <c r="P3154" s="1">
        <v>44225.407893518517</v>
      </c>
      <c r="Q3154">
        <v>54274</v>
      </c>
      <c r="R3154">
        <v>320</v>
      </c>
      <c r="S3154" t="b">
        <v>0</v>
      </c>
      <c r="T3154" t="s">
        <v>87</v>
      </c>
      <c r="U3154" t="b">
        <v>0</v>
      </c>
      <c r="V3154" t="s">
        <v>171</v>
      </c>
      <c r="W3154" s="1">
        <v>44224.781064814815</v>
      </c>
      <c r="X3154">
        <v>175</v>
      </c>
      <c r="Y3154">
        <v>21</v>
      </c>
      <c r="Z3154">
        <v>0</v>
      </c>
      <c r="AA3154">
        <v>21</v>
      </c>
      <c r="AB3154">
        <v>0</v>
      </c>
      <c r="AC3154">
        <v>6</v>
      </c>
      <c r="AD3154">
        <v>5</v>
      </c>
      <c r="AE3154">
        <v>0</v>
      </c>
      <c r="AF3154">
        <v>0</v>
      </c>
      <c r="AG3154">
        <v>0</v>
      </c>
      <c r="AH3154" t="s">
        <v>147</v>
      </c>
      <c r="AI3154" s="1">
        <v>44224.782812500001</v>
      </c>
      <c r="AJ3154">
        <v>141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5</v>
      </c>
      <c r="AQ3154">
        <v>0</v>
      </c>
      <c r="AR3154">
        <v>0</v>
      </c>
      <c r="AS3154">
        <v>0</v>
      </c>
      <c r="AT3154" t="s">
        <v>90</v>
      </c>
      <c r="AU3154" s="1">
        <v>44225.407893518517</v>
      </c>
      <c r="AV3154">
        <v>4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5</v>
      </c>
      <c r="BC3154">
        <v>0</v>
      </c>
      <c r="BD3154">
        <v>0</v>
      </c>
      <c r="BE3154">
        <v>0</v>
      </c>
    </row>
    <row r="3155" spans="1:57" x14ac:dyDescent="0.45">
      <c r="A3155" t="s">
        <v>7435</v>
      </c>
      <c r="B3155" t="s">
        <v>79</v>
      </c>
      <c r="C3155" t="s">
        <v>140</v>
      </c>
      <c r="D3155" t="s">
        <v>81</v>
      </c>
      <c r="E3155" s="2" t="str">
        <f>HYPERLINK("capsilon://?command=openfolder&amp;siteaddress=FAM.docvelocity-na8.net&amp;folderid=FX8FB7B405-804D-D45C-58A8-D9FBD31F8BFC","FX210118876")</f>
        <v>FX210118876</v>
      </c>
      <c r="F3155" t="s">
        <v>19</v>
      </c>
      <c r="G3155" t="s">
        <v>19</v>
      </c>
      <c r="H3155" t="s">
        <v>82</v>
      </c>
      <c r="I3155" t="s">
        <v>7436</v>
      </c>
      <c r="J3155">
        <v>117</v>
      </c>
      <c r="K3155" t="s">
        <v>84</v>
      </c>
      <c r="L3155" t="s">
        <v>85</v>
      </c>
      <c r="M3155" t="s">
        <v>86</v>
      </c>
      <c r="N3155">
        <v>3</v>
      </c>
      <c r="O3155" s="1">
        <v>44224.776319444441</v>
      </c>
      <c r="P3155" s="1">
        <v>44225.40797453704</v>
      </c>
      <c r="Q3155">
        <v>51942</v>
      </c>
      <c r="R3155">
        <v>2633</v>
      </c>
      <c r="S3155" t="b">
        <v>0</v>
      </c>
      <c r="T3155" t="s">
        <v>87</v>
      </c>
      <c r="U3155" t="b">
        <v>0</v>
      </c>
      <c r="V3155" t="s">
        <v>146</v>
      </c>
      <c r="W3155" s="1">
        <v>44224.806296296294</v>
      </c>
      <c r="X3155">
        <v>2353</v>
      </c>
      <c r="Y3155">
        <v>76</v>
      </c>
      <c r="Z3155">
        <v>0</v>
      </c>
      <c r="AA3155">
        <v>76</v>
      </c>
      <c r="AB3155">
        <v>0</v>
      </c>
      <c r="AC3155">
        <v>56</v>
      </c>
      <c r="AD3155">
        <v>41</v>
      </c>
      <c r="AE3155">
        <v>0</v>
      </c>
      <c r="AF3155">
        <v>0</v>
      </c>
      <c r="AG3155">
        <v>0</v>
      </c>
      <c r="AH3155" t="s">
        <v>147</v>
      </c>
      <c r="AI3155" s="1">
        <v>44224.809467592589</v>
      </c>
      <c r="AJ3155">
        <v>273</v>
      </c>
      <c r="AK3155">
        <v>0</v>
      </c>
      <c r="AL3155">
        <v>0</v>
      </c>
      <c r="AM3155">
        <v>0</v>
      </c>
      <c r="AN3155">
        <v>0</v>
      </c>
      <c r="AO3155">
        <v>22</v>
      </c>
      <c r="AP3155">
        <v>41</v>
      </c>
      <c r="AQ3155">
        <v>0</v>
      </c>
      <c r="AR3155">
        <v>0</v>
      </c>
      <c r="AS3155">
        <v>0</v>
      </c>
      <c r="AT3155" t="s">
        <v>90</v>
      </c>
      <c r="AU3155" s="1">
        <v>44225.40797453704</v>
      </c>
      <c r="AV3155">
        <v>7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41</v>
      </c>
      <c r="BC3155">
        <v>0</v>
      </c>
      <c r="BD3155">
        <v>0</v>
      </c>
      <c r="BE3155">
        <v>0</v>
      </c>
    </row>
    <row r="3156" spans="1:57" x14ac:dyDescent="0.45">
      <c r="A3156" t="s">
        <v>7437</v>
      </c>
      <c r="B3156" t="s">
        <v>79</v>
      </c>
      <c r="C3156" t="s">
        <v>140</v>
      </c>
      <c r="D3156" t="s">
        <v>81</v>
      </c>
      <c r="E3156" s="2" t="str">
        <f>HYPERLINK("capsilon://?command=openfolder&amp;siteaddress=FAM.docvelocity-na8.net&amp;folderid=FX8FB7B405-804D-D45C-58A8-D9FBD31F8BFC","FX210118876")</f>
        <v>FX210118876</v>
      </c>
      <c r="F3156" t="s">
        <v>19</v>
      </c>
      <c r="G3156" t="s">
        <v>19</v>
      </c>
      <c r="H3156" t="s">
        <v>82</v>
      </c>
      <c r="I3156" t="s">
        <v>7438</v>
      </c>
      <c r="J3156">
        <v>26</v>
      </c>
      <c r="K3156" t="s">
        <v>84</v>
      </c>
      <c r="L3156" t="s">
        <v>85</v>
      </c>
      <c r="M3156" t="s">
        <v>86</v>
      </c>
      <c r="N3156">
        <v>3</v>
      </c>
      <c r="O3156" s="1">
        <v>44224.776979166665</v>
      </c>
      <c r="P3156" s="1">
        <v>44225.408020833333</v>
      </c>
      <c r="Q3156">
        <v>54107</v>
      </c>
      <c r="R3156">
        <v>415</v>
      </c>
      <c r="S3156" t="b">
        <v>0</v>
      </c>
      <c r="T3156" t="s">
        <v>87</v>
      </c>
      <c r="U3156" t="b">
        <v>0</v>
      </c>
      <c r="V3156" t="s">
        <v>262</v>
      </c>
      <c r="W3156" s="1">
        <v>44224.782002314816</v>
      </c>
      <c r="X3156">
        <v>174</v>
      </c>
      <c r="Y3156">
        <v>21</v>
      </c>
      <c r="Z3156">
        <v>0</v>
      </c>
      <c r="AA3156">
        <v>21</v>
      </c>
      <c r="AB3156">
        <v>0</v>
      </c>
      <c r="AC3156">
        <v>1</v>
      </c>
      <c r="AD3156">
        <v>5</v>
      </c>
      <c r="AE3156">
        <v>0</v>
      </c>
      <c r="AF3156">
        <v>0</v>
      </c>
      <c r="AG3156">
        <v>0</v>
      </c>
      <c r="AH3156" t="s">
        <v>147</v>
      </c>
      <c r="AI3156" s="1">
        <v>44224.785567129627</v>
      </c>
      <c r="AJ3156">
        <v>237</v>
      </c>
      <c r="AK3156">
        <v>2</v>
      </c>
      <c r="AL3156">
        <v>0</v>
      </c>
      <c r="AM3156">
        <v>2</v>
      </c>
      <c r="AN3156">
        <v>0</v>
      </c>
      <c r="AO3156">
        <v>4</v>
      </c>
      <c r="AP3156">
        <v>3</v>
      </c>
      <c r="AQ3156">
        <v>0</v>
      </c>
      <c r="AR3156">
        <v>0</v>
      </c>
      <c r="AS3156">
        <v>0</v>
      </c>
      <c r="AT3156" t="s">
        <v>90</v>
      </c>
      <c r="AU3156" s="1">
        <v>44225.408020833333</v>
      </c>
      <c r="AV3156">
        <v>4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3</v>
      </c>
      <c r="BC3156">
        <v>0</v>
      </c>
      <c r="BD3156">
        <v>0</v>
      </c>
      <c r="BE3156">
        <v>0</v>
      </c>
    </row>
    <row r="3157" spans="1:57" x14ac:dyDescent="0.45">
      <c r="A3157" t="s">
        <v>7439</v>
      </c>
      <c r="B3157" t="s">
        <v>79</v>
      </c>
      <c r="C3157" t="s">
        <v>7280</v>
      </c>
      <c r="D3157" t="s">
        <v>81</v>
      </c>
      <c r="E3157" s="2" t="str">
        <f>HYPERLINK("capsilon://?command=openfolder&amp;siteaddress=FAM.docvelocity-na8.net&amp;folderid=FX5D54B858-4C4B-9E69-A91A-450718B96739","FX210117811")</f>
        <v>FX210117811</v>
      </c>
      <c r="F3157" t="s">
        <v>19</v>
      </c>
      <c r="G3157" t="s">
        <v>19</v>
      </c>
      <c r="H3157" t="s">
        <v>82</v>
      </c>
      <c r="I3157" t="s">
        <v>7440</v>
      </c>
      <c r="J3157">
        <v>66</v>
      </c>
      <c r="K3157" t="s">
        <v>84</v>
      </c>
      <c r="L3157" t="s">
        <v>85</v>
      </c>
      <c r="M3157" t="s">
        <v>86</v>
      </c>
      <c r="N3157">
        <v>3</v>
      </c>
      <c r="O3157" s="1">
        <v>44224.782164351855</v>
      </c>
      <c r="P3157" s="1">
        <v>44225.408750000002</v>
      </c>
      <c r="Q3157">
        <v>53074</v>
      </c>
      <c r="R3157">
        <v>1063</v>
      </c>
      <c r="S3157" t="b">
        <v>0</v>
      </c>
      <c r="T3157" t="s">
        <v>87</v>
      </c>
      <c r="U3157" t="b">
        <v>0</v>
      </c>
      <c r="V3157" t="s">
        <v>160</v>
      </c>
      <c r="W3157" s="1">
        <v>44224.792627314811</v>
      </c>
      <c r="X3157">
        <v>699</v>
      </c>
      <c r="Y3157">
        <v>52</v>
      </c>
      <c r="Z3157">
        <v>0</v>
      </c>
      <c r="AA3157">
        <v>52</v>
      </c>
      <c r="AB3157">
        <v>0</v>
      </c>
      <c r="AC3157">
        <v>34</v>
      </c>
      <c r="AD3157">
        <v>14</v>
      </c>
      <c r="AE3157">
        <v>0</v>
      </c>
      <c r="AF3157">
        <v>0</v>
      </c>
      <c r="AG3157">
        <v>0</v>
      </c>
      <c r="AH3157" t="s">
        <v>147</v>
      </c>
      <c r="AI3157" s="1">
        <v>44224.795763888891</v>
      </c>
      <c r="AJ3157">
        <v>270</v>
      </c>
      <c r="AK3157">
        <v>6</v>
      </c>
      <c r="AL3157">
        <v>0</v>
      </c>
      <c r="AM3157">
        <v>6</v>
      </c>
      <c r="AN3157">
        <v>0</v>
      </c>
      <c r="AO3157">
        <v>3</v>
      </c>
      <c r="AP3157">
        <v>8</v>
      </c>
      <c r="AQ3157">
        <v>0</v>
      </c>
      <c r="AR3157">
        <v>0</v>
      </c>
      <c r="AS3157">
        <v>0</v>
      </c>
      <c r="AT3157" t="s">
        <v>90</v>
      </c>
      <c r="AU3157" s="1">
        <v>44225.408750000002</v>
      </c>
      <c r="AV3157">
        <v>62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8</v>
      </c>
      <c r="BC3157">
        <v>0</v>
      </c>
      <c r="BD3157">
        <v>0</v>
      </c>
      <c r="BE3157">
        <v>0</v>
      </c>
    </row>
    <row r="3158" spans="1:57" x14ac:dyDescent="0.45">
      <c r="A3158" t="s">
        <v>7441</v>
      </c>
      <c r="B3158" t="s">
        <v>79</v>
      </c>
      <c r="C3158" t="s">
        <v>7218</v>
      </c>
      <c r="D3158" t="s">
        <v>81</v>
      </c>
      <c r="E3158" s="2" t="str">
        <f>HYPERLINK("capsilon://?command=openfolder&amp;siteaddress=FAM.docvelocity-na8.net&amp;folderid=FX4994024A-E72B-9623-68DD-9F8D0FB2E511","FX210118091")</f>
        <v>FX210118091</v>
      </c>
      <c r="F3158" t="s">
        <v>19</v>
      </c>
      <c r="G3158" t="s">
        <v>19</v>
      </c>
      <c r="H3158" t="s">
        <v>82</v>
      </c>
      <c r="I3158" t="s">
        <v>7442</v>
      </c>
      <c r="J3158">
        <v>66</v>
      </c>
      <c r="K3158" t="s">
        <v>84</v>
      </c>
      <c r="L3158" t="s">
        <v>85</v>
      </c>
      <c r="M3158" t="s">
        <v>86</v>
      </c>
      <c r="N3158">
        <v>3</v>
      </c>
      <c r="O3158" s="1">
        <v>44224.784467592595</v>
      </c>
      <c r="P3158" s="1">
        <v>44225.409699074073</v>
      </c>
      <c r="Q3158">
        <v>53242</v>
      </c>
      <c r="R3158">
        <v>778</v>
      </c>
      <c r="S3158" t="b">
        <v>0</v>
      </c>
      <c r="T3158" t="s">
        <v>87</v>
      </c>
      <c r="U3158" t="b">
        <v>0</v>
      </c>
      <c r="V3158" t="s">
        <v>168</v>
      </c>
      <c r="W3158" s="1">
        <v>44224.790578703702</v>
      </c>
      <c r="X3158">
        <v>527</v>
      </c>
      <c r="Y3158">
        <v>52</v>
      </c>
      <c r="Z3158">
        <v>0</v>
      </c>
      <c r="AA3158">
        <v>52</v>
      </c>
      <c r="AB3158">
        <v>0</v>
      </c>
      <c r="AC3158">
        <v>33</v>
      </c>
      <c r="AD3158">
        <v>14</v>
      </c>
      <c r="AE3158">
        <v>0</v>
      </c>
      <c r="AF3158">
        <v>0</v>
      </c>
      <c r="AG3158">
        <v>0</v>
      </c>
      <c r="AH3158" t="s">
        <v>147</v>
      </c>
      <c r="AI3158" s="1">
        <v>44224.792546296296</v>
      </c>
      <c r="AJ3158">
        <v>169</v>
      </c>
      <c r="AK3158">
        <v>2</v>
      </c>
      <c r="AL3158">
        <v>0</v>
      </c>
      <c r="AM3158">
        <v>2</v>
      </c>
      <c r="AN3158">
        <v>0</v>
      </c>
      <c r="AO3158">
        <v>1</v>
      </c>
      <c r="AP3158">
        <v>12</v>
      </c>
      <c r="AQ3158">
        <v>0</v>
      </c>
      <c r="AR3158">
        <v>0</v>
      </c>
      <c r="AS3158">
        <v>0</v>
      </c>
      <c r="AT3158" t="s">
        <v>90</v>
      </c>
      <c r="AU3158" s="1">
        <v>44225.409699074073</v>
      </c>
      <c r="AV3158">
        <v>82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12</v>
      </c>
      <c r="BC3158">
        <v>0</v>
      </c>
      <c r="BD3158">
        <v>0</v>
      </c>
      <c r="BE3158">
        <v>0</v>
      </c>
    </row>
    <row r="3159" spans="1:57" x14ac:dyDescent="0.45">
      <c r="A3159" t="s">
        <v>7443</v>
      </c>
      <c r="B3159" t="s">
        <v>79</v>
      </c>
      <c r="C3159" t="s">
        <v>774</v>
      </c>
      <c r="D3159" t="s">
        <v>81</v>
      </c>
      <c r="E3159" s="2" t="str">
        <f>HYPERLINK("capsilon://?command=openfolder&amp;siteaddress=FAM.docvelocity-na8.net&amp;folderid=FXC3379E2A-38FC-1195-47A4-E8A6B35A5945","FX201114785")</f>
        <v>FX201114785</v>
      </c>
      <c r="F3159" t="s">
        <v>19</v>
      </c>
      <c r="G3159" t="s">
        <v>19</v>
      </c>
      <c r="H3159" t="s">
        <v>82</v>
      </c>
      <c r="I3159" t="s">
        <v>7444</v>
      </c>
      <c r="J3159">
        <v>195</v>
      </c>
      <c r="K3159" t="s">
        <v>84</v>
      </c>
      <c r="L3159" t="s">
        <v>85</v>
      </c>
      <c r="M3159" t="s">
        <v>86</v>
      </c>
      <c r="N3159">
        <v>3</v>
      </c>
      <c r="O3159" s="1">
        <v>44224.82885416667</v>
      </c>
      <c r="P3159" s="1">
        <v>44225.409918981481</v>
      </c>
      <c r="Q3159">
        <v>47056</v>
      </c>
      <c r="R3159">
        <v>3148</v>
      </c>
      <c r="S3159" t="b">
        <v>0</v>
      </c>
      <c r="T3159" t="s">
        <v>87</v>
      </c>
      <c r="U3159" t="b">
        <v>0</v>
      </c>
      <c r="V3159" t="s">
        <v>88</v>
      </c>
      <c r="W3159" s="1">
        <v>44225.168761574074</v>
      </c>
      <c r="X3159">
        <v>1755</v>
      </c>
      <c r="Y3159">
        <v>117</v>
      </c>
      <c r="Z3159">
        <v>0</v>
      </c>
      <c r="AA3159">
        <v>117</v>
      </c>
      <c r="AB3159">
        <v>0</v>
      </c>
      <c r="AC3159">
        <v>92</v>
      </c>
      <c r="AD3159">
        <v>78</v>
      </c>
      <c r="AE3159">
        <v>0</v>
      </c>
      <c r="AF3159">
        <v>0</v>
      </c>
      <c r="AG3159">
        <v>0</v>
      </c>
      <c r="AH3159" t="s">
        <v>89</v>
      </c>
      <c r="AI3159" s="1">
        <v>44225.193622685183</v>
      </c>
      <c r="AJ3159">
        <v>1375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78</v>
      </c>
      <c r="AQ3159">
        <v>0</v>
      </c>
      <c r="AR3159">
        <v>0</v>
      </c>
      <c r="AS3159">
        <v>0</v>
      </c>
      <c r="AT3159" t="s">
        <v>90</v>
      </c>
      <c r="AU3159" s="1">
        <v>44225.409918981481</v>
      </c>
      <c r="AV3159">
        <v>18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78</v>
      </c>
      <c r="BC3159">
        <v>0</v>
      </c>
      <c r="BD3159">
        <v>0</v>
      </c>
      <c r="BE3159">
        <v>0</v>
      </c>
    </row>
    <row r="3160" spans="1:57" x14ac:dyDescent="0.45">
      <c r="A3160" t="s">
        <v>7445</v>
      </c>
      <c r="B3160" t="s">
        <v>79</v>
      </c>
      <c r="C3160" t="s">
        <v>4263</v>
      </c>
      <c r="D3160" t="s">
        <v>81</v>
      </c>
      <c r="E3160" s="2" t="str">
        <f>HYPERLINK("capsilon://?command=openfolder&amp;siteaddress=FAM.docvelocity-na8.net&amp;folderid=FX6898E36C-91A4-5539-DE53-14A610109486","FX210110257")</f>
        <v>FX210110257</v>
      </c>
      <c r="F3160" t="s">
        <v>19</v>
      </c>
      <c r="G3160" t="s">
        <v>19</v>
      </c>
      <c r="H3160" t="s">
        <v>82</v>
      </c>
      <c r="I3160" t="s">
        <v>7446</v>
      </c>
      <c r="J3160">
        <v>66</v>
      </c>
      <c r="K3160" t="s">
        <v>84</v>
      </c>
      <c r="L3160" t="s">
        <v>85</v>
      </c>
      <c r="M3160" t="s">
        <v>86</v>
      </c>
      <c r="N3160">
        <v>3</v>
      </c>
      <c r="O3160" s="1">
        <v>44224.839328703703</v>
      </c>
      <c r="P3160" s="1">
        <v>44225.41002314815</v>
      </c>
      <c r="Q3160">
        <v>47376</v>
      </c>
      <c r="R3160">
        <v>1932</v>
      </c>
      <c r="S3160" t="b">
        <v>0</v>
      </c>
      <c r="T3160" t="s">
        <v>87</v>
      </c>
      <c r="U3160" t="b">
        <v>0</v>
      </c>
      <c r="V3160" t="s">
        <v>105</v>
      </c>
      <c r="W3160" s="1">
        <v>44225.164293981485</v>
      </c>
      <c r="X3160">
        <v>1356</v>
      </c>
      <c r="Y3160">
        <v>52</v>
      </c>
      <c r="Z3160">
        <v>0</v>
      </c>
      <c r="AA3160">
        <v>52</v>
      </c>
      <c r="AB3160">
        <v>0</v>
      </c>
      <c r="AC3160">
        <v>32</v>
      </c>
      <c r="AD3160">
        <v>14</v>
      </c>
      <c r="AE3160">
        <v>0</v>
      </c>
      <c r="AF3160">
        <v>0</v>
      </c>
      <c r="AG3160">
        <v>0</v>
      </c>
      <c r="AH3160" t="s">
        <v>108</v>
      </c>
      <c r="AI3160" s="1">
        <v>44225.191504629627</v>
      </c>
      <c r="AJ3160">
        <v>547</v>
      </c>
      <c r="AK3160">
        <v>1</v>
      </c>
      <c r="AL3160">
        <v>0</v>
      </c>
      <c r="AM3160">
        <v>1</v>
      </c>
      <c r="AN3160">
        <v>0</v>
      </c>
      <c r="AO3160">
        <v>4</v>
      </c>
      <c r="AP3160">
        <v>13</v>
      </c>
      <c r="AQ3160">
        <v>0</v>
      </c>
      <c r="AR3160">
        <v>0</v>
      </c>
      <c r="AS3160">
        <v>0</v>
      </c>
      <c r="AT3160" t="s">
        <v>90</v>
      </c>
      <c r="AU3160" s="1">
        <v>44225.41002314815</v>
      </c>
      <c r="AV3160">
        <v>8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13</v>
      </c>
      <c r="BC3160">
        <v>0</v>
      </c>
      <c r="BD3160">
        <v>0</v>
      </c>
      <c r="BE3160">
        <v>0</v>
      </c>
    </row>
    <row r="3161" spans="1:57" x14ac:dyDescent="0.45">
      <c r="A3161" t="s">
        <v>7447</v>
      </c>
      <c r="B3161" t="s">
        <v>79</v>
      </c>
      <c r="C3161" t="s">
        <v>2530</v>
      </c>
      <c r="D3161" t="s">
        <v>81</v>
      </c>
      <c r="E3161" s="2" t="str">
        <f>HYPERLINK("capsilon://?command=openfolder&amp;siteaddress=FAM.docvelocity-na8.net&amp;folderid=FX873A1490-01B6-D807-0864-4A712ED2681B","FX201223608")</f>
        <v>FX201223608</v>
      </c>
      <c r="F3161" t="s">
        <v>19</v>
      </c>
      <c r="G3161" t="s">
        <v>19</v>
      </c>
      <c r="H3161" t="s">
        <v>82</v>
      </c>
      <c r="I3161" t="s">
        <v>7448</v>
      </c>
      <c r="J3161">
        <v>49</v>
      </c>
      <c r="K3161" t="s">
        <v>84</v>
      </c>
      <c r="L3161" t="s">
        <v>85</v>
      </c>
      <c r="M3161" t="s">
        <v>86</v>
      </c>
      <c r="N3161">
        <v>3</v>
      </c>
      <c r="O3161" s="1">
        <v>44201.732835648145</v>
      </c>
      <c r="P3161" s="1">
        <v>44202.367060185185</v>
      </c>
      <c r="Q3161">
        <v>54033</v>
      </c>
      <c r="R3161">
        <v>764</v>
      </c>
      <c r="S3161" t="b">
        <v>0</v>
      </c>
      <c r="T3161" t="s">
        <v>87</v>
      </c>
      <c r="U3161" t="b">
        <v>0</v>
      </c>
      <c r="V3161" t="s">
        <v>255</v>
      </c>
      <c r="W3161" s="1">
        <v>44201.753634259258</v>
      </c>
      <c r="X3161">
        <v>523</v>
      </c>
      <c r="Y3161">
        <v>104</v>
      </c>
      <c r="Z3161">
        <v>0</v>
      </c>
      <c r="AA3161">
        <v>104</v>
      </c>
      <c r="AB3161">
        <v>0</v>
      </c>
      <c r="AC3161">
        <v>91</v>
      </c>
      <c r="AD3161">
        <v>-55</v>
      </c>
      <c r="AE3161">
        <v>0</v>
      </c>
      <c r="AF3161">
        <v>0</v>
      </c>
      <c r="AG3161">
        <v>0</v>
      </c>
      <c r="AH3161" t="s">
        <v>267</v>
      </c>
      <c r="AI3161" s="1">
        <v>44201.768159722225</v>
      </c>
      <c r="AJ3161">
        <v>164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-55</v>
      </c>
      <c r="AQ3161">
        <v>0</v>
      </c>
      <c r="AR3161">
        <v>0</v>
      </c>
      <c r="AS3161">
        <v>0</v>
      </c>
      <c r="AT3161" t="s">
        <v>90</v>
      </c>
      <c r="AU3161" s="1">
        <v>44202.367060185185</v>
      </c>
      <c r="AV3161">
        <v>77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-55</v>
      </c>
      <c r="BC3161">
        <v>0</v>
      </c>
      <c r="BD3161">
        <v>0</v>
      </c>
      <c r="BE3161">
        <v>0</v>
      </c>
    </row>
    <row r="3162" spans="1:57" x14ac:dyDescent="0.45">
      <c r="A3162" t="s">
        <v>7449</v>
      </c>
      <c r="B3162" t="s">
        <v>79</v>
      </c>
      <c r="C3162" t="s">
        <v>1871</v>
      </c>
      <c r="D3162" t="s">
        <v>81</v>
      </c>
      <c r="E3162" s="2" t="str">
        <f>HYPERLINK("capsilon://?command=openfolder&amp;siteaddress=FAM.docvelocity-na8.net&amp;folderid=FX6DBE14CA-DEA6-20CC-74B5-14F9BDEFDAA1","FX20125296")</f>
        <v>FX20125296</v>
      </c>
      <c r="F3162" t="s">
        <v>19</v>
      </c>
      <c r="G3162" t="s">
        <v>19</v>
      </c>
      <c r="H3162" t="s">
        <v>82</v>
      </c>
      <c r="I3162" t="s">
        <v>7450</v>
      </c>
      <c r="J3162">
        <v>36</v>
      </c>
      <c r="K3162" t="s">
        <v>84</v>
      </c>
      <c r="L3162" t="s">
        <v>85</v>
      </c>
      <c r="M3162" t="s">
        <v>86</v>
      </c>
      <c r="N3162">
        <v>3</v>
      </c>
      <c r="O3162" s="1">
        <v>44201.735034722224</v>
      </c>
      <c r="P3162" s="1">
        <v>44202.367488425924</v>
      </c>
      <c r="Q3162">
        <v>53633</v>
      </c>
      <c r="R3162">
        <v>1011</v>
      </c>
      <c r="S3162" t="b">
        <v>0</v>
      </c>
      <c r="T3162" t="s">
        <v>87</v>
      </c>
      <c r="U3162" t="b">
        <v>0</v>
      </c>
      <c r="V3162" t="s">
        <v>259</v>
      </c>
      <c r="W3162" s="1">
        <v>44201.759340277778</v>
      </c>
      <c r="X3162">
        <v>883</v>
      </c>
      <c r="Y3162">
        <v>39</v>
      </c>
      <c r="Z3162">
        <v>0</v>
      </c>
      <c r="AA3162">
        <v>39</v>
      </c>
      <c r="AB3162">
        <v>0</v>
      </c>
      <c r="AC3162">
        <v>31</v>
      </c>
      <c r="AD3162">
        <v>-3</v>
      </c>
      <c r="AE3162">
        <v>0</v>
      </c>
      <c r="AF3162">
        <v>0</v>
      </c>
      <c r="AG3162">
        <v>0</v>
      </c>
      <c r="AH3162" t="s">
        <v>267</v>
      </c>
      <c r="AI3162" s="1">
        <v>44201.769236111111</v>
      </c>
      <c r="AJ3162">
        <v>92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-3</v>
      </c>
      <c r="AQ3162">
        <v>0</v>
      </c>
      <c r="AR3162">
        <v>0</v>
      </c>
      <c r="AS3162">
        <v>0</v>
      </c>
      <c r="AT3162" t="s">
        <v>90</v>
      </c>
      <c r="AU3162" s="1">
        <v>44202.367488425924</v>
      </c>
      <c r="AV3162">
        <v>36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-3</v>
      </c>
      <c r="BC3162">
        <v>0</v>
      </c>
      <c r="BD3162">
        <v>0</v>
      </c>
      <c r="BE3162">
        <v>0</v>
      </c>
    </row>
    <row r="3163" spans="1:57" x14ac:dyDescent="0.45">
      <c r="A3163" t="s">
        <v>7451</v>
      </c>
      <c r="B3163" t="s">
        <v>79</v>
      </c>
      <c r="C3163" t="s">
        <v>1871</v>
      </c>
      <c r="D3163" t="s">
        <v>81</v>
      </c>
      <c r="E3163" s="2" t="str">
        <f>HYPERLINK("capsilon://?command=openfolder&amp;siteaddress=FAM.docvelocity-na8.net&amp;folderid=FX6DBE14CA-DEA6-20CC-74B5-14F9BDEFDAA1","FX20125296")</f>
        <v>FX20125296</v>
      </c>
      <c r="F3163" t="s">
        <v>19</v>
      </c>
      <c r="G3163" t="s">
        <v>19</v>
      </c>
      <c r="H3163" t="s">
        <v>82</v>
      </c>
      <c r="I3163" t="s">
        <v>7452</v>
      </c>
      <c r="J3163">
        <v>31</v>
      </c>
      <c r="K3163" t="s">
        <v>84</v>
      </c>
      <c r="L3163" t="s">
        <v>85</v>
      </c>
      <c r="M3163" t="s">
        <v>86</v>
      </c>
      <c r="N3163">
        <v>3</v>
      </c>
      <c r="O3163" s="1">
        <v>44201.736296296294</v>
      </c>
      <c r="P3163" s="1">
        <v>44202.367534722223</v>
      </c>
      <c r="Q3163">
        <v>52856</v>
      </c>
      <c r="R3163">
        <v>1683</v>
      </c>
      <c r="S3163" t="b">
        <v>0</v>
      </c>
      <c r="T3163" t="s">
        <v>87</v>
      </c>
      <c r="U3163" t="b">
        <v>0</v>
      </c>
      <c r="V3163" t="s">
        <v>179</v>
      </c>
      <c r="W3163" s="1">
        <v>44201.769479166665</v>
      </c>
      <c r="X3163">
        <v>1483</v>
      </c>
      <c r="Y3163">
        <v>39</v>
      </c>
      <c r="Z3163">
        <v>0</v>
      </c>
      <c r="AA3163">
        <v>39</v>
      </c>
      <c r="AB3163">
        <v>0</v>
      </c>
      <c r="AC3163">
        <v>29</v>
      </c>
      <c r="AD3163">
        <v>-8</v>
      </c>
      <c r="AE3163">
        <v>0</v>
      </c>
      <c r="AF3163">
        <v>0</v>
      </c>
      <c r="AG3163">
        <v>0</v>
      </c>
      <c r="AH3163" t="s">
        <v>128</v>
      </c>
      <c r="AI3163" s="1">
        <v>44201.777349537035</v>
      </c>
      <c r="AJ3163">
        <v>197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-8</v>
      </c>
      <c r="AQ3163">
        <v>0</v>
      </c>
      <c r="AR3163">
        <v>0</v>
      </c>
      <c r="AS3163">
        <v>0</v>
      </c>
      <c r="AT3163" t="s">
        <v>90</v>
      </c>
      <c r="AU3163" s="1">
        <v>44202.367534722223</v>
      </c>
      <c r="AV3163">
        <v>3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-8</v>
      </c>
      <c r="BC3163">
        <v>0</v>
      </c>
      <c r="BD3163">
        <v>0</v>
      </c>
      <c r="BE3163">
        <v>0</v>
      </c>
    </row>
    <row r="3164" spans="1:57" x14ac:dyDescent="0.45">
      <c r="A3164" t="s">
        <v>7453</v>
      </c>
      <c r="B3164" t="s">
        <v>79</v>
      </c>
      <c r="C3164" t="s">
        <v>1871</v>
      </c>
      <c r="D3164" t="s">
        <v>81</v>
      </c>
      <c r="E3164" s="2" t="str">
        <f>HYPERLINK("capsilon://?command=openfolder&amp;siteaddress=FAM.docvelocity-na8.net&amp;folderid=FX6DBE14CA-DEA6-20CC-74B5-14F9BDEFDAA1","FX20125296")</f>
        <v>FX20125296</v>
      </c>
      <c r="F3164" t="s">
        <v>19</v>
      </c>
      <c r="G3164" t="s">
        <v>19</v>
      </c>
      <c r="H3164" t="s">
        <v>82</v>
      </c>
      <c r="I3164" t="s">
        <v>7454</v>
      </c>
      <c r="J3164">
        <v>36</v>
      </c>
      <c r="K3164" t="s">
        <v>84</v>
      </c>
      <c r="L3164" t="s">
        <v>85</v>
      </c>
      <c r="M3164" t="s">
        <v>86</v>
      </c>
      <c r="N3164">
        <v>3</v>
      </c>
      <c r="O3164" s="1">
        <v>44201.73673611111</v>
      </c>
      <c r="P3164" s="1">
        <v>44202.367581018516</v>
      </c>
      <c r="Q3164">
        <v>53197</v>
      </c>
      <c r="R3164">
        <v>1308</v>
      </c>
      <c r="S3164" t="b">
        <v>0</v>
      </c>
      <c r="T3164" t="s">
        <v>87</v>
      </c>
      <c r="U3164" t="b">
        <v>0</v>
      </c>
      <c r="V3164" t="s">
        <v>146</v>
      </c>
      <c r="W3164" s="1">
        <v>44201.767835648148</v>
      </c>
      <c r="X3164">
        <v>1231</v>
      </c>
      <c r="Y3164">
        <v>39</v>
      </c>
      <c r="Z3164">
        <v>0</v>
      </c>
      <c r="AA3164">
        <v>39</v>
      </c>
      <c r="AB3164">
        <v>0</v>
      </c>
      <c r="AC3164">
        <v>30</v>
      </c>
      <c r="AD3164">
        <v>-3</v>
      </c>
      <c r="AE3164">
        <v>0</v>
      </c>
      <c r="AF3164">
        <v>0</v>
      </c>
      <c r="AG3164">
        <v>0</v>
      </c>
      <c r="AH3164" t="s">
        <v>267</v>
      </c>
      <c r="AI3164" s="1">
        <v>44201.770104166666</v>
      </c>
      <c r="AJ3164">
        <v>74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-3</v>
      </c>
      <c r="AQ3164">
        <v>0</v>
      </c>
      <c r="AR3164">
        <v>0</v>
      </c>
      <c r="AS3164">
        <v>0</v>
      </c>
      <c r="AT3164" t="s">
        <v>90</v>
      </c>
      <c r="AU3164" s="1">
        <v>44202.367581018516</v>
      </c>
      <c r="AV3164">
        <v>3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-3</v>
      </c>
      <c r="BC3164">
        <v>0</v>
      </c>
      <c r="BD3164">
        <v>0</v>
      </c>
      <c r="BE3164">
        <v>0</v>
      </c>
    </row>
  </sheetData>
  <autoFilter ref="A1:BE3164" xr:uid="{1B2A2FC2-6F23-4885-9BF1-BE350135F6AA}">
    <filterColumn colId="10">
      <filters>
        <filter val="COMPLETED"/>
      </filters>
    </filterColumn>
    <filterColumn colId="24">
      <filters>
        <filter val="1"/>
        <filter val="100"/>
        <filter val="101"/>
        <filter val="102"/>
        <filter val="103"/>
        <filter val="104"/>
        <filter val="105"/>
        <filter val="106"/>
        <filter val="107"/>
        <filter val="108"/>
        <filter val="109"/>
        <filter val="1090"/>
        <filter val="110"/>
        <filter val="112"/>
        <filter val="113"/>
        <filter val="114"/>
        <filter val="115"/>
        <filter val="116"/>
        <filter val="117"/>
        <filter val="118"/>
        <filter val="119"/>
        <filter val="12"/>
        <filter val="120"/>
        <filter val="121"/>
        <filter val="122"/>
        <filter val="123"/>
        <filter val="124"/>
        <filter val="125"/>
        <filter val="126"/>
        <filter val="127"/>
        <filter val="128"/>
        <filter val="129"/>
        <filter val="13"/>
        <filter val="130"/>
        <filter val="131"/>
        <filter val="132"/>
        <filter val="133"/>
        <filter val="134"/>
        <filter val="135"/>
        <filter val="136"/>
        <filter val="137"/>
        <filter val="138"/>
        <filter val="139"/>
        <filter val="14"/>
        <filter val="140"/>
        <filter val="141"/>
        <filter val="142"/>
        <filter val="143"/>
        <filter val="144"/>
        <filter val="145"/>
        <filter val="146"/>
        <filter val="147"/>
        <filter val="148"/>
        <filter val="149"/>
        <filter val="15"/>
        <filter val="150"/>
        <filter val="151"/>
        <filter val="152"/>
        <filter val="153"/>
        <filter val="154"/>
        <filter val="155"/>
        <filter val="156"/>
        <filter val="157"/>
        <filter val="158"/>
        <filter val="159"/>
        <filter val="16"/>
        <filter val="160"/>
        <filter val="161"/>
        <filter val="162"/>
        <filter val="163"/>
        <filter val="164"/>
        <filter val="165"/>
        <filter val="166"/>
        <filter val="167"/>
        <filter val="168"/>
        <filter val="169"/>
        <filter val="17"/>
        <filter val="170"/>
        <filter val="171"/>
        <filter val="172"/>
        <filter val="173"/>
        <filter val="174"/>
        <filter val="175"/>
        <filter val="176"/>
        <filter val="177"/>
        <filter val="178"/>
        <filter val="179"/>
        <filter val="180"/>
        <filter val="181"/>
        <filter val="182"/>
        <filter val="183"/>
        <filter val="184"/>
        <filter val="185"/>
        <filter val="186"/>
        <filter val="187"/>
        <filter val="188"/>
        <filter val="189"/>
        <filter val="19"/>
        <filter val="190"/>
        <filter val="191"/>
        <filter val="192"/>
        <filter val="193"/>
        <filter val="194"/>
        <filter val="195"/>
        <filter val="196"/>
        <filter val="197"/>
        <filter val="198"/>
        <filter val="199"/>
        <filter val="2"/>
        <filter val="200"/>
        <filter val="201"/>
        <filter val="202"/>
        <filter val="203"/>
        <filter val="204"/>
        <filter val="205"/>
        <filter val="206"/>
        <filter val="207"/>
        <filter val="208"/>
        <filter val="209"/>
        <filter val="21"/>
        <filter val="210"/>
        <filter val="211"/>
        <filter val="212"/>
        <filter val="213"/>
        <filter val="214"/>
        <filter val="215"/>
        <filter val="216"/>
        <filter val="217"/>
        <filter val="218"/>
        <filter val="219"/>
        <filter val="22"/>
        <filter val="220"/>
        <filter val="221"/>
        <filter val="222"/>
        <filter val="223"/>
        <filter val="224"/>
        <filter val="225"/>
        <filter val="227"/>
        <filter val="228"/>
        <filter val="229"/>
        <filter val="23"/>
        <filter val="230"/>
        <filter val="232"/>
        <filter val="233"/>
        <filter val="235"/>
        <filter val="236"/>
        <filter val="237"/>
        <filter val="238"/>
        <filter val="239"/>
        <filter val="240"/>
        <filter val="241"/>
        <filter val="242"/>
        <filter val="243"/>
        <filter val="244"/>
        <filter val="246"/>
        <filter val="248"/>
        <filter val="249"/>
        <filter val="250"/>
        <filter val="251"/>
        <filter val="252"/>
        <filter val="253"/>
        <filter val="254"/>
        <filter val="255"/>
        <filter val="256"/>
        <filter val="257"/>
        <filter val="258"/>
        <filter val="259"/>
        <filter val="260"/>
        <filter val="261"/>
        <filter val="262"/>
        <filter val="264"/>
        <filter val="265"/>
        <filter val="266"/>
        <filter val="267"/>
        <filter val="268"/>
        <filter val="27"/>
        <filter val="271"/>
        <filter val="272"/>
        <filter val="273"/>
        <filter val="275"/>
        <filter val="276"/>
        <filter val="277"/>
        <filter val="278"/>
        <filter val="279"/>
        <filter val="280"/>
        <filter val="281"/>
        <filter val="282"/>
        <filter val="283"/>
        <filter val="284"/>
        <filter val="285"/>
        <filter val="286"/>
        <filter val="288"/>
        <filter val="289"/>
        <filter val="290"/>
        <filter val="291"/>
        <filter val="292"/>
        <filter val="294"/>
        <filter val="295"/>
        <filter val="297"/>
        <filter val="298"/>
        <filter val="299"/>
        <filter val="3"/>
        <filter val="30"/>
        <filter val="300"/>
        <filter val="301"/>
        <filter val="303"/>
        <filter val="305"/>
        <filter val="306"/>
        <filter val="308"/>
        <filter val="311"/>
        <filter val="312"/>
        <filter val="313"/>
        <filter val="315"/>
        <filter val="316"/>
        <filter val="317"/>
        <filter val="319"/>
        <filter val="320"/>
        <filter val="321"/>
        <filter val="323"/>
        <filter val="325"/>
        <filter val="326"/>
        <filter val="328"/>
        <filter val="33"/>
        <filter val="331"/>
        <filter val="333"/>
        <filter val="336"/>
        <filter val="337"/>
        <filter val="339"/>
        <filter val="341"/>
        <filter val="342"/>
        <filter val="343"/>
        <filter val="344"/>
        <filter val="345"/>
        <filter val="347"/>
        <filter val="348"/>
        <filter val="350"/>
        <filter val="351"/>
        <filter val="352"/>
        <filter val="353"/>
        <filter val="354"/>
        <filter val="355"/>
        <filter val="356"/>
        <filter val="357"/>
        <filter val="358"/>
        <filter val="36"/>
        <filter val="362"/>
        <filter val="364"/>
        <filter val="367"/>
        <filter val="369"/>
        <filter val="37"/>
        <filter val="371"/>
        <filter val="372"/>
        <filter val="374"/>
        <filter val="376"/>
        <filter val="377"/>
        <filter val="378"/>
        <filter val="38"/>
        <filter val="381"/>
        <filter val="382"/>
        <filter val="385"/>
        <filter val="386"/>
        <filter val="387"/>
        <filter val="389"/>
        <filter val="39"/>
        <filter val="390"/>
        <filter val="391"/>
        <filter val="392"/>
        <filter val="393"/>
        <filter val="395"/>
        <filter val="396"/>
        <filter val="398"/>
        <filter val="399"/>
        <filter val="4"/>
        <filter val="40"/>
        <filter val="400"/>
        <filter val="402"/>
        <filter val="403"/>
        <filter val="406"/>
        <filter val="409"/>
        <filter val="41"/>
        <filter val="412"/>
        <filter val="413"/>
        <filter val="415"/>
        <filter val="42"/>
        <filter val="423"/>
        <filter val="425"/>
        <filter val="427"/>
        <filter val="429"/>
        <filter val="43"/>
        <filter val="430"/>
        <filter val="432"/>
        <filter val="433"/>
        <filter val="434"/>
        <filter val="44"/>
        <filter val="440"/>
        <filter val="441"/>
        <filter val="442"/>
        <filter val="443"/>
        <filter val="45"/>
        <filter val="450"/>
        <filter val="451"/>
        <filter val="457"/>
        <filter val="46"/>
        <filter val="460"/>
        <filter val="464"/>
        <filter val="47"/>
        <filter val="48"/>
        <filter val="484"/>
        <filter val="49"/>
        <filter val="490"/>
        <filter val="491"/>
        <filter val="492"/>
        <filter val="5"/>
        <filter val="50"/>
        <filter val="504"/>
        <filter val="508"/>
        <filter val="51"/>
        <filter val="514"/>
        <filter val="516"/>
        <filter val="52"/>
        <filter val="520"/>
        <filter val="523"/>
        <filter val="53"/>
        <filter val="532"/>
        <filter val="539"/>
        <filter val="54"/>
        <filter val="543"/>
        <filter val="544"/>
        <filter val="55"/>
        <filter val="56"/>
        <filter val="57"/>
        <filter val="571"/>
        <filter val="575"/>
        <filter val="58"/>
        <filter val="589"/>
        <filter val="59"/>
        <filter val="595"/>
        <filter val="6"/>
        <filter val="60"/>
        <filter val="601"/>
        <filter val="61"/>
        <filter val="614"/>
        <filter val="62"/>
        <filter val="623"/>
        <filter val="629"/>
        <filter val="63"/>
        <filter val="64"/>
        <filter val="643"/>
        <filter val="646"/>
        <filter val="65"/>
        <filter val="654"/>
        <filter val="66"/>
        <filter val="67"/>
        <filter val="68"/>
        <filter val="685"/>
        <filter val="69"/>
        <filter val="7"/>
        <filter val="70"/>
        <filter val="71"/>
        <filter val="72"/>
        <filter val="73"/>
        <filter val="74"/>
        <filter val="75"/>
        <filter val="76"/>
        <filter val="768"/>
        <filter val="77"/>
        <filter val="78"/>
        <filter val="79"/>
        <filter val="80"/>
        <filter val="81"/>
        <filter val="82"/>
        <filter val="821"/>
        <filter val="829"/>
        <filter val="83"/>
        <filter val="84"/>
        <filter val="86"/>
        <filter val="87"/>
        <filter val="88"/>
        <filter val="89"/>
        <filter val="9"/>
        <filter val="91"/>
        <filter val="92"/>
        <filter val="93"/>
        <filter val="94"/>
        <filter val="95"/>
        <filter val="96"/>
        <filter val="97"/>
        <filter val="98"/>
        <filter val="99"/>
      </filters>
    </filterColumn>
    <filterColumn colId="33">
      <filters>
        <filter val="Amruta Erande"/>
        <filter val="Aparna Chavan"/>
        <filter val="Ashish Sutar"/>
        <filter val="Dashrath Soren"/>
        <filter val="Ketan Pathak"/>
        <filter val="Kishor Gunjal"/>
        <filter val="Mohini Shinde"/>
        <filter val="Pooja Randhe"/>
        <filter val="Prajakta Jagannath Mane"/>
        <filter val="Rohit Mawal"/>
        <filter val="Smriti Gauchan"/>
        <filter val="Suraj Toradmal"/>
        <filter val="Vikash Suryakanth Parma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54AA-2129-47CA-A1E5-1FD20F5ED52C}">
  <dimension ref="A1:B2376"/>
  <sheetViews>
    <sheetView tabSelected="1" workbookViewId="0">
      <selection activeCell="B1" sqref="A1:XFD1"/>
    </sheetView>
  </sheetViews>
  <sheetFormatPr defaultRowHeight="14.25" x14ac:dyDescent="0.45"/>
  <cols>
    <col min="1" max="1" width="13" bestFit="1" customWidth="1"/>
    <col min="2" max="2" width="27.265625" bestFit="1" customWidth="1"/>
  </cols>
  <sheetData>
    <row r="1" spans="1:2" x14ac:dyDescent="0.45">
      <c r="A1" s="3" t="s">
        <v>21</v>
      </c>
      <c r="B1" s="3" t="s">
        <v>54</v>
      </c>
    </row>
    <row r="2" spans="1:2" x14ac:dyDescent="0.45">
      <c r="A2" t="s">
        <v>78</v>
      </c>
      <c r="B2" t="s">
        <v>89</v>
      </c>
    </row>
    <row r="3" spans="1:2" x14ac:dyDescent="0.45">
      <c r="A3" t="s">
        <v>91</v>
      </c>
      <c r="B3" t="s">
        <v>94</v>
      </c>
    </row>
    <row r="4" spans="1:2" x14ac:dyDescent="0.45">
      <c r="A4" t="s">
        <v>95</v>
      </c>
      <c r="B4" t="s">
        <v>89</v>
      </c>
    </row>
    <row r="5" spans="1:2" x14ac:dyDescent="0.45">
      <c r="A5" t="s">
        <v>99</v>
      </c>
      <c r="B5" t="s">
        <v>94</v>
      </c>
    </row>
    <row r="6" spans="1:2" x14ac:dyDescent="0.45">
      <c r="A6" t="s">
        <v>102</v>
      </c>
      <c r="B6" t="s">
        <v>94</v>
      </c>
    </row>
    <row r="7" spans="1:2" x14ac:dyDescent="0.45">
      <c r="A7" t="s">
        <v>106</v>
      </c>
      <c r="B7" t="s">
        <v>108</v>
      </c>
    </row>
    <row r="8" spans="1:2" x14ac:dyDescent="0.45">
      <c r="A8" t="s">
        <v>109</v>
      </c>
      <c r="B8" t="s">
        <v>89</v>
      </c>
    </row>
    <row r="9" spans="1:2" x14ac:dyDescent="0.45">
      <c r="A9" t="s">
        <v>119</v>
      </c>
      <c r="B9" t="s">
        <v>108</v>
      </c>
    </row>
    <row r="10" spans="1:2" x14ac:dyDescent="0.45">
      <c r="A10" t="s">
        <v>122</v>
      </c>
      <c r="B10" t="s">
        <v>108</v>
      </c>
    </row>
    <row r="11" spans="1:2" x14ac:dyDescent="0.45">
      <c r="A11" t="s">
        <v>125</v>
      </c>
      <c r="B11" t="s">
        <v>128</v>
      </c>
    </row>
    <row r="12" spans="1:2" x14ac:dyDescent="0.45">
      <c r="A12" t="s">
        <v>129</v>
      </c>
      <c r="B12" t="s">
        <v>132</v>
      </c>
    </row>
    <row r="13" spans="1:2" x14ac:dyDescent="0.45">
      <c r="A13" t="s">
        <v>136</v>
      </c>
      <c r="B13" t="s">
        <v>94</v>
      </c>
    </row>
    <row r="14" spans="1:2" x14ac:dyDescent="0.45">
      <c r="A14" t="s">
        <v>139</v>
      </c>
      <c r="B14" t="s">
        <v>128</v>
      </c>
    </row>
    <row r="15" spans="1:2" x14ac:dyDescent="0.45">
      <c r="A15" t="s">
        <v>143</v>
      </c>
      <c r="B15" t="s">
        <v>147</v>
      </c>
    </row>
    <row r="16" spans="1:2" x14ac:dyDescent="0.45">
      <c r="A16" t="s">
        <v>151</v>
      </c>
      <c r="B16" t="s">
        <v>108</v>
      </c>
    </row>
    <row r="17" spans="1:2" x14ac:dyDescent="0.45">
      <c r="A17" t="s">
        <v>154</v>
      </c>
      <c r="B17" t="s">
        <v>132</v>
      </c>
    </row>
    <row r="18" spans="1:2" x14ac:dyDescent="0.45">
      <c r="A18" t="s">
        <v>161</v>
      </c>
      <c r="B18" t="s">
        <v>128</v>
      </c>
    </row>
    <row r="19" spans="1:2" x14ac:dyDescent="0.45">
      <c r="A19" t="s">
        <v>162</v>
      </c>
      <c r="B19" t="s">
        <v>147</v>
      </c>
    </row>
    <row r="20" spans="1:2" x14ac:dyDescent="0.45">
      <c r="A20" t="s">
        <v>165</v>
      </c>
      <c r="B20" t="s">
        <v>132</v>
      </c>
    </row>
    <row r="21" spans="1:2" x14ac:dyDescent="0.45">
      <c r="A21" t="s">
        <v>169</v>
      </c>
      <c r="B21" t="s">
        <v>128</v>
      </c>
    </row>
    <row r="22" spans="1:2" x14ac:dyDescent="0.45">
      <c r="A22" t="s">
        <v>172</v>
      </c>
      <c r="B22" t="s">
        <v>132</v>
      </c>
    </row>
    <row r="23" spans="1:2" x14ac:dyDescent="0.45">
      <c r="A23" t="s">
        <v>175</v>
      </c>
      <c r="B23" t="s">
        <v>108</v>
      </c>
    </row>
    <row r="24" spans="1:2" x14ac:dyDescent="0.45">
      <c r="A24" t="s">
        <v>176</v>
      </c>
      <c r="B24" t="s">
        <v>147</v>
      </c>
    </row>
    <row r="25" spans="1:2" x14ac:dyDescent="0.45">
      <c r="A25" t="s">
        <v>184</v>
      </c>
      <c r="B25" t="s">
        <v>147</v>
      </c>
    </row>
    <row r="26" spans="1:2" x14ac:dyDescent="0.45">
      <c r="A26" t="s">
        <v>186</v>
      </c>
      <c r="B26" t="s">
        <v>108</v>
      </c>
    </row>
    <row r="27" spans="1:2" x14ac:dyDescent="0.45">
      <c r="A27" t="s">
        <v>192</v>
      </c>
      <c r="B27" t="s">
        <v>147</v>
      </c>
    </row>
    <row r="28" spans="1:2" x14ac:dyDescent="0.45">
      <c r="A28" t="s">
        <v>195</v>
      </c>
      <c r="B28" t="s">
        <v>132</v>
      </c>
    </row>
    <row r="29" spans="1:2" x14ac:dyDescent="0.45">
      <c r="A29" t="s">
        <v>198</v>
      </c>
      <c r="B29" t="s">
        <v>147</v>
      </c>
    </row>
    <row r="30" spans="1:2" x14ac:dyDescent="0.45">
      <c r="A30" t="s">
        <v>199</v>
      </c>
      <c r="B30" t="s">
        <v>147</v>
      </c>
    </row>
    <row r="31" spans="1:2" x14ac:dyDescent="0.45">
      <c r="A31" t="s">
        <v>202</v>
      </c>
      <c r="B31" t="s">
        <v>128</v>
      </c>
    </row>
    <row r="32" spans="1:2" x14ac:dyDescent="0.45">
      <c r="A32" t="s">
        <v>205</v>
      </c>
      <c r="B32" t="s">
        <v>89</v>
      </c>
    </row>
    <row r="33" spans="1:2" x14ac:dyDescent="0.45">
      <c r="A33" t="s">
        <v>208</v>
      </c>
      <c r="B33" t="s">
        <v>132</v>
      </c>
    </row>
    <row r="34" spans="1:2" x14ac:dyDescent="0.45">
      <c r="A34" t="s">
        <v>214</v>
      </c>
      <c r="B34" t="s">
        <v>128</v>
      </c>
    </row>
    <row r="35" spans="1:2" x14ac:dyDescent="0.45">
      <c r="A35" t="s">
        <v>223</v>
      </c>
      <c r="B35" t="s">
        <v>132</v>
      </c>
    </row>
    <row r="36" spans="1:2" x14ac:dyDescent="0.45">
      <c r="A36" t="s">
        <v>226</v>
      </c>
      <c r="B36" t="s">
        <v>128</v>
      </c>
    </row>
    <row r="37" spans="1:2" x14ac:dyDescent="0.45">
      <c r="A37" t="s">
        <v>227</v>
      </c>
      <c r="B37" t="s">
        <v>89</v>
      </c>
    </row>
    <row r="38" spans="1:2" x14ac:dyDescent="0.45">
      <c r="A38" t="s">
        <v>233</v>
      </c>
      <c r="B38" t="s">
        <v>128</v>
      </c>
    </row>
    <row r="39" spans="1:2" x14ac:dyDescent="0.45">
      <c r="A39" t="s">
        <v>236</v>
      </c>
      <c r="B39" t="s">
        <v>132</v>
      </c>
    </row>
    <row r="40" spans="1:2" x14ac:dyDescent="0.45">
      <c r="A40" t="s">
        <v>239</v>
      </c>
      <c r="B40" t="s">
        <v>128</v>
      </c>
    </row>
    <row r="41" spans="1:2" x14ac:dyDescent="0.45">
      <c r="A41" t="s">
        <v>243</v>
      </c>
      <c r="B41" t="s">
        <v>94</v>
      </c>
    </row>
    <row r="42" spans="1:2" x14ac:dyDescent="0.45">
      <c r="A42" t="s">
        <v>249</v>
      </c>
      <c r="B42" t="s">
        <v>132</v>
      </c>
    </row>
    <row r="43" spans="1:2" x14ac:dyDescent="0.45">
      <c r="A43" t="s">
        <v>252</v>
      </c>
      <c r="B43" t="s">
        <v>128</v>
      </c>
    </row>
    <row r="44" spans="1:2" x14ac:dyDescent="0.45">
      <c r="A44" t="s">
        <v>256</v>
      </c>
      <c r="B44" t="s">
        <v>132</v>
      </c>
    </row>
    <row r="45" spans="1:2" x14ac:dyDescent="0.45">
      <c r="A45" t="s">
        <v>260</v>
      </c>
      <c r="B45" t="s">
        <v>128</v>
      </c>
    </row>
    <row r="46" spans="1:2" x14ac:dyDescent="0.45">
      <c r="A46" t="s">
        <v>263</v>
      </c>
      <c r="B46" t="s">
        <v>267</v>
      </c>
    </row>
    <row r="47" spans="1:2" x14ac:dyDescent="0.45">
      <c r="A47" t="s">
        <v>268</v>
      </c>
      <c r="B47" t="s">
        <v>128</v>
      </c>
    </row>
    <row r="48" spans="1:2" x14ac:dyDescent="0.45">
      <c r="A48" t="s">
        <v>271</v>
      </c>
      <c r="B48" t="s">
        <v>267</v>
      </c>
    </row>
    <row r="49" spans="1:2" x14ac:dyDescent="0.45">
      <c r="A49" t="s">
        <v>277</v>
      </c>
      <c r="B49" t="s">
        <v>89</v>
      </c>
    </row>
    <row r="50" spans="1:2" x14ac:dyDescent="0.45">
      <c r="A50" t="s">
        <v>280</v>
      </c>
      <c r="B50" t="s">
        <v>128</v>
      </c>
    </row>
    <row r="51" spans="1:2" x14ac:dyDescent="0.45">
      <c r="A51" t="s">
        <v>281</v>
      </c>
      <c r="B51" t="s">
        <v>132</v>
      </c>
    </row>
    <row r="52" spans="1:2" x14ac:dyDescent="0.45">
      <c r="A52" t="s">
        <v>287</v>
      </c>
      <c r="B52" t="s">
        <v>128</v>
      </c>
    </row>
    <row r="53" spans="1:2" x14ac:dyDescent="0.45">
      <c r="A53" t="s">
        <v>290</v>
      </c>
      <c r="B53" t="s">
        <v>128</v>
      </c>
    </row>
    <row r="54" spans="1:2" x14ac:dyDescent="0.45">
      <c r="A54" t="s">
        <v>293</v>
      </c>
      <c r="B54" t="s">
        <v>128</v>
      </c>
    </row>
    <row r="55" spans="1:2" x14ac:dyDescent="0.45">
      <c r="A55" t="s">
        <v>299</v>
      </c>
      <c r="B55" t="s">
        <v>128</v>
      </c>
    </row>
    <row r="56" spans="1:2" x14ac:dyDescent="0.45">
      <c r="A56" t="s">
        <v>303</v>
      </c>
      <c r="B56" t="s">
        <v>128</v>
      </c>
    </row>
    <row r="57" spans="1:2" x14ac:dyDescent="0.45">
      <c r="A57" t="s">
        <v>307</v>
      </c>
      <c r="B57" t="s">
        <v>132</v>
      </c>
    </row>
    <row r="58" spans="1:2" x14ac:dyDescent="0.45">
      <c r="A58" t="s">
        <v>309</v>
      </c>
      <c r="B58" t="s">
        <v>132</v>
      </c>
    </row>
    <row r="59" spans="1:2" x14ac:dyDescent="0.45">
      <c r="A59" t="s">
        <v>312</v>
      </c>
      <c r="B59" t="s">
        <v>132</v>
      </c>
    </row>
    <row r="60" spans="1:2" x14ac:dyDescent="0.45">
      <c r="A60" t="s">
        <v>317</v>
      </c>
      <c r="B60" t="s">
        <v>132</v>
      </c>
    </row>
    <row r="61" spans="1:2" x14ac:dyDescent="0.45">
      <c r="A61" t="s">
        <v>320</v>
      </c>
      <c r="B61" t="s">
        <v>128</v>
      </c>
    </row>
    <row r="62" spans="1:2" x14ac:dyDescent="0.45">
      <c r="A62" t="s">
        <v>325</v>
      </c>
      <c r="B62" t="s">
        <v>132</v>
      </c>
    </row>
    <row r="63" spans="1:2" x14ac:dyDescent="0.45">
      <c r="A63" t="s">
        <v>328</v>
      </c>
      <c r="B63" t="s">
        <v>132</v>
      </c>
    </row>
    <row r="64" spans="1:2" x14ac:dyDescent="0.45">
      <c r="A64" t="s">
        <v>335</v>
      </c>
      <c r="B64" t="s">
        <v>132</v>
      </c>
    </row>
    <row r="65" spans="1:2" x14ac:dyDescent="0.45">
      <c r="A65" t="s">
        <v>336</v>
      </c>
      <c r="B65" t="s">
        <v>132</v>
      </c>
    </row>
    <row r="66" spans="1:2" x14ac:dyDescent="0.45">
      <c r="A66" t="s">
        <v>340</v>
      </c>
      <c r="B66" t="s">
        <v>132</v>
      </c>
    </row>
    <row r="67" spans="1:2" x14ac:dyDescent="0.45">
      <c r="A67" t="s">
        <v>344</v>
      </c>
      <c r="B67" t="s">
        <v>132</v>
      </c>
    </row>
    <row r="68" spans="1:2" x14ac:dyDescent="0.45">
      <c r="A68" t="s">
        <v>351</v>
      </c>
      <c r="B68" t="s">
        <v>128</v>
      </c>
    </row>
    <row r="69" spans="1:2" x14ac:dyDescent="0.45">
      <c r="A69" t="s">
        <v>360</v>
      </c>
      <c r="B69" t="s">
        <v>128</v>
      </c>
    </row>
    <row r="70" spans="1:2" x14ac:dyDescent="0.45">
      <c r="A70" t="s">
        <v>366</v>
      </c>
      <c r="B70" t="s">
        <v>132</v>
      </c>
    </row>
    <row r="71" spans="1:2" x14ac:dyDescent="0.45">
      <c r="A71" t="s">
        <v>372</v>
      </c>
      <c r="B71" t="s">
        <v>128</v>
      </c>
    </row>
    <row r="72" spans="1:2" x14ac:dyDescent="0.45">
      <c r="A72" t="s">
        <v>373</v>
      </c>
      <c r="B72" t="s">
        <v>132</v>
      </c>
    </row>
    <row r="73" spans="1:2" x14ac:dyDescent="0.45">
      <c r="A73" t="s">
        <v>376</v>
      </c>
      <c r="B73" t="s">
        <v>132</v>
      </c>
    </row>
    <row r="74" spans="1:2" x14ac:dyDescent="0.45">
      <c r="A74" t="s">
        <v>380</v>
      </c>
      <c r="B74" t="s">
        <v>128</v>
      </c>
    </row>
    <row r="75" spans="1:2" x14ac:dyDescent="0.45">
      <c r="A75" t="s">
        <v>385</v>
      </c>
      <c r="B75" t="s">
        <v>128</v>
      </c>
    </row>
    <row r="76" spans="1:2" x14ac:dyDescent="0.45">
      <c r="A76" t="s">
        <v>386</v>
      </c>
      <c r="B76" t="s">
        <v>128</v>
      </c>
    </row>
    <row r="77" spans="1:2" x14ac:dyDescent="0.45">
      <c r="A77" t="s">
        <v>389</v>
      </c>
      <c r="B77" t="s">
        <v>132</v>
      </c>
    </row>
    <row r="78" spans="1:2" x14ac:dyDescent="0.45">
      <c r="A78" t="s">
        <v>394</v>
      </c>
      <c r="B78" t="s">
        <v>128</v>
      </c>
    </row>
    <row r="79" spans="1:2" x14ac:dyDescent="0.45">
      <c r="A79" t="s">
        <v>395</v>
      </c>
      <c r="B79" t="s">
        <v>132</v>
      </c>
    </row>
    <row r="80" spans="1:2" x14ac:dyDescent="0.45">
      <c r="A80" t="s">
        <v>402</v>
      </c>
      <c r="B80" t="s">
        <v>132</v>
      </c>
    </row>
    <row r="81" spans="1:2" x14ac:dyDescent="0.45">
      <c r="A81" t="s">
        <v>407</v>
      </c>
      <c r="B81" t="s">
        <v>128</v>
      </c>
    </row>
    <row r="82" spans="1:2" x14ac:dyDescent="0.45">
      <c r="A82" t="s">
        <v>410</v>
      </c>
      <c r="B82" t="s">
        <v>128</v>
      </c>
    </row>
    <row r="83" spans="1:2" x14ac:dyDescent="0.45">
      <c r="A83" t="s">
        <v>413</v>
      </c>
      <c r="B83" t="s">
        <v>128</v>
      </c>
    </row>
    <row r="84" spans="1:2" x14ac:dyDescent="0.45">
      <c r="A84" t="s">
        <v>416</v>
      </c>
      <c r="B84" t="s">
        <v>89</v>
      </c>
    </row>
    <row r="85" spans="1:2" x14ac:dyDescent="0.45">
      <c r="A85" t="s">
        <v>420</v>
      </c>
      <c r="B85" t="s">
        <v>128</v>
      </c>
    </row>
    <row r="86" spans="1:2" x14ac:dyDescent="0.45">
      <c r="A86" t="s">
        <v>423</v>
      </c>
      <c r="B86" t="s">
        <v>128</v>
      </c>
    </row>
    <row r="87" spans="1:2" x14ac:dyDescent="0.45">
      <c r="A87" t="s">
        <v>425</v>
      </c>
      <c r="B87" t="s">
        <v>132</v>
      </c>
    </row>
    <row r="88" spans="1:2" x14ac:dyDescent="0.45">
      <c r="A88" t="s">
        <v>428</v>
      </c>
      <c r="B88" t="s">
        <v>128</v>
      </c>
    </row>
    <row r="89" spans="1:2" x14ac:dyDescent="0.45">
      <c r="A89" t="s">
        <v>433</v>
      </c>
      <c r="B89" t="s">
        <v>128</v>
      </c>
    </row>
    <row r="90" spans="1:2" x14ac:dyDescent="0.45">
      <c r="A90" t="s">
        <v>437</v>
      </c>
      <c r="B90" t="s">
        <v>132</v>
      </c>
    </row>
    <row r="91" spans="1:2" x14ac:dyDescent="0.45">
      <c r="A91" t="s">
        <v>444</v>
      </c>
      <c r="B91" t="s">
        <v>267</v>
      </c>
    </row>
    <row r="92" spans="1:2" x14ac:dyDescent="0.45">
      <c r="A92" t="s">
        <v>449</v>
      </c>
      <c r="B92" t="s">
        <v>89</v>
      </c>
    </row>
    <row r="93" spans="1:2" x14ac:dyDescent="0.45">
      <c r="A93" t="s">
        <v>455</v>
      </c>
      <c r="B93" t="s">
        <v>89</v>
      </c>
    </row>
    <row r="94" spans="1:2" x14ac:dyDescent="0.45">
      <c r="A94" t="s">
        <v>458</v>
      </c>
      <c r="B94" t="s">
        <v>89</v>
      </c>
    </row>
    <row r="95" spans="1:2" x14ac:dyDescent="0.45">
      <c r="A95" t="s">
        <v>459</v>
      </c>
      <c r="B95" t="s">
        <v>89</v>
      </c>
    </row>
    <row r="96" spans="1:2" x14ac:dyDescent="0.45">
      <c r="A96" t="s">
        <v>461</v>
      </c>
      <c r="B96" t="s">
        <v>89</v>
      </c>
    </row>
    <row r="97" spans="1:2" x14ac:dyDescent="0.45">
      <c r="A97" t="s">
        <v>464</v>
      </c>
      <c r="B97" t="s">
        <v>89</v>
      </c>
    </row>
    <row r="98" spans="1:2" x14ac:dyDescent="0.45">
      <c r="A98" t="s">
        <v>467</v>
      </c>
      <c r="B98" t="s">
        <v>89</v>
      </c>
    </row>
    <row r="99" spans="1:2" x14ac:dyDescent="0.45">
      <c r="A99" t="s">
        <v>469</v>
      </c>
      <c r="B99" t="s">
        <v>89</v>
      </c>
    </row>
    <row r="100" spans="1:2" x14ac:dyDescent="0.45">
      <c r="A100" t="s">
        <v>475</v>
      </c>
      <c r="B100" t="s">
        <v>89</v>
      </c>
    </row>
    <row r="101" spans="1:2" x14ac:dyDescent="0.45">
      <c r="A101" t="s">
        <v>482</v>
      </c>
      <c r="B101" t="s">
        <v>89</v>
      </c>
    </row>
    <row r="102" spans="1:2" x14ac:dyDescent="0.45">
      <c r="A102" t="s">
        <v>484</v>
      </c>
      <c r="B102" t="s">
        <v>267</v>
      </c>
    </row>
    <row r="103" spans="1:2" x14ac:dyDescent="0.45">
      <c r="A103" t="s">
        <v>489</v>
      </c>
      <c r="B103" t="s">
        <v>89</v>
      </c>
    </row>
    <row r="104" spans="1:2" x14ac:dyDescent="0.45">
      <c r="A104" t="s">
        <v>498</v>
      </c>
      <c r="B104" t="s">
        <v>89</v>
      </c>
    </row>
    <row r="105" spans="1:2" x14ac:dyDescent="0.45">
      <c r="A105" t="s">
        <v>502</v>
      </c>
      <c r="B105" t="s">
        <v>267</v>
      </c>
    </row>
    <row r="106" spans="1:2" x14ac:dyDescent="0.45">
      <c r="A106" t="s">
        <v>505</v>
      </c>
      <c r="B106" t="s">
        <v>267</v>
      </c>
    </row>
    <row r="107" spans="1:2" x14ac:dyDescent="0.45">
      <c r="A107" t="s">
        <v>506</v>
      </c>
      <c r="B107" t="s">
        <v>89</v>
      </c>
    </row>
    <row r="108" spans="1:2" x14ac:dyDescent="0.45">
      <c r="A108" t="s">
        <v>509</v>
      </c>
      <c r="B108" t="s">
        <v>267</v>
      </c>
    </row>
    <row r="109" spans="1:2" x14ac:dyDescent="0.45">
      <c r="A109" t="s">
        <v>512</v>
      </c>
      <c r="B109" t="s">
        <v>267</v>
      </c>
    </row>
    <row r="110" spans="1:2" x14ac:dyDescent="0.45">
      <c r="A110" t="s">
        <v>518</v>
      </c>
      <c r="B110" t="s">
        <v>267</v>
      </c>
    </row>
    <row r="111" spans="1:2" x14ac:dyDescent="0.45">
      <c r="A111" t="s">
        <v>519</v>
      </c>
      <c r="B111" t="s">
        <v>128</v>
      </c>
    </row>
    <row r="112" spans="1:2" x14ac:dyDescent="0.45">
      <c r="A112" t="s">
        <v>521</v>
      </c>
      <c r="B112" t="s">
        <v>267</v>
      </c>
    </row>
    <row r="113" spans="1:2" x14ac:dyDescent="0.45">
      <c r="A113" t="s">
        <v>524</v>
      </c>
      <c r="B113" t="s">
        <v>267</v>
      </c>
    </row>
    <row r="114" spans="1:2" x14ac:dyDescent="0.45">
      <c r="A114" t="s">
        <v>530</v>
      </c>
      <c r="B114" t="s">
        <v>267</v>
      </c>
    </row>
    <row r="115" spans="1:2" x14ac:dyDescent="0.45">
      <c r="A115" t="s">
        <v>533</v>
      </c>
      <c r="B115" t="s">
        <v>128</v>
      </c>
    </row>
    <row r="116" spans="1:2" x14ac:dyDescent="0.45">
      <c r="A116" t="s">
        <v>536</v>
      </c>
      <c r="B116" t="s">
        <v>128</v>
      </c>
    </row>
    <row r="117" spans="1:2" x14ac:dyDescent="0.45">
      <c r="A117" t="s">
        <v>538</v>
      </c>
      <c r="B117" t="s">
        <v>267</v>
      </c>
    </row>
    <row r="118" spans="1:2" x14ac:dyDescent="0.45">
      <c r="A118" t="s">
        <v>542</v>
      </c>
      <c r="B118" t="s">
        <v>89</v>
      </c>
    </row>
    <row r="119" spans="1:2" x14ac:dyDescent="0.45">
      <c r="A119" t="s">
        <v>543</v>
      </c>
      <c r="B119" t="s">
        <v>128</v>
      </c>
    </row>
    <row r="120" spans="1:2" x14ac:dyDescent="0.45">
      <c r="A120" t="s">
        <v>546</v>
      </c>
      <c r="B120" t="s">
        <v>128</v>
      </c>
    </row>
    <row r="121" spans="1:2" x14ac:dyDescent="0.45">
      <c r="A121" t="s">
        <v>550</v>
      </c>
      <c r="B121" t="s">
        <v>267</v>
      </c>
    </row>
    <row r="122" spans="1:2" x14ac:dyDescent="0.45">
      <c r="A122" t="s">
        <v>553</v>
      </c>
      <c r="B122" t="s">
        <v>128</v>
      </c>
    </row>
    <row r="123" spans="1:2" x14ac:dyDescent="0.45">
      <c r="A123" t="s">
        <v>558</v>
      </c>
      <c r="B123" t="s">
        <v>128</v>
      </c>
    </row>
    <row r="124" spans="1:2" x14ac:dyDescent="0.45">
      <c r="A124" t="s">
        <v>560</v>
      </c>
      <c r="B124" t="s">
        <v>89</v>
      </c>
    </row>
    <row r="125" spans="1:2" x14ac:dyDescent="0.45">
      <c r="A125" t="s">
        <v>563</v>
      </c>
      <c r="B125" t="s">
        <v>267</v>
      </c>
    </row>
    <row r="126" spans="1:2" x14ac:dyDescent="0.45">
      <c r="A126" t="s">
        <v>566</v>
      </c>
      <c r="B126" t="s">
        <v>128</v>
      </c>
    </row>
    <row r="127" spans="1:2" x14ac:dyDescent="0.45">
      <c r="A127" t="s">
        <v>569</v>
      </c>
      <c r="B127" t="s">
        <v>267</v>
      </c>
    </row>
    <row r="128" spans="1:2" x14ac:dyDescent="0.45">
      <c r="A128" t="s">
        <v>572</v>
      </c>
      <c r="B128" t="s">
        <v>128</v>
      </c>
    </row>
    <row r="129" spans="1:2" x14ac:dyDescent="0.45">
      <c r="A129" t="s">
        <v>575</v>
      </c>
      <c r="B129" t="s">
        <v>267</v>
      </c>
    </row>
    <row r="130" spans="1:2" x14ac:dyDescent="0.45">
      <c r="A130" t="s">
        <v>578</v>
      </c>
      <c r="B130" t="s">
        <v>128</v>
      </c>
    </row>
    <row r="131" spans="1:2" x14ac:dyDescent="0.45">
      <c r="A131" t="s">
        <v>579</v>
      </c>
      <c r="B131" t="s">
        <v>267</v>
      </c>
    </row>
    <row r="132" spans="1:2" x14ac:dyDescent="0.45">
      <c r="A132" t="s">
        <v>582</v>
      </c>
      <c r="B132" t="s">
        <v>267</v>
      </c>
    </row>
    <row r="133" spans="1:2" x14ac:dyDescent="0.45">
      <c r="A133" t="s">
        <v>585</v>
      </c>
      <c r="B133" t="s">
        <v>89</v>
      </c>
    </row>
    <row r="134" spans="1:2" x14ac:dyDescent="0.45">
      <c r="A134" t="s">
        <v>587</v>
      </c>
      <c r="B134" t="s">
        <v>267</v>
      </c>
    </row>
    <row r="135" spans="1:2" x14ac:dyDescent="0.45">
      <c r="A135" t="s">
        <v>590</v>
      </c>
      <c r="B135" t="s">
        <v>267</v>
      </c>
    </row>
    <row r="136" spans="1:2" x14ac:dyDescent="0.45">
      <c r="A136" t="s">
        <v>593</v>
      </c>
      <c r="B136" t="s">
        <v>128</v>
      </c>
    </row>
    <row r="137" spans="1:2" x14ac:dyDescent="0.45">
      <c r="A137" t="s">
        <v>596</v>
      </c>
      <c r="B137" t="s">
        <v>128</v>
      </c>
    </row>
    <row r="138" spans="1:2" x14ac:dyDescent="0.45">
      <c r="A138" t="s">
        <v>599</v>
      </c>
      <c r="B138" t="s">
        <v>267</v>
      </c>
    </row>
    <row r="139" spans="1:2" x14ac:dyDescent="0.45">
      <c r="A139" t="s">
        <v>602</v>
      </c>
      <c r="B139" t="s">
        <v>267</v>
      </c>
    </row>
    <row r="140" spans="1:2" x14ac:dyDescent="0.45">
      <c r="A140" t="s">
        <v>605</v>
      </c>
      <c r="B140" t="s">
        <v>267</v>
      </c>
    </row>
    <row r="141" spans="1:2" x14ac:dyDescent="0.45">
      <c r="A141" t="s">
        <v>608</v>
      </c>
      <c r="B141" t="s">
        <v>128</v>
      </c>
    </row>
    <row r="142" spans="1:2" x14ac:dyDescent="0.45">
      <c r="A142" t="s">
        <v>609</v>
      </c>
      <c r="B142" t="s">
        <v>267</v>
      </c>
    </row>
    <row r="143" spans="1:2" x14ac:dyDescent="0.45">
      <c r="A143" t="s">
        <v>615</v>
      </c>
      <c r="B143" t="s">
        <v>128</v>
      </c>
    </row>
    <row r="144" spans="1:2" x14ac:dyDescent="0.45">
      <c r="A144" t="s">
        <v>621</v>
      </c>
      <c r="B144" t="s">
        <v>267</v>
      </c>
    </row>
    <row r="145" spans="1:2" x14ac:dyDescent="0.45">
      <c r="A145" t="s">
        <v>624</v>
      </c>
      <c r="B145" t="s">
        <v>128</v>
      </c>
    </row>
    <row r="146" spans="1:2" x14ac:dyDescent="0.45">
      <c r="A146" t="s">
        <v>627</v>
      </c>
      <c r="B146" t="s">
        <v>128</v>
      </c>
    </row>
    <row r="147" spans="1:2" x14ac:dyDescent="0.45">
      <c r="A147" t="s">
        <v>630</v>
      </c>
      <c r="B147" t="s">
        <v>128</v>
      </c>
    </row>
    <row r="148" spans="1:2" x14ac:dyDescent="0.45">
      <c r="A148" t="s">
        <v>633</v>
      </c>
      <c r="B148" t="s">
        <v>267</v>
      </c>
    </row>
    <row r="149" spans="1:2" x14ac:dyDescent="0.45">
      <c r="A149" t="s">
        <v>636</v>
      </c>
      <c r="B149" t="s">
        <v>128</v>
      </c>
    </row>
    <row r="150" spans="1:2" x14ac:dyDescent="0.45">
      <c r="A150" t="s">
        <v>639</v>
      </c>
      <c r="B150" t="s">
        <v>267</v>
      </c>
    </row>
    <row r="151" spans="1:2" x14ac:dyDescent="0.45">
      <c r="A151" t="s">
        <v>642</v>
      </c>
      <c r="B151" t="s">
        <v>267</v>
      </c>
    </row>
    <row r="152" spans="1:2" x14ac:dyDescent="0.45">
      <c r="A152" t="s">
        <v>647</v>
      </c>
      <c r="B152" t="s">
        <v>267</v>
      </c>
    </row>
    <row r="153" spans="1:2" x14ac:dyDescent="0.45">
      <c r="A153" t="s">
        <v>651</v>
      </c>
      <c r="B153" t="s">
        <v>267</v>
      </c>
    </row>
    <row r="154" spans="1:2" x14ac:dyDescent="0.45">
      <c r="A154" t="s">
        <v>658</v>
      </c>
      <c r="B154" t="s">
        <v>267</v>
      </c>
    </row>
    <row r="155" spans="1:2" x14ac:dyDescent="0.45">
      <c r="A155" t="s">
        <v>661</v>
      </c>
      <c r="B155" t="s">
        <v>267</v>
      </c>
    </row>
    <row r="156" spans="1:2" x14ac:dyDescent="0.45">
      <c r="A156" t="s">
        <v>669</v>
      </c>
      <c r="B156" t="s">
        <v>267</v>
      </c>
    </row>
    <row r="157" spans="1:2" x14ac:dyDescent="0.45">
      <c r="A157" t="s">
        <v>670</v>
      </c>
      <c r="B157" t="s">
        <v>267</v>
      </c>
    </row>
    <row r="158" spans="1:2" x14ac:dyDescent="0.45">
      <c r="A158" t="s">
        <v>671</v>
      </c>
      <c r="B158" t="s">
        <v>267</v>
      </c>
    </row>
    <row r="159" spans="1:2" x14ac:dyDescent="0.45">
      <c r="A159" t="s">
        <v>674</v>
      </c>
      <c r="B159" t="s">
        <v>128</v>
      </c>
    </row>
    <row r="160" spans="1:2" x14ac:dyDescent="0.45">
      <c r="A160" t="s">
        <v>677</v>
      </c>
      <c r="B160" t="s">
        <v>267</v>
      </c>
    </row>
    <row r="161" spans="1:2" x14ac:dyDescent="0.45">
      <c r="A161" t="s">
        <v>678</v>
      </c>
      <c r="B161" t="s">
        <v>128</v>
      </c>
    </row>
    <row r="162" spans="1:2" x14ac:dyDescent="0.45">
      <c r="A162" t="s">
        <v>682</v>
      </c>
      <c r="B162" t="s">
        <v>267</v>
      </c>
    </row>
    <row r="163" spans="1:2" x14ac:dyDescent="0.45">
      <c r="A163" t="s">
        <v>685</v>
      </c>
      <c r="B163" t="s">
        <v>128</v>
      </c>
    </row>
    <row r="164" spans="1:2" x14ac:dyDescent="0.45">
      <c r="A164" t="s">
        <v>687</v>
      </c>
      <c r="B164" t="s">
        <v>267</v>
      </c>
    </row>
    <row r="165" spans="1:2" x14ac:dyDescent="0.45">
      <c r="A165" t="s">
        <v>689</v>
      </c>
      <c r="B165" t="s">
        <v>128</v>
      </c>
    </row>
    <row r="166" spans="1:2" x14ac:dyDescent="0.45">
      <c r="A166" t="s">
        <v>695</v>
      </c>
      <c r="B166" t="s">
        <v>267</v>
      </c>
    </row>
    <row r="167" spans="1:2" x14ac:dyDescent="0.45">
      <c r="A167" t="s">
        <v>699</v>
      </c>
      <c r="B167" t="s">
        <v>267</v>
      </c>
    </row>
    <row r="168" spans="1:2" x14ac:dyDescent="0.45">
      <c r="A168" t="s">
        <v>700</v>
      </c>
      <c r="B168" t="s">
        <v>267</v>
      </c>
    </row>
    <row r="169" spans="1:2" x14ac:dyDescent="0.45">
      <c r="A169" t="s">
        <v>701</v>
      </c>
      <c r="B169" t="s">
        <v>267</v>
      </c>
    </row>
    <row r="170" spans="1:2" x14ac:dyDescent="0.45">
      <c r="A170" t="s">
        <v>704</v>
      </c>
      <c r="B170" t="s">
        <v>89</v>
      </c>
    </row>
    <row r="171" spans="1:2" x14ac:dyDescent="0.45">
      <c r="A171" t="s">
        <v>707</v>
      </c>
      <c r="B171" t="s">
        <v>89</v>
      </c>
    </row>
    <row r="172" spans="1:2" x14ac:dyDescent="0.45">
      <c r="A172" t="s">
        <v>710</v>
      </c>
      <c r="B172" t="s">
        <v>94</v>
      </c>
    </row>
    <row r="173" spans="1:2" x14ac:dyDescent="0.45">
      <c r="A173" t="s">
        <v>713</v>
      </c>
      <c r="B173" t="s">
        <v>89</v>
      </c>
    </row>
    <row r="174" spans="1:2" x14ac:dyDescent="0.45">
      <c r="A174" t="s">
        <v>719</v>
      </c>
      <c r="B174" t="s">
        <v>128</v>
      </c>
    </row>
    <row r="175" spans="1:2" x14ac:dyDescent="0.45">
      <c r="A175" t="s">
        <v>723</v>
      </c>
      <c r="B175" t="s">
        <v>128</v>
      </c>
    </row>
    <row r="176" spans="1:2" x14ac:dyDescent="0.45">
      <c r="A176" t="s">
        <v>727</v>
      </c>
      <c r="B176" t="s">
        <v>128</v>
      </c>
    </row>
    <row r="177" spans="1:2" x14ac:dyDescent="0.45">
      <c r="A177" t="s">
        <v>730</v>
      </c>
      <c r="B177" t="s">
        <v>89</v>
      </c>
    </row>
    <row r="178" spans="1:2" x14ac:dyDescent="0.45">
      <c r="A178" t="s">
        <v>733</v>
      </c>
      <c r="B178" t="s">
        <v>94</v>
      </c>
    </row>
    <row r="179" spans="1:2" x14ac:dyDescent="0.45">
      <c r="A179" t="s">
        <v>740</v>
      </c>
      <c r="B179" t="s">
        <v>94</v>
      </c>
    </row>
    <row r="180" spans="1:2" x14ac:dyDescent="0.45">
      <c r="A180" t="s">
        <v>743</v>
      </c>
      <c r="B180" t="s">
        <v>267</v>
      </c>
    </row>
    <row r="181" spans="1:2" x14ac:dyDescent="0.45">
      <c r="A181" t="s">
        <v>746</v>
      </c>
      <c r="B181" t="s">
        <v>267</v>
      </c>
    </row>
    <row r="182" spans="1:2" x14ac:dyDescent="0.45">
      <c r="A182" t="s">
        <v>748</v>
      </c>
      <c r="B182" t="s">
        <v>89</v>
      </c>
    </row>
    <row r="183" spans="1:2" x14ac:dyDescent="0.45">
      <c r="A183" t="s">
        <v>753</v>
      </c>
      <c r="B183" t="s">
        <v>267</v>
      </c>
    </row>
    <row r="184" spans="1:2" x14ac:dyDescent="0.45">
      <c r="A184" t="s">
        <v>754</v>
      </c>
      <c r="B184" t="s">
        <v>267</v>
      </c>
    </row>
    <row r="185" spans="1:2" x14ac:dyDescent="0.45">
      <c r="A185" t="s">
        <v>757</v>
      </c>
      <c r="B185" t="s">
        <v>267</v>
      </c>
    </row>
    <row r="186" spans="1:2" x14ac:dyDescent="0.45">
      <c r="A186" t="s">
        <v>765</v>
      </c>
      <c r="B186" t="s">
        <v>128</v>
      </c>
    </row>
    <row r="187" spans="1:2" x14ac:dyDescent="0.45">
      <c r="A187" t="s">
        <v>768</v>
      </c>
      <c r="B187" t="s">
        <v>267</v>
      </c>
    </row>
    <row r="188" spans="1:2" x14ac:dyDescent="0.45">
      <c r="A188" t="s">
        <v>771</v>
      </c>
      <c r="B188" t="s">
        <v>267</v>
      </c>
    </row>
    <row r="189" spans="1:2" x14ac:dyDescent="0.45">
      <c r="A189" t="s">
        <v>776</v>
      </c>
      <c r="B189" t="s">
        <v>128</v>
      </c>
    </row>
    <row r="190" spans="1:2" x14ac:dyDescent="0.45">
      <c r="A190" t="s">
        <v>786</v>
      </c>
      <c r="B190" t="s">
        <v>128</v>
      </c>
    </row>
    <row r="191" spans="1:2" x14ac:dyDescent="0.45">
      <c r="A191" t="s">
        <v>787</v>
      </c>
      <c r="B191" t="s">
        <v>128</v>
      </c>
    </row>
    <row r="192" spans="1:2" x14ac:dyDescent="0.45">
      <c r="A192" t="s">
        <v>790</v>
      </c>
      <c r="B192" t="s">
        <v>267</v>
      </c>
    </row>
    <row r="193" spans="1:2" x14ac:dyDescent="0.45">
      <c r="A193" t="s">
        <v>793</v>
      </c>
      <c r="B193" t="s">
        <v>128</v>
      </c>
    </row>
    <row r="194" spans="1:2" x14ac:dyDescent="0.45">
      <c r="A194" t="s">
        <v>796</v>
      </c>
      <c r="B194" t="s">
        <v>128</v>
      </c>
    </row>
    <row r="195" spans="1:2" x14ac:dyDescent="0.45">
      <c r="A195" t="s">
        <v>799</v>
      </c>
      <c r="B195" t="s">
        <v>267</v>
      </c>
    </row>
    <row r="196" spans="1:2" x14ac:dyDescent="0.45">
      <c r="A196" t="s">
        <v>801</v>
      </c>
      <c r="B196" t="s">
        <v>267</v>
      </c>
    </row>
    <row r="197" spans="1:2" x14ac:dyDescent="0.45">
      <c r="A197" t="s">
        <v>804</v>
      </c>
      <c r="B197" t="s">
        <v>128</v>
      </c>
    </row>
    <row r="198" spans="1:2" x14ac:dyDescent="0.45">
      <c r="A198" t="s">
        <v>805</v>
      </c>
      <c r="B198" t="s">
        <v>267</v>
      </c>
    </row>
    <row r="199" spans="1:2" x14ac:dyDescent="0.45">
      <c r="A199" t="s">
        <v>811</v>
      </c>
      <c r="B199" t="s">
        <v>267</v>
      </c>
    </row>
    <row r="200" spans="1:2" x14ac:dyDescent="0.45">
      <c r="A200" t="s">
        <v>813</v>
      </c>
      <c r="B200" t="s">
        <v>128</v>
      </c>
    </row>
    <row r="201" spans="1:2" x14ac:dyDescent="0.45">
      <c r="A201" t="s">
        <v>815</v>
      </c>
      <c r="B201" t="s">
        <v>267</v>
      </c>
    </row>
    <row r="202" spans="1:2" x14ac:dyDescent="0.45">
      <c r="A202" t="s">
        <v>821</v>
      </c>
      <c r="B202" t="s">
        <v>128</v>
      </c>
    </row>
    <row r="203" spans="1:2" x14ac:dyDescent="0.45">
      <c r="A203" t="s">
        <v>823</v>
      </c>
      <c r="B203" t="s">
        <v>267</v>
      </c>
    </row>
    <row r="204" spans="1:2" x14ac:dyDescent="0.45">
      <c r="A204" t="s">
        <v>826</v>
      </c>
      <c r="B204" t="s">
        <v>267</v>
      </c>
    </row>
    <row r="205" spans="1:2" x14ac:dyDescent="0.45">
      <c r="A205" t="s">
        <v>829</v>
      </c>
      <c r="B205" t="s">
        <v>267</v>
      </c>
    </row>
    <row r="206" spans="1:2" x14ac:dyDescent="0.45">
      <c r="A206" t="s">
        <v>832</v>
      </c>
      <c r="B206" t="s">
        <v>267</v>
      </c>
    </row>
    <row r="207" spans="1:2" x14ac:dyDescent="0.45">
      <c r="A207" t="s">
        <v>834</v>
      </c>
      <c r="B207" t="s">
        <v>128</v>
      </c>
    </row>
    <row r="208" spans="1:2" x14ac:dyDescent="0.45">
      <c r="A208" t="s">
        <v>837</v>
      </c>
      <c r="B208" t="s">
        <v>267</v>
      </c>
    </row>
    <row r="209" spans="1:2" x14ac:dyDescent="0.45">
      <c r="A209" t="s">
        <v>840</v>
      </c>
      <c r="B209" t="s">
        <v>267</v>
      </c>
    </row>
    <row r="210" spans="1:2" x14ac:dyDescent="0.45">
      <c r="A210" t="s">
        <v>847</v>
      </c>
      <c r="B210" t="s">
        <v>267</v>
      </c>
    </row>
    <row r="211" spans="1:2" x14ac:dyDescent="0.45">
      <c r="A211" t="s">
        <v>849</v>
      </c>
      <c r="B211" t="s">
        <v>267</v>
      </c>
    </row>
    <row r="212" spans="1:2" x14ac:dyDescent="0.45">
      <c r="A212" t="s">
        <v>850</v>
      </c>
      <c r="B212" t="s">
        <v>267</v>
      </c>
    </row>
    <row r="213" spans="1:2" x14ac:dyDescent="0.45">
      <c r="A213" t="s">
        <v>856</v>
      </c>
      <c r="B213" t="s">
        <v>267</v>
      </c>
    </row>
    <row r="214" spans="1:2" x14ac:dyDescent="0.45">
      <c r="A214" t="s">
        <v>859</v>
      </c>
      <c r="B214" t="s">
        <v>267</v>
      </c>
    </row>
    <row r="215" spans="1:2" x14ac:dyDescent="0.45">
      <c r="A215" t="s">
        <v>862</v>
      </c>
      <c r="B215" t="s">
        <v>267</v>
      </c>
    </row>
    <row r="216" spans="1:2" x14ac:dyDescent="0.45">
      <c r="A216" t="s">
        <v>864</v>
      </c>
      <c r="B216" t="s">
        <v>267</v>
      </c>
    </row>
    <row r="217" spans="1:2" x14ac:dyDescent="0.45">
      <c r="A217" t="s">
        <v>867</v>
      </c>
      <c r="B217" t="s">
        <v>267</v>
      </c>
    </row>
    <row r="218" spans="1:2" x14ac:dyDescent="0.45">
      <c r="A218" t="s">
        <v>870</v>
      </c>
      <c r="B218" t="s">
        <v>94</v>
      </c>
    </row>
    <row r="219" spans="1:2" x14ac:dyDescent="0.45">
      <c r="A219" t="s">
        <v>872</v>
      </c>
      <c r="B219" t="s">
        <v>267</v>
      </c>
    </row>
    <row r="220" spans="1:2" x14ac:dyDescent="0.45">
      <c r="A220" t="s">
        <v>874</v>
      </c>
      <c r="B220" t="s">
        <v>267</v>
      </c>
    </row>
    <row r="221" spans="1:2" x14ac:dyDescent="0.45">
      <c r="A221" t="s">
        <v>880</v>
      </c>
      <c r="B221" t="s">
        <v>128</v>
      </c>
    </row>
    <row r="222" spans="1:2" x14ac:dyDescent="0.45">
      <c r="A222" t="s">
        <v>890</v>
      </c>
      <c r="B222" t="s">
        <v>94</v>
      </c>
    </row>
    <row r="223" spans="1:2" x14ac:dyDescent="0.45">
      <c r="A223" t="s">
        <v>894</v>
      </c>
      <c r="B223" t="s">
        <v>89</v>
      </c>
    </row>
    <row r="224" spans="1:2" x14ac:dyDescent="0.45">
      <c r="A224" t="s">
        <v>897</v>
      </c>
      <c r="B224" t="s">
        <v>94</v>
      </c>
    </row>
    <row r="225" spans="1:2" x14ac:dyDescent="0.45">
      <c r="A225" t="s">
        <v>898</v>
      </c>
      <c r="B225" t="s">
        <v>89</v>
      </c>
    </row>
    <row r="226" spans="1:2" x14ac:dyDescent="0.45">
      <c r="A226" t="s">
        <v>900</v>
      </c>
      <c r="B226" t="s">
        <v>89</v>
      </c>
    </row>
    <row r="227" spans="1:2" x14ac:dyDescent="0.45">
      <c r="A227" t="s">
        <v>902</v>
      </c>
      <c r="B227" t="s">
        <v>89</v>
      </c>
    </row>
    <row r="228" spans="1:2" x14ac:dyDescent="0.45">
      <c r="A228" t="s">
        <v>903</v>
      </c>
      <c r="B228" t="s">
        <v>89</v>
      </c>
    </row>
    <row r="229" spans="1:2" x14ac:dyDescent="0.45">
      <c r="A229" t="s">
        <v>912</v>
      </c>
      <c r="B229" t="s">
        <v>89</v>
      </c>
    </row>
    <row r="230" spans="1:2" x14ac:dyDescent="0.45">
      <c r="A230" t="s">
        <v>913</v>
      </c>
      <c r="B230" t="s">
        <v>128</v>
      </c>
    </row>
    <row r="231" spans="1:2" x14ac:dyDescent="0.45">
      <c r="A231" t="s">
        <v>923</v>
      </c>
      <c r="B231" t="s">
        <v>89</v>
      </c>
    </row>
    <row r="232" spans="1:2" x14ac:dyDescent="0.45">
      <c r="A232" t="s">
        <v>924</v>
      </c>
      <c r="B232" t="s">
        <v>89</v>
      </c>
    </row>
    <row r="233" spans="1:2" x14ac:dyDescent="0.45">
      <c r="A233" t="s">
        <v>925</v>
      </c>
      <c r="B233" t="s">
        <v>267</v>
      </c>
    </row>
    <row r="234" spans="1:2" x14ac:dyDescent="0.45">
      <c r="A234" t="s">
        <v>930</v>
      </c>
      <c r="B234" t="s">
        <v>267</v>
      </c>
    </row>
    <row r="235" spans="1:2" x14ac:dyDescent="0.45">
      <c r="A235" t="s">
        <v>936</v>
      </c>
      <c r="B235" t="s">
        <v>94</v>
      </c>
    </row>
    <row r="236" spans="1:2" x14ac:dyDescent="0.45">
      <c r="A236" t="s">
        <v>938</v>
      </c>
      <c r="B236" t="s">
        <v>267</v>
      </c>
    </row>
    <row r="237" spans="1:2" x14ac:dyDescent="0.45">
      <c r="A237" t="s">
        <v>942</v>
      </c>
      <c r="B237" t="s">
        <v>89</v>
      </c>
    </row>
    <row r="238" spans="1:2" x14ac:dyDescent="0.45">
      <c r="A238" t="s">
        <v>943</v>
      </c>
      <c r="B238" t="s">
        <v>267</v>
      </c>
    </row>
    <row r="239" spans="1:2" x14ac:dyDescent="0.45">
      <c r="A239" t="s">
        <v>950</v>
      </c>
      <c r="B239" t="s">
        <v>267</v>
      </c>
    </row>
    <row r="240" spans="1:2" x14ac:dyDescent="0.45">
      <c r="A240" t="s">
        <v>953</v>
      </c>
      <c r="B240" t="s">
        <v>128</v>
      </c>
    </row>
    <row r="241" spans="1:2" x14ac:dyDescent="0.45">
      <c r="A241" t="s">
        <v>954</v>
      </c>
      <c r="B241" t="s">
        <v>267</v>
      </c>
    </row>
    <row r="242" spans="1:2" x14ac:dyDescent="0.45">
      <c r="A242" t="s">
        <v>960</v>
      </c>
      <c r="B242" t="s">
        <v>267</v>
      </c>
    </row>
    <row r="243" spans="1:2" x14ac:dyDescent="0.45">
      <c r="A243" t="s">
        <v>963</v>
      </c>
      <c r="B243" t="s">
        <v>267</v>
      </c>
    </row>
    <row r="244" spans="1:2" x14ac:dyDescent="0.45">
      <c r="A244" t="s">
        <v>966</v>
      </c>
      <c r="B244" t="s">
        <v>267</v>
      </c>
    </row>
    <row r="245" spans="1:2" x14ac:dyDescent="0.45">
      <c r="A245" t="s">
        <v>969</v>
      </c>
      <c r="B245" t="s">
        <v>89</v>
      </c>
    </row>
    <row r="246" spans="1:2" x14ac:dyDescent="0.45">
      <c r="A246" t="s">
        <v>972</v>
      </c>
      <c r="B246" t="s">
        <v>128</v>
      </c>
    </row>
    <row r="247" spans="1:2" x14ac:dyDescent="0.45">
      <c r="A247" t="s">
        <v>974</v>
      </c>
      <c r="B247" t="s">
        <v>267</v>
      </c>
    </row>
    <row r="248" spans="1:2" x14ac:dyDescent="0.45">
      <c r="A248" t="s">
        <v>977</v>
      </c>
      <c r="B248" t="s">
        <v>267</v>
      </c>
    </row>
    <row r="249" spans="1:2" x14ac:dyDescent="0.45">
      <c r="A249" t="s">
        <v>979</v>
      </c>
      <c r="B249" t="s">
        <v>128</v>
      </c>
    </row>
    <row r="250" spans="1:2" x14ac:dyDescent="0.45">
      <c r="A250" t="s">
        <v>982</v>
      </c>
      <c r="B250" t="s">
        <v>267</v>
      </c>
    </row>
    <row r="251" spans="1:2" x14ac:dyDescent="0.45">
      <c r="A251" t="s">
        <v>984</v>
      </c>
      <c r="B251" t="s">
        <v>89</v>
      </c>
    </row>
    <row r="252" spans="1:2" x14ac:dyDescent="0.45">
      <c r="A252" t="s">
        <v>986</v>
      </c>
      <c r="B252" t="s">
        <v>267</v>
      </c>
    </row>
    <row r="253" spans="1:2" x14ac:dyDescent="0.45">
      <c r="A253" t="s">
        <v>989</v>
      </c>
      <c r="B253" t="s">
        <v>128</v>
      </c>
    </row>
    <row r="254" spans="1:2" x14ac:dyDescent="0.45">
      <c r="A254" t="s">
        <v>995</v>
      </c>
      <c r="B254" t="s">
        <v>267</v>
      </c>
    </row>
    <row r="255" spans="1:2" x14ac:dyDescent="0.45">
      <c r="A255" t="s">
        <v>1004</v>
      </c>
      <c r="B255" t="s">
        <v>267</v>
      </c>
    </row>
    <row r="256" spans="1:2" x14ac:dyDescent="0.45">
      <c r="A256" t="s">
        <v>1007</v>
      </c>
      <c r="B256" t="s">
        <v>267</v>
      </c>
    </row>
    <row r="257" spans="1:2" x14ac:dyDescent="0.45">
      <c r="A257" t="s">
        <v>1010</v>
      </c>
      <c r="B257" t="s">
        <v>267</v>
      </c>
    </row>
    <row r="258" spans="1:2" x14ac:dyDescent="0.45">
      <c r="A258" t="s">
        <v>1013</v>
      </c>
      <c r="B258" t="s">
        <v>89</v>
      </c>
    </row>
    <row r="259" spans="1:2" x14ac:dyDescent="0.45">
      <c r="A259" t="s">
        <v>1015</v>
      </c>
      <c r="B259" t="s">
        <v>128</v>
      </c>
    </row>
    <row r="260" spans="1:2" x14ac:dyDescent="0.45">
      <c r="A260" t="s">
        <v>1018</v>
      </c>
      <c r="B260" t="s">
        <v>267</v>
      </c>
    </row>
    <row r="261" spans="1:2" x14ac:dyDescent="0.45">
      <c r="A261" t="s">
        <v>1021</v>
      </c>
      <c r="B261" t="s">
        <v>267</v>
      </c>
    </row>
    <row r="262" spans="1:2" x14ac:dyDescent="0.45">
      <c r="A262" t="s">
        <v>1024</v>
      </c>
      <c r="B262" t="s">
        <v>267</v>
      </c>
    </row>
    <row r="263" spans="1:2" x14ac:dyDescent="0.45">
      <c r="A263" t="s">
        <v>1027</v>
      </c>
      <c r="B263" t="s">
        <v>128</v>
      </c>
    </row>
    <row r="264" spans="1:2" x14ac:dyDescent="0.45">
      <c r="A264" t="s">
        <v>1030</v>
      </c>
      <c r="B264" t="s">
        <v>128</v>
      </c>
    </row>
    <row r="265" spans="1:2" x14ac:dyDescent="0.45">
      <c r="A265" t="s">
        <v>1036</v>
      </c>
      <c r="B265" t="s">
        <v>267</v>
      </c>
    </row>
    <row r="266" spans="1:2" x14ac:dyDescent="0.45">
      <c r="A266" t="s">
        <v>1042</v>
      </c>
      <c r="B266" t="s">
        <v>267</v>
      </c>
    </row>
    <row r="267" spans="1:2" x14ac:dyDescent="0.45">
      <c r="A267" t="s">
        <v>1047</v>
      </c>
      <c r="B267" t="s">
        <v>267</v>
      </c>
    </row>
    <row r="268" spans="1:2" x14ac:dyDescent="0.45">
      <c r="A268" t="s">
        <v>1049</v>
      </c>
      <c r="B268" t="s">
        <v>128</v>
      </c>
    </row>
    <row r="269" spans="1:2" x14ac:dyDescent="0.45">
      <c r="A269" t="s">
        <v>1053</v>
      </c>
      <c r="B269" t="s">
        <v>267</v>
      </c>
    </row>
    <row r="270" spans="1:2" x14ac:dyDescent="0.45">
      <c r="A270" t="s">
        <v>1056</v>
      </c>
      <c r="B270" t="s">
        <v>89</v>
      </c>
    </row>
    <row r="271" spans="1:2" x14ac:dyDescent="0.45">
      <c r="A271" t="s">
        <v>1059</v>
      </c>
      <c r="B271" t="s">
        <v>267</v>
      </c>
    </row>
    <row r="272" spans="1:2" x14ac:dyDescent="0.45">
      <c r="A272" t="s">
        <v>1062</v>
      </c>
      <c r="B272" t="s">
        <v>89</v>
      </c>
    </row>
    <row r="273" spans="1:2" x14ac:dyDescent="0.45">
      <c r="A273" t="s">
        <v>1064</v>
      </c>
      <c r="B273" t="s">
        <v>128</v>
      </c>
    </row>
    <row r="274" spans="1:2" x14ac:dyDescent="0.45">
      <c r="A274" t="s">
        <v>1067</v>
      </c>
      <c r="B274" t="s">
        <v>128</v>
      </c>
    </row>
    <row r="275" spans="1:2" x14ac:dyDescent="0.45">
      <c r="A275" t="s">
        <v>1070</v>
      </c>
      <c r="B275" t="s">
        <v>267</v>
      </c>
    </row>
    <row r="276" spans="1:2" x14ac:dyDescent="0.45">
      <c r="A276" t="s">
        <v>1079</v>
      </c>
      <c r="B276" t="s">
        <v>267</v>
      </c>
    </row>
    <row r="277" spans="1:2" x14ac:dyDescent="0.45">
      <c r="A277" t="s">
        <v>1080</v>
      </c>
      <c r="B277" t="s">
        <v>89</v>
      </c>
    </row>
    <row r="278" spans="1:2" x14ac:dyDescent="0.45">
      <c r="A278" t="s">
        <v>1082</v>
      </c>
      <c r="B278" t="s">
        <v>267</v>
      </c>
    </row>
    <row r="279" spans="1:2" x14ac:dyDescent="0.45">
      <c r="A279" t="s">
        <v>1083</v>
      </c>
      <c r="B279" t="s">
        <v>267</v>
      </c>
    </row>
    <row r="280" spans="1:2" x14ac:dyDescent="0.45">
      <c r="A280" t="s">
        <v>1086</v>
      </c>
      <c r="B280" t="s">
        <v>267</v>
      </c>
    </row>
    <row r="281" spans="1:2" x14ac:dyDescent="0.45">
      <c r="A281" t="s">
        <v>1089</v>
      </c>
      <c r="B281" t="s">
        <v>267</v>
      </c>
    </row>
    <row r="282" spans="1:2" x14ac:dyDescent="0.45">
      <c r="A282" t="s">
        <v>1091</v>
      </c>
      <c r="B282" t="s">
        <v>128</v>
      </c>
    </row>
    <row r="283" spans="1:2" x14ac:dyDescent="0.45">
      <c r="A283" t="s">
        <v>1094</v>
      </c>
      <c r="B283" t="s">
        <v>267</v>
      </c>
    </row>
    <row r="284" spans="1:2" x14ac:dyDescent="0.45">
      <c r="A284" t="s">
        <v>1097</v>
      </c>
      <c r="B284" t="s">
        <v>267</v>
      </c>
    </row>
    <row r="285" spans="1:2" x14ac:dyDescent="0.45">
      <c r="A285" t="s">
        <v>1105</v>
      </c>
      <c r="B285" t="s">
        <v>128</v>
      </c>
    </row>
    <row r="286" spans="1:2" x14ac:dyDescent="0.45">
      <c r="A286" t="s">
        <v>1111</v>
      </c>
      <c r="B286" t="s">
        <v>128</v>
      </c>
    </row>
    <row r="287" spans="1:2" x14ac:dyDescent="0.45">
      <c r="A287" t="s">
        <v>1119</v>
      </c>
      <c r="B287" t="s">
        <v>128</v>
      </c>
    </row>
    <row r="288" spans="1:2" x14ac:dyDescent="0.45">
      <c r="A288" t="s">
        <v>1122</v>
      </c>
      <c r="B288" t="s">
        <v>267</v>
      </c>
    </row>
    <row r="289" spans="1:2" x14ac:dyDescent="0.45">
      <c r="A289" t="s">
        <v>1125</v>
      </c>
      <c r="B289" t="s">
        <v>267</v>
      </c>
    </row>
    <row r="290" spans="1:2" x14ac:dyDescent="0.45">
      <c r="A290" t="s">
        <v>1128</v>
      </c>
      <c r="B290" t="s">
        <v>267</v>
      </c>
    </row>
    <row r="291" spans="1:2" x14ac:dyDescent="0.45">
      <c r="A291" t="s">
        <v>1129</v>
      </c>
      <c r="B291" t="s">
        <v>267</v>
      </c>
    </row>
    <row r="292" spans="1:2" x14ac:dyDescent="0.45">
      <c r="A292" t="s">
        <v>1130</v>
      </c>
      <c r="B292" t="s">
        <v>267</v>
      </c>
    </row>
    <row r="293" spans="1:2" x14ac:dyDescent="0.45">
      <c r="A293" t="s">
        <v>1136</v>
      </c>
      <c r="B293" t="s">
        <v>128</v>
      </c>
    </row>
    <row r="294" spans="1:2" x14ac:dyDescent="0.45">
      <c r="A294" t="s">
        <v>1139</v>
      </c>
      <c r="B294" t="s">
        <v>267</v>
      </c>
    </row>
    <row r="295" spans="1:2" x14ac:dyDescent="0.45">
      <c r="A295" t="s">
        <v>1142</v>
      </c>
      <c r="B295" t="s">
        <v>267</v>
      </c>
    </row>
    <row r="296" spans="1:2" x14ac:dyDescent="0.45">
      <c r="A296" t="s">
        <v>1148</v>
      </c>
      <c r="B296" t="s">
        <v>128</v>
      </c>
    </row>
    <row r="297" spans="1:2" x14ac:dyDescent="0.45">
      <c r="A297" t="s">
        <v>1154</v>
      </c>
      <c r="B297" t="s">
        <v>128</v>
      </c>
    </row>
    <row r="298" spans="1:2" x14ac:dyDescent="0.45">
      <c r="A298" t="s">
        <v>1156</v>
      </c>
      <c r="B298" t="s">
        <v>128</v>
      </c>
    </row>
    <row r="299" spans="1:2" x14ac:dyDescent="0.45">
      <c r="A299" t="s">
        <v>1158</v>
      </c>
      <c r="B299" t="s">
        <v>128</v>
      </c>
    </row>
    <row r="300" spans="1:2" x14ac:dyDescent="0.45">
      <c r="A300" t="s">
        <v>1160</v>
      </c>
      <c r="B300" t="s">
        <v>267</v>
      </c>
    </row>
    <row r="301" spans="1:2" x14ac:dyDescent="0.45">
      <c r="A301" t="s">
        <v>1163</v>
      </c>
      <c r="B301" t="s">
        <v>267</v>
      </c>
    </row>
    <row r="302" spans="1:2" x14ac:dyDescent="0.45">
      <c r="A302" t="s">
        <v>1166</v>
      </c>
      <c r="B302" t="s">
        <v>128</v>
      </c>
    </row>
    <row r="303" spans="1:2" x14ac:dyDescent="0.45">
      <c r="A303" t="s">
        <v>1168</v>
      </c>
      <c r="B303" t="s">
        <v>128</v>
      </c>
    </row>
    <row r="304" spans="1:2" x14ac:dyDescent="0.45">
      <c r="A304" t="s">
        <v>1171</v>
      </c>
      <c r="B304" t="s">
        <v>128</v>
      </c>
    </row>
    <row r="305" spans="1:2" x14ac:dyDescent="0.45">
      <c r="A305" t="s">
        <v>1175</v>
      </c>
      <c r="B305" t="s">
        <v>128</v>
      </c>
    </row>
    <row r="306" spans="1:2" x14ac:dyDescent="0.45">
      <c r="A306" t="s">
        <v>1178</v>
      </c>
      <c r="B306" t="s">
        <v>267</v>
      </c>
    </row>
    <row r="307" spans="1:2" x14ac:dyDescent="0.45">
      <c r="A307" t="s">
        <v>1187</v>
      </c>
      <c r="B307" t="s">
        <v>267</v>
      </c>
    </row>
    <row r="308" spans="1:2" x14ac:dyDescent="0.45">
      <c r="A308" t="s">
        <v>1192</v>
      </c>
      <c r="B308" t="s">
        <v>267</v>
      </c>
    </row>
    <row r="309" spans="1:2" x14ac:dyDescent="0.45">
      <c r="A309" t="s">
        <v>1196</v>
      </c>
      <c r="B309" t="s">
        <v>267</v>
      </c>
    </row>
    <row r="310" spans="1:2" x14ac:dyDescent="0.45">
      <c r="A310" t="s">
        <v>1197</v>
      </c>
      <c r="B310" t="s">
        <v>128</v>
      </c>
    </row>
    <row r="311" spans="1:2" x14ac:dyDescent="0.45">
      <c r="A311" t="s">
        <v>1200</v>
      </c>
      <c r="B311" t="s">
        <v>128</v>
      </c>
    </row>
    <row r="312" spans="1:2" x14ac:dyDescent="0.45">
      <c r="A312" t="s">
        <v>1203</v>
      </c>
      <c r="B312" t="s">
        <v>267</v>
      </c>
    </row>
    <row r="313" spans="1:2" x14ac:dyDescent="0.45">
      <c r="A313" t="s">
        <v>1206</v>
      </c>
      <c r="B313" t="s">
        <v>128</v>
      </c>
    </row>
    <row r="314" spans="1:2" x14ac:dyDescent="0.45">
      <c r="A314" t="s">
        <v>1209</v>
      </c>
      <c r="B314" t="s">
        <v>267</v>
      </c>
    </row>
    <row r="315" spans="1:2" x14ac:dyDescent="0.45">
      <c r="A315" t="s">
        <v>1212</v>
      </c>
      <c r="B315" t="s">
        <v>267</v>
      </c>
    </row>
    <row r="316" spans="1:2" x14ac:dyDescent="0.45">
      <c r="A316" t="s">
        <v>1214</v>
      </c>
      <c r="B316" t="s">
        <v>267</v>
      </c>
    </row>
    <row r="317" spans="1:2" x14ac:dyDescent="0.45">
      <c r="A317" t="s">
        <v>1217</v>
      </c>
      <c r="B317" t="s">
        <v>128</v>
      </c>
    </row>
    <row r="318" spans="1:2" x14ac:dyDescent="0.45">
      <c r="A318" t="s">
        <v>1218</v>
      </c>
      <c r="B318" t="s">
        <v>267</v>
      </c>
    </row>
    <row r="319" spans="1:2" x14ac:dyDescent="0.45">
      <c r="A319" t="s">
        <v>1222</v>
      </c>
      <c r="B319" t="s">
        <v>128</v>
      </c>
    </row>
    <row r="320" spans="1:2" x14ac:dyDescent="0.45">
      <c r="A320" t="s">
        <v>1228</v>
      </c>
      <c r="B320" t="s">
        <v>128</v>
      </c>
    </row>
    <row r="321" spans="1:2" x14ac:dyDescent="0.45">
      <c r="A321" t="s">
        <v>1229</v>
      </c>
      <c r="B321" t="s">
        <v>267</v>
      </c>
    </row>
    <row r="322" spans="1:2" x14ac:dyDescent="0.45">
      <c r="A322" t="s">
        <v>1233</v>
      </c>
      <c r="B322" t="s">
        <v>128</v>
      </c>
    </row>
    <row r="323" spans="1:2" x14ac:dyDescent="0.45">
      <c r="A323" t="s">
        <v>1235</v>
      </c>
      <c r="B323" t="s">
        <v>128</v>
      </c>
    </row>
    <row r="324" spans="1:2" x14ac:dyDescent="0.45">
      <c r="A324" t="s">
        <v>1238</v>
      </c>
      <c r="B324" t="s">
        <v>267</v>
      </c>
    </row>
    <row r="325" spans="1:2" x14ac:dyDescent="0.45">
      <c r="A325" t="s">
        <v>1240</v>
      </c>
      <c r="B325" t="s">
        <v>128</v>
      </c>
    </row>
    <row r="326" spans="1:2" x14ac:dyDescent="0.45">
      <c r="A326" t="s">
        <v>1242</v>
      </c>
      <c r="B326" t="s">
        <v>267</v>
      </c>
    </row>
    <row r="327" spans="1:2" x14ac:dyDescent="0.45">
      <c r="A327" t="s">
        <v>1244</v>
      </c>
      <c r="B327" t="s">
        <v>128</v>
      </c>
    </row>
    <row r="328" spans="1:2" x14ac:dyDescent="0.45">
      <c r="A328" t="s">
        <v>1245</v>
      </c>
      <c r="B328" t="s">
        <v>267</v>
      </c>
    </row>
    <row r="329" spans="1:2" x14ac:dyDescent="0.45">
      <c r="A329" t="s">
        <v>1253</v>
      </c>
      <c r="B329" t="s">
        <v>267</v>
      </c>
    </row>
    <row r="330" spans="1:2" x14ac:dyDescent="0.45">
      <c r="A330" t="s">
        <v>1254</v>
      </c>
      <c r="B330" t="s">
        <v>128</v>
      </c>
    </row>
    <row r="331" spans="1:2" x14ac:dyDescent="0.45">
      <c r="A331" t="s">
        <v>1259</v>
      </c>
      <c r="B331" t="s">
        <v>267</v>
      </c>
    </row>
    <row r="332" spans="1:2" x14ac:dyDescent="0.45">
      <c r="A332" t="s">
        <v>1267</v>
      </c>
      <c r="B332" t="s">
        <v>128</v>
      </c>
    </row>
    <row r="333" spans="1:2" x14ac:dyDescent="0.45">
      <c r="A333" t="s">
        <v>1270</v>
      </c>
      <c r="B333" t="s">
        <v>128</v>
      </c>
    </row>
    <row r="334" spans="1:2" x14ac:dyDescent="0.45">
      <c r="A334" t="s">
        <v>1273</v>
      </c>
      <c r="B334" t="s">
        <v>267</v>
      </c>
    </row>
    <row r="335" spans="1:2" x14ac:dyDescent="0.45">
      <c r="A335" t="s">
        <v>1276</v>
      </c>
      <c r="B335" t="s">
        <v>128</v>
      </c>
    </row>
    <row r="336" spans="1:2" x14ac:dyDescent="0.45">
      <c r="A336" t="s">
        <v>1283</v>
      </c>
      <c r="B336" t="s">
        <v>267</v>
      </c>
    </row>
    <row r="337" spans="1:2" x14ac:dyDescent="0.45">
      <c r="A337" t="s">
        <v>1284</v>
      </c>
      <c r="B337" t="s">
        <v>128</v>
      </c>
    </row>
    <row r="338" spans="1:2" x14ac:dyDescent="0.45">
      <c r="A338" t="s">
        <v>1293</v>
      </c>
      <c r="B338" t="s">
        <v>128</v>
      </c>
    </row>
    <row r="339" spans="1:2" x14ac:dyDescent="0.45">
      <c r="A339" t="s">
        <v>1294</v>
      </c>
      <c r="B339" t="s">
        <v>267</v>
      </c>
    </row>
    <row r="340" spans="1:2" x14ac:dyDescent="0.45">
      <c r="A340" t="s">
        <v>1297</v>
      </c>
      <c r="B340" t="s">
        <v>267</v>
      </c>
    </row>
    <row r="341" spans="1:2" x14ac:dyDescent="0.45">
      <c r="A341" t="s">
        <v>1300</v>
      </c>
      <c r="B341" t="s">
        <v>267</v>
      </c>
    </row>
    <row r="342" spans="1:2" x14ac:dyDescent="0.45">
      <c r="A342" t="s">
        <v>1307</v>
      </c>
      <c r="B342" t="s">
        <v>267</v>
      </c>
    </row>
    <row r="343" spans="1:2" x14ac:dyDescent="0.45">
      <c r="A343" t="s">
        <v>1310</v>
      </c>
      <c r="B343" t="s">
        <v>128</v>
      </c>
    </row>
    <row r="344" spans="1:2" x14ac:dyDescent="0.45">
      <c r="A344" t="s">
        <v>1312</v>
      </c>
      <c r="B344" t="s">
        <v>267</v>
      </c>
    </row>
    <row r="345" spans="1:2" x14ac:dyDescent="0.45">
      <c r="A345" t="s">
        <v>1313</v>
      </c>
      <c r="B345" t="s">
        <v>267</v>
      </c>
    </row>
    <row r="346" spans="1:2" x14ac:dyDescent="0.45">
      <c r="A346" t="s">
        <v>1316</v>
      </c>
      <c r="B346" t="s">
        <v>128</v>
      </c>
    </row>
    <row r="347" spans="1:2" x14ac:dyDescent="0.45">
      <c r="A347" t="s">
        <v>1319</v>
      </c>
      <c r="B347" t="s">
        <v>128</v>
      </c>
    </row>
    <row r="348" spans="1:2" x14ac:dyDescent="0.45">
      <c r="A348" t="s">
        <v>1321</v>
      </c>
      <c r="B348" t="s">
        <v>128</v>
      </c>
    </row>
    <row r="349" spans="1:2" x14ac:dyDescent="0.45">
      <c r="A349" t="s">
        <v>1324</v>
      </c>
      <c r="B349" t="s">
        <v>267</v>
      </c>
    </row>
    <row r="350" spans="1:2" x14ac:dyDescent="0.45">
      <c r="A350" t="s">
        <v>1326</v>
      </c>
      <c r="B350" t="s">
        <v>128</v>
      </c>
    </row>
    <row r="351" spans="1:2" x14ac:dyDescent="0.45">
      <c r="A351" t="s">
        <v>1328</v>
      </c>
      <c r="B351" t="s">
        <v>128</v>
      </c>
    </row>
    <row r="352" spans="1:2" x14ac:dyDescent="0.45">
      <c r="A352" t="s">
        <v>1330</v>
      </c>
      <c r="B352" t="s">
        <v>128</v>
      </c>
    </row>
    <row r="353" spans="1:2" x14ac:dyDescent="0.45">
      <c r="A353" t="s">
        <v>1332</v>
      </c>
      <c r="B353" t="s">
        <v>267</v>
      </c>
    </row>
    <row r="354" spans="1:2" x14ac:dyDescent="0.45">
      <c r="A354" t="s">
        <v>1335</v>
      </c>
      <c r="B354" t="s">
        <v>267</v>
      </c>
    </row>
    <row r="355" spans="1:2" x14ac:dyDescent="0.45">
      <c r="A355" t="s">
        <v>1337</v>
      </c>
      <c r="B355" t="s">
        <v>267</v>
      </c>
    </row>
    <row r="356" spans="1:2" x14ac:dyDescent="0.45">
      <c r="A356" t="s">
        <v>1339</v>
      </c>
      <c r="B356" t="s">
        <v>267</v>
      </c>
    </row>
    <row r="357" spans="1:2" x14ac:dyDescent="0.45">
      <c r="A357" t="s">
        <v>1341</v>
      </c>
      <c r="B357" t="s">
        <v>267</v>
      </c>
    </row>
    <row r="358" spans="1:2" x14ac:dyDescent="0.45">
      <c r="A358" t="s">
        <v>1343</v>
      </c>
      <c r="B358" t="s">
        <v>267</v>
      </c>
    </row>
    <row r="359" spans="1:2" x14ac:dyDescent="0.45">
      <c r="A359" t="s">
        <v>1346</v>
      </c>
      <c r="B359" t="s">
        <v>267</v>
      </c>
    </row>
    <row r="360" spans="1:2" x14ac:dyDescent="0.45">
      <c r="A360" t="s">
        <v>1349</v>
      </c>
      <c r="B360" t="s">
        <v>267</v>
      </c>
    </row>
    <row r="361" spans="1:2" x14ac:dyDescent="0.45">
      <c r="A361" t="s">
        <v>1355</v>
      </c>
      <c r="B361" t="s">
        <v>267</v>
      </c>
    </row>
    <row r="362" spans="1:2" x14ac:dyDescent="0.45">
      <c r="A362" t="s">
        <v>1362</v>
      </c>
      <c r="B362" t="s">
        <v>267</v>
      </c>
    </row>
    <row r="363" spans="1:2" x14ac:dyDescent="0.45">
      <c r="A363" t="s">
        <v>1365</v>
      </c>
      <c r="B363" t="s">
        <v>267</v>
      </c>
    </row>
    <row r="364" spans="1:2" x14ac:dyDescent="0.45">
      <c r="A364" t="s">
        <v>1367</v>
      </c>
      <c r="B364" t="s">
        <v>267</v>
      </c>
    </row>
    <row r="365" spans="1:2" x14ac:dyDescent="0.45">
      <c r="A365" t="s">
        <v>1370</v>
      </c>
      <c r="B365" t="s">
        <v>128</v>
      </c>
    </row>
    <row r="366" spans="1:2" x14ac:dyDescent="0.45">
      <c r="A366" t="s">
        <v>1373</v>
      </c>
      <c r="B366" t="s">
        <v>89</v>
      </c>
    </row>
    <row r="367" spans="1:2" x14ac:dyDescent="0.45">
      <c r="A367" t="s">
        <v>1375</v>
      </c>
      <c r="B367" t="s">
        <v>89</v>
      </c>
    </row>
    <row r="368" spans="1:2" x14ac:dyDescent="0.45">
      <c r="A368" t="s">
        <v>1377</v>
      </c>
      <c r="B368" t="s">
        <v>128</v>
      </c>
    </row>
    <row r="369" spans="1:2" x14ac:dyDescent="0.45">
      <c r="A369" t="s">
        <v>1379</v>
      </c>
      <c r="B369" t="s">
        <v>267</v>
      </c>
    </row>
    <row r="370" spans="1:2" x14ac:dyDescent="0.45">
      <c r="A370" t="s">
        <v>1385</v>
      </c>
      <c r="B370" t="s">
        <v>89</v>
      </c>
    </row>
    <row r="371" spans="1:2" x14ac:dyDescent="0.45">
      <c r="A371" t="s">
        <v>1386</v>
      </c>
      <c r="B371" t="s">
        <v>89</v>
      </c>
    </row>
    <row r="372" spans="1:2" x14ac:dyDescent="0.45">
      <c r="A372" t="s">
        <v>1389</v>
      </c>
      <c r="B372" t="s">
        <v>89</v>
      </c>
    </row>
    <row r="373" spans="1:2" x14ac:dyDescent="0.45">
      <c r="A373" t="s">
        <v>1394</v>
      </c>
      <c r="B373" t="s">
        <v>89</v>
      </c>
    </row>
    <row r="374" spans="1:2" x14ac:dyDescent="0.45">
      <c r="A374" t="s">
        <v>1397</v>
      </c>
      <c r="B374" t="s">
        <v>89</v>
      </c>
    </row>
    <row r="375" spans="1:2" x14ac:dyDescent="0.45">
      <c r="A375" t="s">
        <v>1401</v>
      </c>
      <c r="B375" t="s">
        <v>89</v>
      </c>
    </row>
    <row r="376" spans="1:2" x14ac:dyDescent="0.45">
      <c r="A376" t="s">
        <v>1404</v>
      </c>
      <c r="B376" t="s">
        <v>89</v>
      </c>
    </row>
    <row r="377" spans="1:2" x14ac:dyDescent="0.45">
      <c r="A377" t="s">
        <v>1405</v>
      </c>
      <c r="B377" t="s">
        <v>128</v>
      </c>
    </row>
    <row r="378" spans="1:2" x14ac:dyDescent="0.45">
      <c r="A378" t="s">
        <v>1411</v>
      </c>
      <c r="B378" t="s">
        <v>89</v>
      </c>
    </row>
    <row r="379" spans="1:2" x14ac:dyDescent="0.45">
      <c r="A379" t="s">
        <v>1412</v>
      </c>
      <c r="B379" t="s">
        <v>128</v>
      </c>
    </row>
    <row r="380" spans="1:2" x14ac:dyDescent="0.45">
      <c r="A380" t="s">
        <v>1419</v>
      </c>
      <c r="B380" t="s">
        <v>128</v>
      </c>
    </row>
    <row r="381" spans="1:2" x14ac:dyDescent="0.45">
      <c r="A381" t="s">
        <v>1421</v>
      </c>
      <c r="B381" t="s">
        <v>128</v>
      </c>
    </row>
    <row r="382" spans="1:2" x14ac:dyDescent="0.45">
      <c r="A382" t="s">
        <v>1425</v>
      </c>
      <c r="B382" t="s">
        <v>128</v>
      </c>
    </row>
    <row r="383" spans="1:2" x14ac:dyDescent="0.45">
      <c r="A383" t="s">
        <v>1428</v>
      </c>
      <c r="B383" t="s">
        <v>128</v>
      </c>
    </row>
    <row r="384" spans="1:2" x14ac:dyDescent="0.45">
      <c r="A384" t="s">
        <v>1429</v>
      </c>
      <c r="B384" t="s">
        <v>128</v>
      </c>
    </row>
    <row r="385" spans="1:2" x14ac:dyDescent="0.45">
      <c r="A385" t="s">
        <v>1432</v>
      </c>
      <c r="B385" t="s">
        <v>89</v>
      </c>
    </row>
    <row r="386" spans="1:2" x14ac:dyDescent="0.45">
      <c r="A386" t="s">
        <v>1435</v>
      </c>
      <c r="B386" t="s">
        <v>128</v>
      </c>
    </row>
    <row r="387" spans="1:2" x14ac:dyDescent="0.45">
      <c r="A387" t="s">
        <v>1438</v>
      </c>
      <c r="B387" t="s">
        <v>89</v>
      </c>
    </row>
    <row r="388" spans="1:2" x14ac:dyDescent="0.45">
      <c r="A388" t="s">
        <v>1440</v>
      </c>
      <c r="B388" t="s">
        <v>128</v>
      </c>
    </row>
    <row r="389" spans="1:2" x14ac:dyDescent="0.45">
      <c r="A389" t="s">
        <v>1443</v>
      </c>
      <c r="B389" t="s">
        <v>128</v>
      </c>
    </row>
    <row r="390" spans="1:2" x14ac:dyDescent="0.45">
      <c r="A390" t="s">
        <v>1446</v>
      </c>
      <c r="B390" t="s">
        <v>128</v>
      </c>
    </row>
    <row r="391" spans="1:2" x14ac:dyDescent="0.45">
      <c r="A391" t="s">
        <v>1448</v>
      </c>
      <c r="B391" t="s">
        <v>267</v>
      </c>
    </row>
    <row r="392" spans="1:2" x14ac:dyDescent="0.45">
      <c r="A392" t="s">
        <v>1450</v>
      </c>
      <c r="B392" t="s">
        <v>89</v>
      </c>
    </row>
    <row r="393" spans="1:2" x14ac:dyDescent="0.45">
      <c r="A393" t="s">
        <v>1453</v>
      </c>
      <c r="B393" t="s">
        <v>267</v>
      </c>
    </row>
    <row r="394" spans="1:2" x14ac:dyDescent="0.45">
      <c r="A394" t="s">
        <v>1457</v>
      </c>
      <c r="B394" t="s">
        <v>128</v>
      </c>
    </row>
    <row r="395" spans="1:2" x14ac:dyDescent="0.45">
      <c r="A395" t="s">
        <v>1460</v>
      </c>
      <c r="B395" t="s">
        <v>128</v>
      </c>
    </row>
    <row r="396" spans="1:2" x14ac:dyDescent="0.45">
      <c r="A396" t="s">
        <v>1463</v>
      </c>
      <c r="B396" t="s">
        <v>267</v>
      </c>
    </row>
    <row r="397" spans="1:2" x14ac:dyDescent="0.45">
      <c r="A397" t="s">
        <v>1466</v>
      </c>
      <c r="B397" t="s">
        <v>128</v>
      </c>
    </row>
    <row r="398" spans="1:2" x14ac:dyDescent="0.45">
      <c r="A398" t="s">
        <v>1469</v>
      </c>
      <c r="B398" t="s">
        <v>267</v>
      </c>
    </row>
    <row r="399" spans="1:2" x14ac:dyDescent="0.45">
      <c r="A399" t="s">
        <v>1472</v>
      </c>
      <c r="B399" t="s">
        <v>267</v>
      </c>
    </row>
    <row r="400" spans="1:2" x14ac:dyDescent="0.45">
      <c r="A400" t="s">
        <v>1474</v>
      </c>
      <c r="B400" t="s">
        <v>128</v>
      </c>
    </row>
    <row r="401" spans="1:2" x14ac:dyDescent="0.45">
      <c r="A401" t="s">
        <v>1479</v>
      </c>
      <c r="B401" t="s">
        <v>128</v>
      </c>
    </row>
    <row r="402" spans="1:2" x14ac:dyDescent="0.45">
      <c r="A402" t="s">
        <v>1482</v>
      </c>
      <c r="B402" t="s">
        <v>267</v>
      </c>
    </row>
    <row r="403" spans="1:2" x14ac:dyDescent="0.45">
      <c r="A403" t="s">
        <v>1487</v>
      </c>
      <c r="B403" t="s">
        <v>267</v>
      </c>
    </row>
    <row r="404" spans="1:2" x14ac:dyDescent="0.45">
      <c r="A404" t="s">
        <v>1490</v>
      </c>
      <c r="B404" t="s">
        <v>267</v>
      </c>
    </row>
    <row r="405" spans="1:2" x14ac:dyDescent="0.45">
      <c r="A405" t="s">
        <v>1493</v>
      </c>
      <c r="B405" t="s">
        <v>267</v>
      </c>
    </row>
    <row r="406" spans="1:2" x14ac:dyDescent="0.45">
      <c r="A406" t="s">
        <v>1496</v>
      </c>
      <c r="B406" t="s">
        <v>267</v>
      </c>
    </row>
    <row r="407" spans="1:2" x14ac:dyDescent="0.45">
      <c r="A407" t="s">
        <v>1497</v>
      </c>
      <c r="B407" t="s">
        <v>267</v>
      </c>
    </row>
    <row r="408" spans="1:2" x14ac:dyDescent="0.45">
      <c r="A408" t="s">
        <v>1503</v>
      </c>
      <c r="B408" t="s">
        <v>128</v>
      </c>
    </row>
    <row r="409" spans="1:2" x14ac:dyDescent="0.45">
      <c r="A409" t="s">
        <v>1506</v>
      </c>
      <c r="B409" t="s">
        <v>267</v>
      </c>
    </row>
    <row r="410" spans="1:2" x14ac:dyDescent="0.45">
      <c r="A410" t="s">
        <v>1508</v>
      </c>
      <c r="B410" t="s">
        <v>267</v>
      </c>
    </row>
    <row r="411" spans="1:2" x14ac:dyDescent="0.45">
      <c r="A411" t="s">
        <v>1510</v>
      </c>
      <c r="B411" t="s">
        <v>267</v>
      </c>
    </row>
    <row r="412" spans="1:2" x14ac:dyDescent="0.45">
      <c r="A412" t="s">
        <v>1512</v>
      </c>
      <c r="B412" t="s">
        <v>128</v>
      </c>
    </row>
    <row r="413" spans="1:2" x14ac:dyDescent="0.45">
      <c r="A413" t="s">
        <v>1513</v>
      </c>
      <c r="B413" t="s">
        <v>128</v>
      </c>
    </row>
    <row r="414" spans="1:2" x14ac:dyDescent="0.45">
      <c r="A414" t="s">
        <v>1514</v>
      </c>
      <c r="B414" t="s">
        <v>128</v>
      </c>
    </row>
    <row r="415" spans="1:2" x14ac:dyDescent="0.45">
      <c r="A415" t="s">
        <v>1517</v>
      </c>
      <c r="B415" t="s">
        <v>89</v>
      </c>
    </row>
    <row r="416" spans="1:2" x14ac:dyDescent="0.45">
      <c r="A416" t="s">
        <v>1519</v>
      </c>
      <c r="B416" t="s">
        <v>128</v>
      </c>
    </row>
    <row r="417" spans="1:2" x14ac:dyDescent="0.45">
      <c r="A417" t="s">
        <v>1521</v>
      </c>
      <c r="B417" t="s">
        <v>267</v>
      </c>
    </row>
    <row r="418" spans="1:2" x14ac:dyDescent="0.45">
      <c r="A418" t="s">
        <v>1524</v>
      </c>
      <c r="B418" t="s">
        <v>128</v>
      </c>
    </row>
    <row r="419" spans="1:2" x14ac:dyDescent="0.45">
      <c r="A419" t="s">
        <v>1527</v>
      </c>
      <c r="B419" t="s">
        <v>128</v>
      </c>
    </row>
    <row r="420" spans="1:2" x14ac:dyDescent="0.45">
      <c r="A420" t="s">
        <v>1530</v>
      </c>
      <c r="B420" t="s">
        <v>267</v>
      </c>
    </row>
    <row r="421" spans="1:2" x14ac:dyDescent="0.45">
      <c r="A421" t="s">
        <v>1533</v>
      </c>
      <c r="B421" t="s">
        <v>267</v>
      </c>
    </row>
    <row r="422" spans="1:2" x14ac:dyDescent="0.45">
      <c r="A422" t="s">
        <v>1536</v>
      </c>
      <c r="B422" t="s">
        <v>267</v>
      </c>
    </row>
    <row r="423" spans="1:2" x14ac:dyDescent="0.45">
      <c r="A423" t="s">
        <v>1538</v>
      </c>
      <c r="B423" t="s">
        <v>267</v>
      </c>
    </row>
    <row r="424" spans="1:2" x14ac:dyDescent="0.45">
      <c r="A424" t="s">
        <v>1541</v>
      </c>
      <c r="B424" t="s">
        <v>267</v>
      </c>
    </row>
    <row r="425" spans="1:2" x14ac:dyDescent="0.45">
      <c r="A425" t="s">
        <v>1544</v>
      </c>
      <c r="B425" t="s">
        <v>267</v>
      </c>
    </row>
    <row r="426" spans="1:2" x14ac:dyDescent="0.45">
      <c r="A426" t="s">
        <v>1547</v>
      </c>
      <c r="B426" t="s">
        <v>128</v>
      </c>
    </row>
    <row r="427" spans="1:2" x14ac:dyDescent="0.45">
      <c r="A427" t="s">
        <v>1549</v>
      </c>
      <c r="B427" t="s">
        <v>267</v>
      </c>
    </row>
    <row r="428" spans="1:2" x14ac:dyDescent="0.45">
      <c r="A428" t="s">
        <v>1551</v>
      </c>
      <c r="B428" t="s">
        <v>267</v>
      </c>
    </row>
    <row r="429" spans="1:2" x14ac:dyDescent="0.45">
      <c r="A429" t="s">
        <v>1552</v>
      </c>
      <c r="B429" t="s">
        <v>128</v>
      </c>
    </row>
    <row r="430" spans="1:2" x14ac:dyDescent="0.45">
      <c r="A430" t="s">
        <v>1557</v>
      </c>
      <c r="B430" t="s">
        <v>128</v>
      </c>
    </row>
    <row r="431" spans="1:2" x14ac:dyDescent="0.45">
      <c r="A431" t="s">
        <v>1558</v>
      </c>
      <c r="B431" t="s">
        <v>128</v>
      </c>
    </row>
    <row r="432" spans="1:2" x14ac:dyDescent="0.45">
      <c r="A432" t="s">
        <v>1563</v>
      </c>
      <c r="B432" t="s">
        <v>267</v>
      </c>
    </row>
    <row r="433" spans="1:2" x14ac:dyDescent="0.45">
      <c r="A433" t="s">
        <v>1566</v>
      </c>
      <c r="B433" t="s">
        <v>128</v>
      </c>
    </row>
    <row r="434" spans="1:2" x14ac:dyDescent="0.45">
      <c r="A434" t="s">
        <v>1567</v>
      </c>
      <c r="B434" t="s">
        <v>128</v>
      </c>
    </row>
    <row r="435" spans="1:2" x14ac:dyDescent="0.45">
      <c r="A435" t="s">
        <v>1570</v>
      </c>
      <c r="B435" t="s">
        <v>128</v>
      </c>
    </row>
    <row r="436" spans="1:2" x14ac:dyDescent="0.45">
      <c r="A436" t="s">
        <v>1573</v>
      </c>
      <c r="B436" t="s">
        <v>267</v>
      </c>
    </row>
    <row r="437" spans="1:2" x14ac:dyDescent="0.45">
      <c r="A437" t="s">
        <v>1578</v>
      </c>
      <c r="B437" t="s">
        <v>267</v>
      </c>
    </row>
    <row r="438" spans="1:2" x14ac:dyDescent="0.45">
      <c r="A438" t="s">
        <v>1580</v>
      </c>
      <c r="B438" t="s">
        <v>128</v>
      </c>
    </row>
    <row r="439" spans="1:2" x14ac:dyDescent="0.45">
      <c r="A439" t="s">
        <v>1582</v>
      </c>
      <c r="B439" t="s">
        <v>267</v>
      </c>
    </row>
    <row r="440" spans="1:2" x14ac:dyDescent="0.45">
      <c r="A440" t="s">
        <v>1584</v>
      </c>
      <c r="B440" t="s">
        <v>128</v>
      </c>
    </row>
    <row r="441" spans="1:2" x14ac:dyDescent="0.45">
      <c r="A441" t="s">
        <v>1591</v>
      </c>
      <c r="B441" t="s">
        <v>267</v>
      </c>
    </row>
    <row r="442" spans="1:2" x14ac:dyDescent="0.45">
      <c r="A442" t="s">
        <v>1593</v>
      </c>
      <c r="B442" t="s">
        <v>267</v>
      </c>
    </row>
    <row r="443" spans="1:2" x14ac:dyDescent="0.45">
      <c r="A443" t="s">
        <v>1595</v>
      </c>
      <c r="B443" t="s">
        <v>267</v>
      </c>
    </row>
    <row r="444" spans="1:2" x14ac:dyDescent="0.45">
      <c r="A444" t="s">
        <v>1598</v>
      </c>
      <c r="B444" t="s">
        <v>128</v>
      </c>
    </row>
    <row r="445" spans="1:2" x14ac:dyDescent="0.45">
      <c r="A445" t="s">
        <v>1603</v>
      </c>
      <c r="B445" t="s">
        <v>128</v>
      </c>
    </row>
    <row r="446" spans="1:2" x14ac:dyDescent="0.45">
      <c r="A446" t="s">
        <v>1606</v>
      </c>
      <c r="B446" t="s">
        <v>128</v>
      </c>
    </row>
    <row r="447" spans="1:2" x14ac:dyDescent="0.45">
      <c r="A447" t="s">
        <v>1610</v>
      </c>
      <c r="B447" t="s">
        <v>128</v>
      </c>
    </row>
    <row r="448" spans="1:2" x14ac:dyDescent="0.45">
      <c r="A448" t="s">
        <v>1611</v>
      </c>
      <c r="B448" t="s">
        <v>128</v>
      </c>
    </row>
    <row r="449" spans="1:2" x14ac:dyDescent="0.45">
      <c r="A449" t="s">
        <v>1614</v>
      </c>
      <c r="B449" t="s">
        <v>128</v>
      </c>
    </row>
    <row r="450" spans="1:2" x14ac:dyDescent="0.45">
      <c r="A450" t="s">
        <v>1622</v>
      </c>
      <c r="B450" t="s">
        <v>128</v>
      </c>
    </row>
    <row r="451" spans="1:2" x14ac:dyDescent="0.45">
      <c r="A451" t="s">
        <v>1625</v>
      </c>
      <c r="B451" t="s">
        <v>128</v>
      </c>
    </row>
    <row r="452" spans="1:2" x14ac:dyDescent="0.45">
      <c r="A452" t="s">
        <v>1628</v>
      </c>
      <c r="B452" t="s">
        <v>128</v>
      </c>
    </row>
    <row r="453" spans="1:2" x14ac:dyDescent="0.45">
      <c r="A453" t="s">
        <v>1629</v>
      </c>
      <c r="B453" t="s">
        <v>128</v>
      </c>
    </row>
    <row r="454" spans="1:2" x14ac:dyDescent="0.45">
      <c r="A454" t="s">
        <v>1633</v>
      </c>
      <c r="B454" t="s">
        <v>128</v>
      </c>
    </row>
    <row r="455" spans="1:2" x14ac:dyDescent="0.45">
      <c r="A455" t="s">
        <v>1636</v>
      </c>
      <c r="B455" t="s">
        <v>267</v>
      </c>
    </row>
    <row r="456" spans="1:2" x14ac:dyDescent="0.45">
      <c r="A456" t="s">
        <v>1639</v>
      </c>
      <c r="B456" t="s">
        <v>267</v>
      </c>
    </row>
    <row r="457" spans="1:2" x14ac:dyDescent="0.45">
      <c r="A457" t="s">
        <v>1647</v>
      </c>
      <c r="B457" t="s">
        <v>128</v>
      </c>
    </row>
    <row r="458" spans="1:2" x14ac:dyDescent="0.45">
      <c r="A458" t="s">
        <v>1649</v>
      </c>
      <c r="B458" t="s">
        <v>267</v>
      </c>
    </row>
    <row r="459" spans="1:2" x14ac:dyDescent="0.45">
      <c r="A459" t="s">
        <v>1654</v>
      </c>
      <c r="B459" t="s">
        <v>267</v>
      </c>
    </row>
    <row r="460" spans="1:2" x14ac:dyDescent="0.45">
      <c r="A460" t="s">
        <v>1657</v>
      </c>
      <c r="B460" t="s">
        <v>267</v>
      </c>
    </row>
    <row r="461" spans="1:2" x14ac:dyDescent="0.45">
      <c r="A461" t="s">
        <v>1660</v>
      </c>
      <c r="B461" t="s">
        <v>267</v>
      </c>
    </row>
    <row r="462" spans="1:2" x14ac:dyDescent="0.45">
      <c r="A462" t="s">
        <v>1663</v>
      </c>
      <c r="B462" t="s">
        <v>267</v>
      </c>
    </row>
    <row r="463" spans="1:2" x14ac:dyDescent="0.45">
      <c r="A463" t="s">
        <v>1666</v>
      </c>
      <c r="B463" t="s">
        <v>267</v>
      </c>
    </row>
    <row r="464" spans="1:2" x14ac:dyDescent="0.45">
      <c r="A464" t="s">
        <v>1669</v>
      </c>
      <c r="B464" t="s">
        <v>267</v>
      </c>
    </row>
    <row r="465" spans="1:2" x14ac:dyDescent="0.45">
      <c r="A465" t="s">
        <v>1670</v>
      </c>
      <c r="B465" t="s">
        <v>267</v>
      </c>
    </row>
    <row r="466" spans="1:2" x14ac:dyDescent="0.45">
      <c r="A466" t="s">
        <v>1672</v>
      </c>
      <c r="B466" t="s">
        <v>128</v>
      </c>
    </row>
    <row r="467" spans="1:2" x14ac:dyDescent="0.45">
      <c r="A467" t="s">
        <v>1675</v>
      </c>
      <c r="B467" t="s">
        <v>267</v>
      </c>
    </row>
    <row r="468" spans="1:2" x14ac:dyDescent="0.45">
      <c r="A468" t="s">
        <v>1681</v>
      </c>
      <c r="B468" t="s">
        <v>267</v>
      </c>
    </row>
    <row r="469" spans="1:2" x14ac:dyDescent="0.45">
      <c r="A469" t="s">
        <v>1685</v>
      </c>
      <c r="B469" t="s">
        <v>267</v>
      </c>
    </row>
    <row r="470" spans="1:2" x14ac:dyDescent="0.45">
      <c r="A470" t="s">
        <v>1689</v>
      </c>
      <c r="B470" t="s">
        <v>267</v>
      </c>
    </row>
    <row r="471" spans="1:2" x14ac:dyDescent="0.45">
      <c r="A471" t="s">
        <v>1692</v>
      </c>
      <c r="B471" t="s">
        <v>267</v>
      </c>
    </row>
    <row r="472" spans="1:2" x14ac:dyDescent="0.45">
      <c r="A472" t="s">
        <v>1696</v>
      </c>
      <c r="B472" t="s">
        <v>267</v>
      </c>
    </row>
    <row r="473" spans="1:2" x14ac:dyDescent="0.45">
      <c r="A473" t="s">
        <v>1699</v>
      </c>
      <c r="B473" t="s">
        <v>89</v>
      </c>
    </row>
    <row r="474" spans="1:2" x14ac:dyDescent="0.45">
      <c r="A474" t="s">
        <v>1701</v>
      </c>
      <c r="B474" t="s">
        <v>267</v>
      </c>
    </row>
    <row r="475" spans="1:2" x14ac:dyDescent="0.45">
      <c r="A475" t="s">
        <v>1704</v>
      </c>
      <c r="B475" t="s">
        <v>89</v>
      </c>
    </row>
    <row r="476" spans="1:2" x14ac:dyDescent="0.45">
      <c r="A476" t="s">
        <v>1707</v>
      </c>
      <c r="B476" t="s">
        <v>89</v>
      </c>
    </row>
    <row r="477" spans="1:2" x14ac:dyDescent="0.45">
      <c r="A477" t="s">
        <v>1709</v>
      </c>
      <c r="B477" t="s">
        <v>89</v>
      </c>
    </row>
    <row r="478" spans="1:2" x14ac:dyDescent="0.45">
      <c r="A478" t="s">
        <v>1711</v>
      </c>
      <c r="B478" t="s">
        <v>94</v>
      </c>
    </row>
    <row r="479" spans="1:2" x14ac:dyDescent="0.45">
      <c r="A479" t="s">
        <v>1713</v>
      </c>
      <c r="B479" t="s">
        <v>94</v>
      </c>
    </row>
    <row r="480" spans="1:2" x14ac:dyDescent="0.45">
      <c r="A480" t="s">
        <v>1718</v>
      </c>
      <c r="B480" t="s">
        <v>267</v>
      </c>
    </row>
    <row r="481" spans="1:2" x14ac:dyDescent="0.45">
      <c r="A481" t="s">
        <v>1721</v>
      </c>
      <c r="B481" t="s">
        <v>89</v>
      </c>
    </row>
    <row r="482" spans="1:2" x14ac:dyDescent="0.45">
      <c r="A482" t="s">
        <v>1726</v>
      </c>
      <c r="B482" t="s">
        <v>89</v>
      </c>
    </row>
    <row r="483" spans="1:2" x14ac:dyDescent="0.45">
      <c r="A483" t="s">
        <v>1729</v>
      </c>
      <c r="B483" t="s">
        <v>94</v>
      </c>
    </row>
    <row r="484" spans="1:2" x14ac:dyDescent="0.45">
      <c r="A484" t="s">
        <v>1731</v>
      </c>
      <c r="B484" t="s">
        <v>89</v>
      </c>
    </row>
    <row r="485" spans="1:2" x14ac:dyDescent="0.45">
      <c r="A485" t="s">
        <v>1732</v>
      </c>
      <c r="B485" t="s">
        <v>89</v>
      </c>
    </row>
    <row r="486" spans="1:2" x14ac:dyDescent="0.45">
      <c r="A486" t="s">
        <v>1734</v>
      </c>
      <c r="B486" t="s">
        <v>94</v>
      </c>
    </row>
    <row r="487" spans="1:2" x14ac:dyDescent="0.45">
      <c r="A487" t="s">
        <v>1737</v>
      </c>
      <c r="B487" t="s">
        <v>94</v>
      </c>
    </row>
    <row r="488" spans="1:2" x14ac:dyDescent="0.45">
      <c r="A488" t="s">
        <v>1740</v>
      </c>
      <c r="B488" t="s">
        <v>89</v>
      </c>
    </row>
    <row r="489" spans="1:2" x14ac:dyDescent="0.45">
      <c r="A489" t="s">
        <v>1743</v>
      </c>
      <c r="B489" t="s">
        <v>89</v>
      </c>
    </row>
    <row r="490" spans="1:2" x14ac:dyDescent="0.45">
      <c r="A490" t="s">
        <v>1746</v>
      </c>
      <c r="B490" t="s">
        <v>89</v>
      </c>
    </row>
    <row r="491" spans="1:2" x14ac:dyDescent="0.45">
      <c r="A491" t="s">
        <v>1759</v>
      </c>
      <c r="B491" t="s">
        <v>94</v>
      </c>
    </row>
    <row r="492" spans="1:2" x14ac:dyDescent="0.45">
      <c r="A492" t="s">
        <v>1761</v>
      </c>
      <c r="B492" t="s">
        <v>94</v>
      </c>
    </row>
    <row r="493" spans="1:2" x14ac:dyDescent="0.45">
      <c r="A493" t="s">
        <v>1763</v>
      </c>
      <c r="B493" t="s">
        <v>94</v>
      </c>
    </row>
    <row r="494" spans="1:2" x14ac:dyDescent="0.45">
      <c r="A494" t="s">
        <v>1765</v>
      </c>
      <c r="B494" t="s">
        <v>267</v>
      </c>
    </row>
    <row r="495" spans="1:2" x14ac:dyDescent="0.45">
      <c r="A495" t="s">
        <v>1768</v>
      </c>
      <c r="B495" t="s">
        <v>89</v>
      </c>
    </row>
    <row r="496" spans="1:2" x14ac:dyDescent="0.45">
      <c r="A496" t="s">
        <v>1769</v>
      </c>
      <c r="B496" t="s">
        <v>267</v>
      </c>
    </row>
    <row r="497" spans="1:2" x14ac:dyDescent="0.45">
      <c r="A497" t="s">
        <v>1771</v>
      </c>
      <c r="B497" t="s">
        <v>128</v>
      </c>
    </row>
    <row r="498" spans="1:2" x14ac:dyDescent="0.45">
      <c r="A498" t="s">
        <v>1781</v>
      </c>
      <c r="B498" t="s">
        <v>267</v>
      </c>
    </row>
    <row r="499" spans="1:2" x14ac:dyDescent="0.45">
      <c r="A499" t="s">
        <v>1784</v>
      </c>
      <c r="B499" t="s">
        <v>267</v>
      </c>
    </row>
    <row r="500" spans="1:2" x14ac:dyDescent="0.45">
      <c r="A500" t="s">
        <v>1789</v>
      </c>
      <c r="B500" t="s">
        <v>128</v>
      </c>
    </row>
    <row r="501" spans="1:2" x14ac:dyDescent="0.45">
      <c r="A501" t="s">
        <v>1791</v>
      </c>
      <c r="B501" t="s">
        <v>267</v>
      </c>
    </row>
    <row r="502" spans="1:2" x14ac:dyDescent="0.45">
      <c r="A502" t="s">
        <v>1798</v>
      </c>
      <c r="B502" t="s">
        <v>128</v>
      </c>
    </row>
    <row r="503" spans="1:2" x14ac:dyDescent="0.45">
      <c r="A503" t="s">
        <v>1801</v>
      </c>
      <c r="B503" t="s">
        <v>128</v>
      </c>
    </row>
    <row r="504" spans="1:2" x14ac:dyDescent="0.45">
      <c r="A504" t="s">
        <v>1803</v>
      </c>
      <c r="B504" t="s">
        <v>89</v>
      </c>
    </row>
    <row r="505" spans="1:2" x14ac:dyDescent="0.45">
      <c r="A505" t="s">
        <v>1806</v>
      </c>
      <c r="B505" t="s">
        <v>128</v>
      </c>
    </row>
    <row r="506" spans="1:2" x14ac:dyDescent="0.45">
      <c r="A506" t="s">
        <v>1809</v>
      </c>
      <c r="B506" t="s">
        <v>267</v>
      </c>
    </row>
    <row r="507" spans="1:2" x14ac:dyDescent="0.45">
      <c r="A507" t="s">
        <v>1812</v>
      </c>
      <c r="B507" t="s">
        <v>108</v>
      </c>
    </row>
    <row r="508" spans="1:2" x14ac:dyDescent="0.45">
      <c r="A508" t="s">
        <v>1818</v>
      </c>
      <c r="B508" t="s">
        <v>128</v>
      </c>
    </row>
    <row r="509" spans="1:2" x14ac:dyDescent="0.45">
      <c r="A509" t="s">
        <v>1821</v>
      </c>
      <c r="B509" t="s">
        <v>128</v>
      </c>
    </row>
    <row r="510" spans="1:2" x14ac:dyDescent="0.45">
      <c r="A510" t="s">
        <v>1822</v>
      </c>
      <c r="B510" t="s">
        <v>267</v>
      </c>
    </row>
    <row r="511" spans="1:2" x14ac:dyDescent="0.45">
      <c r="A511" t="s">
        <v>1828</v>
      </c>
      <c r="B511" t="s">
        <v>89</v>
      </c>
    </row>
    <row r="512" spans="1:2" x14ac:dyDescent="0.45">
      <c r="A512" t="s">
        <v>1829</v>
      </c>
      <c r="B512" t="s">
        <v>267</v>
      </c>
    </row>
    <row r="513" spans="1:2" x14ac:dyDescent="0.45">
      <c r="A513" t="s">
        <v>1832</v>
      </c>
      <c r="B513" t="s">
        <v>132</v>
      </c>
    </row>
    <row r="514" spans="1:2" x14ac:dyDescent="0.45">
      <c r="A514" t="s">
        <v>1835</v>
      </c>
      <c r="B514" t="s">
        <v>267</v>
      </c>
    </row>
    <row r="515" spans="1:2" x14ac:dyDescent="0.45">
      <c r="A515" t="s">
        <v>1838</v>
      </c>
      <c r="B515" t="s">
        <v>128</v>
      </c>
    </row>
    <row r="516" spans="1:2" x14ac:dyDescent="0.45">
      <c r="A516" t="s">
        <v>1840</v>
      </c>
      <c r="B516" t="s">
        <v>132</v>
      </c>
    </row>
    <row r="517" spans="1:2" x14ac:dyDescent="0.45">
      <c r="A517" t="s">
        <v>1845</v>
      </c>
      <c r="B517" t="s">
        <v>267</v>
      </c>
    </row>
    <row r="518" spans="1:2" x14ac:dyDescent="0.45">
      <c r="A518" t="s">
        <v>1848</v>
      </c>
      <c r="B518" t="s">
        <v>267</v>
      </c>
    </row>
    <row r="519" spans="1:2" x14ac:dyDescent="0.45">
      <c r="A519" t="s">
        <v>1859</v>
      </c>
      <c r="B519" t="s">
        <v>267</v>
      </c>
    </row>
    <row r="520" spans="1:2" x14ac:dyDescent="0.45">
      <c r="A520" t="s">
        <v>1862</v>
      </c>
      <c r="B520" t="s">
        <v>132</v>
      </c>
    </row>
    <row r="521" spans="1:2" x14ac:dyDescent="0.45">
      <c r="A521" t="s">
        <v>1865</v>
      </c>
      <c r="B521" t="s">
        <v>267</v>
      </c>
    </row>
    <row r="522" spans="1:2" x14ac:dyDescent="0.45">
      <c r="A522" t="s">
        <v>1866</v>
      </c>
      <c r="B522" t="s">
        <v>128</v>
      </c>
    </row>
    <row r="523" spans="1:2" x14ac:dyDescent="0.45">
      <c r="A523" t="s">
        <v>1869</v>
      </c>
      <c r="B523" t="s">
        <v>128</v>
      </c>
    </row>
    <row r="524" spans="1:2" x14ac:dyDescent="0.45">
      <c r="A524" t="s">
        <v>1878</v>
      </c>
      <c r="B524" t="s">
        <v>267</v>
      </c>
    </row>
    <row r="525" spans="1:2" x14ac:dyDescent="0.45">
      <c r="A525" t="s">
        <v>1879</v>
      </c>
      <c r="B525" t="s">
        <v>267</v>
      </c>
    </row>
    <row r="526" spans="1:2" x14ac:dyDescent="0.45">
      <c r="A526" t="s">
        <v>1882</v>
      </c>
      <c r="B526" t="s">
        <v>267</v>
      </c>
    </row>
    <row r="527" spans="1:2" x14ac:dyDescent="0.45">
      <c r="A527" t="s">
        <v>1886</v>
      </c>
      <c r="B527" t="s">
        <v>128</v>
      </c>
    </row>
    <row r="528" spans="1:2" x14ac:dyDescent="0.45">
      <c r="A528" t="s">
        <v>1892</v>
      </c>
      <c r="B528" t="s">
        <v>267</v>
      </c>
    </row>
    <row r="529" spans="1:2" x14ac:dyDescent="0.45">
      <c r="A529" t="s">
        <v>1893</v>
      </c>
      <c r="B529" t="s">
        <v>267</v>
      </c>
    </row>
    <row r="530" spans="1:2" x14ac:dyDescent="0.45">
      <c r="A530" t="s">
        <v>1896</v>
      </c>
      <c r="B530" t="s">
        <v>128</v>
      </c>
    </row>
    <row r="531" spans="1:2" x14ac:dyDescent="0.45">
      <c r="A531" t="s">
        <v>1897</v>
      </c>
      <c r="B531" t="s">
        <v>267</v>
      </c>
    </row>
    <row r="532" spans="1:2" x14ac:dyDescent="0.45">
      <c r="A532" t="s">
        <v>1900</v>
      </c>
      <c r="B532" t="s">
        <v>267</v>
      </c>
    </row>
    <row r="533" spans="1:2" x14ac:dyDescent="0.45">
      <c r="A533" t="s">
        <v>1903</v>
      </c>
      <c r="B533" t="s">
        <v>267</v>
      </c>
    </row>
    <row r="534" spans="1:2" x14ac:dyDescent="0.45">
      <c r="A534" t="s">
        <v>1906</v>
      </c>
      <c r="B534" t="s">
        <v>128</v>
      </c>
    </row>
    <row r="535" spans="1:2" x14ac:dyDescent="0.45">
      <c r="A535" t="s">
        <v>1915</v>
      </c>
      <c r="B535" t="s">
        <v>128</v>
      </c>
    </row>
    <row r="536" spans="1:2" x14ac:dyDescent="0.45">
      <c r="A536" t="s">
        <v>1916</v>
      </c>
      <c r="B536" t="s">
        <v>267</v>
      </c>
    </row>
    <row r="537" spans="1:2" x14ac:dyDescent="0.45">
      <c r="A537" t="s">
        <v>1919</v>
      </c>
      <c r="B537" t="s">
        <v>267</v>
      </c>
    </row>
    <row r="538" spans="1:2" x14ac:dyDescent="0.45">
      <c r="A538" t="s">
        <v>1927</v>
      </c>
      <c r="B538" t="s">
        <v>267</v>
      </c>
    </row>
    <row r="539" spans="1:2" x14ac:dyDescent="0.45">
      <c r="A539" t="s">
        <v>1930</v>
      </c>
      <c r="B539" t="s">
        <v>128</v>
      </c>
    </row>
    <row r="540" spans="1:2" x14ac:dyDescent="0.45">
      <c r="A540" t="s">
        <v>1939</v>
      </c>
      <c r="B540" t="s">
        <v>128</v>
      </c>
    </row>
    <row r="541" spans="1:2" x14ac:dyDescent="0.45">
      <c r="A541" t="s">
        <v>1941</v>
      </c>
      <c r="B541" t="s">
        <v>128</v>
      </c>
    </row>
    <row r="542" spans="1:2" x14ac:dyDescent="0.45">
      <c r="A542" t="s">
        <v>1944</v>
      </c>
      <c r="B542" t="s">
        <v>128</v>
      </c>
    </row>
    <row r="543" spans="1:2" x14ac:dyDescent="0.45">
      <c r="A543" t="s">
        <v>1945</v>
      </c>
      <c r="B543" t="s">
        <v>267</v>
      </c>
    </row>
    <row r="544" spans="1:2" x14ac:dyDescent="0.45">
      <c r="A544" t="s">
        <v>1947</v>
      </c>
      <c r="B544" t="s">
        <v>128</v>
      </c>
    </row>
    <row r="545" spans="1:2" x14ac:dyDescent="0.45">
      <c r="A545" t="s">
        <v>1950</v>
      </c>
      <c r="B545" t="s">
        <v>267</v>
      </c>
    </row>
    <row r="546" spans="1:2" x14ac:dyDescent="0.45">
      <c r="A546" t="s">
        <v>1955</v>
      </c>
      <c r="B546" t="s">
        <v>128</v>
      </c>
    </row>
    <row r="547" spans="1:2" x14ac:dyDescent="0.45">
      <c r="A547" t="s">
        <v>1956</v>
      </c>
      <c r="B547" t="s">
        <v>128</v>
      </c>
    </row>
    <row r="548" spans="1:2" x14ac:dyDescent="0.45">
      <c r="A548" t="s">
        <v>1959</v>
      </c>
      <c r="B548" t="s">
        <v>267</v>
      </c>
    </row>
    <row r="549" spans="1:2" x14ac:dyDescent="0.45">
      <c r="A549" t="s">
        <v>1962</v>
      </c>
      <c r="B549" t="s">
        <v>128</v>
      </c>
    </row>
    <row r="550" spans="1:2" x14ac:dyDescent="0.45">
      <c r="A550" t="s">
        <v>1975</v>
      </c>
      <c r="B550" t="s">
        <v>128</v>
      </c>
    </row>
    <row r="551" spans="1:2" x14ac:dyDescent="0.45">
      <c r="A551" t="s">
        <v>1978</v>
      </c>
      <c r="B551" t="s">
        <v>128</v>
      </c>
    </row>
    <row r="552" spans="1:2" x14ac:dyDescent="0.45">
      <c r="A552" t="s">
        <v>1981</v>
      </c>
      <c r="B552" t="s">
        <v>128</v>
      </c>
    </row>
    <row r="553" spans="1:2" x14ac:dyDescent="0.45">
      <c r="A553" t="s">
        <v>1982</v>
      </c>
      <c r="B553" t="s">
        <v>267</v>
      </c>
    </row>
    <row r="554" spans="1:2" x14ac:dyDescent="0.45">
      <c r="A554" t="s">
        <v>1985</v>
      </c>
      <c r="B554" t="s">
        <v>267</v>
      </c>
    </row>
    <row r="555" spans="1:2" x14ac:dyDescent="0.45">
      <c r="A555" t="s">
        <v>1988</v>
      </c>
      <c r="B555" t="s">
        <v>267</v>
      </c>
    </row>
    <row r="556" spans="1:2" x14ac:dyDescent="0.45">
      <c r="A556" t="s">
        <v>1991</v>
      </c>
      <c r="B556" t="s">
        <v>267</v>
      </c>
    </row>
    <row r="557" spans="1:2" x14ac:dyDescent="0.45">
      <c r="A557" t="s">
        <v>1997</v>
      </c>
      <c r="B557" t="s">
        <v>267</v>
      </c>
    </row>
    <row r="558" spans="1:2" x14ac:dyDescent="0.45">
      <c r="A558" t="s">
        <v>2002</v>
      </c>
      <c r="B558" t="s">
        <v>267</v>
      </c>
    </row>
    <row r="559" spans="1:2" x14ac:dyDescent="0.45">
      <c r="A559" t="s">
        <v>2005</v>
      </c>
      <c r="B559" t="s">
        <v>267</v>
      </c>
    </row>
    <row r="560" spans="1:2" x14ac:dyDescent="0.45">
      <c r="A560" t="s">
        <v>2007</v>
      </c>
      <c r="B560" t="s">
        <v>267</v>
      </c>
    </row>
    <row r="561" spans="1:2" x14ac:dyDescent="0.45">
      <c r="A561" t="s">
        <v>2011</v>
      </c>
      <c r="B561" t="s">
        <v>267</v>
      </c>
    </row>
    <row r="562" spans="1:2" x14ac:dyDescent="0.45">
      <c r="A562" t="s">
        <v>2013</v>
      </c>
      <c r="B562" t="s">
        <v>267</v>
      </c>
    </row>
    <row r="563" spans="1:2" x14ac:dyDescent="0.45">
      <c r="A563" t="s">
        <v>2015</v>
      </c>
      <c r="B563" t="s">
        <v>267</v>
      </c>
    </row>
    <row r="564" spans="1:2" x14ac:dyDescent="0.45">
      <c r="A564" t="s">
        <v>2018</v>
      </c>
      <c r="B564" t="s">
        <v>267</v>
      </c>
    </row>
    <row r="565" spans="1:2" x14ac:dyDescent="0.45">
      <c r="A565" t="s">
        <v>2021</v>
      </c>
      <c r="B565" t="s">
        <v>128</v>
      </c>
    </row>
    <row r="566" spans="1:2" x14ac:dyDescent="0.45">
      <c r="A566" t="s">
        <v>2022</v>
      </c>
      <c r="B566" t="s">
        <v>267</v>
      </c>
    </row>
    <row r="567" spans="1:2" x14ac:dyDescent="0.45">
      <c r="A567" t="s">
        <v>2024</v>
      </c>
      <c r="B567" t="s">
        <v>267</v>
      </c>
    </row>
    <row r="568" spans="1:2" x14ac:dyDescent="0.45">
      <c r="A568" t="s">
        <v>2027</v>
      </c>
      <c r="B568" t="s">
        <v>128</v>
      </c>
    </row>
    <row r="569" spans="1:2" x14ac:dyDescent="0.45">
      <c r="A569" t="s">
        <v>2030</v>
      </c>
      <c r="B569" t="s">
        <v>267</v>
      </c>
    </row>
    <row r="570" spans="1:2" x14ac:dyDescent="0.45">
      <c r="A570" t="s">
        <v>2033</v>
      </c>
      <c r="B570" t="s">
        <v>267</v>
      </c>
    </row>
    <row r="571" spans="1:2" x14ac:dyDescent="0.45">
      <c r="A571" t="s">
        <v>2036</v>
      </c>
      <c r="B571" t="s">
        <v>267</v>
      </c>
    </row>
    <row r="572" spans="1:2" x14ac:dyDescent="0.45">
      <c r="A572" t="s">
        <v>2039</v>
      </c>
      <c r="B572" t="s">
        <v>267</v>
      </c>
    </row>
    <row r="573" spans="1:2" x14ac:dyDescent="0.45">
      <c r="A573" t="s">
        <v>2042</v>
      </c>
      <c r="B573" t="s">
        <v>267</v>
      </c>
    </row>
    <row r="574" spans="1:2" x14ac:dyDescent="0.45">
      <c r="A574" t="s">
        <v>2045</v>
      </c>
      <c r="B574" t="s">
        <v>128</v>
      </c>
    </row>
    <row r="575" spans="1:2" x14ac:dyDescent="0.45">
      <c r="A575" t="s">
        <v>2048</v>
      </c>
      <c r="B575" t="s">
        <v>128</v>
      </c>
    </row>
    <row r="576" spans="1:2" x14ac:dyDescent="0.45">
      <c r="A576" t="s">
        <v>2051</v>
      </c>
      <c r="B576" t="s">
        <v>267</v>
      </c>
    </row>
    <row r="577" spans="1:2" x14ac:dyDescent="0.45">
      <c r="A577" t="s">
        <v>2054</v>
      </c>
      <c r="B577" t="s">
        <v>128</v>
      </c>
    </row>
    <row r="578" spans="1:2" x14ac:dyDescent="0.45">
      <c r="A578" t="s">
        <v>2057</v>
      </c>
      <c r="B578" t="s">
        <v>267</v>
      </c>
    </row>
    <row r="579" spans="1:2" x14ac:dyDescent="0.45">
      <c r="A579" t="s">
        <v>2060</v>
      </c>
      <c r="B579" t="s">
        <v>128</v>
      </c>
    </row>
    <row r="580" spans="1:2" x14ac:dyDescent="0.45">
      <c r="A580" t="s">
        <v>2063</v>
      </c>
      <c r="B580" t="s">
        <v>128</v>
      </c>
    </row>
    <row r="581" spans="1:2" x14ac:dyDescent="0.45">
      <c r="A581" t="s">
        <v>2066</v>
      </c>
      <c r="B581" t="s">
        <v>267</v>
      </c>
    </row>
    <row r="582" spans="1:2" x14ac:dyDescent="0.45">
      <c r="A582" t="s">
        <v>2068</v>
      </c>
      <c r="B582" t="s">
        <v>267</v>
      </c>
    </row>
    <row r="583" spans="1:2" x14ac:dyDescent="0.45">
      <c r="A583" t="s">
        <v>2071</v>
      </c>
      <c r="B583" t="s">
        <v>128</v>
      </c>
    </row>
    <row r="584" spans="1:2" x14ac:dyDescent="0.45">
      <c r="A584" t="s">
        <v>2073</v>
      </c>
      <c r="B584" t="s">
        <v>128</v>
      </c>
    </row>
    <row r="585" spans="1:2" x14ac:dyDescent="0.45">
      <c r="A585" t="s">
        <v>2079</v>
      </c>
      <c r="B585" t="s">
        <v>267</v>
      </c>
    </row>
    <row r="586" spans="1:2" x14ac:dyDescent="0.45">
      <c r="A586" t="s">
        <v>2080</v>
      </c>
      <c r="B586" t="s">
        <v>94</v>
      </c>
    </row>
    <row r="587" spans="1:2" x14ac:dyDescent="0.45">
      <c r="A587" t="s">
        <v>2083</v>
      </c>
      <c r="B587" t="s">
        <v>267</v>
      </c>
    </row>
    <row r="588" spans="1:2" x14ac:dyDescent="0.45">
      <c r="A588" t="s">
        <v>2085</v>
      </c>
      <c r="B588" t="s">
        <v>267</v>
      </c>
    </row>
    <row r="589" spans="1:2" x14ac:dyDescent="0.45">
      <c r="A589" t="s">
        <v>2091</v>
      </c>
      <c r="B589" t="s">
        <v>128</v>
      </c>
    </row>
    <row r="590" spans="1:2" x14ac:dyDescent="0.45">
      <c r="A590" t="s">
        <v>2092</v>
      </c>
      <c r="B590" t="s">
        <v>267</v>
      </c>
    </row>
    <row r="591" spans="1:2" x14ac:dyDescent="0.45">
      <c r="A591" t="s">
        <v>2094</v>
      </c>
      <c r="B591" t="s">
        <v>128</v>
      </c>
    </row>
    <row r="592" spans="1:2" x14ac:dyDescent="0.45">
      <c r="A592" t="s">
        <v>2104</v>
      </c>
      <c r="B592" t="s">
        <v>94</v>
      </c>
    </row>
    <row r="593" spans="1:2" x14ac:dyDescent="0.45">
      <c r="A593" t="s">
        <v>2108</v>
      </c>
      <c r="B593" t="s">
        <v>89</v>
      </c>
    </row>
    <row r="594" spans="1:2" x14ac:dyDescent="0.45">
      <c r="A594" t="s">
        <v>2109</v>
      </c>
      <c r="B594" t="s">
        <v>89</v>
      </c>
    </row>
    <row r="595" spans="1:2" x14ac:dyDescent="0.45">
      <c r="A595" t="s">
        <v>2112</v>
      </c>
      <c r="B595" t="s">
        <v>94</v>
      </c>
    </row>
    <row r="596" spans="1:2" x14ac:dyDescent="0.45">
      <c r="A596" t="s">
        <v>2114</v>
      </c>
      <c r="B596" t="s">
        <v>89</v>
      </c>
    </row>
    <row r="597" spans="1:2" x14ac:dyDescent="0.45">
      <c r="A597" t="s">
        <v>2119</v>
      </c>
      <c r="B597" t="s">
        <v>94</v>
      </c>
    </row>
    <row r="598" spans="1:2" x14ac:dyDescent="0.45">
      <c r="A598" t="s">
        <v>2121</v>
      </c>
      <c r="B598" t="s">
        <v>89</v>
      </c>
    </row>
    <row r="599" spans="1:2" x14ac:dyDescent="0.45">
      <c r="A599" t="s">
        <v>2124</v>
      </c>
      <c r="B599" t="s">
        <v>89</v>
      </c>
    </row>
    <row r="600" spans="1:2" x14ac:dyDescent="0.45">
      <c r="A600" t="s">
        <v>2127</v>
      </c>
      <c r="B600" t="s">
        <v>89</v>
      </c>
    </row>
    <row r="601" spans="1:2" x14ac:dyDescent="0.45">
      <c r="A601" t="s">
        <v>2132</v>
      </c>
      <c r="B601" t="s">
        <v>108</v>
      </c>
    </row>
    <row r="602" spans="1:2" x14ac:dyDescent="0.45">
      <c r="A602" t="s">
        <v>2135</v>
      </c>
      <c r="B602" t="s">
        <v>94</v>
      </c>
    </row>
    <row r="603" spans="1:2" x14ac:dyDescent="0.45">
      <c r="A603" t="s">
        <v>2141</v>
      </c>
      <c r="B603" t="s">
        <v>89</v>
      </c>
    </row>
    <row r="604" spans="1:2" x14ac:dyDescent="0.45">
      <c r="A604" t="s">
        <v>2144</v>
      </c>
      <c r="B604" t="s">
        <v>89</v>
      </c>
    </row>
    <row r="605" spans="1:2" x14ac:dyDescent="0.45">
      <c r="A605" t="s">
        <v>2147</v>
      </c>
      <c r="B605" t="s">
        <v>94</v>
      </c>
    </row>
    <row r="606" spans="1:2" x14ac:dyDescent="0.45">
      <c r="A606" t="s">
        <v>2149</v>
      </c>
      <c r="B606" t="s">
        <v>108</v>
      </c>
    </row>
    <row r="607" spans="1:2" x14ac:dyDescent="0.45">
      <c r="A607" t="s">
        <v>2151</v>
      </c>
      <c r="B607" t="s">
        <v>128</v>
      </c>
    </row>
    <row r="608" spans="1:2" x14ac:dyDescent="0.45">
      <c r="A608" t="s">
        <v>2153</v>
      </c>
      <c r="B608" t="s">
        <v>94</v>
      </c>
    </row>
    <row r="609" spans="1:2" x14ac:dyDescent="0.45">
      <c r="A609" t="s">
        <v>2155</v>
      </c>
      <c r="B609" t="s">
        <v>108</v>
      </c>
    </row>
    <row r="610" spans="1:2" x14ac:dyDescent="0.45">
      <c r="A610" t="s">
        <v>2157</v>
      </c>
      <c r="B610" t="s">
        <v>128</v>
      </c>
    </row>
    <row r="611" spans="1:2" x14ac:dyDescent="0.45">
      <c r="A611" t="s">
        <v>2159</v>
      </c>
      <c r="B611" t="s">
        <v>128</v>
      </c>
    </row>
    <row r="612" spans="1:2" x14ac:dyDescent="0.45">
      <c r="A612" t="s">
        <v>2164</v>
      </c>
      <c r="B612" t="s">
        <v>94</v>
      </c>
    </row>
    <row r="613" spans="1:2" x14ac:dyDescent="0.45">
      <c r="A613" t="s">
        <v>2168</v>
      </c>
      <c r="B613" t="s">
        <v>94</v>
      </c>
    </row>
    <row r="614" spans="1:2" x14ac:dyDescent="0.45">
      <c r="A614" t="s">
        <v>2172</v>
      </c>
      <c r="B614" t="s">
        <v>128</v>
      </c>
    </row>
    <row r="615" spans="1:2" x14ac:dyDescent="0.45">
      <c r="A615" t="s">
        <v>2175</v>
      </c>
      <c r="B615" t="s">
        <v>267</v>
      </c>
    </row>
    <row r="616" spans="1:2" x14ac:dyDescent="0.45">
      <c r="A616" t="s">
        <v>2178</v>
      </c>
      <c r="B616" t="s">
        <v>108</v>
      </c>
    </row>
    <row r="617" spans="1:2" x14ac:dyDescent="0.45">
      <c r="A617" t="s">
        <v>2181</v>
      </c>
      <c r="B617" t="s">
        <v>89</v>
      </c>
    </row>
    <row r="618" spans="1:2" x14ac:dyDescent="0.45">
      <c r="A618" t="s">
        <v>2184</v>
      </c>
      <c r="B618" t="s">
        <v>128</v>
      </c>
    </row>
    <row r="619" spans="1:2" x14ac:dyDescent="0.45">
      <c r="A619" t="s">
        <v>2187</v>
      </c>
      <c r="B619" t="s">
        <v>267</v>
      </c>
    </row>
    <row r="620" spans="1:2" x14ac:dyDescent="0.45">
      <c r="A620" t="s">
        <v>2190</v>
      </c>
      <c r="B620" t="s">
        <v>267</v>
      </c>
    </row>
    <row r="621" spans="1:2" x14ac:dyDescent="0.45">
      <c r="A621" t="s">
        <v>2194</v>
      </c>
      <c r="B621" t="s">
        <v>267</v>
      </c>
    </row>
    <row r="622" spans="1:2" x14ac:dyDescent="0.45">
      <c r="A622" t="s">
        <v>2196</v>
      </c>
      <c r="B622" t="s">
        <v>128</v>
      </c>
    </row>
    <row r="623" spans="1:2" x14ac:dyDescent="0.45">
      <c r="A623" t="s">
        <v>2201</v>
      </c>
      <c r="B623" t="s">
        <v>108</v>
      </c>
    </row>
    <row r="624" spans="1:2" x14ac:dyDescent="0.45">
      <c r="A624" t="s">
        <v>2203</v>
      </c>
      <c r="B624" t="s">
        <v>267</v>
      </c>
    </row>
    <row r="625" spans="1:2" x14ac:dyDescent="0.45">
      <c r="A625" t="s">
        <v>2206</v>
      </c>
      <c r="B625" t="s">
        <v>128</v>
      </c>
    </row>
    <row r="626" spans="1:2" x14ac:dyDescent="0.45">
      <c r="A626" t="s">
        <v>2211</v>
      </c>
      <c r="B626" t="s">
        <v>267</v>
      </c>
    </row>
    <row r="627" spans="1:2" x14ac:dyDescent="0.45">
      <c r="A627" t="s">
        <v>2217</v>
      </c>
      <c r="B627" t="s">
        <v>267</v>
      </c>
    </row>
    <row r="628" spans="1:2" x14ac:dyDescent="0.45">
      <c r="A628" t="s">
        <v>2219</v>
      </c>
      <c r="B628" t="s">
        <v>128</v>
      </c>
    </row>
    <row r="629" spans="1:2" x14ac:dyDescent="0.45">
      <c r="A629" t="s">
        <v>2221</v>
      </c>
      <c r="B629" t="s">
        <v>267</v>
      </c>
    </row>
    <row r="630" spans="1:2" x14ac:dyDescent="0.45">
      <c r="A630" t="s">
        <v>2224</v>
      </c>
      <c r="B630" t="s">
        <v>267</v>
      </c>
    </row>
    <row r="631" spans="1:2" x14ac:dyDescent="0.45">
      <c r="A631" t="s">
        <v>2227</v>
      </c>
      <c r="B631" t="s">
        <v>108</v>
      </c>
    </row>
    <row r="632" spans="1:2" x14ac:dyDescent="0.45">
      <c r="A632" t="s">
        <v>2230</v>
      </c>
      <c r="B632" t="s">
        <v>94</v>
      </c>
    </row>
    <row r="633" spans="1:2" x14ac:dyDescent="0.45">
      <c r="A633" t="s">
        <v>2233</v>
      </c>
      <c r="B633" t="s">
        <v>128</v>
      </c>
    </row>
    <row r="634" spans="1:2" x14ac:dyDescent="0.45">
      <c r="A634" t="s">
        <v>2236</v>
      </c>
      <c r="B634" t="s">
        <v>128</v>
      </c>
    </row>
    <row r="635" spans="1:2" x14ac:dyDescent="0.45">
      <c r="A635" t="s">
        <v>2239</v>
      </c>
      <c r="B635" t="s">
        <v>89</v>
      </c>
    </row>
    <row r="636" spans="1:2" x14ac:dyDescent="0.45">
      <c r="A636" t="s">
        <v>2242</v>
      </c>
      <c r="B636" t="s">
        <v>128</v>
      </c>
    </row>
    <row r="637" spans="1:2" x14ac:dyDescent="0.45">
      <c r="A637" t="s">
        <v>2250</v>
      </c>
      <c r="B637" t="s">
        <v>128</v>
      </c>
    </row>
    <row r="638" spans="1:2" x14ac:dyDescent="0.45">
      <c r="A638" t="s">
        <v>2251</v>
      </c>
      <c r="B638" t="s">
        <v>128</v>
      </c>
    </row>
    <row r="639" spans="1:2" x14ac:dyDescent="0.45">
      <c r="A639" t="s">
        <v>2254</v>
      </c>
      <c r="B639" t="s">
        <v>132</v>
      </c>
    </row>
    <row r="640" spans="1:2" x14ac:dyDescent="0.45">
      <c r="A640" t="s">
        <v>2255</v>
      </c>
      <c r="B640" t="s">
        <v>128</v>
      </c>
    </row>
    <row r="641" spans="1:2" x14ac:dyDescent="0.45">
      <c r="A641" t="s">
        <v>2258</v>
      </c>
      <c r="B641" t="s">
        <v>132</v>
      </c>
    </row>
    <row r="642" spans="1:2" x14ac:dyDescent="0.45">
      <c r="A642" t="s">
        <v>2261</v>
      </c>
      <c r="B642" t="s">
        <v>128</v>
      </c>
    </row>
    <row r="643" spans="1:2" x14ac:dyDescent="0.45">
      <c r="A643" t="s">
        <v>2264</v>
      </c>
      <c r="B643" t="s">
        <v>128</v>
      </c>
    </row>
    <row r="644" spans="1:2" x14ac:dyDescent="0.45">
      <c r="A644" t="s">
        <v>2267</v>
      </c>
      <c r="B644" t="s">
        <v>267</v>
      </c>
    </row>
    <row r="645" spans="1:2" x14ac:dyDescent="0.45">
      <c r="A645" t="s">
        <v>2268</v>
      </c>
      <c r="B645" t="s">
        <v>132</v>
      </c>
    </row>
    <row r="646" spans="1:2" x14ac:dyDescent="0.45">
      <c r="A646" t="s">
        <v>2271</v>
      </c>
      <c r="B646" t="s">
        <v>128</v>
      </c>
    </row>
    <row r="647" spans="1:2" x14ac:dyDescent="0.45">
      <c r="A647" t="s">
        <v>2273</v>
      </c>
      <c r="B647" t="s">
        <v>267</v>
      </c>
    </row>
    <row r="648" spans="1:2" x14ac:dyDescent="0.45">
      <c r="A648" t="s">
        <v>2276</v>
      </c>
      <c r="B648" t="s">
        <v>128</v>
      </c>
    </row>
    <row r="649" spans="1:2" x14ac:dyDescent="0.45">
      <c r="A649" t="s">
        <v>2285</v>
      </c>
      <c r="B649" t="s">
        <v>94</v>
      </c>
    </row>
    <row r="650" spans="1:2" x14ac:dyDescent="0.45">
      <c r="A650" t="s">
        <v>2286</v>
      </c>
      <c r="B650" t="s">
        <v>128</v>
      </c>
    </row>
    <row r="651" spans="1:2" x14ac:dyDescent="0.45">
      <c r="A651" t="s">
        <v>2289</v>
      </c>
      <c r="B651" t="s">
        <v>132</v>
      </c>
    </row>
    <row r="652" spans="1:2" x14ac:dyDescent="0.45">
      <c r="A652" t="s">
        <v>2291</v>
      </c>
      <c r="B652" t="s">
        <v>132</v>
      </c>
    </row>
    <row r="653" spans="1:2" x14ac:dyDescent="0.45">
      <c r="A653" t="s">
        <v>2294</v>
      </c>
      <c r="B653" t="s">
        <v>132</v>
      </c>
    </row>
    <row r="654" spans="1:2" x14ac:dyDescent="0.45">
      <c r="A654" t="s">
        <v>2299</v>
      </c>
      <c r="B654" t="s">
        <v>128</v>
      </c>
    </row>
    <row r="655" spans="1:2" x14ac:dyDescent="0.45">
      <c r="A655" t="s">
        <v>2303</v>
      </c>
      <c r="B655" t="s">
        <v>128</v>
      </c>
    </row>
    <row r="656" spans="1:2" x14ac:dyDescent="0.45">
      <c r="A656" t="s">
        <v>2305</v>
      </c>
      <c r="B656" t="s">
        <v>132</v>
      </c>
    </row>
    <row r="657" spans="1:2" x14ac:dyDescent="0.45">
      <c r="A657" t="s">
        <v>2307</v>
      </c>
      <c r="B657" t="s">
        <v>132</v>
      </c>
    </row>
    <row r="658" spans="1:2" x14ac:dyDescent="0.45">
      <c r="A658" t="s">
        <v>2309</v>
      </c>
      <c r="B658" t="s">
        <v>128</v>
      </c>
    </row>
    <row r="659" spans="1:2" x14ac:dyDescent="0.45">
      <c r="A659" t="s">
        <v>2311</v>
      </c>
      <c r="B659" t="s">
        <v>132</v>
      </c>
    </row>
    <row r="660" spans="1:2" x14ac:dyDescent="0.45">
      <c r="A660" t="s">
        <v>2314</v>
      </c>
      <c r="B660" t="s">
        <v>128</v>
      </c>
    </row>
    <row r="661" spans="1:2" x14ac:dyDescent="0.45">
      <c r="A661" t="s">
        <v>2317</v>
      </c>
      <c r="B661" t="s">
        <v>132</v>
      </c>
    </row>
    <row r="662" spans="1:2" x14ac:dyDescent="0.45">
      <c r="A662" t="s">
        <v>2322</v>
      </c>
      <c r="B662" t="s">
        <v>132</v>
      </c>
    </row>
    <row r="663" spans="1:2" x14ac:dyDescent="0.45">
      <c r="A663" t="s">
        <v>2325</v>
      </c>
      <c r="B663" t="s">
        <v>128</v>
      </c>
    </row>
    <row r="664" spans="1:2" x14ac:dyDescent="0.45">
      <c r="A664" t="s">
        <v>2327</v>
      </c>
      <c r="B664" t="s">
        <v>128</v>
      </c>
    </row>
    <row r="665" spans="1:2" x14ac:dyDescent="0.45">
      <c r="A665" t="s">
        <v>2329</v>
      </c>
      <c r="B665" t="s">
        <v>132</v>
      </c>
    </row>
    <row r="666" spans="1:2" x14ac:dyDescent="0.45">
      <c r="A666" t="s">
        <v>2331</v>
      </c>
      <c r="B666" t="s">
        <v>128</v>
      </c>
    </row>
    <row r="667" spans="1:2" x14ac:dyDescent="0.45">
      <c r="A667" t="s">
        <v>2332</v>
      </c>
      <c r="B667" t="s">
        <v>132</v>
      </c>
    </row>
    <row r="668" spans="1:2" x14ac:dyDescent="0.45">
      <c r="A668" t="s">
        <v>2333</v>
      </c>
      <c r="B668" t="s">
        <v>132</v>
      </c>
    </row>
    <row r="669" spans="1:2" x14ac:dyDescent="0.45">
      <c r="A669" t="s">
        <v>2336</v>
      </c>
      <c r="B669" t="s">
        <v>132</v>
      </c>
    </row>
    <row r="670" spans="1:2" x14ac:dyDescent="0.45">
      <c r="A670" t="s">
        <v>2339</v>
      </c>
      <c r="B670" t="s">
        <v>128</v>
      </c>
    </row>
    <row r="671" spans="1:2" x14ac:dyDescent="0.45">
      <c r="A671" t="s">
        <v>2342</v>
      </c>
      <c r="B671" t="s">
        <v>132</v>
      </c>
    </row>
    <row r="672" spans="1:2" x14ac:dyDescent="0.45">
      <c r="A672" t="s">
        <v>2345</v>
      </c>
      <c r="B672" t="s">
        <v>132</v>
      </c>
    </row>
    <row r="673" spans="1:2" x14ac:dyDescent="0.45">
      <c r="A673" t="s">
        <v>2348</v>
      </c>
      <c r="B673" t="s">
        <v>267</v>
      </c>
    </row>
    <row r="674" spans="1:2" x14ac:dyDescent="0.45">
      <c r="A674" t="s">
        <v>2351</v>
      </c>
      <c r="B674" t="s">
        <v>128</v>
      </c>
    </row>
    <row r="675" spans="1:2" x14ac:dyDescent="0.45">
      <c r="A675" t="s">
        <v>2354</v>
      </c>
      <c r="B675" t="s">
        <v>267</v>
      </c>
    </row>
    <row r="676" spans="1:2" x14ac:dyDescent="0.45">
      <c r="A676" t="s">
        <v>2355</v>
      </c>
      <c r="B676" t="s">
        <v>128</v>
      </c>
    </row>
    <row r="677" spans="1:2" x14ac:dyDescent="0.45">
      <c r="A677" t="s">
        <v>2358</v>
      </c>
      <c r="B677" t="s">
        <v>128</v>
      </c>
    </row>
    <row r="678" spans="1:2" x14ac:dyDescent="0.45">
      <c r="A678" t="s">
        <v>2361</v>
      </c>
      <c r="B678" t="s">
        <v>128</v>
      </c>
    </row>
    <row r="679" spans="1:2" x14ac:dyDescent="0.45">
      <c r="A679" t="s">
        <v>2364</v>
      </c>
      <c r="B679" t="s">
        <v>132</v>
      </c>
    </row>
    <row r="680" spans="1:2" x14ac:dyDescent="0.45">
      <c r="A680" t="s">
        <v>2366</v>
      </c>
      <c r="B680" t="s">
        <v>128</v>
      </c>
    </row>
    <row r="681" spans="1:2" x14ac:dyDescent="0.45">
      <c r="A681" t="s">
        <v>2369</v>
      </c>
      <c r="B681" t="s">
        <v>132</v>
      </c>
    </row>
    <row r="682" spans="1:2" x14ac:dyDescent="0.45">
      <c r="A682" t="s">
        <v>2371</v>
      </c>
      <c r="B682" t="s">
        <v>132</v>
      </c>
    </row>
    <row r="683" spans="1:2" x14ac:dyDescent="0.45">
      <c r="A683" t="s">
        <v>2372</v>
      </c>
      <c r="B683" t="s">
        <v>267</v>
      </c>
    </row>
    <row r="684" spans="1:2" x14ac:dyDescent="0.45">
      <c r="A684" t="s">
        <v>2374</v>
      </c>
      <c r="B684" t="s">
        <v>132</v>
      </c>
    </row>
    <row r="685" spans="1:2" x14ac:dyDescent="0.45">
      <c r="A685" t="s">
        <v>2381</v>
      </c>
      <c r="B685" t="s">
        <v>132</v>
      </c>
    </row>
    <row r="686" spans="1:2" x14ac:dyDescent="0.45">
      <c r="A686" t="s">
        <v>2384</v>
      </c>
      <c r="B686" t="s">
        <v>132</v>
      </c>
    </row>
    <row r="687" spans="1:2" x14ac:dyDescent="0.45">
      <c r="A687" t="s">
        <v>2385</v>
      </c>
      <c r="B687" t="s">
        <v>128</v>
      </c>
    </row>
    <row r="688" spans="1:2" x14ac:dyDescent="0.45">
      <c r="A688" t="s">
        <v>2388</v>
      </c>
      <c r="B688" t="s">
        <v>128</v>
      </c>
    </row>
    <row r="689" spans="1:2" x14ac:dyDescent="0.45">
      <c r="A689" t="s">
        <v>2390</v>
      </c>
      <c r="B689" t="s">
        <v>128</v>
      </c>
    </row>
    <row r="690" spans="1:2" x14ac:dyDescent="0.45">
      <c r="A690" t="s">
        <v>2393</v>
      </c>
      <c r="B690" t="s">
        <v>128</v>
      </c>
    </row>
    <row r="691" spans="1:2" x14ac:dyDescent="0.45">
      <c r="A691" t="s">
        <v>2396</v>
      </c>
      <c r="B691" t="s">
        <v>128</v>
      </c>
    </row>
    <row r="692" spans="1:2" x14ac:dyDescent="0.45">
      <c r="A692" t="s">
        <v>2401</v>
      </c>
      <c r="B692" t="s">
        <v>128</v>
      </c>
    </row>
    <row r="693" spans="1:2" x14ac:dyDescent="0.45">
      <c r="A693" t="s">
        <v>2404</v>
      </c>
      <c r="B693" t="s">
        <v>128</v>
      </c>
    </row>
    <row r="694" spans="1:2" x14ac:dyDescent="0.45">
      <c r="A694" t="s">
        <v>2406</v>
      </c>
      <c r="B694" t="s">
        <v>132</v>
      </c>
    </row>
    <row r="695" spans="1:2" x14ac:dyDescent="0.45">
      <c r="A695" t="s">
        <v>2408</v>
      </c>
      <c r="B695" t="s">
        <v>132</v>
      </c>
    </row>
    <row r="696" spans="1:2" x14ac:dyDescent="0.45">
      <c r="A696" t="s">
        <v>2409</v>
      </c>
      <c r="B696" t="s">
        <v>132</v>
      </c>
    </row>
    <row r="697" spans="1:2" x14ac:dyDescent="0.45">
      <c r="A697" t="s">
        <v>2411</v>
      </c>
      <c r="B697" t="s">
        <v>132</v>
      </c>
    </row>
    <row r="698" spans="1:2" x14ac:dyDescent="0.45">
      <c r="A698" t="s">
        <v>2418</v>
      </c>
      <c r="B698" t="s">
        <v>132</v>
      </c>
    </row>
    <row r="699" spans="1:2" x14ac:dyDescent="0.45">
      <c r="A699" t="s">
        <v>2421</v>
      </c>
      <c r="B699" t="s">
        <v>132</v>
      </c>
    </row>
    <row r="700" spans="1:2" x14ac:dyDescent="0.45">
      <c r="A700" t="s">
        <v>2432</v>
      </c>
      <c r="B700" t="s">
        <v>128</v>
      </c>
    </row>
    <row r="701" spans="1:2" x14ac:dyDescent="0.45">
      <c r="A701" t="s">
        <v>2435</v>
      </c>
      <c r="B701" t="s">
        <v>128</v>
      </c>
    </row>
    <row r="702" spans="1:2" x14ac:dyDescent="0.45">
      <c r="A702" t="s">
        <v>2438</v>
      </c>
      <c r="B702" t="s">
        <v>132</v>
      </c>
    </row>
    <row r="703" spans="1:2" x14ac:dyDescent="0.45">
      <c r="A703" t="s">
        <v>2444</v>
      </c>
      <c r="B703" t="s">
        <v>132</v>
      </c>
    </row>
    <row r="704" spans="1:2" x14ac:dyDescent="0.45">
      <c r="A704" t="s">
        <v>2446</v>
      </c>
      <c r="B704" t="s">
        <v>267</v>
      </c>
    </row>
    <row r="705" spans="1:2" x14ac:dyDescent="0.45">
      <c r="A705" t="s">
        <v>2449</v>
      </c>
      <c r="B705" t="s">
        <v>132</v>
      </c>
    </row>
    <row r="706" spans="1:2" x14ac:dyDescent="0.45">
      <c r="A706" t="s">
        <v>2451</v>
      </c>
      <c r="B706" t="s">
        <v>132</v>
      </c>
    </row>
    <row r="707" spans="1:2" x14ac:dyDescent="0.45">
      <c r="A707" t="s">
        <v>2453</v>
      </c>
      <c r="B707" t="s">
        <v>132</v>
      </c>
    </row>
    <row r="708" spans="1:2" x14ac:dyDescent="0.45">
      <c r="A708" t="s">
        <v>2458</v>
      </c>
      <c r="B708" t="s">
        <v>132</v>
      </c>
    </row>
    <row r="709" spans="1:2" x14ac:dyDescent="0.45">
      <c r="A709" t="s">
        <v>2461</v>
      </c>
      <c r="B709" t="s">
        <v>128</v>
      </c>
    </row>
    <row r="710" spans="1:2" x14ac:dyDescent="0.45">
      <c r="A710" t="s">
        <v>2463</v>
      </c>
      <c r="B710" t="s">
        <v>132</v>
      </c>
    </row>
    <row r="711" spans="1:2" x14ac:dyDescent="0.45">
      <c r="A711" t="s">
        <v>2465</v>
      </c>
      <c r="B711" t="s">
        <v>128</v>
      </c>
    </row>
    <row r="712" spans="1:2" x14ac:dyDescent="0.45">
      <c r="A712" t="s">
        <v>2467</v>
      </c>
      <c r="B712" t="s">
        <v>132</v>
      </c>
    </row>
    <row r="713" spans="1:2" x14ac:dyDescent="0.45">
      <c r="A713" t="s">
        <v>2469</v>
      </c>
      <c r="B713" t="s">
        <v>132</v>
      </c>
    </row>
    <row r="714" spans="1:2" x14ac:dyDescent="0.45">
      <c r="A714" t="s">
        <v>2479</v>
      </c>
      <c r="B714" t="s">
        <v>128</v>
      </c>
    </row>
    <row r="715" spans="1:2" x14ac:dyDescent="0.45">
      <c r="A715" t="s">
        <v>2481</v>
      </c>
      <c r="B715" t="s">
        <v>132</v>
      </c>
    </row>
    <row r="716" spans="1:2" x14ac:dyDescent="0.45">
      <c r="A716" t="s">
        <v>2484</v>
      </c>
      <c r="B716" t="s">
        <v>132</v>
      </c>
    </row>
    <row r="717" spans="1:2" x14ac:dyDescent="0.45">
      <c r="A717" t="s">
        <v>2485</v>
      </c>
      <c r="B717" t="s">
        <v>132</v>
      </c>
    </row>
    <row r="718" spans="1:2" x14ac:dyDescent="0.45">
      <c r="A718" t="s">
        <v>2486</v>
      </c>
      <c r="B718" t="s">
        <v>128</v>
      </c>
    </row>
    <row r="719" spans="1:2" x14ac:dyDescent="0.45">
      <c r="A719" t="s">
        <v>2487</v>
      </c>
      <c r="B719" t="s">
        <v>128</v>
      </c>
    </row>
    <row r="720" spans="1:2" x14ac:dyDescent="0.45">
      <c r="A720" t="s">
        <v>2490</v>
      </c>
      <c r="B720" t="s">
        <v>132</v>
      </c>
    </row>
    <row r="721" spans="1:2" x14ac:dyDescent="0.45">
      <c r="A721" t="s">
        <v>2491</v>
      </c>
      <c r="B721" t="s">
        <v>132</v>
      </c>
    </row>
    <row r="722" spans="1:2" x14ac:dyDescent="0.45">
      <c r="A722" t="s">
        <v>2493</v>
      </c>
      <c r="B722" t="s">
        <v>132</v>
      </c>
    </row>
    <row r="723" spans="1:2" x14ac:dyDescent="0.45">
      <c r="A723" t="s">
        <v>2496</v>
      </c>
      <c r="B723" t="s">
        <v>132</v>
      </c>
    </row>
    <row r="724" spans="1:2" x14ac:dyDescent="0.45">
      <c r="A724" t="s">
        <v>2499</v>
      </c>
      <c r="B724" t="s">
        <v>132</v>
      </c>
    </row>
    <row r="725" spans="1:2" x14ac:dyDescent="0.45">
      <c r="A725" t="s">
        <v>2501</v>
      </c>
      <c r="B725" t="s">
        <v>132</v>
      </c>
    </row>
    <row r="726" spans="1:2" x14ac:dyDescent="0.45">
      <c r="A726" t="s">
        <v>2504</v>
      </c>
      <c r="B726" t="s">
        <v>132</v>
      </c>
    </row>
    <row r="727" spans="1:2" x14ac:dyDescent="0.45">
      <c r="A727" t="s">
        <v>2506</v>
      </c>
      <c r="B727" t="s">
        <v>132</v>
      </c>
    </row>
    <row r="728" spans="1:2" x14ac:dyDescent="0.45">
      <c r="A728" t="s">
        <v>2509</v>
      </c>
      <c r="B728" t="s">
        <v>132</v>
      </c>
    </row>
    <row r="729" spans="1:2" x14ac:dyDescent="0.45">
      <c r="A729" t="s">
        <v>2511</v>
      </c>
      <c r="B729" t="s">
        <v>132</v>
      </c>
    </row>
    <row r="730" spans="1:2" x14ac:dyDescent="0.45">
      <c r="A730" t="s">
        <v>2513</v>
      </c>
      <c r="B730" t="s">
        <v>132</v>
      </c>
    </row>
    <row r="731" spans="1:2" x14ac:dyDescent="0.45">
      <c r="A731" t="s">
        <v>2515</v>
      </c>
      <c r="B731" t="s">
        <v>132</v>
      </c>
    </row>
    <row r="732" spans="1:2" x14ac:dyDescent="0.45">
      <c r="A732" t="s">
        <v>2517</v>
      </c>
      <c r="B732" t="s">
        <v>132</v>
      </c>
    </row>
    <row r="733" spans="1:2" x14ac:dyDescent="0.45">
      <c r="A733" t="s">
        <v>2519</v>
      </c>
      <c r="B733" t="s">
        <v>89</v>
      </c>
    </row>
    <row r="734" spans="1:2" x14ac:dyDescent="0.45">
      <c r="A734" t="s">
        <v>2534</v>
      </c>
      <c r="B734" t="s">
        <v>267</v>
      </c>
    </row>
    <row r="735" spans="1:2" x14ac:dyDescent="0.45">
      <c r="A735" t="s">
        <v>2537</v>
      </c>
      <c r="B735" t="s">
        <v>89</v>
      </c>
    </row>
    <row r="736" spans="1:2" x14ac:dyDescent="0.45">
      <c r="A736" t="s">
        <v>2538</v>
      </c>
      <c r="B736" t="s">
        <v>94</v>
      </c>
    </row>
    <row r="737" spans="1:2" x14ac:dyDescent="0.45">
      <c r="A737" t="s">
        <v>2542</v>
      </c>
      <c r="B737" t="s">
        <v>94</v>
      </c>
    </row>
    <row r="738" spans="1:2" x14ac:dyDescent="0.45">
      <c r="A738" t="s">
        <v>2545</v>
      </c>
      <c r="B738" t="s">
        <v>94</v>
      </c>
    </row>
    <row r="739" spans="1:2" x14ac:dyDescent="0.45">
      <c r="A739" t="s">
        <v>2548</v>
      </c>
      <c r="B739" t="s">
        <v>89</v>
      </c>
    </row>
    <row r="740" spans="1:2" x14ac:dyDescent="0.45">
      <c r="A740" t="s">
        <v>2551</v>
      </c>
      <c r="B740" t="s">
        <v>89</v>
      </c>
    </row>
    <row r="741" spans="1:2" x14ac:dyDescent="0.45">
      <c r="A741" t="s">
        <v>2556</v>
      </c>
      <c r="B741" t="s">
        <v>89</v>
      </c>
    </row>
    <row r="742" spans="1:2" x14ac:dyDescent="0.45">
      <c r="A742" t="s">
        <v>2559</v>
      </c>
      <c r="B742" t="s">
        <v>94</v>
      </c>
    </row>
    <row r="743" spans="1:2" x14ac:dyDescent="0.45">
      <c r="A743" t="s">
        <v>2561</v>
      </c>
      <c r="B743" t="s">
        <v>94</v>
      </c>
    </row>
    <row r="744" spans="1:2" x14ac:dyDescent="0.45">
      <c r="A744" t="s">
        <v>2569</v>
      </c>
      <c r="B744" t="s">
        <v>94</v>
      </c>
    </row>
    <row r="745" spans="1:2" x14ac:dyDescent="0.45">
      <c r="A745" t="s">
        <v>2572</v>
      </c>
      <c r="B745" t="s">
        <v>89</v>
      </c>
    </row>
    <row r="746" spans="1:2" x14ac:dyDescent="0.45">
      <c r="A746" t="s">
        <v>2575</v>
      </c>
      <c r="B746" t="s">
        <v>108</v>
      </c>
    </row>
    <row r="747" spans="1:2" x14ac:dyDescent="0.45">
      <c r="A747" t="s">
        <v>2578</v>
      </c>
      <c r="B747" t="s">
        <v>94</v>
      </c>
    </row>
    <row r="748" spans="1:2" x14ac:dyDescent="0.45">
      <c r="A748" t="s">
        <v>2583</v>
      </c>
      <c r="B748" t="s">
        <v>94</v>
      </c>
    </row>
    <row r="749" spans="1:2" x14ac:dyDescent="0.45">
      <c r="A749" t="s">
        <v>2588</v>
      </c>
      <c r="B749" t="s">
        <v>89</v>
      </c>
    </row>
    <row r="750" spans="1:2" x14ac:dyDescent="0.45">
      <c r="A750" t="s">
        <v>2591</v>
      </c>
      <c r="B750" t="s">
        <v>108</v>
      </c>
    </row>
    <row r="751" spans="1:2" x14ac:dyDescent="0.45">
      <c r="A751" t="s">
        <v>2592</v>
      </c>
      <c r="B751" t="s">
        <v>89</v>
      </c>
    </row>
    <row r="752" spans="1:2" x14ac:dyDescent="0.45">
      <c r="A752" t="s">
        <v>2596</v>
      </c>
      <c r="B752" t="s">
        <v>128</v>
      </c>
    </row>
    <row r="753" spans="1:2" x14ac:dyDescent="0.45">
      <c r="A753" t="s">
        <v>2598</v>
      </c>
      <c r="B753" t="s">
        <v>108</v>
      </c>
    </row>
    <row r="754" spans="1:2" x14ac:dyDescent="0.45">
      <c r="A754" t="s">
        <v>2601</v>
      </c>
      <c r="B754" t="s">
        <v>108</v>
      </c>
    </row>
    <row r="755" spans="1:2" x14ac:dyDescent="0.45">
      <c r="A755" t="s">
        <v>2604</v>
      </c>
      <c r="B755" t="s">
        <v>94</v>
      </c>
    </row>
    <row r="756" spans="1:2" x14ac:dyDescent="0.45">
      <c r="A756" t="s">
        <v>2606</v>
      </c>
      <c r="B756" t="s">
        <v>94</v>
      </c>
    </row>
    <row r="757" spans="1:2" x14ac:dyDescent="0.45">
      <c r="A757" t="s">
        <v>2608</v>
      </c>
      <c r="B757" t="s">
        <v>128</v>
      </c>
    </row>
    <row r="758" spans="1:2" x14ac:dyDescent="0.45">
      <c r="A758" t="s">
        <v>2614</v>
      </c>
      <c r="B758" t="s">
        <v>108</v>
      </c>
    </row>
    <row r="759" spans="1:2" x14ac:dyDescent="0.45">
      <c r="A759" t="s">
        <v>2615</v>
      </c>
      <c r="B759" t="s">
        <v>94</v>
      </c>
    </row>
    <row r="760" spans="1:2" x14ac:dyDescent="0.45">
      <c r="A760" t="s">
        <v>2618</v>
      </c>
      <c r="B760" t="s">
        <v>128</v>
      </c>
    </row>
    <row r="761" spans="1:2" x14ac:dyDescent="0.45">
      <c r="A761" t="s">
        <v>2621</v>
      </c>
      <c r="B761" t="s">
        <v>89</v>
      </c>
    </row>
    <row r="762" spans="1:2" x14ac:dyDescent="0.45">
      <c r="A762" t="s">
        <v>2623</v>
      </c>
      <c r="B762" t="s">
        <v>128</v>
      </c>
    </row>
    <row r="763" spans="1:2" x14ac:dyDescent="0.45">
      <c r="A763" t="s">
        <v>2626</v>
      </c>
      <c r="B763" t="s">
        <v>128</v>
      </c>
    </row>
    <row r="764" spans="1:2" x14ac:dyDescent="0.45">
      <c r="A764" t="s">
        <v>2629</v>
      </c>
      <c r="B764" t="s">
        <v>128</v>
      </c>
    </row>
    <row r="765" spans="1:2" x14ac:dyDescent="0.45">
      <c r="A765" t="s">
        <v>2632</v>
      </c>
      <c r="B765" t="s">
        <v>108</v>
      </c>
    </row>
    <row r="766" spans="1:2" x14ac:dyDescent="0.45">
      <c r="A766" t="s">
        <v>2638</v>
      </c>
      <c r="B766" t="s">
        <v>267</v>
      </c>
    </row>
    <row r="767" spans="1:2" x14ac:dyDescent="0.45">
      <c r="A767" t="s">
        <v>2643</v>
      </c>
      <c r="B767" t="s">
        <v>267</v>
      </c>
    </row>
    <row r="768" spans="1:2" x14ac:dyDescent="0.45">
      <c r="A768" t="s">
        <v>2646</v>
      </c>
      <c r="B768" t="s">
        <v>94</v>
      </c>
    </row>
    <row r="769" spans="1:2" x14ac:dyDescent="0.45">
      <c r="A769" t="s">
        <v>2651</v>
      </c>
      <c r="B769" t="s">
        <v>267</v>
      </c>
    </row>
    <row r="770" spans="1:2" x14ac:dyDescent="0.45">
      <c r="A770" t="s">
        <v>2655</v>
      </c>
      <c r="B770" t="s">
        <v>89</v>
      </c>
    </row>
    <row r="771" spans="1:2" x14ac:dyDescent="0.45">
      <c r="A771" t="s">
        <v>2663</v>
      </c>
      <c r="B771" t="s">
        <v>267</v>
      </c>
    </row>
    <row r="772" spans="1:2" x14ac:dyDescent="0.45">
      <c r="A772" t="s">
        <v>2666</v>
      </c>
      <c r="B772" t="s">
        <v>94</v>
      </c>
    </row>
    <row r="773" spans="1:2" x14ac:dyDescent="0.45">
      <c r="A773" t="s">
        <v>2667</v>
      </c>
      <c r="B773" t="s">
        <v>89</v>
      </c>
    </row>
    <row r="774" spans="1:2" x14ac:dyDescent="0.45">
      <c r="A774" t="s">
        <v>2673</v>
      </c>
      <c r="B774" t="s">
        <v>128</v>
      </c>
    </row>
    <row r="775" spans="1:2" x14ac:dyDescent="0.45">
      <c r="A775" t="s">
        <v>2676</v>
      </c>
      <c r="B775" t="s">
        <v>147</v>
      </c>
    </row>
    <row r="776" spans="1:2" x14ac:dyDescent="0.45">
      <c r="A776" t="s">
        <v>2678</v>
      </c>
      <c r="B776" t="s">
        <v>267</v>
      </c>
    </row>
    <row r="777" spans="1:2" x14ac:dyDescent="0.45">
      <c r="A777" t="s">
        <v>2681</v>
      </c>
      <c r="B777" t="s">
        <v>128</v>
      </c>
    </row>
    <row r="778" spans="1:2" x14ac:dyDescent="0.45">
      <c r="A778" t="s">
        <v>2686</v>
      </c>
      <c r="B778" t="s">
        <v>128</v>
      </c>
    </row>
    <row r="779" spans="1:2" x14ac:dyDescent="0.45">
      <c r="A779" t="s">
        <v>2689</v>
      </c>
      <c r="B779" t="s">
        <v>128</v>
      </c>
    </row>
    <row r="780" spans="1:2" x14ac:dyDescent="0.45">
      <c r="A780" t="s">
        <v>2694</v>
      </c>
      <c r="B780" t="s">
        <v>267</v>
      </c>
    </row>
    <row r="781" spans="1:2" x14ac:dyDescent="0.45">
      <c r="A781" t="s">
        <v>2697</v>
      </c>
      <c r="B781" t="s">
        <v>128</v>
      </c>
    </row>
    <row r="782" spans="1:2" x14ac:dyDescent="0.45">
      <c r="A782" t="s">
        <v>2700</v>
      </c>
      <c r="B782" t="s">
        <v>267</v>
      </c>
    </row>
    <row r="783" spans="1:2" x14ac:dyDescent="0.45">
      <c r="A783" t="s">
        <v>2703</v>
      </c>
      <c r="B783" t="s">
        <v>267</v>
      </c>
    </row>
    <row r="784" spans="1:2" x14ac:dyDescent="0.45">
      <c r="A784" t="s">
        <v>2706</v>
      </c>
      <c r="B784" t="s">
        <v>128</v>
      </c>
    </row>
    <row r="785" spans="1:2" x14ac:dyDescent="0.45">
      <c r="A785" t="s">
        <v>2709</v>
      </c>
      <c r="B785" t="s">
        <v>128</v>
      </c>
    </row>
    <row r="786" spans="1:2" x14ac:dyDescent="0.45">
      <c r="A786" t="s">
        <v>2713</v>
      </c>
      <c r="B786" t="s">
        <v>128</v>
      </c>
    </row>
    <row r="787" spans="1:2" x14ac:dyDescent="0.45">
      <c r="A787" t="s">
        <v>2717</v>
      </c>
      <c r="B787" t="s">
        <v>128</v>
      </c>
    </row>
    <row r="788" spans="1:2" x14ac:dyDescent="0.45">
      <c r="A788" t="s">
        <v>2718</v>
      </c>
      <c r="B788" t="s">
        <v>128</v>
      </c>
    </row>
    <row r="789" spans="1:2" x14ac:dyDescent="0.45">
      <c r="A789" t="s">
        <v>2719</v>
      </c>
      <c r="B789" t="s">
        <v>267</v>
      </c>
    </row>
    <row r="790" spans="1:2" x14ac:dyDescent="0.45">
      <c r="A790" t="s">
        <v>2721</v>
      </c>
      <c r="B790" t="s">
        <v>267</v>
      </c>
    </row>
    <row r="791" spans="1:2" x14ac:dyDescent="0.45">
      <c r="A791" t="s">
        <v>2725</v>
      </c>
      <c r="B791" t="s">
        <v>128</v>
      </c>
    </row>
    <row r="792" spans="1:2" x14ac:dyDescent="0.45">
      <c r="A792" t="s">
        <v>2730</v>
      </c>
      <c r="B792" t="s">
        <v>128</v>
      </c>
    </row>
    <row r="793" spans="1:2" x14ac:dyDescent="0.45">
      <c r="A793" t="s">
        <v>2731</v>
      </c>
      <c r="B793" t="s">
        <v>267</v>
      </c>
    </row>
    <row r="794" spans="1:2" x14ac:dyDescent="0.45">
      <c r="A794" t="s">
        <v>2734</v>
      </c>
      <c r="B794" t="s">
        <v>128</v>
      </c>
    </row>
    <row r="795" spans="1:2" x14ac:dyDescent="0.45">
      <c r="A795" t="s">
        <v>2738</v>
      </c>
      <c r="B795" t="s">
        <v>267</v>
      </c>
    </row>
    <row r="796" spans="1:2" x14ac:dyDescent="0.45">
      <c r="A796" t="s">
        <v>2741</v>
      </c>
      <c r="B796" t="s">
        <v>128</v>
      </c>
    </row>
    <row r="797" spans="1:2" x14ac:dyDescent="0.45">
      <c r="A797" t="s">
        <v>2743</v>
      </c>
      <c r="B797" t="s">
        <v>267</v>
      </c>
    </row>
    <row r="798" spans="1:2" x14ac:dyDescent="0.45">
      <c r="A798" t="s">
        <v>2746</v>
      </c>
      <c r="B798" t="s">
        <v>128</v>
      </c>
    </row>
    <row r="799" spans="1:2" x14ac:dyDescent="0.45">
      <c r="A799" t="s">
        <v>2753</v>
      </c>
      <c r="B799" t="s">
        <v>128</v>
      </c>
    </row>
    <row r="800" spans="1:2" x14ac:dyDescent="0.45">
      <c r="A800" t="s">
        <v>2755</v>
      </c>
      <c r="B800" t="s">
        <v>267</v>
      </c>
    </row>
    <row r="801" spans="1:2" x14ac:dyDescent="0.45">
      <c r="A801" t="s">
        <v>2759</v>
      </c>
      <c r="B801" t="s">
        <v>128</v>
      </c>
    </row>
    <row r="802" spans="1:2" x14ac:dyDescent="0.45">
      <c r="A802" t="s">
        <v>2761</v>
      </c>
      <c r="B802" t="s">
        <v>267</v>
      </c>
    </row>
    <row r="803" spans="1:2" x14ac:dyDescent="0.45">
      <c r="A803" t="s">
        <v>2764</v>
      </c>
      <c r="B803" t="s">
        <v>128</v>
      </c>
    </row>
    <row r="804" spans="1:2" x14ac:dyDescent="0.45">
      <c r="A804" t="s">
        <v>2767</v>
      </c>
      <c r="B804" t="s">
        <v>128</v>
      </c>
    </row>
    <row r="805" spans="1:2" x14ac:dyDescent="0.45">
      <c r="A805" t="s">
        <v>2773</v>
      </c>
      <c r="B805" t="s">
        <v>267</v>
      </c>
    </row>
    <row r="806" spans="1:2" x14ac:dyDescent="0.45">
      <c r="A806" t="s">
        <v>2780</v>
      </c>
      <c r="B806" t="s">
        <v>267</v>
      </c>
    </row>
    <row r="807" spans="1:2" x14ac:dyDescent="0.45">
      <c r="A807" t="s">
        <v>2781</v>
      </c>
      <c r="B807" t="s">
        <v>267</v>
      </c>
    </row>
    <row r="808" spans="1:2" x14ac:dyDescent="0.45">
      <c r="A808" t="s">
        <v>2784</v>
      </c>
      <c r="B808" t="s">
        <v>267</v>
      </c>
    </row>
    <row r="809" spans="1:2" x14ac:dyDescent="0.45">
      <c r="A809" t="s">
        <v>2790</v>
      </c>
      <c r="B809" t="s">
        <v>128</v>
      </c>
    </row>
    <row r="810" spans="1:2" x14ac:dyDescent="0.45">
      <c r="A810" t="s">
        <v>2794</v>
      </c>
      <c r="B810" t="s">
        <v>128</v>
      </c>
    </row>
    <row r="811" spans="1:2" x14ac:dyDescent="0.45">
      <c r="A811" t="s">
        <v>2796</v>
      </c>
      <c r="B811" t="s">
        <v>94</v>
      </c>
    </row>
    <row r="812" spans="1:2" x14ac:dyDescent="0.45">
      <c r="A812" t="s">
        <v>2799</v>
      </c>
      <c r="B812" t="s">
        <v>128</v>
      </c>
    </row>
    <row r="813" spans="1:2" x14ac:dyDescent="0.45">
      <c r="A813" t="s">
        <v>2802</v>
      </c>
      <c r="B813" t="s">
        <v>94</v>
      </c>
    </row>
    <row r="814" spans="1:2" x14ac:dyDescent="0.45">
      <c r="A814" t="s">
        <v>2805</v>
      </c>
      <c r="B814" t="s">
        <v>128</v>
      </c>
    </row>
    <row r="815" spans="1:2" x14ac:dyDescent="0.45">
      <c r="A815" t="s">
        <v>2808</v>
      </c>
      <c r="B815" t="s">
        <v>267</v>
      </c>
    </row>
    <row r="816" spans="1:2" x14ac:dyDescent="0.45">
      <c r="A816" t="s">
        <v>2811</v>
      </c>
      <c r="B816" t="s">
        <v>94</v>
      </c>
    </row>
    <row r="817" spans="1:2" x14ac:dyDescent="0.45">
      <c r="A817" t="s">
        <v>2813</v>
      </c>
      <c r="B817" t="s">
        <v>94</v>
      </c>
    </row>
    <row r="818" spans="1:2" x14ac:dyDescent="0.45">
      <c r="A818" t="s">
        <v>2821</v>
      </c>
      <c r="B818" t="s">
        <v>94</v>
      </c>
    </row>
    <row r="819" spans="1:2" x14ac:dyDescent="0.45">
      <c r="A819" t="s">
        <v>2824</v>
      </c>
      <c r="B819" t="s">
        <v>128</v>
      </c>
    </row>
    <row r="820" spans="1:2" x14ac:dyDescent="0.45">
      <c r="A820" t="s">
        <v>2826</v>
      </c>
      <c r="B820" t="s">
        <v>128</v>
      </c>
    </row>
    <row r="821" spans="1:2" x14ac:dyDescent="0.45">
      <c r="A821" t="s">
        <v>2827</v>
      </c>
      <c r="B821" t="s">
        <v>94</v>
      </c>
    </row>
    <row r="822" spans="1:2" x14ac:dyDescent="0.45">
      <c r="A822" t="s">
        <v>2835</v>
      </c>
      <c r="B822" t="s">
        <v>128</v>
      </c>
    </row>
    <row r="823" spans="1:2" x14ac:dyDescent="0.45">
      <c r="A823" t="s">
        <v>2841</v>
      </c>
      <c r="B823" t="s">
        <v>94</v>
      </c>
    </row>
    <row r="824" spans="1:2" x14ac:dyDescent="0.45">
      <c r="A824" t="s">
        <v>2844</v>
      </c>
      <c r="B824" t="s">
        <v>267</v>
      </c>
    </row>
    <row r="825" spans="1:2" x14ac:dyDescent="0.45">
      <c r="A825" t="s">
        <v>2847</v>
      </c>
      <c r="B825" t="s">
        <v>267</v>
      </c>
    </row>
    <row r="826" spans="1:2" x14ac:dyDescent="0.45">
      <c r="A826" t="s">
        <v>2850</v>
      </c>
      <c r="B826" t="s">
        <v>267</v>
      </c>
    </row>
    <row r="827" spans="1:2" x14ac:dyDescent="0.45">
      <c r="A827" t="s">
        <v>2855</v>
      </c>
      <c r="B827" t="s">
        <v>128</v>
      </c>
    </row>
    <row r="828" spans="1:2" x14ac:dyDescent="0.45">
      <c r="A828" t="s">
        <v>2858</v>
      </c>
      <c r="B828" t="s">
        <v>94</v>
      </c>
    </row>
    <row r="829" spans="1:2" x14ac:dyDescent="0.45">
      <c r="A829" t="s">
        <v>2860</v>
      </c>
      <c r="B829" t="s">
        <v>128</v>
      </c>
    </row>
    <row r="830" spans="1:2" x14ac:dyDescent="0.45">
      <c r="A830" t="s">
        <v>2862</v>
      </c>
      <c r="B830" t="s">
        <v>267</v>
      </c>
    </row>
    <row r="831" spans="1:2" x14ac:dyDescent="0.45">
      <c r="A831" t="s">
        <v>2874</v>
      </c>
      <c r="B831" t="s">
        <v>128</v>
      </c>
    </row>
    <row r="832" spans="1:2" x14ac:dyDescent="0.45">
      <c r="A832" t="s">
        <v>2876</v>
      </c>
      <c r="B832" t="s">
        <v>267</v>
      </c>
    </row>
    <row r="833" spans="1:2" x14ac:dyDescent="0.45">
      <c r="A833" t="s">
        <v>2877</v>
      </c>
      <c r="B833" t="s">
        <v>267</v>
      </c>
    </row>
    <row r="834" spans="1:2" x14ac:dyDescent="0.45">
      <c r="A834" t="s">
        <v>2878</v>
      </c>
      <c r="B834" t="s">
        <v>128</v>
      </c>
    </row>
    <row r="835" spans="1:2" x14ac:dyDescent="0.45">
      <c r="A835" t="s">
        <v>2879</v>
      </c>
      <c r="B835" t="s">
        <v>94</v>
      </c>
    </row>
    <row r="836" spans="1:2" x14ac:dyDescent="0.45">
      <c r="A836" t="s">
        <v>2881</v>
      </c>
      <c r="B836" t="s">
        <v>267</v>
      </c>
    </row>
    <row r="837" spans="1:2" x14ac:dyDescent="0.45">
      <c r="A837" t="s">
        <v>2884</v>
      </c>
      <c r="B837" t="s">
        <v>128</v>
      </c>
    </row>
    <row r="838" spans="1:2" x14ac:dyDescent="0.45">
      <c r="A838" t="s">
        <v>2887</v>
      </c>
      <c r="B838" t="s">
        <v>267</v>
      </c>
    </row>
    <row r="839" spans="1:2" x14ac:dyDescent="0.45">
      <c r="A839" t="s">
        <v>2889</v>
      </c>
      <c r="B839" t="s">
        <v>128</v>
      </c>
    </row>
    <row r="840" spans="1:2" x14ac:dyDescent="0.45">
      <c r="A840" t="s">
        <v>2891</v>
      </c>
      <c r="B840" t="s">
        <v>267</v>
      </c>
    </row>
    <row r="841" spans="1:2" x14ac:dyDescent="0.45">
      <c r="A841" t="s">
        <v>2893</v>
      </c>
      <c r="B841" t="s">
        <v>267</v>
      </c>
    </row>
    <row r="842" spans="1:2" x14ac:dyDescent="0.45">
      <c r="A842" t="s">
        <v>2895</v>
      </c>
      <c r="B842" t="s">
        <v>267</v>
      </c>
    </row>
    <row r="843" spans="1:2" x14ac:dyDescent="0.45">
      <c r="A843" t="s">
        <v>2897</v>
      </c>
      <c r="B843" t="s">
        <v>128</v>
      </c>
    </row>
    <row r="844" spans="1:2" x14ac:dyDescent="0.45">
      <c r="A844" t="s">
        <v>2899</v>
      </c>
      <c r="B844" t="s">
        <v>128</v>
      </c>
    </row>
    <row r="845" spans="1:2" x14ac:dyDescent="0.45">
      <c r="A845" t="s">
        <v>2901</v>
      </c>
      <c r="B845" t="s">
        <v>128</v>
      </c>
    </row>
    <row r="846" spans="1:2" x14ac:dyDescent="0.45">
      <c r="A846" t="s">
        <v>2904</v>
      </c>
      <c r="B846" t="s">
        <v>128</v>
      </c>
    </row>
    <row r="847" spans="1:2" x14ac:dyDescent="0.45">
      <c r="A847" t="s">
        <v>2907</v>
      </c>
      <c r="B847" t="s">
        <v>267</v>
      </c>
    </row>
    <row r="848" spans="1:2" x14ac:dyDescent="0.45">
      <c r="A848" t="s">
        <v>2910</v>
      </c>
      <c r="B848" t="s">
        <v>267</v>
      </c>
    </row>
    <row r="849" spans="1:2" x14ac:dyDescent="0.45">
      <c r="A849" t="s">
        <v>2916</v>
      </c>
      <c r="B849" t="s">
        <v>128</v>
      </c>
    </row>
    <row r="850" spans="1:2" x14ac:dyDescent="0.45">
      <c r="A850" t="s">
        <v>2917</v>
      </c>
      <c r="B850" t="s">
        <v>128</v>
      </c>
    </row>
    <row r="851" spans="1:2" x14ac:dyDescent="0.45">
      <c r="A851" t="s">
        <v>2919</v>
      </c>
      <c r="B851" t="s">
        <v>267</v>
      </c>
    </row>
    <row r="852" spans="1:2" x14ac:dyDescent="0.45">
      <c r="A852" t="s">
        <v>2920</v>
      </c>
      <c r="B852" t="s">
        <v>128</v>
      </c>
    </row>
    <row r="853" spans="1:2" x14ac:dyDescent="0.45">
      <c r="A853" t="s">
        <v>2922</v>
      </c>
      <c r="B853" t="s">
        <v>128</v>
      </c>
    </row>
    <row r="854" spans="1:2" x14ac:dyDescent="0.45">
      <c r="A854" t="s">
        <v>2925</v>
      </c>
      <c r="B854" t="s">
        <v>128</v>
      </c>
    </row>
    <row r="855" spans="1:2" x14ac:dyDescent="0.45">
      <c r="A855" t="s">
        <v>2927</v>
      </c>
      <c r="B855" t="s">
        <v>94</v>
      </c>
    </row>
    <row r="856" spans="1:2" x14ac:dyDescent="0.45">
      <c r="A856" t="s">
        <v>2929</v>
      </c>
      <c r="B856" t="s">
        <v>267</v>
      </c>
    </row>
    <row r="857" spans="1:2" x14ac:dyDescent="0.45">
      <c r="A857" t="s">
        <v>2931</v>
      </c>
      <c r="B857" t="s">
        <v>128</v>
      </c>
    </row>
    <row r="858" spans="1:2" x14ac:dyDescent="0.45">
      <c r="A858" t="s">
        <v>2933</v>
      </c>
      <c r="B858" t="s">
        <v>94</v>
      </c>
    </row>
    <row r="859" spans="1:2" x14ac:dyDescent="0.45">
      <c r="A859" t="s">
        <v>2935</v>
      </c>
      <c r="B859" t="s">
        <v>267</v>
      </c>
    </row>
    <row r="860" spans="1:2" x14ac:dyDescent="0.45">
      <c r="A860" t="s">
        <v>2937</v>
      </c>
      <c r="B860" t="s">
        <v>94</v>
      </c>
    </row>
    <row r="861" spans="1:2" x14ac:dyDescent="0.45">
      <c r="A861" t="s">
        <v>2939</v>
      </c>
      <c r="B861" t="s">
        <v>128</v>
      </c>
    </row>
    <row r="862" spans="1:2" x14ac:dyDescent="0.45">
      <c r="A862" t="s">
        <v>2941</v>
      </c>
      <c r="B862" t="s">
        <v>267</v>
      </c>
    </row>
    <row r="863" spans="1:2" x14ac:dyDescent="0.45">
      <c r="A863" t="s">
        <v>2943</v>
      </c>
      <c r="B863" t="s">
        <v>94</v>
      </c>
    </row>
    <row r="864" spans="1:2" x14ac:dyDescent="0.45">
      <c r="A864" t="s">
        <v>2945</v>
      </c>
      <c r="B864" t="s">
        <v>267</v>
      </c>
    </row>
    <row r="865" spans="1:2" x14ac:dyDescent="0.45">
      <c r="A865" t="s">
        <v>2950</v>
      </c>
      <c r="B865" t="s">
        <v>94</v>
      </c>
    </row>
    <row r="866" spans="1:2" x14ac:dyDescent="0.45">
      <c r="A866" t="s">
        <v>2952</v>
      </c>
      <c r="B866" t="s">
        <v>128</v>
      </c>
    </row>
    <row r="867" spans="1:2" x14ac:dyDescent="0.45">
      <c r="A867" t="s">
        <v>2954</v>
      </c>
      <c r="B867" t="s">
        <v>267</v>
      </c>
    </row>
    <row r="868" spans="1:2" x14ac:dyDescent="0.45">
      <c r="A868" t="s">
        <v>2958</v>
      </c>
      <c r="B868" t="s">
        <v>128</v>
      </c>
    </row>
    <row r="869" spans="1:2" x14ac:dyDescent="0.45">
      <c r="A869" t="s">
        <v>2962</v>
      </c>
      <c r="B869" t="s">
        <v>267</v>
      </c>
    </row>
    <row r="870" spans="1:2" x14ac:dyDescent="0.45">
      <c r="A870" t="s">
        <v>2964</v>
      </c>
      <c r="B870" t="s">
        <v>267</v>
      </c>
    </row>
    <row r="871" spans="1:2" x14ac:dyDescent="0.45">
      <c r="A871" t="s">
        <v>2965</v>
      </c>
      <c r="B871" t="s">
        <v>267</v>
      </c>
    </row>
    <row r="872" spans="1:2" x14ac:dyDescent="0.45">
      <c r="A872" t="s">
        <v>2968</v>
      </c>
      <c r="B872" t="s">
        <v>267</v>
      </c>
    </row>
    <row r="873" spans="1:2" x14ac:dyDescent="0.45">
      <c r="A873" t="s">
        <v>2969</v>
      </c>
      <c r="B873" t="s">
        <v>128</v>
      </c>
    </row>
    <row r="874" spans="1:2" x14ac:dyDescent="0.45">
      <c r="A874" t="s">
        <v>2970</v>
      </c>
      <c r="B874" t="s">
        <v>128</v>
      </c>
    </row>
    <row r="875" spans="1:2" x14ac:dyDescent="0.45">
      <c r="A875" t="s">
        <v>2971</v>
      </c>
      <c r="B875" t="s">
        <v>128</v>
      </c>
    </row>
    <row r="876" spans="1:2" x14ac:dyDescent="0.45">
      <c r="A876" t="s">
        <v>2973</v>
      </c>
      <c r="B876" t="s">
        <v>128</v>
      </c>
    </row>
    <row r="877" spans="1:2" x14ac:dyDescent="0.45">
      <c r="A877" t="s">
        <v>2975</v>
      </c>
      <c r="B877" t="s">
        <v>94</v>
      </c>
    </row>
    <row r="878" spans="1:2" x14ac:dyDescent="0.45">
      <c r="A878" t="s">
        <v>2977</v>
      </c>
      <c r="B878" t="s">
        <v>94</v>
      </c>
    </row>
    <row r="879" spans="1:2" x14ac:dyDescent="0.45">
      <c r="A879" t="s">
        <v>2979</v>
      </c>
      <c r="B879" t="s">
        <v>267</v>
      </c>
    </row>
    <row r="880" spans="1:2" x14ac:dyDescent="0.45">
      <c r="A880" t="s">
        <v>2981</v>
      </c>
      <c r="B880" t="s">
        <v>128</v>
      </c>
    </row>
    <row r="881" spans="1:2" x14ac:dyDescent="0.45">
      <c r="A881" t="s">
        <v>2986</v>
      </c>
      <c r="B881" t="s">
        <v>128</v>
      </c>
    </row>
    <row r="882" spans="1:2" x14ac:dyDescent="0.45">
      <c r="A882" t="s">
        <v>2987</v>
      </c>
      <c r="B882" t="s">
        <v>94</v>
      </c>
    </row>
    <row r="883" spans="1:2" x14ac:dyDescent="0.45">
      <c r="A883" t="s">
        <v>2992</v>
      </c>
      <c r="B883" t="s">
        <v>128</v>
      </c>
    </row>
    <row r="884" spans="1:2" x14ac:dyDescent="0.45">
      <c r="A884" t="s">
        <v>2993</v>
      </c>
      <c r="B884" t="s">
        <v>267</v>
      </c>
    </row>
    <row r="885" spans="1:2" x14ac:dyDescent="0.45">
      <c r="A885" t="s">
        <v>2995</v>
      </c>
      <c r="B885" t="s">
        <v>267</v>
      </c>
    </row>
    <row r="886" spans="1:2" x14ac:dyDescent="0.45">
      <c r="A886" t="s">
        <v>2997</v>
      </c>
      <c r="B886" t="s">
        <v>267</v>
      </c>
    </row>
    <row r="887" spans="1:2" x14ac:dyDescent="0.45">
      <c r="A887" t="s">
        <v>3001</v>
      </c>
      <c r="B887" t="s">
        <v>267</v>
      </c>
    </row>
    <row r="888" spans="1:2" x14ac:dyDescent="0.45">
      <c r="A888" t="s">
        <v>3005</v>
      </c>
      <c r="B888" t="s">
        <v>94</v>
      </c>
    </row>
    <row r="889" spans="1:2" x14ac:dyDescent="0.45">
      <c r="A889" t="s">
        <v>3008</v>
      </c>
      <c r="B889" t="s">
        <v>128</v>
      </c>
    </row>
    <row r="890" spans="1:2" x14ac:dyDescent="0.45">
      <c r="A890" t="s">
        <v>3010</v>
      </c>
      <c r="B890" t="s">
        <v>267</v>
      </c>
    </row>
    <row r="891" spans="1:2" x14ac:dyDescent="0.45">
      <c r="A891" t="s">
        <v>3012</v>
      </c>
      <c r="B891" t="s">
        <v>267</v>
      </c>
    </row>
    <row r="892" spans="1:2" x14ac:dyDescent="0.45">
      <c r="A892" t="s">
        <v>3014</v>
      </c>
      <c r="B892" t="s">
        <v>89</v>
      </c>
    </row>
    <row r="893" spans="1:2" x14ac:dyDescent="0.45">
      <c r="A893" t="s">
        <v>3017</v>
      </c>
      <c r="B893" t="s">
        <v>267</v>
      </c>
    </row>
    <row r="894" spans="1:2" x14ac:dyDescent="0.45">
      <c r="A894" t="s">
        <v>3018</v>
      </c>
      <c r="B894" t="s">
        <v>128</v>
      </c>
    </row>
    <row r="895" spans="1:2" x14ac:dyDescent="0.45">
      <c r="A895" t="s">
        <v>3022</v>
      </c>
      <c r="B895" t="s">
        <v>89</v>
      </c>
    </row>
    <row r="896" spans="1:2" x14ac:dyDescent="0.45">
      <c r="A896" t="s">
        <v>3026</v>
      </c>
      <c r="B896" t="s">
        <v>94</v>
      </c>
    </row>
    <row r="897" spans="1:2" x14ac:dyDescent="0.45">
      <c r="A897" t="s">
        <v>3028</v>
      </c>
      <c r="B897" t="s">
        <v>94</v>
      </c>
    </row>
    <row r="898" spans="1:2" x14ac:dyDescent="0.45">
      <c r="A898" t="s">
        <v>3030</v>
      </c>
      <c r="B898" t="s">
        <v>94</v>
      </c>
    </row>
    <row r="899" spans="1:2" x14ac:dyDescent="0.45">
      <c r="A899" t="s">
        <v>3035</v>
      </c>
      <c r="B899" t="s">
        <v>94</v>
      </c>
    </row>
    <row r="900" spans="1:2" x14ac:dyDescent="0.45">
      <c r="A900" t="s">
        <v>3036</v>
      </c>
      <c r="B900" t="s">
        <v>94</v>
      </c>
    </row>
    <row r="901" spans="1:2" x14ac:dyDescent="0.45">
      <c r="A901" t="s">
        <v>3037</v>
      </c>
      <c r="B901" t="s">
        <v>89</v>
      </c>
    </row>
    <row r="902" spans="1:2" x14ac:dyDescent="0.45">
      <c r="A902" t="s">
        <v>3040</v>
      </c>
      <c r="B902" t="s">
        <v>89</v>
      </c>
    </row>
    <row r="903" spans="1:2" x14ac:dyDescent="0.45">
      <c r="A903" t="s">
        <v>3044</v>
      </c>
      <c r="B903" t="s">
        <v>94</v>
      </c>
    </row>
    <row r="904" spans="1:2" x14ac:dyDescent="0.45">
      <c r="A904" t="s">
        <v>3047</v>
      </c>
      <c r="B904" t="s">
        <v>89</v>
      </c>
    </row>
    <row r="905" spans="1:2" x14ac:dyDescent="0.45">
      <c r="A905" t="s">
        <v>3049</v>
      </c>
      <c r="B905" t="s">
        <v>89</v>
      </c>
    </row>
    <row r="906" spans="1:2" x14ac:dyDescent="0.45">
      <c r="A906" t="s">
        <v>3051</v>
      </c>
      <c r="B906" t="s">
        <v>94</v>
      </c>
    </row>
    <row r="907" spans="1:2" x14ac:dyDescent="0.45">
      <c r="A907" t="s">
        <v>3054</v>
      </c>
      <c r="B907" t="s">
        <v>89</v>
      </c>
    </row>
    <row r="908" spans="1:2" x14ac:dyDescent="0.45">
      <c r="A908" t="s">
        <v>3056</v>
      </c>
      <c r="B908" t="s">
        <v>89</v>
      </c>
    </row>
    <row r="909" spans="1:2" x14ac:dyDescent="0.45">
      <c r="A909" t="s">
        <v>3058</v>
      </c>
      <c r="B909" t="s">
        <v>89</v>
      </c>
    </row>
    <row r="910" spans="1:2" x14ac:dyDescent="0.45">
      <c r="A910" t="s">
        <v>3060</v>
      </c>
      <c r="B910" t="s">
        <v>94</v>
      </c>
    </row>
    <row r="911" spans="1:2" x14ac:dyDescent="0.45">
      <c r="A911" t="s">
        <v>3062</v>
      </c>
      <c r="B911" t="s">
        <v>89</v>
      </c>
    </row>
    <row r="912" spans="1:2" x14ac:dyDescent="0.45">
      <c r="A912" t="s">
        <v>3065</v>
      </c>
      <c r="B912" t="s">
        <v>94</v>
      </c>
    </row>
    <row r="913" spans="1:2" x14ac:dyDescent="0.45">
      <c r="A913" t="s">
        <v>3067</v>
      </c>
      <c r="B913" t="s">
        <v>94</v>
      </c>
    </row>
    <row r="914" spans="1:2" x14ac:dyDescent="0.45">
      <c r="A914" t="s">
        <v>3069</v>
      </c>
      <c r="B914" t="s">
        <v>94</v>
      </c>
    </row>
    <row r="915" spans="1:2" x14ac:dyDescent="0.45">
      <c r="A915" t="s">
        <v>3071</v>
      </c>
      <c r="B915" t="s">
        <v>94</v>
      </c>
    </row>
    <row r="916" spans="1:2" x14ac:dyDescent="0.45">
      <c r="A916" t="s">
        <v>3073</v>
      </c>
      <c r="B916" t="s">
        <v>94</v>
      </c>
    </row>
    <row r="917" spans="1:2" x14ac:dyDescent="0.45">
      <c r="A917" t="s">
        <v>3080</v>
      </c>
      <c r="B917" t="s">
        <v>108</v>
      </c>
    </row>
    <row r="918" spans="1:2" x14ac:dyDescent="0.45">
      <c r="A918" t="s">
        <v>3083</v>
      </c>
      <c r="B918" t="s">
        <v>94</v>
      </c>
    </row>
    <row r="919" spans="1:2" x14ac:dyDescent="0.45">
      <c r="A919" t="s">
        <v>3099</v>
      </c>
      <c r="B919" t="s">
        <v>108</v>
      </c>
    </row>
    <row r="920" spans="1:2" x14ac:dyDescent="0.45">
      <c r="A920" t="s">
        <v>3107</v>
      </c>
      <c r="B920" t="s">
        <v>94</v>
      </c>
    </row>
    <row r="921" spans="1:2" x14ac:dyDescent="0.45">
      <c r="A921" t="s">
        <v>3108</v>
      </c>
      <c r="B921" t="s">
        <v>89</v>
      </c>
    </row>
    <row r="922" spans="1:2" x14ac:dyDescent="0.45">
      <c r="A922" t="s">
        <v>3112</v>
      </c>
      <c r="B922" t="s">
        <v>89</v>
      </c>
    </row>
    <row r="923" spans="1:2" x14ac:dyDescent="0.45">
      <c r="A923" t="s">
        <v>3117</v>
      </c>
      <c r="B923" t="s">
        <v>108</v>
      </c>
    </row>
    <row r="924" spans="1:2" x14ac:dyDescent="0.45">
      <c r="A924" t="s">
        <v>3118</v>
      </c>
      <c r="B924" t="s">
        <v>89</v>
      </c>
    </row>
    <row r="925" spans="1:2" x14ac:dyDescent="0.45">
      <c r="A925" t="s">
        <v>3120</v>
      </c>
      <c r="B925" t="s">
        <v>89</v>
      </c>
    </row>
    <row r="926" spans="1:2" x14ac:dyDescent="0.45">
      <c r="A926" t="s">
        <v>3121</v>
      </c>
      <c r="B926" t="s">
        <v>108</v>
      </c>
    </row>
    <row r="927" spans="1:2" x14ac:dyDescent="0.45">
      <c r="A927" t="s">
        <v>3123</v>
      </c>
      <c r="B927" t="s">
        <v>108</v>
      </c>
    </row>
    <row r="928" spans="1:2" x14ac:dyDescent="0.45">
      <c r="A928" t="s">
        <v>3131</v>
      </c>
      <c r="B928" t="s">
        <v>128</v>
      </c>
    </row>
    <row r="929" spans="1:2" x14ac:dyDescent="0.45">
      <c r="A929" t="s">
        <v>3134</v>
      </c>
      <c r="B929" t="s">
        <v>108</v>
      </c>
    </row>
    <row r="930" spans="1:2" x14ac:dyDescent="0.45">
      <c r="A930" t="s">
        <v>3135</v>
      </c>
      <c r="B930" t="s">
        <v>94</v>
      </c>
    </row>
    <row r="931" spans="1:2" x14ac:dyDescent="0.45">
      <c r="A931" t="s">
        <v>3136</v>
      </c>
      <c r="B931" t="s">
        <v>128</v>
      </c>
    </row>
    <row r="932" spans="1:2" x14ac:dyDescent="0.45">
      <c r="A932" t="s">
        <v>3138</v>
      </c>
      <c r="B932" t="s">
        <v>128</v>
      </c>
    </row>
    <row r="933" spans="1:2" x14ac:dyDescent="0.45">
      <c r="A933" t="s">
        <v>3141</v>
      </c>
      <c r="B933" t="s">
        <v>128</v>
      </c>
    </row>
    <row r="934" spans="1:2" x14ac:dyDescent="0.45">
      <c r="A934" t="s">
        <v>3144</v>
      </c>
      <c r="B934" t="s">
        <v>132</v>
      </c>
    </row>
    <row r="935" spans="1:2" x14ac:dyDescent="0.45">
      <c r="A935" t="s">
        <v>3147</v>
      </c>
      <c r="B935" t="s">
        <v>132</v>
      </c>
    </row>
    <row r="936" spans="1:2" x14ac:dyDescent="0.45">
      <c r="A936" t="s">
        <v>3153</v>
      </c>
      <c r="B936" t="s">
        <v>108</v>
      </c>
    </row>
    <row r="937" spans="1:2" x14ac:dyDescent="0.45">
      <c r="A937" t="s">
        <v>3154</v>
      </c>
      <c r="B937" t="s">
        <v>128</v>
      </c>
    </row>
    <row r="938" spans="1:2" x14ac:dyDescent="0.45">
      <c r="A938" t="s">
        <v>3161</v>
      </c>
      <c r="B938" t="s">
        <v>132</v>
      </c>
    </row>
    <row r="939" spans="1:2" x14ac:dyDescent="0.45">
      <c r="A939" t="s">
        <v>3164</v>
      </c>
      <c r="B939" t="s">
        <v>108</v>
      </c>
    </row>
    <row r="940" spans="1:2" x14ac:dyDescent="0.45">
      <c r="A940" t="s">
        <v>3173</v>
      </c>
      <c r="B940" t="s">
        <v>94</v>
      </c>
    </row>
    <row r="941" spans="1:2" x14ac:dyDescent="0.45">
      <c r="A941" t="s">
        <v>3174</v>
      </c>
      <c r="B941" t="s">
        <v>132</v>
      </c>
    </row>
    <row r="942" spans="1:2" x14ac:dyDescent="0.45">
      <c r="A942" t="s">
        <v>3177</v>
      </c>
      <c r="B942" t="s">
        <v>132</v>
      </c>
    </row>
    <row r="943" spans="1:2" x14ac:dyDescent="0.45">
      <c r="A943" t="s">
        <v>3180</v>
      </c>
      <c r="B943" t="s">
        <v>132</v>
      </c>
    </row>
    <row r="944" spans="1:2" x14ac:dyDescent="0.45">
      <c r="A944" t="s">
        <v>3183</v>
      </c>
      <c r="B944" t="s">
        <v>132</v>
      </c>
    </row>
    <row r="945" spans="1:2" x14ac:dyDescent="0.45">
      <c r="A945" t="s">
        <v>3186</v>
      </c>
      <c r="B945" t="s">
        <v>132</v>
      </c>
    </row>
    <row r="946" spans="1:2" x14ac:dyDescent="0.45">
      <c r="A946" t="s">
        <v>3188</v>
      </c>
      <c r="B946" t="s">
        <v>94</v>
      </c>
    </row>
    <row r="947" spans="1:2" x14ac:dyDescent="0.45">
      <c r="A947" t="s">
        <v>3193</v>
      </c>
      <c r="B947" t="s">
        <v>132</v>
      </c>
    </row>
    <row r="948" spans="1:2" x14ac:dyDescent="0.45">
      <c r="A948" t="s">
        <v>3195</v>
      </c>
      <c r="B948" t="s">
        <v>128</v>
      </c>
    </row>
    <row r="949" spans="1:2" x14ac:dyDescent="0.45">
      <c r="A949" t="s">
        <v>3198</v>
      </c>
      <c r="B949" t="s">
        <v>267</v>
      </c>
    </row>
    <row r="950" spans="1:2" x14ac:dyDescent="0.45">
      <c r="A950" t="s">
        <v>3202</v>
      </c>
      <c r="B950" t="s">
        <v>94</v>
      </c>
    </row>
    <row r="951" spans="1:2" x14ac:dyDescent="0.45">
      <c r="A951" t="s">
        <v>3208</v>
      </c>
      <c r="B951" t="s">
        <v>132</v>
      </c>
    </row>
    <row r="952" spans="1:2" x14ac:dyDescent="0.45">
      <c r="A952" t="s">
        <v>3211</v>
      </c>
      <c r="B952" t="s">
        <v>89</v>
      </c>
    </row>
    <row r="953" spans="1:2" x14ac:dyDescent="0.45">
      <c r="A953" t="s">
        <v>3214</v>
      </c>
      <c r="B953" t="s">
        <v>94</v>
      </c>
    </row>
    <row r="954" spans="1:2" x14ac:dyDescent="0.45">
      <c r="A954" t="s">
        <v>3217</v>
      </c>
      <c r="B954" t="s">
        <v>94</v>
      </c>
    </row>
    <row r="955" spans="1:2" x14ac:dyDescent="0.45">
      <c r="A955" t="s">
        <v>3219</v>
      </c>
      <c r="B955" t="s">
        <v>132</v>
      </c>
    </row>
    <row r="956" spans="1:2" x14ac:dyDescent="0.45">
      <c r="A956" t="s">
        <v>3222</v>
      </c>
      <c r="B956" t="s">
        <v>132</v>
      </c>
    </row>
    <row r="957" spans="1:2" x14ac:dyDescent="0.45">
      <c r="A957" t="s">
        <v>3224</v>
      </c>
      <c r="B957" t="s">
        <v>128</v>
      </c>
    </row>
    <row r="958" spans="1:2" x14ac:dyDescent="0.45">
      <c r="A958" t="s">
        <v>3226</v>
      </c>
      <c r="B958" t="s">
        <v>128</v>
      </c>
    </row>
    <row r="959" spans="1:2" x14ac:dyDescent="0.45">
      <c r="A959" t="s">
        <v>3228</v>
      </c>
      <c r="B959" t="s">
        <v>128</v>
      </c>
    </row>
    <row r="960" spans="1:2" x14ac:dyDescent="0.45">
      <c r="A960" t="s">
        <v>3231</v>
      </c>
      <c r="B960" t="s">
        <v>132</v>
      </c>
    </row>
    <row r="961" spans="1:2" x14ac:dyDescent="0.45">
      <c r="A961" t="s">
        <v>3233</v>
      </c>
      <c r="B961" t="s">
        <v>132</v>
      </c>
    </row>
    <row r="962" spans="1:2" x14ac:dyDescent="0.45">
      <c r="A962" t="s">
        <v>3236</v>
      </c>
      <c r="B962" t="s">
        <v>132</v>
      </c>
    </row>
    <row r="963" spans="1:2" x14ac:dyDescent="0.45">
      <c r="A963" t="s">
        <v>3244</v>
      </c>
      <c r="B963" t="s">
        <v>132</v>
      </c>
    </row>
    <row r="964" spans="1:2" x14ac:dyDescent="0.45">
      <c r="A964" t="s">
        <v>3246</v>
      </c>
      <c r="B964" t="s">
        <v>128</v>
      </c>
    </row>
    <row r="965" spans="1:2" x14ac:dyDescent="0.45">
      <c r="A965" t="s">
        <v>3249</v>
      </c>
      <c r="B965" t="s">
        <v>267</v>
      </c>
    </row>
    <row r="966" spans="1:2" x14ac:dyDescent="0.45">
      <c r="A966" t="s">
        <v>3251</v>
      </c>
      <c r="B966" t="s">
        <v>267</v>
      </c>
    </row>
    <row r="967" spans="1:2" x14ac:dyDescent="0.45">
      <c r="A967" t="s">
        <v>3252</v>
      </c>
      <c r="B967" t="s">
        <v>94</v>
      </c>
    </row>
    <row r="968" spans="1:2" x14ac:dyDescent="0.45">
      <c r="A968" t="s">
        <v>3256</v>
      </c>
      <c r="B968" t="s">
        <v>128</v>
      </c>
    </row>
    <row r="969" spans="1:2" x14ac:dyDescent="0.45">
      <c r="A969" t="s">
        <v>3262</v>
      </c>
      <c r="B969" t="s">
        <v>267</v>
      </c>
    </row>
    <row r="970" spans="1:2" x14ac:dyDescent="0.45">
      <c r="A970" t="s">
        <v>3264</v>
      </c>
      <c r="B970" t="s">
        <v>128</v>
      </c>
    </row>
    <row r="971" spans="1:2" x14ac:dyDescent="0.45">
      <c r="A971" t="s">
        <v>3267</v>
      </c>
      <c r="B971" t="s">
        <v>128</v>
      </c>
    </row>
    <row r="972" spans="1:2" x14ac:dyDescent="0.45">
      <c r="A972" t="s">
        <v>3268</v>
      </c>
      <c r="B972" t="s">
        <v>128</v>
      </c>
    </row>
    <row r="973" spans="1:2" x14ac:dyDescent="0.45">
      <c r="A973" t="s">
        <v>3271</v>
      </c>
      <c r="B973" t="s">
        <v>267</v>
      </c>
    </row>
    <row r="974" spans="1:2" x14ac:dyDescent="0.45">
      <c r="A974" t="s">
        <v>3274</v>
      </c>
      <c r="B974" t="s">
        <v>128</v>
      </c>
    </row>
    <row r="975" spans="1:2" x14ac:dyDescent="0.45">
      <c r="A975" t="s">
        <v>3276</v>
      </c>
      <c r="B975" t="s">
        <v>132</v>
      </c>
    </row>
    <row r="976" spans="1:2" x14ac:dyDescent="0.45">
      <c r="A976" t="s">
        <v>3278</v>
      </c>
      <c r="B976" t="s">
        <v>147</v>
      </c>
    </row>
    <row r="977" spans="1:2" x14ac:dyDescent="0.45">
      <c r="A977" t="s">
        <v>3280</v>
      </c>
      <c r="B977" t="s">
        <v>128</v>
      </c>
    </row>
    <row r="978" spans="1:2" x14ac:dyDescent="0.45">
      <c r="A978" t="s">
        <v>3283</v>
      </c>
      <c r="B978" t="s">
        <v>94</v>
      </c>
    </row>
    <row r="979" spans="1:2" x14ac:dyDescent="0.45">
      <c r="A979" t="s">
        <v>3286</v>
      </c>
      <c r="B979" t="s">
        <v>147</v>
      </c>
    </row>
    <row r="980" spans="1:2" x14ac:dyDescent="0.45">
      <c r="A980" t="s">
        <v>3288</v>
      </c>
      <c r="B980" t="s">
        <v>147</v>
      </c>
    </row>
    <row r="981" spans="1:2" x14ac:dyDescent="0.45">
      <c r="A981" t="s">
        <v>3291</v>
      </c>
      <c r="B981" t="s">
        <v>147</v>
      </c>
    </row>
    <row r="982" spans="1:2" x14ac:dyDescent="0.45">
      <c r="A982" t="s">
        <v>3295</v>
      </c>
      <c r="B982" t="s">
        <v>267</v>
      </c>
    </row>
    <row r="983" spans="1:2" x14ac:dyDescent="0.45">
      <c r="A983" t="s">
        <v>3297</v>
      </c>
      <c r="B983" t="s">
        <v>94</v>
      </c>
    </row>
    <row r="984" spans="1:2" x14ac:dyDescent="0.45">
      <c r="A984" t="s">
        <v>3303</v>
      </c>
      <c r="B984" t="s">
        <v>147</v>
      </c>
    </row>
    <row r="985" spans="1:2" x14ac:dyDescent="0.45">
      <c r="A985" t="s">
        <v>3305</v>
      </c>
      <c r="B985" t="s">
        <v>132</v>
      </c>
    </row>
    <row r="986" spans="1:2" x14ac:dyDescent="0.45">
      <c r="A986" t="s">
        <v>3307</v>
      </c>
      <c r="B986" t="s">
        <v>132</v>
      </c>
    </row>
    <row r="987" spans="1:2" x14ac:dyDescent="0.45">
      <c r="A987" t="s">
        <v>3309</v>
      </c>
      <c r="B987" t="s">
        <v>132</v>
      </c>
    </row>
    <row r="988" spans="1:2" x14ac:dyDescent="0.45">
      <c r="A988" t="s">
        <v>3311</v>
      </c>
      <c r="B988" t="s">
        <v>147</v>
      </c>
    </row>
    <row r="989" spans="1:2" x14ac:dyDescent="0.45">
      <c r="A989" t="s">
        <v>3313</v>
      </c>
      <c r="B989" t="s">
        <v>128</v>
      </c>
    </row>
    <row r="990" spans="1:2" x14ac:dyDescent="0.45">
      <c r="A990" t="s">
        <v>3320</v>
      </c>
      <c r="B990" t="s">
        <v>147</v>
      </c>
    </row>
    <row r="991" spans="1:2" x14ac:dyDescent="0.45">
      <c r="A991" t="s">
        <v>3322</v>
      </c>
      <c r="B991" t="s">
        <v>128</v>
      </c>
    </row>
    <row r="992" spans="1:2" x14ac:dyDescent="0.45">
      <c r="A992" t="s">
        <v>3324</v>
      </c>
      <c r="B992" t="s">
        <v>147</v>
      </c>
    </row>
    <row r="993" spans="1:2" x14ac:dyDescent="0.45">
      <c r="A993" t="s">
        <v>3326</v>
      </c>
      <c r="B993" t="s">
        <v>132</v>
      </c>
    </row>
    <row r="994" spans="1:2" x14ac:dyDescent="0.45">
      <c r="A994" t="s">
        <v>3328</v>
      </c>
      <c r="B994" t="s">
        <v>267</v>
      </c>
    </row>
    <row r="995" spans="1:2" x14ac:dyDescent="0.45">
      <c r="A995" t="s">
        <v>3329</v>
      </c>
      <c r="B995" t="s">
        <v>128</v>
      </c>
    </row>
    <row r="996" spans="1:2" x14ac:dyDescent="0.45">
      <c r="A996" t="s">
        <v>3331</v>
      </c>
      <c r="B996" t="s">
        <v>128</v>
      </c>
    </row>
    <row r="997" spans="1:2" x14ac:dyDescent="0.45">
      <c r="A997" t="s">
        <v>3340</v>
      </c>
      <c r="B997" t="s">
        <v>132</v>
      </c>
    </row>
    <row r="998" spans="1:2" x14ac:dyDescent="0.45">
      <c r="A998" t="s">
        <v>3343</v>
      </c>
      <c r="B998" t="s">
        <v>147</v>
      </c>
    </row>
    <row r="999" spans="1:2" x14ac:dyDescent="0.45">
      <c r="A999" t="s">
        <v>3345</v>
      </c>
      <c r="B999" t="s">
        <v>147</v>
      </c>
    </row>
    <row r="1000" spans="1:2" x14ac:dyDescent="0.45">
      <c r="A1000" t="s">
        <v>3347</v>
      </c>
      <c r="B1000" t="s">
        <v>128</v>
      </c>
    </row>
    <row r="1001" spans="1:2" x14ac:dyDescent="0.45">
      <c r="A1001" t="s">
        <v>3348</v>
      </c>
      <c r="B1001" t="s">
        <v>128</v>
      </c>
    </row>
    <row r="1002" spans="1:2" x14ac:dyDescent="0.45">
      <c r="A1002" t="s">
        <v>3349</v>
      </c>
      <c r="B1002" t="s">
        <v>128</v>
      </c>
    </row>
    <row r="1003" spans="1:2" x14ac:dyDescent="0.45">
      <c r="A1003" t="s">
        <v>3352</v>
      </c>
      <c r="B1003" t="s">
        <v>267</v>
      </c>
    </row>
    <row r="1004" spans="1:2" x14ac:dyDescent="0.45">
      <c r="A1004" t="s">
        <v>3355</v>
      </c>
      <c r="B1004" t="s">
        <v>128</v>
      </c>
    </row>
    <row r="1005" spans="1:2" x14ac:dyDescent="0.45">
      <c r="A1005" t="s">
        <v>3358</v>
      </c>
      <c r="B1005" t="s">
        <v>128</v>
      </c>
    </row>
    <row r="1006" spans="1:2" x14ac:dyDescent="0.45">
      <c r="A1006" t="s">
        <v>3361</v>
      </c>
      <c r="B1006" t="s">
        <v>128</v>
      </c>
    </row>
    <row r="1007" spans="1:2" x14ac:dyDescent="0.45">
      <c r="A1007" t="s">
        <v>3368</v>
      </c>
      <c r="B1007" t="s">
        <v>147</v>
      </c>
    </row>
    <row r="1008" spans="1:2" x14ac:dyDescent="0.45">
      <c r="A1008" t="s">
        <v>3372</v>
      </c>
      <c r="B1008" t="s">
        <v>128</v>
      </c>
    </row>
    <row r="1009" spans="1:2" x14ac:dyDescent="0.45">
      <c r="A1009" t="s">
        <v>3374</v>
      </c>
      <c r="B1009" t="s">
        <v>128</v>
      </c>
    </row>
    <row r="1010" spans="1:2" x14ac:dyDescent="0.45">
      <c r="A1010" t="s">
        <v>3376</v>
      </c>
      <c r="B1010" t="s">
        <v>267</v>
      </c>
    </row>
    <row r="1011" spans="1:2" x14ac:dyDescent="0.45">
      <c r="A1011" t="s">
        <v>3378</v>
      </c>
      <c r="B1011" t="s">
        <v>147</v>
      </c>
    </row>
    <row r="1012" spans="1:2" x14ac:dyDescent="0.45">
      <c r="A1012" t="s">
        <v>3381</v>
      </c>
      <c r="B1012" t="s">
        <v>132</v>
      </c>
    </row>
    <row r="1013" spans="1:2" x14ac:dyDescent="0.45">
      <c r="A1013" t="s">
        <v>3383</v>
      </c>
      <c r="B1013" t="s">
        <v>267</v>
      </c>
    </row>
    <row r="1014" spans="1:2" x14ac:dyDescent="0.45">
      <c r="A1014" t="s">
        <v>3385</v>
      </c>
      <c r="B1014" t="s">
        <v>132</v>
      </c>
    </row>
    <row r="1015" spans="1:2" x14ac:dyDescent="0.45">
      <c r="A1015" t="s">
        <v>3387</v>
      </c>
      <c r="B1015" t="s">
        <v>132</v>
      </c>
    </row>
    <row r="1016" spans="1:2" x14ac:dyDescent="0.45">
      <c r="A1016" t="s">
        <v>3392</v>
      </c>
      <c r="B1016" t="s">
        <v>267</v>
      </c>
    </row>
    <row r="1017" spans="1:2" x14ac:dyDescent="0.45">
      <c r="A1017" t="s">
        <v>3394</v>
      </c>
      <c r="B1017" t="s">
        <v>267</v>
      </c>
    </row>
    <row r="1018" spans="1:2" x14ac:dyDescent="0.45">
      <c r="A1018" t="s">
        <v>3396</v>
      </c>
      <c r="B1018" t="s">
        <v>94</v>
      </c>
    </row>
    <row r="1019" spans="1:2" x14ac:dyDescent="0.45">
      <c r="A1019" t="s">
        <v>3397</v>
      </c>
      <c r="B1019" t="s">
        <v>267</v>
      </c>
    </row>
    <row r="1020" spans="1:2" x14ac:dyDescent="0.45">
      <c r="A1020" t="s">
        <v>3401</v>
      </c>
      <c r="B1020" t="s">
        <v>94</v>
      </c>
    </row>
    <row r="1021" spans="1:2" x14ac:dyDescent="0.45">
      <c r="A1021" t="s">
        <v>3410</v>
      </c>
      <c r="B1021" t="s">
        <v>89</v>
      </c>
    </row>
    <row r="1022" spans="1:2" x14ac:dyDescent="0.45">
      <c r="A1022" t="s">
        <v>3411</v>
      </c>
      <c r="B1022" t="s">
        <v>89</v>
      </c>
    </row>
    <row r="1023" spans="1:2" x14ac:dyDescent="0.45">
      <c r="A1023" t="s">
        <v>3412</v>
      </c>
      <c r="B1023" t="s">
        <v>89</v>
      </c>
    </row>
    <row r="1024" spans="1:2" x14ac:dyDescent="0.45">
      <c r="A1024" t="s">
        <v>3413</v>
      </c>
      <c r="B1024" t="s">
        <v>94</v>
      </c>
    </row>
    <row r="1025" spans="1:2" x14ac:dyDescent="0.45">
      <c r="A1025" t="s">
        <v>3414</v>
      </c>
      <c r="B1025" t="s">
        <v>94</v>
      </c>
    </row>
    <row r="1026" spans="1:2" x14ac:dyDescent="0.45">
      <c r="A1026" t="s">
        <v>3417</v>
      </c>
      <c r="B1026" t="s">
        <v>89</v>
      </c>
    </row>
    <row r="1027" spans="1:2" x14ac:dyDescent="0.45">
      <c r="A1027" t="s">
        <v>3419</v>
      </c>
      <c r="B1027" t="s">
        <v>89</v>
      </c>
    </row>
    <row r="1028" spans="1:2" x14ac:dyDescent="0.45">
      <c r="A1028" t="s">
        <v>3421</v>
      </c>
      <c r="B1028" t="s">
        <v>89</v>
      </c>
    </row>
    <row r="1029" spans="1:2" x14ac:dyDescent="0.45">
      <c r="A1029" t="s">
        <v>3424</v>
      </c>
      <c r="B1029" t="s">
        <v>89</v>
      </c>
    </row>
    <row r="1030" spans="1:2" x14ac:dyDescent="0.45">
      <c r="A1030" t="s">
        <v>3429</v>
      </c>
      <c r="B1030" t="s">
        <v>89</v>
      </c>
    </row>
    <row r="1031" spans="1:2" x14ac:dyDescent="0.45">
      <c r="A1031" t="s">
        <v>3431</v>
      </c>
      <c r="B1031" t="s">
        <v>89</v>
      </c>
    </row>
    <row r="1032" spans="1:2" x14ac:dyDescent="0.45">
      <c r="A1032" t="s">
        <v>3436</v>
      </c>
      <c r="B1032" t="s">
        <v>89</v>
      </c>
    </row>
    <row r="1033" spans="1:2" x14ac:dyDescent="0.45">
      <c r="A1033" t="s">
        <v>3439</v>
      </c>
      <c r="B1033" t="s">
        <v>89</v>
      </c>
    </row>
    <row r="1034" spans="1:2" x14ac:dyDescent="0.45">
      <c r="A1034" t="s">
        <v>3441</v>
      </c>
      <c r="B1034" t="s">
        <v>89</v>
      </c>
    </row>
    <row r="1035" spans="1:2" x14ac:dyDescent="0.45">
      <c r="A1035" t="s">
        <v>3446</v>
      </c>
      <c r="B1035" t="s">
        <v>89</v>
      </c>
    </row>
    <row r="1036" spans="1:2" x14ac:dyDescent="0.45">
      <c r="A1036" t="s">
        <v>3447</v>
      </c>
      <c r="B1036" t="s">
        <v>108</v>
      </c>
    </row>
    <row r="1037" spans="1:2" x14ac:dyDescent="0.45">
      <c r="A1037" t="s">
        <v>3453</v>
      </c>
      <c r="B1037" t="s">
        <v>89</v>
      </c>
    </row>
    <row r="1038" spans="1:2" x14ac:dyDescent="0.45">
      <c r="A1038" t="s">
        <v>3455</v>
      </c>
      <c r="B1038" t="s">
        <v>89</v>
      </c>
    </row>
    <row r="1039" spans="1:2" x14ac:dyDescent="0.45">
      <c r="A1039" t="s">
        <v>3458</v>
      </c>
      <c r="B1039" t="s">
        <v>89</v>
      </c>
    </row>
    <row r="1040" spans="1:2" x14ac:dyDescent="0.45">
      <c r="A1040" t="s">
        <v>3459</v>
      </c>
      <c r="B1040" t="s">
        <v>132</v>
      </c>
    </row>
    <row r="1041" spans="1:2" x14ac:dyDescent="0.45">
      <c r="A1041" t="s">
        <v>3466</v>
      </c>
      <c r="B1041" t="s">
        <v>94</v>
      </c>
    </row>
    <row r="1042" spans="1:2" x14ac:dyDescent="0.45">
      <c r="A1042" t="s">
        <v>3470</v>
      </c>
      <c r="B1042" t="s">
        <v>132</v>
      </c>
    </row>
    <row r="1043" spans="1:2" x14ac:dyDescent="0.45">
      <c r="A1043" t="s">
        <v>3472</v>
      </c>
      <c r="B1043" t="s">
        <v>89</v>
      </c>
    </row>
    <row r="1044" spans="1:2" x14ac:dyDescent="0.45">
      <c r="A1044" t="s">
        <v>3473</v>
      </c>
      <c r="B1044" t="s">
        <v>108</v>
      </c>
    </row>
    <row r="1045" spans="1:2" x14ac:dyDescent="0.45">
      <c r="A1045" t="s">
        <v>3477</v>
      </c>
      <c r="B1045" t="s">
        <v>132</v>
      </c>
    </row>
    <row r="1046" spans="1:2" x14ac:dyDescent="0.45">
      <c r="A1046" t="s">
        <v>3480</v>
      </c>
      <c r="B1046" t="s">
        <v>108</v>
      </c>
    </row>
    <row r="1047" spans="1:2" x14ac:dyDescent="0.45">
      <c r="A1047" t="s">
        <v>3483</v>
      </c>
      <c r="B1047" t="s">
        <v>94</v>
      </c>
    </row>
    <row r="1048" spans="1:2" x14ac:dyDescent="0.45">
      <c r="A1048" t="s">
        <v>3485</v>
      </c>
      <c r="B1048" t="s">
        <v>132</v>
      </c>
    </row>
    <row r="1049" spans="1:2" x14ac:dyDescent="0.45">
      <c r="A1049" t="s">
        <v>3487</v>
      </c>
      <c r="B1049" t="s">
        <v>132</v>
      </c>
    </row>
    <row r="1050" spans="1:2" x14ac:dyDescent="0.45">
      <c r="A1050" t="s">
        <v>3489</v>
      </c>
      <c r="B1050" t="s">
        <v>132</v>
      </c>
    </row>
    <row r="1051" spans="1:2" x14ac:dyDescent="0.45">
      <c r="A1051" t="s">
        <v>3491</v>
      </c>
      <c r="B1051" t="s">
        <v>132</v>
      </c>
    </row>
    <row r="1052" spans="1:2" x14ac:dyDescent="0.45">
      <c r="A1052" t="s">
        <v>3493</v>
      </c>
      <c r="B1052" t="s">
        <v>94</v>
      </c>
    </row>
    <row r="1053" spans="1:2" x14ac:dyDescent="0.45">
      <c r="A1053" t="s">
        <v>3495</v>
      </c>
      <c r="B1053" t="s">
        <v>89</v>
      </c>
    </row>
    <row r="1054" spans="1:2" x14ac:dyDescent="0.45">
      <c r="A1054" t="s">
        <v>3498</v>
      </c>
      <c r="B1054" t="s">
        <v>132</v>
      </c>
    </row>
    <row r="1055" spans="1:2" x14ac:dyDescent="0.45">
      <c r="A1055" t="s">
        <v>3500</v>
      </c>
      <c r="B1055" t="s">
        <v>132</v>
      </c>
    </row>
    <row r="1056" spans="1:2" x14ac:dyDescent="0.45">
      <c r="A1056" t="s">
        <v>3501</v>
      </c>
      <c r="B1056" t="s">
        <v>108</v>
      </c>
    </row>
    <row r="1057" spans="1:2" x14ac:dyDescent="0.45">
      <c r="A1057" t="s">
        <v>3503</v>
      </c>
      <c r="B1057" t="s">
        <v>132</v>
      </c>
    </row>
    <row r="1058" spans="1:2" x14ac:dyDescent="0.45">
      <c r="A1058" t="s">
        <v>3506</v>
      </c>
      <c r="B1058" t="s">
        <v>132</v>
      </c>
    </row>
    <row r="1059" spans="1:2" x14ac:dyDescent="0.45">
      <c r="A1059" t="s">
        <v>3508</v>
      </c>
      <c r="B1059" t="s">
        <v>94</v>
      </c>
    </row>
    <row r="1060" spans="1:2" x14ac:dyDescent="0.45">
      <c r="A1060" t="s">
        <v>3511</v>
      </c>
      <c r="B1060" t="s">
        <v>128</v>
      </c>
    </row>
    <row r="1061" spans="1:2" x14ac:dyDescent="0.45">
      <c r="A1061" t="s">
        <v>3514</v>
      </c>
      <c r="B1061" t="s">
        <v>128</v>
      </c>
    </row>
    <row r="1062" spans="1:2" x14ac:dyDescent="0.45">
      <c r="A1062" t="s">
        <v>3525</v>
      </c>
      <c r="B1062" t="s">
        <v>132</v>
      </c>
    </row>
    <row r="1063" spans="1:2" x14ac:dyDescent="0.45">
      <c r="A1063" t="s">
        <v>3526</v>
      </c>
      <c r="B1063" t="s">
        <v>132</v>
      </c>
    </row>
    <row r="1064" spans="1:2" x14ac:dyDescent="0.45">
      <c r="A1064" t="s">
        <v>3527</v>
      </c>
      <c r="B1064" t="s">
        <v>132</v>
      </c>
    </row>
    <row r="1065" spans="1:2" x14ac:dyDescent="0.45">
      <c r="A1065" t="s">
        <v>3533</v>
      </c>
      <c r="B1065" t="s">
        <v>132</v>
      </c>
    </row>
    <row r="1066" spans="1:2" x14ac:dyDescent="0.45">
      <c r="A1066" t="s">
        <v>3535</v>
      </c>
      <c r="B1066" t="s">
        <v>132</v>
      </c>
    </row>
    <row r="1067" spans="1:2" x14ac:dyDescent="0.45">
      <c r="A1067" t="s">
        <v>3537</v>
      </c>
      <c r="B1067" t="s">
        <v>132</v>
      </c>
    </row>
    <row r="1068" spans="1:2" x14ac:dyDescent="0.45">
      <c r="A1068" t="s">
        <v>3540</v>
      </c>
      <c r="B1068" t="s">
        <v>132</v>
      </c>
    </row>
    <row r="1069" spans="1:2" x14ac:dyDescent="0.45">
      <c r="A1069" t="s">
        <v>3544</v>
      </c>
      <c r="B1069" t="s">
        <v>132</v>
      </c>
    </row>
    <row r="1070" spans="1:2" x14ac:dyDescent="0.45">
      <c r="A1070" t="s">
        <v>3549</v>
      </c>
      <c r="B1070" t="s">
        <v>132</v>
      </c>
    </row>
    <row r="1071" spans="1:2" x14ac:dyDescent="0.45">
      <c r="A1071" t="s">
        <v>3551</v>
      </c>
      <c r="B1071" t="s">
        <v>132</v>
      </c>
    </row>
    <row r="1072" spans="1:2" x14ac:dyDescent="0.45">
      <c r="A1072" t="s">
        <v>3554</v>
      </c>
      <c r="B1072" t="s">
        <v>89</v>
      </c>
    </row>
    <row r="1073" spans="1:2" x14ac:dyDescent="0.45">
      <c r="A1073" t="s">
        <v>3557</v>
      </c>
      <c r="B1073" t="s">
        <v>267</v>
      </c>
    </row>
    <row r="1074" spans="1:2" x14ac:dyDescent="0.45">
      <c r="A1074" t="s">
        <v>3560</v>
      </c>
      <c r="B1074" t="s">
        <v>128</v>
      </c>
    </row>
    <row r="1075" spans="1:2" x14ac:dyDescent="0.45">
      <c r="A1075" t="s">
        <v>3563</v>
      </c>
      <c r="B1075" t="s">
        <v>132</v>
      </c>
    </row>
    <row r="1076" spans="1:2" x14ac:dyDescent="0.45">
      <c r="A1076" t="s">
        <v>3566</v>
      </c>
      <c r="B1076" t="s">
        <v>132</v>
      </c>
    </row>
    <row r="1077" spans="1:2" x14ac:dyDescent="0.45">
      <c r="A1077" t="s">
        <v>3569</v>
      </c>
      <c r="B1077" t="s">
        <v>132</v>
      </c>
    </row>
    <row r="1078" spans="1:2" x14ac:dyDescent="0.45">
      <c r="A1078" t="s">
        <v>3577</v>
      </c>
      <c r="B1078" t="s">
        <v>132</v>
      </c>
    </row>
    <row r="1079" spans="1:2" x14ac:dyDescent="0.45">
      <c r="A1079" t="s">
        <v>3580</v>
      </c>
      <c r="B1079" t="s">
        <v>132</v>
      </c>
    </row>
    <row r="1080" spans="1:2" x14ac:dyDescent="0.45">
      <c r="A1080" t="s">
        <v>3581</v>
      </c>
      <c r="B1080" t="s">
        <v>128</v>
      </c>
    </row>
    <row r="1081" spans="1:2" x14ac:dyDescent="0.45">
      <c r="A1081" t="s">
        <v>3584</v>
      </c>
      <c r="B1081" t="s">
        <v>128</v>
      </c>
    </row>
    <row r="1082" spans="1:2" x14ac:dyDescent="0.45">
      <c r="A1082" t="s">
        <v>3587</v>
      </c>
      <c r="B1082" t="s">
        <v>128</v>
      </c>
    </row>
    <row r="1083" spans="1:2" x14ac:dyDescent="0.45">
      <c r="A1083" t="s">
        <v>3590</v>
      </c>
      <c r="B1083" t="s">
        <v>128</v>
      </c>
    </row>
    <row r="1084" spans="1:2" x14ac:dyDescent="0.45">
      <c r="A1084" t="s">
        <v>3591</v>
      </c>
      <c r="B1084" t="s">
        <v>132</v>
      </c>
    </row>
    <row r="1085" spans="1:2" x14ac:dyDescent="0.45">
      <c r="A1085" t="s">
        <v>3594</v>
      </c>
      <c r="B1085" t="s">
        <v>128</v>
      </c>
    </row>
    <row r="1086" spans="1:2" x14ac:dyDescent="0.45">
      <c r="A1086" t="s">
        <v>3598</v>
      </c>
      <c r="B1086" t="s">
        <v>132</v>
      </c>
    </row>
    <row r="1087" spans="1:2" x14ac:dyDescent="0.45">
      <c r="A1087" t="s">
        <v>3604</v>
      </c>
      <c r="B1087" t="s">
        <v>128</v>
      </c>
    </row>
    <row r="1088" spans="1:2" x14ac:dyDescent="0.45">
      <c r="A1088" t="s">
        <v>3607</v>
      </c>
      <c r="B1088" t="s">
        <v>128</v>
      </c>
    </row>
    <row r="1089" spans="1:2" x14ac:dyDescent="0.45">
      <c r="A1089" t="s">
        <v>3610</v>
      </c>
      <c r="B1089" t="s">
        <v>132</v>
      </c>
    </row>
    <row r="1090" spans="1:2" x14ac:dyDescent="0.45">
      <c r="A1090" t="s">
        <v>3611</v>
      </c>
      <c r="B1090" t="s">
        <v>128</v>
      </c>
    </row>
    <row r="1091" spans="1:2" x14ac:dyDescent="0.45">
      <c r="A1091" t="s">
        <v>3613</v>
      </c>
      <c r="B1091" t="s">
        <v>128</v>
      </c>
    </row>
    <row r="1092" spans="1:2" x14ac:dyDescent="0.45">
      <c r="A1092" t="s">
        <v>3616</v>
      </c>
      <c r="B1092" t="s">
        <v>128</v>
      </c>
    </row>
    <row r="1093" spans="1:2" x14ac:dyDescent="0.45">
      <c r="A1093" t="s">
        <v>3619</v>
      </c>
      <c r="B1093" t="s">
        <v>128</v>
      </c>
    </row>
    <row r="1094" spans="1:2" x14ac:dyDescent="0.45">
      <c r="A1094" t="s">
        <v>3624</v>
      </c>
      <c r="B1094" t="s">
        <v>128</v>
      </c>
    </row>
    <row r="1095" spans="1:2" x14ac:dyDescent="0.45">
      <c r="A1095" t="s">
        <v>3625</v>
      </c>
      <c r="B1095" t="s">
        <v>132</v>
      </c>
    </row>
    <row r="1096" spans="1:2" x14ac:dyDescent="0.45">
      <c r="A1096" t="s">
        <v>3628</v>
      </c>
      <c r="B1096" t="s">
        <v>132</v>
      </c>
    </row>
    <row r="1097" spans="1:2" x14ac:dyDescent="0.45">
      <c r="A1097" t="s">
        <v>3630</v>
      </c>
      <c r="B1097" t="s">
        <v>132</v>
      </c>
    </row>
    <row r="1098" spans="1:2" x14ac:dyDescent="0.45">
      <c r="A1098" t="s">
        <v>3633</v>
      </c>
      <c r="B1098" t="s">
        <v>132</v>
      </c>
    </row>
    <row r="1099" spans="1:2" x14ac:dyDescent="0.45">
      <c r="A1099" t="s">
        <v>3638</v>
      </c>
      <c r="B1099" t="s">
        <v>128</v>
      </c>
    </row>
    <row r="1100" spans="1:2" x14ac:dyDescent="0.45">
      <c r="A1100" t="s">
        <v>3640</v>
      </c>
      <c r="B1100" t="s">
        <v>132</v>
      </c>
    </row>
    <row r="1101" spans="1:2" x14ac:dyDescent="0.45">
      <c r="A1101" t="s">
        <v>3641</v>
      </c>
      <c r="B1101" t="s">
        <v>128</v>
      </c>
    </row>
    <row r="1102" spans="1:2" x14ac:dyDescent="0.45">
      <c r="A1102" t="s">
        <v>3644</v>
      </c>
      <c r="B1102" t="s">
        <v>132</v>
      </c>
    </row>
    <row r="1103" spans="1:2" x14ac:dyDescent="0.45">
      <c r="A1103" t="s">
        <v>3646</v>
      </c>
      <c r="B1103" t="s">
        <v>132</v>
      </c>
    </row>
    <row r="1104" spans="1:2" x14ac:dyDescent="0.45">
      <c r="A1104" t="s">
        <v>3648</v>
      </c>
      <c r="B1104" t="s">
        <v>132</v>
      </c>
    </row>
    <row r="1105" spans="1:2" x14ac:dyDescent="0.45">
      <c r="A1105" t="s">
        <v>3653</v>
      </c>
      <c r="B1105" t="s">
        <v>132</v>
      </c>
    </row>
    <row r="1106" spans="1:2" x14ac:dyDescent="0.45">
      <c r="A1106" t="s">
        <v>3656</v>
      </c>
      <c r="B1106" t="s">
        <v>132</v>
      </c>
    </row>
    <row r="1107" spans="1:2" x14ac:dyDescent="0.45">
      <c r="A1107" t="s">
        <v>3657</v>
      </c>
      <c r="B1107" t="s">
        <v>128</v>
      </c>
    </row>
    <row r="1108" spans="1:2" x14ac:dyDescent="0.45">
      <c r="A1108" t="s">
        <v>3660</v>
      </c>
      <c r="B1108" t="s">
        <v>132</v>
      </c>
    </row>
    <row r="1109" spans="1:2" x14ac:dyDescent="0.45">
      <c r="A1109" t="s">
        <v>3662</v>
      </c>
      <c r="B1109" t="s">
        <v>128</v>
      </c>
    </row>
    <row r="1110" spans="1:2" x14ac:dyDescent="0.45">
      <c r="A1110" t="s">
        <v>3664</v>
      </c>
      <c r="B1110" t="s">
        <v>132</v>
      </c>
    </row>
    <row r="1111" spans="1:2" x14ac:dyDescent="0.45">
      <c r="A1111" t="s">
        <v>3667</v>
      </c>
      <c r="B1111" t="s">
        <v>128</v>
      </c>
    </row>
    <row r="1112" spans="1:2" x14ac:dyDescent="0.45">
      <c r="A1112" t="s">
        <v>3671</v>
      </c>
      <c r="B1112" t="s">
        <v>132</v>
      </c>
    </row>
    <row r="1113" spans="1:2" x14ac:dyDescent="0.45">
      <c r="A1113" t="s">
        <v>3673</v>
      </c>
      <c r="B1113" t="s">
        <v>132</v>
      </c>
    </row>
    <row r="1114" spans="1:2" x14ac:dyDescent="0.45">
      <c r="A1114" t="s">
        <v>3678</v>
      </c>
      <c r="B1114" t="s">
        <v>267</v>
      </c>
    </row>
    <row r="1115" spans="1:2" x14ac:dyDescent="0.45">
      <c r="A1115" t="s">
        <v>3679</v>
      </c>
      <c r="B1115" t="s">
        <v>128</v>
      </c>
    </row>
    <row r="1116" spans="1:2" x14ac:dyDescent="0.45">
      <c r="A1116" t="s">
        <v>3684</v>
      </c>
      <c r="B1116" t="s">
        <v>128</v>
      </c>
    </row>
    <row r="1117" spans="1:2" x14ac:dyDescent="0.45">
      <c r="A1117" t="s">
        <v>3685</v>
      </c>
      <c r="B1117" t="s">
        <v>132</v>
      </c>
    </row>
    <row r="1118" spans="1:2" x14ac:dyDescent="0.45">
      <c r="A1118" t="s">
        <v>3688</v>
      </c>
      <c r="B1118" t="s">
        <v>128</v>
      </c>
    </row>
    <row r="1119" spans="1:2" x14ac:dyDescent="0.45">
      <c r="A1119" t="s">
        <v>3693</v>
      </c>
      <c r="B1119" t="s">
        <v>132</v>
      </c>
    </row>
    <row r="1120" spans="1:2" x14ac:dyDescent="0.45">
      <c r="A1120" t="s">
        <v>3696</v>
      </c>
      <c r="B1120" t="s">
        <v>132</v>
      </c>
    </row>
    <row r="1121" spans="1:2" x14ac:dyDescent="0.45">
      <c r="A1121" t="s">
        <v>3697</v>
      </c>
      <c r="B1121" t="s">
        <v>128</v>
      </c>
    </row>
    <row r="1122" spans="1:2" x14ac:dyDescent="0.45">
      <c r="A1122" t="s">
        <v>3700</v>
      </c>
      <c r="B1122" t="s">
        <v>132</v>
      </c>
    </row>
    <row r="1123" spans="1:2" x14ac:dyDescent="0.45">
      <c r="A1123" t="s">
        <v>3703</v>
      </c>
      <c r="B1123" t="s">
        <v>132</v>
      </c>
    </row>
    <row r="1124" spans="1:2" x14ac:dyDescent="0.45">
      <c r="A1124" t="s">
        <v>3706</v>
      </c>
      <c r="B1124" t="s">
        <v>128</v>
      </c>
    </row>
    <row r="1125" spans="1:2" x14ac:dyDescent="0.45">
      <c r="A1125" t="s">
        <v>3711</v>
      </c>
      <c r="B1125" t="s">
        <v>128</v>
      </c>
    </row>
    <row r="1126" spans="1:2" x14ac:dyDescent="0.45">
      <c r="A1126" t="s">
        <v>3714</v>
      </c>
      <c r="B1126" t="s">
        <v>128</v>
      </c>
    </row>
    <row r="1127" spans="1:2" x14ac:dyDescent="0.45">
      <c r="A1127" t="s">
        <v>3722</v>
      </c>
      <c r="B1127" t="s">
        <v>128</v>
      </c>
    </row>
    <row r="1128" spans="1:2" x14ac:dyDescent="0.45">
      <c r="A1128" t="s">
        <v>3725</v>
      </c>
      <c r="B1128" t="s">
        <v>128</v>
      </c>
    </row>
    <row r="1129" spans="1:2" x14ac:dyDescent="0.45">
      <c r="A1129" t="s">
        <v>3728</v>
      </c>
      <c r="B1129" t="s">
        <v>147</v>
      </c>
    </row>
    <row r="1130" spans="1:2" x14ac:dyDescent="0.45">
      <c r="A1130" t="s">
        <v>3730</v>
      </c>
      <c r="B1130" t="s">
        <v>128</v>
      </c>
    </row>
    <row r="1131" spans="1:2" x14ac:dyDescent="0.45">
      <c r="A1131" t="s">
        <v>3733</v>
      </c>
      <c r="B1131" t="s">
        <v>128</v>
      </c>
    </row>
    <row r="1132" spans="1:2" x14ac:dyDescent="0.45">
      <c r="A1132" t="s">
        <v>3738</v>
      </c>
      <c r="B1132" t="s">
        <v>267</v>
      </c>
    </row>
    <row r="1133" spans="1:2" x14ac:dyDescent="0.45">
      <c r="A1133" t="s">
        <v>3739</v>
      </c>
      <c r="B1133" t="s">
        <v>128</v>
      </c>
    </row>
    <row r="1134" spans="1:2" x14ac:dyDescent="0.45">
      <c r="A1134" t="s">
        <v>3741</v>
      </c>
      <c r="B1134" t="s">
        <v>147</v>
      </c>
    </row>
    <row r="1135" spans="1:2" x14ac:dyDescent="0.45">
      <c r="A1135" t="s">
        <v>3746</v>
      </c>
      <c r="B1135" t="s">
        <v>147</v>
      </c>
    </row>
    <row r="1136" spans="1:2" x14ac:dyDescent="0.45">
      <c r="A1136" t="s">
        <v>3750</v>
      </c>
      <c r="B1136" t="s">
        <v>147</v>
      </c>
    </row>
    <row r="1137" spans="1:2" x14ac:dyDescent="0.45">
      <c r="A1137" t="s">
        <v>3752</v>
      </c>
      <c r="B1137" t="s">
        <v>128</v>
      </c>
    </row>
    <row r="1138" spans="1:2" x14ac:dyDescent="0.45">
      <c r="A1138" t="s">
        <v>3754</v>
      </c>
      <c r="B1138" t="s">
        <v>128</v>
      </c>
    </row>
    <row r="1139" spans="1:2" x14ac:dyDescent="0.45">
      <c r="A1139" t="s">
        <v>3755</v>
      </c>
      <c r="B1139" t="s">
        <v>147</v>
      </c>
    </row>
    <row r="1140" spans="1:2" x14ac:dyDescent="0.45">
      <c r="A1140" t="s">
        <v>3757</v>
      </c>
      <c r="B1140" t="s">
        <v>147</v>
      </c>
    </row>
    <row r="1141" spans="1:2" x14ac:dyDescent="0.45">
      <c r="A1141" t="s">
        <v>3759</v>
      </c>
      <c r="B1141" t="s">
        <v>89</v>
      </c>
    </row>
    <row r="1142" spans="1:2" x14ac:dyDescent="0.45">
      <c r="A1142" t="s">
        <v>3764</v>
      </c>
      <c r="B1142" t="s">
        <v>147</v>
      </c>
    </row>
    <row r="1143" spans="1:2" x14ac:dyDescent="0.45">
      <c r="A1143" t="s">
        <v>3765</v>
      </c>
      <c r="B1143" t="s">
        <v>132</v>
      </c>
    </row>
    <row r="1144" spans="1:2" x14ac:dyDescent="0.45">
      <c r="A1144" t="s">
        <v>3767</v>
      </c>
      <c r="B1144" t="s">
        <v>132</v>
      </c>
    </row>
    <row r="1145" spans="1:2" x14ac:dyDescent="0.45">
      <c r="A1145" t="s">
        <v>3769</v>
      </c>
      <c r="B1145" t="s">
        <v>132</v>
      </c>
    </row>
    <row r="1146" spans="1:2" x14ac:dyDescent="0.45">
      <c r="A1146" t="s">
        <v>3775</v>
      </c>
      <c r="B1146" t="s">
        <v>128</v>
      </c>
    </row>
    <row r="1147" spans="1:2" x14ac:dyDescent="0.45">
      <c r="A1147" t="s">
        <v>3776</v>
      </c>
      <c r="B1147" t="s">
        <v>128</v>
      </c>
    </row>
    <row r="1148" spans="1:2" x14ac:dyDescent="0.45">
      <c r="A1148" t="s">
        <v>3777</v>
      </c>
      <c r="B1148" t="s">
        <v>128</v>
      </c>
    </row>
    <row r="1149" spans="1:2" x14ac:dyDescent="0.45">
      <c r="A1149" t="s">
        <v>3780</v>
      </c>
      <c r="B1149" t="s">
        <v>89</v>
      </c>
    </row>
    <row r="1150" spans="1:2" x14ac:dyDescent="0.45">
      <c r="A1150" t="s">
        <v>3783</v>
      </c>
      <c r="B1150" t="s">
        <v>94</v>
      </c>
    </row>
    <row r="1151" spans="1:2" x14ac:dyDescent="0.45">
      <c r="A1151" t="s">
        <v>3785</v>
      </c>
      <c r="B1151" t="s">
        <v>94</v>
      </c>
    </row>
    <row r="1152" spans="1:2" x14ac:dyDescent="0.45">
      <c r="A1152" t="s">
        <v>3787</v>
      </c>
      <c r="B1152" t="s">
        <v>94</v>
      </c>
    </row>
    <row r="1153" spans="1:2" x14ac:dyDescent="0.45">
      <c r="A1153" t="s">
        <v>3789</v>
      </c>
      <c r="B1153" t="s">
        <v>94</v>
      </c>
    </row>
    <row r="1154" spans="1:2" x14ac:dyDescent="0.45">
      <c r="A1154" t="s">
        <v>3799</v>
      </c>
      <c r="B1154" t="s">
        <v>267</v>
      </c>
    </row>
    <row r="1155" spans="1:2" x14ac:dyDescent="0.45">
      <c r="A1155" t="s">
        <v>3802</v>
      </c>
      <c r="B1155" t="s">
        <v>94</v>
      </c>
    </row>
    <row r="1156" spans="1:2" x14ac:dyDescent="0.45">
      <c r="A1156" t="s">
        <v>3805</v>
      </c>
      <c r="B1156" t="s">
        <v>89</v>
      </c>
    </row>
    <row r="1157" spans="1:2" x14ac:dyDescent="0.45">
      <c r="A1157" t="s">
        <v>3808</v>
      </c>
      <c r="B1157" t="s">
        <v>108</v>
      </c>
    </row>
    <row r="1158" spans="1:2" x14ac:dyDescent="0.45">
      <c r="A1158" t="s">
        <v>3811</v>
      </c>
      <c r="B1158" t="s">
        <v>94</v>
      </c>
    </row>
    <row r="1159" spans="1:2" x14ac:dyDescent="0.45">
      <c r="A1159" t="s">
        <v>3820</v>
      </c>
      <c r="B1159" t="s">
        <v>89</v>
      </c>
    </row>
    <row r="1160" spans="1:2" x14ac:dyDescent="0.45">
      <c r="A1160" t="s">
        <v>3826</v>
      </c>
      <c r="B1160" t="s">
        <v>108</v>
      </c>
    </row>
    <row r="1161" spans="1:2" x14ac:dyDescent="0.45">
      <c r="A1161" t="s">
        <v>3831</v>
      </c>
      <c r="B1161" t="s">
        <v>94</v>
      </c>
    </row>
    <row r="1162" spans="1:2" x14ac:dyDescent="0.45">
      <c r="A1162" t="s">
        <v>3833</v>
      </c>
      <c r="B1162" t="s">
        <v>94</v>
      </c>
    </row>
    <row r="1163" spans="1:2" x14ac:dyDescent="0.45">
      <c r="A1163" t="s">
        <v>3834</v>
      </c>
      <c r="B1163" t="s">
        <v>94</v>
      </c>
    </row>
    <row r="1164" spans="1:2" x14ac:dyDescent="0.45">
      <c r="A1164" t="s">
        <v>3835</v>
      </c>
      <c r="B1164" t="s">
        <v>94</v>
      </c>
    </row>
    <row r="1165" spans="1:2" x14ac:dyDescent="0.45">
      <c r="A1165" t="s">
        <v>3836</v>
      </c>
      <c r="B1165" t="s">
        <v>89</v>
      </c>
    </row>
    <row r="1166" spans="1:2" x14ac:dyDescent="0.45">
      <c r="A1166" t="s">
        <v>3839</v>
      </c>
      <c r="B1166" t="s">
        <v>108</v>
      </c>
    </row>
    <row r="1167" spans="1:2" x14ac:dyDescent="0.45">
      <c r="A1167" t="s">
        <v>3841</v>
      </c>
      <c r="B1167" t="s">
        <v>108</v>
      </c>
    </row>
    <row r="1168" spans="1:2" x14ac:dyDescent="0.45">
      <c r="A1168" t="s">
        <v>3844</v>
      </c>
      <c r="B1168" t="s">
        <v>89</v>
      </c>
    </row>
    <row r="1169" spans="1:2" x14ac:dyDescent="0.45">
      <c r="A1169" t="s">
        <v>3846</v>
      </c>
      <c r="B1169" t="s">
        <v>108</v>
      </c>
    </row>
    <row r="1170" spans="1:2" x14ac:dyDescent="0.45">
      <c r="A1170" t="s">
        <v>3848</v>
      </c>
      <c r="B1170" t="s">
        <v>89</v>
      </c>
    </row>
    <row r="1171" spans="1:2" x14ac:dyDescent="0.45">
      <c r="A1171" t="s">
        <v>3850</v>
      </c>
      <c r="B1171" t="s">
        <v>108</v>
      </c>
    </row>
    <row r="1172" spans="1:2" x14ac:dyDescent="0.45">
      <c r="A1172" t="s">
        <v>3852</v>
      </c>
      <c r="B1172" t="s">
        <v>89</v>
      </c>
    </row>
    <row r="1173" spans="1:2" x14ac:dyDescent="0.45">
      <c r="A1173" t="s">
        <v>3855</v>
      </c>
      <c r="B1173" t="s">
        <v>89</v>
      </c>
    </row>
    <row r="1174" spans="1:2" x14ac:dyDescent="0.45">
      <c r="A1174" t="s">
        <v>3858</v>
      </c>
      <c r="B1174" t="s">
        <v>108</v>
      </c>
    </row>
    <row r="1175" spans="1:2" x14ac:dyDescent="0.45">
      <c r="A1175" t="s">
        <v>3864</v>
      </c>
      <c r="B1175" t="s">
        <v>108</v>
      </c>
    </row>
    <row r="1176" spans="1:2" x14ac:dyDescent="0.45">
      <c r="A1176" t="s">
        <v>3868</v>
      </c>
      <c r="B1176" t="s">
        <v>89</v>
      </c>
    </row>
    <row r="1177" spans="1:2" x14ac:dyDescent="0.45">
      <c r="A1177" t="s">
        <v>3870</v>
      </c>
      <c r="B1177" t="s">
        <v>108</v>
      </c>
    </row>
    <row r="1178" spans="1:2" x14ac:dyDescent="0.45">
      <c r="A1178" t="s">
        <v>3872</v>
      </c>
      <c r="B1178" t="s">
        <v>108</v>
      </c>
    </row>
    <row r="1179" spans="1:2" x14ac:dyDescent="0.45">
      <c r="A1179" t="s">
        <v>3874</v>
      </c>
      <c r="B1179" t="s">
        <v>89</v>
      </c>
    </row>
    <row r="1180" spans="1:2" x14ac:dyDescent="0.45">
      <c r="A1180" t="s">
        <v>3876</v>
      </c>
      <c r="B1180" t="s">
        <v>94</v>
      </c>
    </row>
    <row r="1181" spans="1:2" x14ac:dyDescent="0.45">
      <c r="A1181" t="s">
        <v>3878</v>
      </c>
      <c r="B1181" t="s">
        <v>94</v>
      </c>
    </row>
    <row r="1182" spans="1:2" x14ac:dyDescent="0.45">
      <c r="A1182" t="s">
        <v>3880</v>
      </c>
      <c r="B1182" t="s">
        <v>108</v>
      </c>
    </row>
    <row r="1183" spans="1:2" x14ac:dyDescent="0.45">
      <c r="A1183" t="s">
        <v>3883</v>
      </c>
      <c r="B1183" t="s">
        <v>108</v>
      </c>
    </row>
    <row r="1184" spans="1:2" x14ac:dyDescent="0.45">
      <c r="A1184" t="s">
        <v>3888</v>
      </c>
      <c r="B1184" t="s">
        <v>108</v>
      </c>
    </row>
    <row r="1185" spans="1:2" x14ac:dyDescent="0.45">
      <c r="A1185" t="s">
        <v>3891</v>
      </c>
      <c r="B1185" t="s">
        <v>94</v>
      </c>
    </row>
    <row r="1186" spans="1:2" x14ac:dyDescent="0.45">
      <c r="A1186" t="s">
        <v>3892</v>
      </c>
      <c r="B1186" t="s">
        <v>94</v>
      </c>
    </row>
    <row r="1187" spans="1:2" x14ac:dyDescent="0.45">
      <c r="A1187" t="s">
        <v>3894</v>
      </c>
      <c r="B1187" t="s">
        <v>108</v>
      </c>
    </row>
    <row r="1188" spans="1:2" x14ac:dyDescent="0.45">
      <c r="A1188" t="s">
        <v>3896</v>
      </c>
      <c r="B1188" t="s">
        <v>108</v>
      </c>
    </row>
    <row r="1189" spans="1:2" x14ac:dyDescent="0.45">
      <c r="A1189" t="s">
        <v>3903</v>
      </c>
      <c r="B1189" t="s">
        <v>108</v>
      </c>
    </row>
    <row r="1190" spans="1:2" x14ac:dyDescent="0.45">
      <c r="A1190" t="s">
        <v>3904</v>
      </c>
      <c r="B1190" t="s">
        <v>94</v>
      </c>
    </row>
    <row r="1191" spans="1:2" x14ac:dyDescent="0.45">
      <c r="A1191" t="s">
        <v>3905</v>
      </c>
      <c r="B1191" t="s">
        <v>128</v>
      </c>
    </row>
    <row r="1192" spans="1:2" x14ac:dyDescent="0.45">
      <c r="A1192" t="s">
        <v>3910</v>
      </c>
      <c r="B1192" t="s">
        <v>128</v>
      </c>
    </row>
    <row r="1193" spans="1:2" x14ac:dyDescent="0.45">
      <c r="A1193" t="s">
        <v>3913</v>
      </c>
      <c r="B1193" t="s">
        <v>128</v>
      </c>
    </row>
    <row r="1194" spans="1:2" x14ac:dyDescent="0.45">
      <c r="A1194" t="s">
        <v>3916</v>
      </c>
      <c r="B1194" t="s">
        <v>267</v>
      </c>
    </row>
    <row r="1195" spans="1:2" x14ac:dyDescent="0.45">
      <c r="A1195" t="s">
        <v>3919</v>
      </c>
      <c r="B1195" t="s">
        <v>89</v>
      </c>
    </row>
    <row r="1196" spans="1:2" x14ac:dyDescent="0.45">
      <c r="A1196" t="s">
        <v>3924</v>
      </c>
      <c r="B1196" t="s">
        <v>267</v>
      </c>
    </row>
    <row r="1197" spans="1:2" x14ac:dyDescent="0.45">
      <c r="A1197" t="s">
        <v>3927</v>
      </c>
      <c r="B1197" t="s">
        <v>108</v>
      </c>
    </row>
    <row r="1198" spans="1:2" x14ac:dyDescent="0.45">
      <c r="A1198" t="s">
        <v>3929</v>
      </c>
      <c r="B1198" t="s">
        <v>108</v>
      </c>
    </row>
    <row r="1199" spans="1:2" x14ac:dyDescent="0.45">
      <c r="A1199" t="s">
        <v>3937</v>
      </c>
      <c r="B1199" t="s">
        <v>108</v>
      </c>
    </row>
    <row r="1200" spans="1:2" x14ac:dyDescent="0.45">
      <c r="A1200" t="s">
        <v>3939</v>
      </c>
      <c r="B1200" t="s">
        <v>108</v>
      </c>
    </row>
    <row r="1201" spans="1:2" x14ac:dyDescent="0.45">
      <c r="A1201" t="s">
        <v>3941</v>
      </c>
      <c r="B1201" t="s">
        <v>128</v>
      </c>
    </row>
    <row r="1202" spans="1:2" x14ac:dyDescent="0.45">
      <c r="A1202" t="s">
        <v>3944</v>
      </c>
      <c r="B1202" t="s">
        <v>128</v>
      </c>
    </row>
    <row r="1203" spans="1:2" x14ac:dyDescent="0.45">
      <c r="A1203" t="s">
        <v>3945</v>
      </c>
      <c r="B1203" t="s">
        <v>128</v>
      </c>
    </row>
    <row r="1204" spans="1:2" x14ac:dyDescent="0.45">
      <c r="A1204" t="s">
        <v>3948</v>
      </c>
      <c r="B1204" t="s">
        <v>128</v>
      </c>
    </row>
    <row r="1205" spans="1:2" x14ac:dyDescent="0.45">
      <c r="A1205" t="s">
        <v>3951</v>
      </c>
      <c r="B1205" t="s">
        <v>128</v>
      </c>
    </row>
    <row r="1206" spans="1:2" x14ac:dyDescent="0.45">
      <c r="A1206" t="s">
        <v>3958</v>
      </c>
      <c r="B1206" t="s">
        <v>128</v>
      </c>
    </row>
    <row r="1207" spans="1:2" x14ac:dyDescent="0.45">
      <c r="A1207" t="s">
        <v>3964</v>
      </c>
      <c r="B1207" t="s">
        <v>267</v>
      </c>
    </row>
    <row r="1208" spans="1:2" x14ac:dyDescent="0.45">
      <c r="A1208" t="s">
        <v>3967</v>
      </c>
      <c r="B1208" t="s">
        <v>108</v>
      </c>
    </row>
    <row r="1209" spans="1:2" x14ac:dyDescent="0.45">
      <c r="A1209" t="s">
        <v>3969</v>
      </c>
      <c r="B1209" t="s">
        <v>128</v>
      </c>
    </row>
    <row r="1210" spans="1:2" x14ac:dyDescent="0.45">
      <c r="A1210" t="s">
        <v>3972</v>
      </c>
      <c r="B1210" t="s">
        <v>128</v>
      </c>
    </row>
    <row r="1211" spans="1:2" x14ac:dyDescent="0.45">
      <c r="A1211" t="s">
        <v>3975</v>
      </c>
      <c r="B1211" t="s">
        <v>267</v>
      </c>
    </row>
    <row r="1212" spans="1:2" x14ac:dyDescent="0.45">
      <c r="A1212" t="s">
        <v>3981</v>
      </c>
      <c r="B1212" t="s">
        <v>128</v>
      </c>
    </row>
    <row r="1213" spans="1:2" x14ac:dyDescent="0.45">
      <c r="A1213" t="s">
        <v>3982</v>
      </c>
      <c r="B1213" t="s">
        <v>128</v>
      </c>
    </row>
    <row r="1214" spans="1:2" x14ac:dyDescent="0.45">
      <c r="A1214" t="s">
        <v>3984</v>
      </c>
      <c r="B1214" t="s">
        <v>267</v>
      </c>
    </row>
    <row r="1215" spans="1:2" x14ac:dyDescent="0.45">
      <c r="A1215" t="s">
        <v>3990</v>
      </c>
      <c r="B1215" t="s">
        <v>267</v>
      </c>
    </row>
    <row r="1216" spans="1:2" x14ac:dyDescent="0.45">
      <c r="A1216" t="s">
        <v>3992</v>
      </c>
      <c r="B1216" t="s">
        <v>267</v>
      </c>
    </row>
    <row r="1217" spans="1:2" x14ac:dyDescent="0.45">
      <c r="A1217" t="s">
        <v>3994</v>
      </c>
      <c r="B1217" t="s">
        <v>267</v>
      </c>
    </row>
    <row r="1218" spans="1:2" x14ac:dyDescent="0.45">
      <c r="A1218" t="s">
        <v>3997</v>
      </c>
      <c r="B1218" t="s">
        <v>267</v>
      </c>
    </row>
    <row r="1219" spans="1:2" x14ac:dyDescent="0.45">
      <c r="A1219" t="s">
        <v>3999</v>
      </c>
      <c r="B1219" t="s">
        <v>267</v>
      </c>
    </row>
    <row r="1220" spans="1:2" x14ac:dyDescent="0.45">
      <c r="A1220" t="s">
        <v>4002</v>
      </c>
      <c r="B1220" t="s">
        <v>267</v>
      </c>
    </row>
    <row r="1221" spans="1:2" x14ac:dyDescent="0.45">
      <c r="A1221" t="s">
        <v>4006</v>
      </c>
      <c r="B1221" t="s">
        <v>267</v>
      </c>
    </row>
    <row r="1222" spans="1:2" x14ac:dyDescent="0.45">
      <c r="A1222" t="s">
        <v>4009</v>
      </c>
      <c r="B1222" t="s">
        <v>128</v>
      </c>
    </row>
    <row r="1223" spans="1:2" x14ac:dyDescent="0.45">
      <c r="A1223" t="s">
        <v>4011</v>
      </c>
      <c r="B1223" t="s">
        <v>267</v>
      </c>
    </row>
    <row r="1224" spans="1:2" x14ac:dyDescent="0.45">
      <c r="A1224" t="s">
        <v>4014</v>
      </c>
      <c r="B1224" t="s">
        <v>128</v>
      </c>
    </row>
    <row r="1225" spans="1:2" x14ac:dyDescent="0.45">
      <c r="A1225" t="s">
        <v>4020</v>
      </c>
      <c r="B1225" t="s">
        <v>128</v>
      </c>
    </row>
    <row r="1226" spans="1:2" x14ac:dyDescent="0.45">
      <c r="A1226" t="s">
        <v>4023</v>
      </c>
      <c r="B1226" t="s">
        <v>267</v>
      </c>
    </row>
    <row r="1227" spans="1:2" x14ac:dyDescent="0.45">
      <c r="A1227" t="s">
        <v>4026</v>
      </c>
      <c r="B1227" t="s">
        <v>128</v>
      </c>
    </row>
    <row r="1228" spans="1:2" x14ac:dyDescent="0.45">
      <c r="A1228" t="s">
        <v>4028</v>
      </c>
      <c r="B1228" t="s">
        <v>128</v>
      </c>
    </row>
    <row r="1229" spans="1:2" x14ac:dyDescent="0.45">
      <c r="A1229" t="s">
        <v>4031</v>
      </c>
      <c r="B1229" t="s">
        <v>128</v>
      </c>
    </row>
    <row r="1230" spans="1:2" x14ac:dyDescent="0.45">
      <c r="A1230" t="s">
        <v>4032</v>
      </c>
      <c r="B1230" t="s">
        <v>267</v>
      </c>
    </row>
    <row r="1231" spans="1:2" x14ac:dyDescent="0.45">
      <c r="A1231" t="s">
        <v>4036</v>
      </c>
      <c r="B1231" t="s">
        <v>267</v>
      </c>
    </row>
    <row r="1232" spans="1:2" x14ac:dyDescent="0.45">
      <c r="A1232" t="s">
        <v>4039</v>
      </c>
      <c r="B1232" t="s">
        <v>128</v>
      </c>
    </row>
    <row r="1233" spans="1:2" x14ac:dyDescent="0.45">
      <c r="A1233" t="s">
        <v>4042</v>
      </c>
      <c r="B1233" t="s">
        <v>128</v>
      </c>
    </row>
    <row r="1234" spans="1:2" x14ac:dyDescent="0.45">
      <c r="A1234" t="s">
        <v>4044</v>
      </c>
      <c r="B1234" t="s">
        <v>128</v>
      </c>
    </row>
    <row r="1235" spans="1:2" x14ac:dyDescent="0.45">
      <c r="A1235" t="s">
        <v>4046</v>
      </c>
      <c r="B1235" t="s">
        <v>267</v>
      </c>
    </row>
    <row r="1236" spans="1:2" x14ac:dyDescent="0.45">
      <c r="A1236" t="s">
        <v>4047</v>
      </c>
      <c r="B1236" t="s">
        <v>267</v>
      </c>
    </row>
    <row r="1237" spans="1:2" x14ac:dyDescent="0.45">
      <c r="A1237" t="s">
        <v>4050</v>
      </c>
      <c r="B1237" t="s">
        <v>128</v>
      </c>
    </row>
    <row r="1238" spans="1:2" x14ac:dyDescent="0.45">
      <c r="A1238" t="s">
        <v>4053</v>
      </c>
      <c r="B1238" t="s">
        <v>267</v>
      </c>
    </row>
    <row r="1239" spans="1:2" x14ac:dyDescent="0.45">
      <c r="A1239" t="s">
        <v>4056</v>
      </c>
      <c r="B1239" t="s">
        <v>94</v>
      </c>
    </row>
    <row r="1240" spans="1:2" x14ac:dyDescent="0.45">
      <c r="A1240" t="s">
        <v>4058</v>
      </c>
      <c r="B1240" t="s">
        <v>128</v>
      </c>
    </row>
    <row r="1241" spans="1:2" x14ac:dyDescent="0.45">
      <c r="A1241" t="s">
        <v>4060</v>
      </c>
      <c r="B1241" t="s">
        <v>128</v>
      </c>
    </row>
    <row r="1242" spans="1:2" x14ac:dyDescent="0.45">
      <c r="A1242" t="s">
        <v>4061</v>
      </c>
      <c r="B1242" t="s">
        <v>128</v>
      </c>
    </row>
    <row r="1243" spans="1:2" x14ac:dyDescent="0.45">
      <c r="A1243" t="s">
        <v>4063</v>
      </c>
      <c r="B1243" t="s">
        <v>128</v>
      </c>
    </row>
    <row r="1244" spans="1:2" x14ac:dyDescent="0.45">
      <c r="A1244" t="s">
        <v>4065</v>
      </c>
      <c r="B1244" t="s">
        <v>128</v>
      </c>
    </row>
    <row r="1245" spans="1:2" x14ac:dyDescent="0.45">
      <c r="A1245" t="s">
        <v>4067</v>
      </c>
      <c r="B1245" t="s">
        <v>267</v>
      </c>
    </row>
    <row r="1246" spans="1:2" x14ac:dyDescent="0.45">
      <c r="A1246" t="s">
        <v>4070</v>
      </c>
      <c r="B1246" t="s">
        <v>128</v>
      </c>
    </row>
    <row r="1247" spans="1:2" x14ac:dyDescent="0.45">
      <c r="A1247" t="s">
        <v>4071</v>
      </c>
      <c r="B1247" t="s">
        <v>128</v>
      </c>
    </row>
    <row r="1248" spans="1:2" x14ac:dyDescent="0.45">
      <c r="A1248" t="s">
        <v>4076</v>
      </c>
      <c r="B1248" t="s">
        <v>128</v>
      </c>
    </row>
    <row r="1249" spans="1:2" x14ac:dyDescent="0.45">
      <c r="A1249" t="s">
        <v>4079</v>
      </c>
      <c r="B1249" t="s">
        <v>128</v>
      </c>
    </row>
    <row r="1250" spans="1:2" x14ac:dyDescent="0.45">
      <c r="A1250" t="s">
        <v>4081</v>
      </c>
      <c r="B1250" t="s">
        <v>128</v>
      </c>
    </row>
    <row r="1251" spans="1:2" x14ac:dyDescent="0.45">
      <c r="A1251" t="s">
        <v>4082</v>
      </c>
      <c r="B1251" t="s">
        <v>267</v>
      </c>
    </row>
    <row r="1252" spans="1:2" x14ac:dyDescent="0.45">
      <c r="A1252" t="s">
        <v>4084</v>
      </c>
      <c r="B1252" t="s">
        <v>128</v>
      </c>
    </row>
    <row r="1253" spans="1:2" x14ac:dyDescent="0.45">
      <c r="A1253" t="s">
        <v>4086</v>
      </c>
      <c r="B1253" t="s">
        <v>128</v>
      </c>
    </row>
    <row r="1254" spans="1:2" x14ac:dyDescent="0.45">
      <c r="A1254" t="s">
        <v>4089</v>
      </c>
      <c r="B1254" t="s">
        <v>128</v>
      </c>
    </row>
    <row r="1255" spans="1:2" x14ac:dyDescent="0.45">
      <c r="A1255" t="s">
        <v>4095</v>
      </c>
      <c r="B1255" t="s">
        <v>267</v>
      </c>
    </row>
    <row r="1256" spans="1:2" x14ac:dyDescent="0.45">
      <c r="A1256" t="s">
        <v>4100</v>
      </c>
      <c r="B1256" t="s">
        <v>128</v>
      </c>
    </row>
    <row r="1257" spans="1:2" x14ac:dyDescent="0.45">
      <c r="A1257" t="s">
        <v>4103</v>
      </c>
      <c r="B1257" t="s">
        <v>128</v>
      </c>
    </row>
    <row r="1258" spans="1:2" x14ac:dyDescent="0.45">
      <c r="A1258" t="s">
        <v>4106</v>
      </c>
      <c r="B1258" t="s">
        <v>128</v>
      </c>
    </row>
    <row r="1259" spans="1:2" x14ac:dyDescent="0.45">
      <c r="A1259" t="s">
        <v>4109</v>
      </c>
      <c r="B1259" t="s">
        <v>94</v>
      </c>
    </row>
    <row r="1260" spans="1:2" x14ac:dyDescent="0.45">
      <c r="A1260" t="s">
        <v>4112</v>
      </c>
      <c r="B1260" t="s">
        <v>267</v>
      </c>
    </row>
    <row r="1261" spans="1:2" x14ac:dyDescent="0.45">
      <c r="A1261" t="s">
        <v>4118</v>
      </c>
      <c r="B1261" t="s">
        <v>94</v>
      </c>
    </row>
    <row r="1262" spans="1:2" x14ac:dyDescent="0.45">
      <c r="A1262" t="s">
        <v>4120</v>
      </c>
      <c r="B1262" t="s">
        <v>267</v>
      </c>
    </row>
    <row r="1263" spans="1:2" x14ac:dyDescent="0.45">
      <c r="A1263" t="s">
        <v>4124</v>
      </c>
      <c r="B1263" t="s">
        <v>94</v>
      </c>
    </row>
    <row r="1264" spans="1:2" x14ac:dyDescent="0.45">
      <c r="A1264" t="s">
        <v>4126</v>
      </c>
      <c r="B1264" t="s">
        <v>94</v>
      </c>
    </row>
    <row r="1265" spans="1:2" x14ac:dyDescent="0.45">
      <c r="A1265" t="s">
        <v>4129</v>
      </c>
      <c r="B1265" t="s">
        <v>128</v>
      </c>
    </row>
    <row r="1266" spans="1:2" x14ac:dyDescent="0.45">
      <c r="A1266" t="s">
        <v>4132</v>
      </c>
      <c r="B1266" t="s">
        <v>94</v>
      </c>
    </row>
    <row r="1267" spans="1:2" x14ac:dyDescent="0.45">
      <c r="A1267" t="s">
        <v>4138</v>
      </c>
      <c r="B1267" t="s">
        <v>267</v>
      </c>
    </row>
    <row r="1268" spans="1:2" x14ac:dyDescent="0.45">
      <c r="A1268" t="s">
        <v>4141</v>
      </c>
      <c r="B1268" t="s">
        <v>128</v>
      </c>
    </row>
    <row r="1269" spans="1:2" x14ac:dyDescent="0.45">
      <c r="A1269" t="s">
        <v>4143</v>
      </c>
      <c r="B1269" t="s">
        <v>128</v>
      </c>
    </row>
    <row r="1270" spans="1:2" x14ac:dyDescent="0.45">
      <c r="A1270" t="s">
        <v>4148</v>
      </c>
      <c r="B1270" t="s">
        <v>128</v>
      </c>
    </row>
    <row r="1271" spans="1:2" x14ac:dyDescent="0.45">
      <c r="A1271" t="s">
        <v>4149</v>
      </c>
      <c r="B1271" t="s">
        <v>128</v>
      </c>
    </row>
    <row r="1272" spans="1:2" x14ac:dyDescent="0.45">
      <c r="A1272" t="s">
        <v>4150</v>
      </c>
      <c r="B1272" t="s">
        <v>128</v>
      </c>
    </row>
    <row r="1273" spans="1:2" x14ac:dyDescent="0.45">
      <c r="A1273" t="s">
        <v>4154</v>
      </c>
      <c r="B1273" t="s">
        <v>128</v>
      </c>
    </row>
    <row r="1274" spans="1:2" x14ac:dyDescent="0.45">
      <c r="A1274" t="s">
        <v>4156</v>
      </c>
      <c r="B1274" t="s">
        <v>128</v>
      </c>
    </row>
    <row r="1275" spans="1:2" x14ac:dyDescent="0.45">
      <c r="A1275" t="s">
        <v>4157</v>
      </c>
      <c r="B1275" t="s">
        <v>267</v>
      </c>
    </row>
    <row r="1276" spans="1:2" x14ac:dyDescent="0.45">
      <c r="A1276" t="s">
        <v>4159</v>
      </c>
      <c r="B1276" t="s">
        <v>128</v>
      </c>
    </row>
    <row r="1277" spans="1:2" x14ac:dyDescent="0.45">
      <c r="A1277" t="s">
        <v>4161</v>
      </c>
      <c r="B1277" t="s">
        <v>128</v>
      </c>
    </row>
    <row r="1278" spans="1:2" x14ac:dyDescent="0.45">
      <c r="A1278" t="s">
        <v>4163</v>
      </c>
      <c r="B1278" t="s">
        <v>128</v>
      </c>
    </row>
    <row r="1279" spans="1:2" x14ac:dyDescent="0.45">
      <c r="A1279" t="s">
        <v>4165</v>
      </c>
      <c r="B1279" t="s">
        <v>128</v>
      </c>
    </row>
    <row r="1280" spans="1:2" x14ac:dyDescent="0.45">
      <c r="A1280" t="s">
        <v>4168</v>
      </c>
      <c r="B1280" t="s">
        <v>128</v>
      </c>
    </row>
    <row r="1281" spans="1:2" x14ac:dyDescent="0.45">
      <c r="A1281" t="s">
        <v>4170</v>
      </c>
      <c r="B1281" t="s">
        <v>267</v>
      </c>
    </row>
    <row r="1282" spans="1:2" x14ac:dyDescent="0.45">
      <c r="A1282" t="s">
        <v>4173</v>
      </c>
      <c r="B1282" t="s">
        <v>89</v>
      </c>
    </row>
    <row r="1283" spans="1:2" x14ac:dyDescent="0.45">
      <c r="A1283" t="s">
        <v>4175</v>
      </c>
      <c r="B1283" t="s">
        <v>128</v>
      </c>
    </row>
    <row r="1284" spans="1:2" x14ac:dyDescent="0.45">
      <c r="A1284" t="s">
        <v>4178</v>
      </c>
      <c r="B1284" t="s">
        <v>267</v>
      </c>
    </row>
    <row r="1285" spans="1:2" x14ac:dyDescent="0.45">
      <c r="A1285" t="s">
        <v>4179</v>
      </c>
      <c r="B1285" t="s">
        <v>267</v>
      </c>
    </row>
    <row r="1286" spans="1:2" x14ac:dyDescent="0.45">
      <c r="A1286" t="s">
        <v>4180</v>
      </c>
      <c r="B1286" t="s">
        <v>128</v>
      </c>
    </row>
    <row r="1287" spans="1:2" x14ac:dyDescent="0.45">
      <c r="A1287" t="s">
        <v>4182</v>
      </c>
      <c r="B1287" t="s">
        <v>267</v>
      </c>
    </row>
    <row r="1288" spans="1:2" x14ac:dyDescent="0.45">
      <c r="A1288" t="s">
        <v>4184</v>
      </c>
      <c r="B1288" t="s">
        <v>128</v>
      </c>
    </row>
    <row r="1289" spans="1:2" x14ac:dyDescent="0.45">
      <c r="A1289" t="s">
        <v>4189</v>
      </c>
      <c r="B1289" t="s">
        <v>128</v>
      </c>
    </row>
    <row r="1290" spans="1:2" x14ac:dyDescent="0.45">
      <c r="A1290" t="s">
        <v>4191</v>
      </c>
      <c r="B1290" t="s">
        <v>128</v>
      </c>
    </row>
    <row r="1291" spans="1:2" x14ac:dyDescent="0.45">
      <c r="A1291" t="s">
        <v>4192</v>
      </c>
      <c r="B1291" t="s">
        <v>267</v>
      </c>
    </row>
    <row r="1292" spans="1:2" x14ac:dyDescent="0.45">
      <c r="A1292" t="s">
        <v>4199</v>
      </c>
      <c r="B1292" t="s">
        <v>128</v>
      </c>
    </row>
    <row r="1293" spans="1:2" x14ac:dyDescent="0.45">
      <c r="A1293" t="s">
        <v>4210</v>
      </c>
      <c r="B1293" t="s">
        <v>89</v>
      </c>
    </row>
    <row r="1294" spans="1:2" x14ac:dyDescent="0.45">
      <c r="A1294" t="s">
        <v>4214</v>
      </c>
      <c r="B1294" t="s">
        <v>128</v>
      </c>
    </row>
    <row r="1295" spans="1:2" x14ac:dyDescent="0.45">
      <c r="A1295" t="s">
        <v>4230</v>
      </c>
      <c r="B1295" t="s">
        <v>267</v>
      </c>
    </row>
    <row r="1296" spans="1:2" x14ac:dyDescent="0.45">
      <c r="A1296" t="s">
        <v>4231</v>
      </c>
      <c r="B1296" t="s">
        <v>267</v>
      </c>
    </row>
    <row r="1297" spans="1:2" x14ac:dyDescent="0.45">
      <c r="A1297" t="s">
        <v>4235</v>
      </c>
      <c r="B1297" t="s">
        <v>267</v>
      </c>
    </row>
    <row r="1298" spans="1:2" x14ac:dyDescent="0.45">
      <c r="A1298" t="s">
        <v>4236</v>
      </c>
      <c r="B1298" t="s">
        <v>128</v>
      </c>
    </row>
    <row r="1299" spans="1:2" x14ac:dyDescent="0.45">
      <c r="A1299" t="s">
        <v>4239</v>
      </c>
      <c r="B1299" t="s">
        <v>128</v>
      </c>
    </row>
    <row r="1300" spans="1:2" x14ac:dyDescent="0.45">
      <c r="A1300" t="s">
        <v>4240</v>
      </c>
      <c r="B1300" t="s">
        <v>267</v>
      </c>
    </row>
    <row r="1301" spans="1:2" x14ac:dyDescent="0.45">
      <c r="A1301" t="s">
        <v>4243</v>
      </c>
      <c r="B1301" t="s">
        <v>128</v>
      </c>
    </row>
    <row r="1302" spans="1:2" x14ac:dyDescent="0.45">
      <c r="A1302" t="s">
        <v>4246</v>
      </c>
      <c r="B1302" t="s">
        <v>267</v>
      </c>
    </row>
    <row r="1303" spans="1:2" x14ac:dyDescent="0.45">
      <c r="A1303" t="s">
        <v>4247</v>
      </c>
      <c r="B1303" t="s">
        <v>267</v>
      </c>
    </row>
    <row r="1304" spans="1:2" x14ac:dyDescent="0.45">
      <c r="A1304" t="s">
        <v>4249</v>
      </c>
      <c r="B1304" t="s">
        <v>128</v>
      </c>
    </row>
    <row r="1305" spans="1:2" x14ac:dyDescent="0.45">
      <c r="A1305" t="s">
        <v>4255</v>
      </c>
      <c r="B1305" t="s">
        <v>267</v>
      </c>
    </row>
    <row r="1306" spans="1:2" x14ac:dyDescent="0.45">
      <c r="A1306" t="s">
        <v>4256</v>
      </c>
      <c r="B1306" t="s">
        <v>267</v>
      </c>
    </row>
    <row r="1307" spans="1:2" x14ac:dyDescent="0.45">
      <c r="A1307" t="s">
        <v>4258</v>
      </c>
      <c r="B1307" t="s">
        <v>128</v>
      </c>
    </row>
    <row r="1308" spans="1:2" x14ac:dyDescent="0.45">
      <c r="A1308" t="s">
        <v>4260</v>
      </c>
      <c r="B1308" t="s">
        <v>267</v>
      </c>
    </row>
    <row r="1309" spans="1:2" x14ac:dyDescent="0.45">
      <c r="A1309" t="s">
        <v>4262</v>
      </c>
      <c r="B1309" t="s">
        <v>128</v>
      </c>
    </row>
    <row r="1310" spans="1:2" x14ac:dyDescent="0.45">
      <c r="A1310" t="s">
        <v>4265</v>
      </c>
      <c r="B1310" t="s">
        <v>128</v>
      </c>
    </row>
    <row r="1311" spans="1:2" x14ac:dyDescent="0.45">
      <c r="A1311" t="s">
        <v>4266</v>
      </c>
      <c r="B1311" t="s">
        <v>128</v>
      </c>
    </row>
    <row r="1312" spans="1:2" x14ac:dyDescent="0.45">
      <c r="A1312" t="s">
        <v>4270</v>
      </c>
      <c r="B1312" t="s">
        <v>128</v>
      </c>
    </row>
    <row r="1313" spans="1:2" x14ac:dyDescent="0.45">
      <c r="A1313" t="s">
        <v>4272</v>
      </c>
      <c r="B1313" t="s">
        <v>267</v>
      </c>
    </row>
    <row r="1314" spans="1:2" x14ac:dyDescent="0.45">
      <c r="A1314" t="s">
        <v>4273</v>
      </c>
      <c r="B1314" t="s">
        <v>267</v>
      </c>
    </row>
    <row r="1315" spans="1:2" x14ac:dyDescent="0.45">
      <c r="A1315" t="s">
        <v>4275</v>
      </c>
      <c r="B1315" t="s">
        <v>94</v>
      </c>
    </row>
    <row r="1316" spans="1:2" x14ac:dyDescent="0.45">
      <c r="A1316" t="s">
        <v>4276</v>
      </c>
      <c r="B1316" t="s">
        <v>94</v>
      </c>
    </row>
    <row r="1317" spans="1:2" x14ac:dyDescent="0.45">
      <c r="A1317" t="s">
        <v>4278</v>
      </c>
      <c r="B1317" t="s">
        <v>128</v>
      </c>
    </row>
    <row r="1318" spans="1:2" x14ac:dyDescent="0.45">
      <c r="A1318" t="s">
        <v>4282</v>
      </c>
      <c r="B1318" t="s">
        <v>128</v>
      </c>
    </row>
    <row r="1319" spans="1:2" x14ac:dyDescent="0.45">
      <c r="A1319" t="s">
        <v>4284</v>
      </c>
      <c r="B1319" t="s">
        <v>267</v>
      </c>
    </row>
    <row r="1320" spans="1:2" x14ac:dyDescent="0.45">
      <c r="A1320" t="s">
        <v>4287</v>
      </c>
      <c r="B1320" t="s">
        <v>128</v>
      </c>
    </row>
    <row r="1321" spans="1:2" x14ac:dyDescent="0.45">
      <c r="A1321" t="s">
        <v>4289</v>
      </c>
      <c r="B1321" t="s">
        <v>128</v>
      </c>
    </row>
    <row r="1322" spans="1:2" x14ac:dyDescent="0.45">
      <c r="A1322" t="s">
        <v>4292</v>
      </c>
      <c r="B1322" t="s">
        <v>128</v>
      </c>
    </row>
    <row r="1323" spans="1:2" x14ac:dyDescent="0.45">
      <c r="A1323" t="s">
        <v>4298</v>
      </c>
      <c r="B1323" t="s">
        <v>128</v>
      </c>
    </row>
    <row r="1324" spans="1:2" x14ac:dyDescent="0.45">
      <c r="A1324" t="s">
        <v>4302</v>
      </c>
      <c r="B1324" t="s">
        <v>128</v>
      </c>
    </row>
    <row r="1325" spans="1:2" x14ac:dyDescent="0.45">
      <c r="A1325" t="s">
        <v>4304</v>
      </c>
      <c r="B1325" t="s">
        <v>267</v>
      </c>
    </row>
    <row r="1326" spans="1:2" x14ac:dyDescent="0.45">
      <c r="A1326" t="s">
        <v>4306</v>
      </c>
      <c r="B1326" t="s">
        <v>89</v>
      </c>
    </row>
    <row r="1327" spans="1:2" x14ac:dyDescent="0.45">
      <c r="A1327" t="s">
        <v>4310</v>
      </c>
      <c r="B1327" t="s">
        <v>128</v>
      </c>
    </row>
    <row r="1328" spans="1:2" x14ac:dyDescent="0.45">
      <c r="A1328" t="s">
        <v>4312</v>
      </c>
      <c r="B1328" t="s">
        <v>267</v>
      </c>
    </row>
    <row r="1329" spans="1:2" x14ac:dyDescent="0.45">
      <c r="A1329" t="s">
        <v>4315</v>
      </c>
      <c r="B1329" t="s">
        <v>128</v>
      </c>
    </row>
    <row r="1330" spans="1:2" x14ac:dyDescent="0.45">
      <c r="A1330" t="s">
        <v>4317</v>
      </c>
      <c r="B1330" t="s">
        <v>128</v>
      </c>
    </row>
    <row r="1331" spans="1:2" x14ac:dyDescent="0.45">
      <c r="A1331" t="s">
        <v>4321</v>
      </c>
      <c r="B1331" t="s">
        <v>128</v>
      </c>
    </row>
    <row r="1332" spans="1:2" x14ac:dyDescent="0.45">
      <c r="A1332" t="s">
        <v>4323</v>
      </c>
      <c r="B1332" t="s">
        <v>128</v>
      </c>
    </row>
    <row r="1333" spans="1:2" x14ac:dyDescent="0.45">
      <c r="A1333" t="s">
        <v>4324</v>
      </c>
      <c r="B1333" t="s">
        <v>128</v>
      </c>
    </row>
    <row r="1334" spans="1:2" x14ac:dyDescent="0.45">
      <c r="A1334" t="s">
        <v>4328</v>
      </c>
      <c r="B1334" t="s">
        <v>128</v>
      </c>
    </row>
    <row r="1335" spans="1:2" x14ac:dyDescent="0.45">
      <c r="A1335" t="s">
        <v>4330</v>
      </c>
      <c r="B1335" t="s">
        <v>94</v>
      </c>
    </row>
    <row r="1336" spans="1:2" x14ac:dyDescent="0.45">
      <c r="A1336" t="s">
        <v>4333</v>
      </c>
      <c r="B1336" t="s">
        <v>128</v>
      </c>
    </row>
    <row r="1337" spans="1:2" x14ac:dyDescent="0.45">
      <c r="A1337" t="s">
        <v>4336</v>
      </c>
      <c r="B1337" t="s">
        <v>128</v>
      </c>
    </row>
    <row r="1338" spans="1:2" x14ac:dyDescent="0.45">
      <c r="A1338" t="s">
        <v>4342</v>
      </c>
      <c r="B1338" t="s">
        <v>128</v>
      </c>
    </row>
    <row r="1339" spans="1:2" x14ac:dyDescent="0.45">
      <c r="A1339" t="s">
        <v>4343</v>
      </c>
      <c r="B1339" t="s">
        <v>89</v>
      </c>
    </row>
    <row r="1340" spans="1:2" x14ac:dyDescent="0.45">
      <c r="A1340" t="s">
        <v>4351</v>
      </c>
      <c r="B1340" t="s">
        <v>94</v>
      </c>
    </row>
    <row r="1341" spans="1:2" x14ac:dyDescent="0.45">
      <c r="A1341" t="s">
        <v>4353</v>
      </c>
      <c r="B1341" t="s">
        <v>94</v>
      </c>
    </row>
    <row r="1342" spans="1:2" x14ac:dyDescent="0.45">
      <c r="A1342" t="s">
        <v>4355</v>
      </c>
      <c r="B1342" t="s">
        <v>89</v>
      </c>
    </row>
    <row r="1343" spans="1:2" x14ac:dyDescent="0.45">
      <c r="A1343" t="s">
        <v>4358</v>
      </c>
      <c r="B1343" t="s">
        <v>108</v>
      </c>
    </row>
    <row r="1344" spans="1:2" x14ac:dyDescent="0.45">
      <c r="A1344" t="s">
        <v>4361</v>
      </c>
      <c r="B1344" t="s">
        <v>89</v>
      </c>
    </row>
    <row r="1345" spans="1:2" x14ac:dyDescent="0.45">
      <c r="A1345" t="s">
        <v>4363</v>
      </c>
      <c r="B1345" t="s">
        <v>89</v>
      </c>
    </row>
    <row r="1346" spans="1:2" x14ac:dyDescent="0.45">
      <c r="A1346" t="s">
        <v>4370</v>
      </c>
      <c r="B1346" t="s">
        <v>108</v>
      </c>
    </row>
    <row r="1347" spans="1:2" x14ac:dyDescent="0.45">
      <c r="A1347" t="s">
        <v>4373</v>
      </c>
      <c r="B1347" t="s">
        <v>108</v>
      </c>
    </row>
    <row r="1348" spans="1:2" x14ac:dyDescent="0.45">
      <c r="A1348" t="s">
        <v>4379</v>
      </c>
      <c r="B1348" t="s">
        <v>89</v>
      </c>
    </row>
    <row r="1349" spans="1:2" x14ac:dyDescent="0.45">
      <c r="A1349" t="s">
        <v>4384</v>
      </c>
      <c r="B1349" t="s">
        <v>94</v>
      </c>
    </row>
    <row r="1350" spans="1:2" x14ac:dyDescent="0.45">
      <c r="A1350" t="s">
        <v>4387</v>
      </c>
      <c r="B1350" t="s">
        <v>94</v>
      </c>
    </row>
    <row r="1351" spans="1:2" x14ac:dyDescent="0.45">
      <c r="A1351" t="s">
        <v>4389</v>
      </c>
      <c r="B1351" t="s">
        <v>89</v>
      </c>
    </row>
    <row r="1352" spans="1:2" x14ac:dyDescent="0.45">
      <c r="A1352" t="s">
        <v>4391</v>
      </c>
      <c r="B1352" t="s">
        <v>89</v>
      </c>
    </row>
    <row r="1353" spans="1:2" x14ac:dyDescent="0.45">
      <c r="A1353" t="s">
        <v>4393</v>
      </c>
      <c r="B1353" t="s">
        <v>94</v>
      </c>
    </row>
    <row r="1354" spans="1:2" x14ac:dyDescent="0.45">
      <c r="A1354" t="s">
        <v>4396</v>
      </c>
      <c r="B1354" t="s">
        <v>132</v>
      </c>
    </row>
    <row r="1355" spans="1:2" x14ac:dyDescent="0.45">
      <c r="A1355" t="s">
        <v>4399</v>
      </c>
      <c r="B1355" t="s">
        <v>108</v>
      </c>
    </row>
    <row r="1356" spans="1:2" x14ac:dyDescent="0.45">
      <c r="A1356" t="s">
        <v>4402</v>
      </c>
      <c r="B1356" t="s">
        <v>128</v>
      </c>
    </row>
    <row r="1357" spans="1:2" x14ac:dyDescent="0.45">
      <c r="A1357" t="s">
        <v>4405</v>
      </c>
      <c r="B1357" t="s">
        <v>108</v>
      </c>
    </row>
    <row r="1358" spans="1:2" x14ac:dyDescent="0.45">
      <c r="A1358" t="s">
        <v>4408</v>
      </c>
      <c r="B1358" t="s">
        <v>132</v>
      </c>
    </row>
    <row r="1359" spans="1:2" x14ac:dyDescent="0.45">
      <c r="A1359" t="s">
        <v>4410</v>
      </c>
      <c r="B1359" t="s">
        <v>108</v>
      </c>
    </row>
    <row r="1360" spans="1:2" x14ac:dyDescent="0.45">
      <c r="A1360" t="s">
        <v>4412</v>
      </c>
      <c r="B1360" t="s">
        <v>132</v>
      </c>
    </row>
    <row r="1361" spans="1:2" x14ac:dyDescent="0.45">
      <c r="A1361" t="s">
        <v>4415</v>
      </c>
      <c r="B1361" t="s">
        <v>132</v>
      </c>
    </row>
    <row r="1362" spans="1:2" x14ac:dyDescent="0.45">
      <c r="A1362" t="s">
        <v>4417</v>
      </c>
      <c r="B1362" t="s">
        <v>132</v>
      </c>
    </row>
    <row r="1363" spans="1:2" x14ac:dyDescent="0.45">
      <c r="A1363" t="s">
        <v>4419</v>
      </c>
      <c r="B1363" t="s">
        <v>132</v>
      </c>
    </row>
    <row r="1364" spans="1:2" x14ac:dyDescent="0.45">
      <c r="A1364" t="s">
        <v>4421</v>
      </c>
      <c r="B1364" t="s">
        <v>89</v>
      </c>
    </row>
    <row r="1365" spans="1:2" x14ac:dyDescent="0.45">
      <c r="A1365" t="s">
        <v>4425</v>
      </c>
      <c r="B1365" t="s">
        <v>132</v>
      </c>
    </row>
    <row r="1366" spans="1:2" x14ac:dyDescent="0.45">
      <c r="A1366" t="s">
        <v>4427</v>
      </c>
      <c r="B1366" t="s">
        <v>132</v>
      </c>
    </row>
    <row r="1367" spans="1:2" x14ac:dyDescent="0.45">
      <c r="A1367" t="s">
        <v>4428</v>
      </c>
      <c r="B1367" t="s">
        <v>132</v>
      </c>
    </row>
    <row r="1368" spans="1:2" x14ac:dyDescent="0.45">
      <c r="A1368" t="s">
        <v>4430</v>
      </c>
      <c r="B1368" t="s">
        <v>128</v>
      </c>
    </row>
    <row r="1369" spans="1:2" x14ac:dyDescent="0.45">
      <c r="A1369" t="s">
        <v>4436</v>
      </c>
      <c r="B1369" t="s">
        <v>108</v>
      </c>
    </row>
    <row r="1370" spans="1:2" x14ac:dyDescent="0.45">
      <c r="A1370" t="s">
        <v>4439</v>
      </c>
      <c r="B1370" t="s">
        <v>132</v>
      </c>
    </row>
    <row r="1371" spans="1:2" x14ac:dyDescent="0.45">
      <c r="A1371" t="s">
        <v>4442</v>
      </c>
      <c r="B1371" t="s">
        <v>132</v>
      </c>
    </row>
    <row r="1372" spans="1:2" x14ac:dyDescent="0.45">
      <c r="A1372" t="s">
        <v>4444</v>
      </c>
      <c r="B1372" t="s">
        <v>89</v>
      </c>
    </row>
    <row r="1373" spans="1:2" x14ac:dyDescent="0.45">
      <c r="A1373" t="s">
        <v>4447</v>
      </c>
      <c r="B1373" t="s">
        <v>132</v>
      </c>
    </row>
    <row r="1374" spans="1:2" x14ac:dyDescent="0.45">
      <c r="A1374" t="s">
        <v>4449</v>
      </c>
      <c r="B1374" t="s">
        <v>132</v>
      </c>
    </row>
    <row r="1375" spans="1:2" x14ac:dyDescent="0.45">
      <c r="A1375" t="s">
        <v>4452</v>
      </c>
      <c r="B1375" t="s">
        <v>94</v>
      </c>
    </row>
    <row r="1376" spans="1:2" x14ac:dyDescent="0.45">
      <c r="A1376" t="s">
        <v>4457</v>
      </c>
      <c r="B1376" t="s">
        <v>132</v>
      </c>
    </row>
    <row r="1377" spans="1:2" x14ac:dyDescent="0.45">
      <c r="A1377" t="s">
        <v>4460</v>
      </c>
      <c r="B1377" t="s">
        <v>128</v>
      </c>
    </row>
    <row r="1378" spans="1:2" x14ac:dyDescent="0.45">
      <c r="A1378" t="s">
        <v>4463</v>
      </c>
      <c r="B1378" t="s">
        <v>132</v>
      </c>
    </row>
    <row r="1379" spans="1:2" x14ac:dyDescent="0.45">
      <c r="A1379" t="s">
        <v>4466</v>
      </c>
      <c r="B1379" t="s">
        <v>108</v>
      </c>
    </row>
    <row r="1380" spans="1:2" x14ac:dyDescent="0.45">
      <c r="A1380" t="s">
        <v>4469</v>
      </c>
      <c r="B1380" t="s">
        <v>108</v>
      </c>
    </row>
    <row r="1381" spans="1:2" x14ac:dyDescent="0.45">
      <c r="A1381" t="s">
        <v>4471</v>
      </c>
      <c r="B1381" t="s">
        <v>128</v>
      </c>
    </row>
    <row r="1382" spans="1:2" x14ac:dyDescent="0.45">
      <c r="A1382" t="s">
        <v>4474</v>
      </c>
      <c r="B1382" t="s">
        <v>132</v>
      </c>
    </row>
    <row r="1383" spans="1:2" x14ac:dyDescent="0.45">
      <c r="A1383" t="s">
        <v>4479</v>
      </c>
      <c r="B1383" t="s">
        <v>128</v>
      </c>
    </row>
    <row r="1384" spans="1:2" x14ac:dyDescent="0.45">
      <c r="A1384" t="s">
        <v>4482</v>
      </c>
      <c r="B1384" t="s">
        <v>132</v>
      </c>
    </row>
    <row r="1385" spans="1:2" x14ac:dyDescent="0.45">
      <c r="A1385" t="s">
        <v>4485</v>
      </c>
      <c r="B1385" t="s">
        <v>94</v>
      </c>
    </row>
    <row r="1386" spans="1:2" x14ac:dyDescent="0.45">
      <c r="A1386" t="s">
        <v>4487</v>
      </c>
      <c r="B1386" t="s">
        <v>132</v>
      </c>
    </row>
    <row r="1387" spans="1:2" x14ac:dyDescent="0.45">
      <c r="A1387" t="s">
        <v>4489</v>
      </c>
      <c r="B1387" t="s">
        <v>108</v>
      </c>
    </row>
    <row r="1388" spans="1:2" x14ac:dyDescent="0.45">
      <c r="A1388" t="s">
        <v>4493</v>
      </c>
      <c r="B1388" t="s">
        <v>132</v>
      </c>
    </row>
    <row r="1389" spans="1:2" x14ac:dyDescent="0.45">
      <c r="A1389" t="s">
        <v>4496</v>
      </c>
      <c r="B1389" t="s">
        <v>132</v>
      </c>
    </row>
    <row r="1390" spans="1:2" x14ac:dyDescent="0.45">
      <c r="A1390" t="s">
        <v>4497</v>
      </c>
      <c r="B1390" t="s">
        <v>132</v>
      </c>
    </row>
    <row r="1391" spans="1:2" x14ac:dyDescent="0.45">
      <c r="A1391" t="s">
        <v>4500</v>
      </c>
      <c r="B1391" t="s">
        <v>132</v>
      </c>
    </row>
    <row r="1392" spans="1:2" x14ac:dyDescent="0.45">
      <c r="A1392" t="s">
        <v>4503</v>
      </c>
      <c r="B1392" t="s">
        <v>132</v>
      </c>
    </row>
    <row r="1393" spans="1:2" x14ac:dyDescent="0.45">
      <c r="A1393" t="s">
        <v>4507</v>
      </c>
      <c r="B1393" t="s">
        <v>94</v>
      </c>
    </row>
    <row r="1394" spans="1:2" x14ac:dyDescent="0.45">
      <c r="A1394" t="s">
        <v>4511</v>
      </c>
      <c r="B1394" t="s">
        <v>132</v>
      </c>
    </row>
    <row r="1395" spans="1:2" x14ac:dyDescent="0.45">
      <c r="A1395" t="s">
        <v>4514</v>
      </c>
      <c r="B1395" t="s">
        <v>132</v>
      </c>
    </row>
    <row r="1396" spans="1:2" x14ac:dyDescent="0.45">
      <c r="A1396" t="s">
        <v>4515</v>
      </c>
      <c r="B1396" t="s">
        <v>128</v>
      </c>
    </row>
    <row r="1397" spans="1:2" x14ac:dyDescent="0.45">
      <c r="A1397" t="s">
        <v>4518</v>
      </c>
      <c r="B1397" t="s">
        <v>132</v>
      </c>
    </row>
    <row r="1398" spans="1:2" x14ac:dyDescent="0.45">
      <c r="A1398" t="s">
        <v>4521</v>
      </c>
      <c r="B1398" t="s">
        <v>128</v>
      </c>
    </row>
    <row r="1399" spans="1:2" x14ac:dyDescent="0.45">
      <c r="A1399" t="s">
        <v>4524</v>
      </c>
      <c r="B1399" t="s">
        <v>132</v>
      </c>
    </row>
    <row r="1400" spans="1:2" x14ac:dyDescent="0.45">
      <c r="A1400" t="s">
        <v>4526</v>
      </c>
      <c r="B1400" t="s">
        <v>132</v>
      </c>
    </row>
    <row r="1401" spans="1:2" x14ac:dyDescent="0.45">
      <c r="A1401" t="s">
        <v>4528</v>
      </c>
      <c r="B1401" t="s">
        <v>128</v>
      </c>
    </row>
    <row r="1402" spans="1:2" x14ac:dyDescent="0.45">
      <c r="A1402" t="s">
        <v>4530</v>
      </c>
      <c r="B1402" t="s">
        <v>132</v>
      </c>
    </row>
    <row r="1403" spans="1:2" x14ac:dyDescent="0.45">
      <c r="A1403" t="s">
        <v>4535</v>
      </c>
      <c r="B1403" t="s">
        <v>132</v>
      </c>
    </row>
    <row r="1404" spans="1:2" x14ac:dyDescent="0.45">
      <c r="A1404" t="s">
        <v>4538</v>
      </c>
      <c r="B1404" t="s">
        <v>128</v>
      </c>
    </row>
    <row r="1405" spans="1:2" x14ac:dyDescent="0.45">
      <c r="A1405" t="s">
        <v>4544</v>
      </c>
      <c r="B1405" t="s">
        <v>128</v>
      </c>
    </row>
    <row r="1406" spans="1:2" x14ac:dyDescent="0.45">
      <c r="A1406" t="s">
        <v>4545</v>
      </c>
      <c r="B1406" t="s">
        <v>94</v>
      </c>
    </row>
    <row r="1407" spans="1:2" x14ac:dyDescent="0.45">
      <c r="A1407" t="s">
        <v>4546</v>
      </c>
      <c r="B1407" t="s">
        <v>132</v>
      </c>
    </row>
    <row r="1408" spans="1:2" x14ac:dyDescent="0.45">
      <c r="A1408" t="s">
        <v>4551</v>
      </c>
      <c r="B1408" t="s">
        <v>132</v>
      </c>
    </row>
    <row r="1409" spans="1:2" x14ac:dyDescent="0.45">
      <c r="A1409" t="s">
        <v>4554</v>
      </c>
      <c r="B1409" t="s">
        <v>94</v>
      </c>
    </row>
    <row r="1410" spans="1:2" x14ac:dyDescent="0.45">
      <c r="A1410" t="s">
        <v>4556</v>
      </c>
      <c r="B1410" t="s">
        <v>94</v>
      </c>
    </row>
    <row r="1411" spans="1:2" x14ac:dyDescent="0.45">
      <c r="A1411" t="s">
        <v>4557</v>
      </c>
      <c r="B1411" t="s">
        <v>132</v>
      </c>
    </row>
    <row r="1412" spans="1:2" x14ac:dyDescent="0.45">
      <c r="A1412" t="s">
        <v>4562</v>
      </c>
      <c r="B1412" t="s">
        <v>132</v>
      </c>
    </row>
    <row r="1413" spans="1:2" x14ac:dyDescent="0.45">
      <c r="A1413" t="s">
        <v>4565</v>
      </c>
      <c r="B1413" t="s">
        <v>132</v>
      </c>
    </row>
    <row r="1414" spans="1:2" x14ac:dyDescent="0.45">
      <c r="A1414" t="s">
        <v>4566</v>
      </c>
      <c r="B1414" t="s">
        <v>94</v>
      </c>
    </row>
    <row r="1415" spans="1:2" x14ac:dyDescent="0.45">
      <c r="A1415" t="s">
        <v>4569</v>
      </c>
      <c r="B1415" t="s">
        <v>132</v>
      </c>
    </row>
    <row r="1416" spans="1:2" x14ac:dyDescent="0.45">
      <c r="A1416" t="s">
        <v>4570</v>
      </c>
      <c r="B1416" t="s">
        <v>128</v>
      </c>
    </row>
    <row r="1417" spans="1:2" x14ac:dyDescent="0.45">
      <c r="A1417" t="s">
        <v>4572</v>
      </c>
      <c r="B1417" t="s">
        <v>94</v>
      </c>
    </row>
    <row r="1418" spans="1:2" x14ac:dyDescent="0.45">
      <c r="A1418" t="s">
        <v>4575</v>
      </c>
      <c r="B1418" t="s">
        <v>132</v>
      </c>
    </row>
    <row r="1419" spans="1:2" x14ac:dyDescent="0.45">
      <c r="A1419" t="s">
        <v>4578</v>
      </c>
      <c r="B1419" t="s">
        <v>94</v>
      </c>
    </row>
    <row r="1420" spans="1:2" x14ac:dyDescent="0.45">
      <c r="A1420" t="s">
        <v>4581</v>
      </c>
      <c r="B1420" t="s">
        <v>94</v>
      </c>
    </row>
    <row r="1421" spans="1:2" x14ac:dyDescent="0.45">
      <c r="A1421" t="s">
        <v>4584</v>
      </c>
      <c r="B1421" t="s">
        <v>128</v>
      </c>
    </row>
    <row r="1422" spans="1:2" x14ac:dyDescent="0.45">
      <c r="A1422" t="s">
        <v>4587</v>
      </c>
      <c r="B1422" t="s">
        <v>132</v>
      </c>
    </row>
    <row r="1423" spans="1:2" x14ac:dyDescent="0.45">
      <c r="A1423" t="s">
        <v>4590</v>
      </c>
      <c r="B1423" t="s">
        <v>89</v>
      </c>
    </row>
    <row r="1424" spans="1:2" x14ac:dyDescent="0.45">
      <c r="A1424" t="s">
        <v>4593</v>
      </c>
      <c r="B1424" t="s">
        <v>132</v>
      </c>
    </row>
    <row r="1425" spans="1:2" x14ac:dyDescent="0.45">
      <c r="A1425" t="s">
        <v>4597</v>
      </c>
      <c r="B1425" t="s">
        <v>94</v>
      </c>
    </row>
    <row r="1426" spans="1:2" x14ac:dyDescent="0.45">
      <c r="A1426" t="s">
        <v>4601</v>
      </c>
      <c r="B1426" t="s">
        <v>128</v>
      </c>
    </row>
    <row r="1427" spans="1:2" x14ac:dyDescent="0.45">
      <c r="A1427" t="s">
        <v>4602</v>
      </c>
      <c r="B1427" t="s">
        <v>94</v>
      </c>
    </row>
    <row r="1428" spans="1:2" x14ac:dyDescent="0.45">
      <c r="A1428" t="s">
        <v>4607</v>
      </c>
      <c r="B1428" t="s">
        <v>94</v>
      </c>
    </row>
    <row r="1429" spans="1:2" x14ac:dyDescent="0.45">
      <c r="A1429" t="s">
        <v>4612</v>
      </c>
      <c r="B1429" t="s">
        <v>94</v>
      </c>
    </row>
    <row r="1430" spans="1:2" x14ac:dyDescent="0.45">
      <c r="A1430" t="s">
        <v>4614</v>
      </c>
      <c r="B1430" t="s">
        <v>132</v>
      </c>
    </row>
    <row r="1431" spans="1:2" x14ac:dyDescent="0.45">
      <c r="A1431" t="s">
        <v>4616</v>
      </c>
      <c r="B1431" t="s">
        <v>132</v>
      </c>
    </row>
    <row r="1432" spans="1:2" x14ac:dyDescent="0.45">
      <c r="A1432" t="s">
        <v>4617</v>
      </c>
      <c r="B1432" t="s">
        <v>94</v>
      </c>
    </row>
    <row r="1433" spans="1:2" x14ac:dyDescent="0.45">
      <c r="A1433" t="s">
        <v>4622</v>
      </c>
      <c r="B1433" t="s">
        <v>94</v>
      </c>
    </row>
    <row r="1434" spans="1:2" x14ac:dyDescent="0.45">
      <c r="A1434" t="s">
        <v>4624</v>
      </c>
      <c r="B1434" t="s">
        <v>94</v>
      </c>
    </row>
    <row r="1435" spans="1:2" x14ac:dyDescent="0.45">
      <c r="A1435" t="s">
        <v>4626</v>
      </c>
      <c r="B1435" t="s">
        <v>94</v>
      </c>
    </row>
    <row r="1436" spans="1:2" x14ac:dyDescent="0.45">
      <c r="A1436" t="s">
        <v>4629</v>
      </c>
      <c r="B1436" t="s">
        <v>132</v>
      </c>
    </row>
    <row r="1437" spans="1:2" x14ac:dyDescent="0.45">
      <c r="A1437" t="s">
        <v>4632</v>
      </c>
      <c r="B1437" t="s">
        <v>128</v>
      </c>
    </row>
    <row r="1438" spans="1:2" x14ac:dyDescent="0.45">
      <c r="A1438" t="s">
        <v>4635</v>
      </c>
      <c r="B1438" t="s">
        <v>267</v>
      </c>
    </row>
    <row r="1439" spans="1:2" x14ac:dyDescent="0.45">
      <c r="A1439" t="s">
        <v>4638</v>
      </c>
      <c r="B1439" t="s">
        <v>132</v>
      </c>
    </row>
    <row r="1440" spans="1:2" x14ac:dyDescent="0.45">
      <c r="A1440" t="s">
        <v>4640</v>
      </c>
      <c r="B1440" t="s">
        <v>128</v>
      </c>
    </row>
    <row r="1441" spans="1:2" x14ac:dyDescent="0.45">
      <c r="A1441" t="s">
        <v>4649</v>
      </c>
      <c r="B1441" t="s">
        <v>132</v>
      </c>
    </row>
    <row r="1442" spans="1:2" x14ac:dyDescent="0.45">
      <c r="A1442" t="s">
        <v>4656</v>
      </c>
      <c r="B1442" t="s">
        <v>132</v>
      </c>
    </row>
    <row r="1443" spans="1:2" x14ac:dyDescent="0.45">
      <c r="A1443" t="s">
        <v>4659</v>
      </c>
      <c r="B1443" t="s">
        <v>128</v>
      </c>
    </row>
    <row r="1444" spans="1:2" x14ac:dyDescent="0.45">
      <c r="A1444" t="s">
        <v>4661</v>
      </c>
      <c r="B1444" t="s">
        <v>94</v>
      </c>
    </row>
    <row r="1445" spans="1:2" x14ac:dyDescent="0.45">
      <c r="A1445" t="s">
        <v>4662</v>
      </c>
      <c r="B1445" t="s">
        <v>132</v>
      </c>
    </row>
    <row r="1446" spans="1:2" x14ac:dyDescent="0.45">
      <c r="A1446" t="s">
        <v>4666</v>
      </c>
      <c r="B1446" t="s">
        <v>128</v>
      </c>
    </row>
    <row r="1447" spans="1:2" x14ac:dyDescent="0.45">
      <c r="A1447" t="s">
        <v>4668</v>
      </c>
      <c r="B1447" t="s">
        <v>128</v>
      </c>
    </row>
    <row r="1448" spans="1:2" x14ac:dyDescent="0.45">
      <c r="A1448" t="s">
        <v>4670</v>
      </c>
      <c r="B1448" t="s">
        <v>128</v>
      </c>
    </row>
    <row r="1449" spans="1:2" x14ac:dyDescent="0.45">
      <c r="A1449" t="s">
        <v>4675</v>
      </c>
      <c r="B1449" t="s">
        <v>128</v>
      </c>
    </row>
    <row r="1450" spans="1:2" x14ac:dyDescent="0.45">
      <c r="A1450" t="s">
        <v>4680</v>
      </c>
      <c r="B1450" t="s">
        <v>128</v>
      </c>
    </row>
    <row r="1451" spans="1:2" x14ac:dyDescent="0.45">
      <c r="A1451" t="s">
        <v>4682</v>
      </c>
      <c r="B1451" t="s">
        <v>128</v>
      </c>
    </row>
    <row r="1452" spans="1:2" x14ac:dyDescent="0.45">
      <c r="A1452" t="s">
        <v>4683</v>
      </c>
      <c r="B1452" t="s">
        <v>132</v>
      </c>
    </row>
    <row r="1453" spans="1:2" x14ac:dyDescent="0.45">
      <c r="A1453" t="s">
        <v>4686</v>
      </c>
      <c r="B1453" t="s">
        <v>128</v>
      </c>
    </row>
    <row r="1454" spans="1:2" x14ac:dyDescent="0.45">
      <c r="A1454" t="s">
        <v>4688</v>
      </c>
      <c r="B1454" t="s">
        <v>132</v>
      </c>
    </row>
    <row r="1455" spans="1:2" x14ac:dyDescent="0.45">
      <c r="A1455" t="s">
        <v>4692</v>
      </c>
      <c r="B1455" t="s">
        <v>267</v>
      </c>
    </row>
    <row r="1456" spans="1:2" x14ac:dyDescent="0.45">
      <c r="A1456" t="s">
        <v>4698</v>
      </c>
      <c r="B1456" t="s">
        <v>132</v>
      </c>
    </row>
    <row r="1457" spans="1:2" x14ac:dyDescent="0.45">
      <c r="A1457" t="s">
        <v>4703</v>
      </c>
      <c r="B1457" t="s">
        <v>132</v>
      </c>
    </row>
    <row r="1458" spans="1:2" x14ac:dyDescent="0.45">
      <c r="A1458" t="s">
        <v>4706</v>
      </c>
      <c r="B1458" t="s">
        <v>128</v>
      </c>
    </row>
    <row r="1459" spans="1:2" x14ac:dyDescent="0.45">
      <c r="A1459" t="s">
        <v>4708</v>
      </c>
      <c r="B1459" t="s">
        <v>128</v>
      </c>
    </row>
    <row r="1460" spans="1:2" x14ac:dyDescent="0.45">
      <c r="A1460" t="s">
        <v>4712</v>
      </c>
      <c r="B1460" t="s">
        <v>132</v>
      </c>
    </row>
    <row r="1461" spans="1:2" x14ac:dyDescent="0.45">
      <c r="A1461" t="s">
        <v>4715</v>
      </c>
      <c r="B1461" t="s">
        <v>128</v>
      </c>
    </row>
    <row r="1462" spans="1:2" x14ac:dyDescent="0.45">
      <c r="A1462" t="s">
        <v>4717</v>
      </c>
      <c r="B1462" t="s">
        <v>128</v>
      </c>
    </row>
    <row r="1463" spans="1:2" x14ac:dyDescent="0.45">
      <c r="A1463" t="s">
        <v>4720</v>
      </c>
      <c r="B1463" t="s">
        <v>128</v>
      </c>
    </row>
    <row r="1464" spans="1:2" x14ac:dyDescent="0.45">
      <c r="A1464" t="s">
        <v>4723</v>
      </c>
      <c r="B1464" t="s">
        <v>132</v>
      </c>
    </row>
    <row r="1465" spans="1:2" x14ac:dyDescent="0.45">
      <c r="A1465" t="s">
        <v>4726</v>
      </c>
      <c r="B1465" t="s">
        <v>128</v>
      </c>
    </row>
    <row r="1466" spans="1:2" x14ac:dyDescent="0.45">
      <c r="A1466" t="s">
        <v>4727</v>
      </c>
      <c r="B1466" t="s">
        <v>132</v>
      </c>
    </row>
    <row r="1467" spans="1:2" x14ac:dyDescent="0.45">
      <c r="A1467" t="s">
        <v>4733</v>
      </c>
      <c r="B1467" t="s">
        <v>132</v>
      </c>
    </row>
    <row r="1468" spans="1:2" x14ac:dyDescent="0.45">
      <c r="A1468" t="s">
        <v>4739</v>
      </c>
      <c r="B1468" t="s">
        <v>132</v>
      </c>
    </row>
    <row r="1469" spans="1:2" x14ac:dyDescent="0.45">
      <c r="A1469" t="s">
        <v>4741</v>
      </c>
      <c r="B1469" t="s">
        <v>128</v>
      </c>
    </row>
    <row r="1470" spans="1:2" x14ac:dyDescent="0.45">
      <c r="A1470" t="s">
        <v>4742</v>
      </c>
      <c r="B1470" t="s">
        <v>128</v>
      </c>
    </row>
    <row r="1471" spans="1:2" x14ac:dyDescent="0.45">
      <c r="A1471" t="s">
        <v>4744</v>
      </c>
      <c r="B1471" t="s">
        <v>128</v>
      </c>
    </row>
    <row r="1472" spans="1:2" x14ac:dyDescent="0.45">
      <c r="A1472" t="s">
        <v>4745</v>
      </c>
      <c r="B1472" t="s">
        <v>132</v>
      </c>
    </row>
    <row r="1473" spans="1:2" x14ac:dyDescent="0.45">
      <c r="A1473" t="s">
        <v>4749</v>
      </c>
      <c r="B1473" t="s">
        <v>132</v>
      </c>
    </row>
    <row r="1474" spans="1:2" x14ac:dyDescent="0.45">
      <c r="A1474" t="s">
        <v>4752</v>
      </c>
      <c r="B1474" t="s">
        <v>128</v>
      </c>
    </row>
    <row r="1475" spans="1:2" x14ac:dyDescent="0.45">
      <c r="A1475" t="s">
        <v>4756</v>
      </c>
      <c r="B1475" t="s">
        <v>132</v>
      </c>
    </row>
    <row r="1476" spans="1:2" x14ac:dyDescent="0.45">
      <c r="A1476" t="s">
        <v>4758</v>
      </c>
      <c r="B1476" t="s">
        <v>128</v>
      </c>
    </row>
    <row r="1477" spans="1:2" x14ac:dyDescent="0.45">
      <c r="A1477" t="s">
        <v>4760</v>
      </c>
      <c r="B1477" t="s">
        <v>132</v>
      </c>
    </row>
    <row r="1478" spans="1:2" x14ac:dyDescent="0.45">
      <c r="A1478" t="s">
        <v>4762</v>
      </c>
      <c r="B1478" t="s">
        <v>128</v>
      </c>
    </row>
    <row r="1479" spans="1:2" x14ac:dyDescent="0.45">
      <c r="A1479" t="s">
        <v>4764</v>
      </c>
      <c r="B1479" t="s">
        <v>132</v>
      </c>
    </row>
    <row r="1480" spans="1:2" x14ac:dyDescent="0.45">
      <c r="A1480" t="s">
        <v>4766</v>
      </c>
      <c r="B1480" t="s">
        <v>147</v>
      </c>
    </row>
    <row r="1481" spans="1:2" x14ac:dyDescent="0.45">
      <c r="A1481" t="s">
        <v>4768</v>
      </c>
      <c r="B1481" t="s">
        <v>267</v>
      </c>
    </row>
    <row r="1482" spans="1:2" x14ac:dyDescent="0.45">
      <c r="A1482" t="s">
        <v>4771</v>
      </c>
      <c r="B1482" t="s">
        <v>267</v>
      </c>
    </row>
    <row r="1483" spans="1:2" x14ac:dyDescent="0.45">
      <c r="A1483" t="s">
        <v>4773</v>
      </c>
      <c r="B1483" t="s">
        <v>267</v>
      </c>
    </row>
    <row r="1484" spans="1:2" x14ac:dyDescent="0.45">
      <c r="A1484" t="s">
        <v>4775</v>
      </c>
      <c r="B1484" t="s">
        <v>267</v>
      </c>
    </row>
    <row r="1485" spans="1:2" x14ac:dyDescent="0.45">
      <c r="A1485" t="s">
        <v>4785</v>
      </c>
      <c r="B1485" t="s">
        <v>89</v>
      </c>
    </row>
    <row r="1486" spans="1:2" x14ac:dyDescent="0.45">
      <c r="A1486" t="s">
        <v>4798</v>
      </c>
      <c r="B1486" t="s">
        <v>267</v>
      </c>
    </row>
    <row r="1487" spans="1:2" x14ac:dyDescent="0.45">
      <c r="A1487" t="s">
        <v>4800</v>
      </c>
      <c r="B1487" t="s">
        <v>267</v>
      </c>
    </row>
    <row r="1488" spans="1:2" x14ac:dyDescent="0.45">
      <c r="A1488" t="s">
        <v>4803</v>
      </c>
      <c r="B1488" t="s">
        <v>267</v>
      </c>
    </row>
    <row r="1489" spans="1:2" x14ac:dyDescent="0.45">
      <c r="A1489" t="s">
        <v>4806</v>
      </c>
      <c r="B1489" t="s">
        <v>94</v>
      </c>
    </row>
    <row r="1490" spans="1:2" x14ac:dyDescent="0.45">
      <c r="A1490" t="s">
        <v>4807</v>
      </c>
      <c r="B1490" t="s">
        <v>94</v>
      </c>
    </row>
    <row r="1491" spans="1:2" x14ac:dyDescent="0.45">
      <c r="A1491" t="s">
        <v>4809</v>
      </c>
      <c r="B1491" t="s">
        <v>94</v>
      </c>
    </row>
    <row r="1492" spans="1:2" x14ac:dyDescent="0.45">
      <c r="A1492" t="s">
        <v>4822</v>
      </c>
      <c r="B1492" t="s">
        <v>267</v>
      </c>
    </row>
    <row r="1493" spans="1:2" x14ac:dyDescent="0.45">
      <c r="A1493" t="s">
        <v>4824</v>
      </c>
      <c r="B1493" t="s">
        <v>94</v>
      </c>
    </row>
    <row r="1494" spans="1:2" x14ac:dyDescent="0.45">
      <c r="A1494" t="s">
        <v>4826</v>
      </c>
      <c r="B1494" t="s">
        <v>89</v>
      </c>
    </row>
    <row r="1495" spans="1:2" x14ac:dyDescent="0.45">
      <c r="A1495" t="s">
        <v>4828</v>
      </c>
      <c r="B1495" t="s">
        <v>94</v>
      </c>
    </row>
    <row r="1496" spans="1:2" x14ac:dyDescent="0.45">
      <c r="A1496" t="s">
        <v>4830</v>
      </c>
      <c r="B1496" t="s">
        <v>89</v>
      </c>
    </row>
    <row r="1497" spans="1:2" x14ac:dyDescent="0.45">
      <c r="A1497" t="s">
        <v>4833</v>
      </c>
      <c r="B1497" t="s">
        <v>89</v>
      </c>
    </row>
    <row r="1498" spans="1:2" x14ac:dyDescent="0.45">
      <c r="A1498" t="s">
        <v>4836</v>
      </c>
      <c r="B1498" t="s">
        <v>128</v>
      </c>
    </row>
    <row r="1499" spans="1:2" x14ac:dyDescent="0.45">
      <c r="A1499" t="s">
        <v>4838</v>
      </c>
      <c r="B1499" t="s">
        <v>108</v>
      </c>
    </row>
    <row r="1500" spans="1:2" x14ac:dyDescent="0.45">
      <c r="A1500" t="s">
        <v>4840</v>
      </c>
      <c r="B1500" t="s">
        <v>94</v>
      </c>
    </row>
    <row r="1501" spans="1:2" x14ac:dyDescent="0.45">
      <c r="A1501" t="s">
        <v>4843</v>
      </c>
      <c r="B1501" t="s">
        <v>108</v>
      </c>
    </row>
    <row r="1502" spans="1:2" x14ac:dyDescent="0.45">
      <c r="A1502" t="s">
        <v>4846</v>
      </c>
      <c r="B1502" t="s">
        <v>89</v>
      </c>
    </row>
    <row r="1503" spans="1:2" x14ac:dyDescent="0.45">
      <c r="A1503" t="s">
        <v>4849</v>
      </c>
      <c r="B1503" t="s">
        <v>89</v>
      </c>
    </row>
    <row r="1504" spans="1:2" x14ac:dyDescent="0.45">
      <c r="A1504" t="s">
        <v>4851</v>
      </c>
      <c r="B1504" t="s">
        <v>128</v>
      </c>
    </row>
    <row r="1505" spans="1:2" x14ac:dyDescent="0.45">
      <c r="A1505" t="s">
        <v>4857</v>
      </c>
      <c r="B1505" t="s">
        <v>108</v>
      </c>
    </row>
    <row r="1506" spans="1:2" x14ac:dyDescent="0.45">
      <c r="A1506" t="s">
        <v>4865</v>
      </c>
      <c r="B1506" t="s">
        <v>267</v>
      </c>
    </row>
    <row r="1507" spans="1:2" x14ac:dyDescent="0.45">
      <c r="A1507" t="s">
        <v>4870</v>
      </c>
      <c r="B1507" t="s">
        <v>108</v>
      </c>
    </row>
    <row r="1508" spans="1:2" x14ac:dyDescent="0.45">
      <c r="A1508" t="s">
        <v>4873</v>
      </c>
      <c r="B1508" t="s">
        <v>267</v>
      </c>
    </row>
    <row r="1509" spans="1:2" x14ac:dyDescent="0.45">
      <c r="A1509" t="s">
        <v>4875</v>
      </c>
      <c r="B1509" t="s">
        <v>267</v>
      </c>
    </row>
    <row r="1510" spans="1:2" x14ac:dyDescent="0.45">
      <c r="A1510" t="s">
        <v>4877</v>
      </c>
      <c r="B1510" t="s">
        <v>94</v>
      </c>
    </row>
    <row r="1511" spans="1:2" x14ac:dyDescent="0.45">
      <c r="A1511" t="s">
        <v>4879</v>
      </c>
      <c r="B1511" t="s">
        <v>89</v>
      </c>
    </row>
    <row r="1512" spans="1:2" x14ac:dyDescent="0.45">
      <c r="A1512" t="s">
        <v>4881</v>
      </c>
      <c r="B1512" t="s">
        <v>267</v>
      </c>
    </row>
    <row r="1513" spans="1:2" x14ac:dyDescent="0.45">
      <c r="A1513" t="s">
        <v>4883</v>
      </c>
      <c r="B1513" t="s">
        <v>89</v>
      </c>
    </row>
    <row r="1514" spans="1:2" x14ac:dyDescent="0.45">
      <c r="A1514" t="s">
        <v>4884</v>
      </c>
      <c r="B1514" t="s">
        <v>108</v>
      </c>
    </row>
    <row r="1515" spans="1:2" x14ac:dyDescent="0.45">
      <c r="A1515" t="s">
        <v>4887</v>
      </c>
      <c r="B1515" t="s">
        <v>267</v>
      </c>
    </row>
    <row r="1516" spans="1:2" x14ac:dyDescent="0.45">
      <c r="A1516" t="s">
        <v>4889</v>
      </c>
      <c r="B1516" t="s">
        <v>132</v>
      </c>
    </row>
    <row r="1517" spans="1:2" x14ac:dyDescent="0.45">
      <c r="A1517" t="s">
        <v>4894</v>
      </c>
      <c r="B1517" t="s">
        <v>267</v>
      </c>
    </row>
    <row r="1518" spans="1:2" x14ac:dyDescent="0.45">
      <c r="A1518" t="s">
        <v>4896</v>
      </c>
      <c r="B1518" t="s">
        <v>267</v>
      </c>
    </row>
    <row r="1519" spans="1:2" x14ac:dyDescent="0.45">
      <c r="A1519" t="s">
        <v>4899</v>
      </c>
      <c r="B1519" t="s">
        <v>128</v>
      </c>
    </row>
    <row r="1520" spans="1:2" x14ac:dyDescent="0.45">
      <c r="A1520" t="s">
        <v>4902</v>
      </c>
      <c r="B1520" t="s">
        <v>132</v>
      </c>
    </row>
    <row r="1521" spans="1:2" x14ac:dyDescent="0.45">
      <c r="A1521" t="s">
        <v>4904</v>
      </c>
      <c r="B1521" t="s">
        <v>267</v>
      </c>
    </row>
    <row r="1522" spans="1:2" x14ac:dyDescent="0.45">
      <c r="A1522" t="s">
        <v>4906</v>
      </c>
      <c r="B1522" t="s">
        <v>132</v>
      </c>
    </row>
    <row r="1523" spans="1:2" x14ac:dyDescent="0.45">
      <c r="A1523" t="s">
        <v>4908</v>
      </c>
      <c r="B1523" t="s">
        <v>267</v>
      </c>
    </row>
    <row r="1524" spans="1:2" x14ac:dyDescent="0.45">
      <c r="A1524" t="s">
        <v>4916</v>
      </c>
      <c r="B1524" t="s">
        <v>94</v>
      </c>
    </row>
    <row r="1525" spans="1:2" x14ac:dyDescent="0.45">
      <c r="A1525" t="s">
        <v>4921</v>
      </c>
      <c r="B1525" t="s">
        <v>132</v>
      </c>
    </row>
    <row r="1526" spans="1:2" x14ac:dyDescent="0.45">
      <c r="A1526" t="s">
        <v>4924</v>
      </c>
      <c r="B1526" t="s">
        <v>132</v>
      </c>
    </row>
    <row r="1527" spans="1:2" x14ac:dyDescent="0.45">
      <c r="A1527" t="s">
        <v>4932</v>
      </c>
      <c r="B1527" t="s">
        <v>89</v>
      </c>
    </row>
    <row r="1528" spans="1:2" x14ac:dyDescent="0.45">
      <c r="A1528" t="s">
        <v>4935</v>
      </c>
      <c r="B1528" t="s">
        <v>132</v>
      </c>
    </row>
    <row r="1529" spans="1:2" x14ac:dyDescent="0.45">
      <c r="A1529" t="s">
        <v>4937</v>
      </c>
      <c r="B1529" t="s">
        <v>132</v>
      </c>
    </row>
    <row r="1530" spans="1:2" x14ac:dyDescent="0.45">
      <c r="A1530" t="s">
        <v>4940</v>
      </c>
      <c r="B1530" t="s">
        <v>108</v>
      </c>
    </row>
    <row r="1531" spans="1:2" x14ac:dyDescent="0.45">
      <c r="A1531" t="s">
        <v>4941</v>
      </c>
      <c r="B1531" t="s">
        <v>267</v>
      </c>
    </row>
    <row r="1532" spans="1:2" x14ac:dyDescent="0.45">
      <c r="A1532" t="s">
        <v>4944</v>
      </c>
      <c r="B1532" t="s">
        <v>132</v>
      </c>
    </row>
    <row r="1533" spans="1:2" x14ac:dyDescent="0.45">
      <c r="A1533" t="s">
        <v>4949</v>
      </c>
      <c r="B1533" t="s">
        <v>108</v>
      </c>
    </row>
    <row r="1534" spans="1:2" x14ac:dyDescent="0.45">
      <c r="A1534" t="s">
        <v>4957</v>
      </c>
      <c r="B1534" t="s">
        <v>132</v>
      </c>
    </row>
    <row r="1535" spans="1:2" x14ac:dyDescent="0.45">
      <c r="A1535" t="s">
        <v>4960</v>
      </c>
      <c r="B1535" t="s">
        <v>132</v>
      </c>
    </row>
    <row r="1536" spans="1:2" x14ac:dyDescent="0.45">
      <c r="A1536" t="s">
        <v>4961</v>
      </c>
      <c r="B1536" t="s">
        <v>132</v>
      </c>
    </row>
    <row r="1537" spans="1:2" x14ac:dyDescent="0.45">
      <c r="A1537" t="s">
        <v>4966</v>
      </c>
      <c r="B1537" t="s">
        <v>132</v>
      </c>
    </row>
    <row r="1538" spans="1:2" x14ac:dyDescent="0.45">
      <c r="A1538" t="s">
        <v>4978</v>
      </c>
      <c r="B1538" t="s">
        <v>89</v>
      </c>
    </row>
    <row r="1539" spans="1:2" x14ac:dyDescent="0.45">
      <c r="A1539" t="s">
        <v>4981</v>
      </c>
      <c r="B1539" t="s">
        <v>267</v>
      </c>
    </row>
    <row r="1540" spans="1:2" x14ac:dyDescent="0.45">
      <c r="A1540" t="s">
        <v>4984</v>
      </c>
      <c r="B1540" t="s">
        <v>132</v>
      </c>
    </row>
    <row r="1541" spans="1:2" x14ac:dyDescent="0.45">
      <c r="A1541" t="s">
        <v>4987</v>
      </c>
      <c r="B1541" t="s">
        <v>128</v>
      </c>
    </row>
    <row r="1542" spans="1:2" x14ac:dyDescent="0.45">
      <c r="A1542" t="s">
        <v>4988</v>
      </c>
      <c r="B1542" t="s">
        <v>132</v>
      </c>
    </row>
    <row r="1543" spans="1:2" x14ac:dyDescent="0.45">
      <c r="A1543" t="s">
        <v>4991</v>
      </c>
      <c r="B1543" t="s">
        <v>132</v>
      </c>
    </row>
    <row r="1544" spans="1:2" x14ac:dyDescent="0.45">
      <c r="A1544" t="s">
        <v>4996</v>
      </c>
      <c r="B1544" t="s">
        <v>132</v>
      </c>
    </row>
    <row r="1545" spans="1:2" x14ac:dyDescent="0.45">
      <c r="A1545" t="s">
        <v>5000</v>
      </c>
      <c r="B1545" t="s">
        <v>132</v>
      </c>
    </row>
    <row r="1546" spans="1:2" x14ac:dyDescent="0.45">
      <c r="A1546" t="s">
        <v>5001</v>
      </c>
      <c r="B1546" t="s">
        <v>132</v>
      </c>
    </row>
    <row r="1547" spans="1:2" x14ac:dyDescent="0.45">
      <c r="A1547" t="s">
        <v>5004</v>
      </c>
      <c r="B1547" t="s">
        <v>267</v>
      </c>
    </row>
    <row r="1548" spans="1:2" x14ac:dyDescent="0.45">
      <c r="A1548" t="s">
        <v>5012</v>
      </c>
      <c r="B1548" t="s">
        <v>132</v>
      </c>
    </row>
    <row r="1549" spans="1:2" x14ac:dyDescent="0.45">
      <c r="A1549" t="s">
        <v>5015</v>
      </c>
      <c r="B1549" t="s">
        <v>132</v>
      </c>
    </row>
    <row r="1550" spans="1:2" x14ac:dyDescent="0.45">
      <c r="A1550" t="s">
        <v>5016</v>
      </c>
      <c r="B1550" t="s">
        <v>267</v>
      </c>
    </row>
    <row r="1551" spans="1:2" x14ac:dyDescent="0.45">
      <c r="A1551" t="s">
        <v>5018</v>
      </c>
      <c r="B1551" t="s">
        <v>132</v>
      </c>
    </row>
    <row r="1552" spans="1:2" x14ac:dyDescent="0.45">
      <c r="A1552" t="s">
        <v>5020</v>
      </c>
      <c r="B1552" t="s">
        <v>132</v>
      </c>
    </row>
    <row r="1553" spans="1:2" x14ac:dyDescent="0.45">
      <c r="A1553" t="s">
        <v>5026</v>
      </c>
      <c r="B1553" t="s">
        <v>267</v>
      </c>
    </row>
    <row r="1554" spans="1:2" x14ac:dyDescent="0.45">
      <c r="A1554" t="s">
        <v>5028</v>
      </c>
      <c r="B1554" t="s">
        <v>132</v>
      </c>
    </row>
    <row r="1555" spans="1:2" x14ac:dyDescent="0.45">
      <c r="A1555" t="s">
        <v>5030</v>
      </c>
      <c r="B1555" t="s">
        <v>132</v>
      </c>
    </row>
    <row r="1556" spans="1:2" x14ac:dyDescent="0.45">
      <c r="A1556" t="s">
        <v>5033</v>
      </c>
      <c r="B1556" t="s">
        <v>132</v>
      </c>
    </row>
    <row r="1557" spans="1:2" x14ac:dyDescent="0.45">
      <c r="A1557" t="s">
        <v>5040</v>
      </c>
      <c r="B1557" t="s">
        <v>132</v>
      </c>
    </row>
    <row r="1558" spans="1:2" x14ac:dyDescent="0.45">
      <c r="A1558" t="s">
        <v>5041</v>
      </c>
      <c r="B1558" t="s">
        <v>132</v>
      </c>
    </row>
    <row r="1559" spans="1:2" x14ac:dyDescent="0.45">
      <c r="A1559" t="s">
        <v>5046</v>
      </c>
      <c r="B1559" t="s">
        <v>132</v>
      </c>
    </row>
    <row r="1560" spans="1:2" x14ac:dyDescent="0.45">
      <c r="A1560" t="s">
        <v>5051</v>
      </c>
      <c r="B1560" t="s">
        <v>267</v>
      </c>
    </row>
    <row r="1561" spans="1:2" x14ac:dyDescent="0.45">
      <c r="A1561" t="s">
        <v>5053</v>
      </c>
      <c r="B1561" t="s">
        <v>132</v>
      </c>
    </row>
    <row r="1562" spans="1:2" x14ac:dyDescent="0.45">
      <c r="A1562" t="s">
        <v>5057</v>
      </c>
      <c r="B1562" t="s">
        <v>132</v>
      </c>
    </row>
    <row r="1563" spans="1:2" x14ac:dyDescent="0.45">
      <c r="A1563" t="s">
        <v>5060</v>
      </c>
      <c r="B1563" t="s">
        <v>132</v>
      </c>
    </row>
    <row r="1564" spans="1:2" x14ac:dyDescent="0.45">
      <c r="A1564" t="s">
        <v>5062</v>
      </c>
      <c r="B1564" t="s">
        <v>267</v>
      </c>
    </row>
    <row r="1565" spans="1:2" x14ac:dyDescent="0.45">
      <c r="A1565" t="s">
        <v>5064</v>
      </c>
      <c r="B1565" t="s">
        <v>132</v>
      </c>
    </row>
    <row r="1566" spans="1:2" x14ac:dyDescent="0.45">
      <c r="A1566" t="s">
        <v>5067</v>
      </c>
      <c r="B1566" t="s">
        <v>267</v>
      </c>
    </row>
    <row r="1567" spans="1:2" x14ac:dyDescent="0.45">
      <c r="A1567" t="s">
        <v>5068</v>
      </c>
      <c r="B1567" t="s">
        <v>267</v>
      </c>
    </row>
    <row r="1568" spans="1:2" x14ac:dyDescent="0.45">
      <c r="A1568" t="s">
        <v>5071</v>
      </c>
      <c r="B1568" t="s">
        <v>132</v>
      </c>
    </row>
    <row r="1569" spans="1:2" x14ac:dyDescent="0.45">
      <c r="A1569" t="s">
        <v>5076</v>
      </c>
      <c r="B1569" t="s">
        <v>132</v>
      </c>
    </row>
    <row r="1570" spans="1:2" x14ac:dyDescent="0.45">
      <c r="A1570" t="s">
        <v>5079</v>
      </c>
      <c r="B1570" t="s">
        <v>132</v>
      </c>
    </row>
    <row r="1571" spans="1:2" x14ac:dyDescent="0.45">
      <c r="A1571" t="s">
        <v>5080</v>
      </c>
      <c r="B1571" t="s">
        <v>94</v>
      </c>
    </row>
    <row r="1572" spans="1:2" x14ac:dyDescent="0.45">
      <c r="A1572" t="s">
        <v>5081</v>
      </c>
      <c r="B1572" t="s">
        <v>132</v>
      </c>
    </row>
    <row r="1573" spans="1:2" x14ac:dyDescent="0.45">
      <c r="A1573" t="s">
        <v>5084</v>
      </c>
      <c r="B1573" t="s">
        <v>132</v>
      </c>
    </row>
    <row r="1574" spans="1:2" x14ac:dyDescent="0.45">
      <c r="A1574" t="s">
        <v>5090</v>
      </c>
      <c r="B1574" t="s">
        <v>267</v>
      </c>
    </row>
    <row r="1575" spans="1:2" x14ac:dyDescent="0.45">
      <c r="A1575" t="s">
        <v>5092</v>
      </c>
      <c r="B1575" t="s">
        <v>132</v>
      </c>
    </row>
    <row r="1576" spans="1:2" x14ac:dyDescent="0.45">
      <c r="A1576" t="s">
        <v>5096</v>
      </c>
      <c r="B1576" t="s">
        <v>267</v>
      </c>
    </row>
    <row r="1577" spans="1:2" x14ac:dyDescent="0.45">
      <c r="A1577" t="s">
        <v>5099</v>
      </c>
      <c r="B1577" t="s">
        <v>132</v>
      </c>
    </row>
    <row r="1578" spans="1:2" x14ac:dyDescent="0.45">
      <c r="A1578" t="s">
        <v>5102</v>
      </c>
      <c r="B1578" t="s">
        <v>128</v>
      </c>
    </row>
    <row r="1579" spans="1:2" x14ac:dyDescent="0.45">
      <c r="A1579" t="s">
        <v>5104</v>
      </c>
      <c r="B1579" t="s">
        <v>94</v>
      </c>
    </row>
    <row r="1580" spans="1:2" x14ac:dyDescent="0.45">
      <c r="A1580" t="s">
        <v>5106</v>
      </c>
      <c r="B1580" t="s">
        <v>94</v>
      </c>
    </row>
    <row r="1581" spans="1:2" x14ac:dyDescent="0.45">
      <c r="A1581" t="s">
        <v>5108</v>
      </c>
      <c r="B1581" t="s">
        <v>132</v>
      </c>
    </row>
    <row r="1582" spans="1:2" x14ac:dyDescent="0.45">
      <c r="A1582" t="s">
        <v>5111</v>
      </c>
      <c r="B1582" t="s">
        <v>132</v>
      </c>
    </row>
    <row r="1583" spans="1:2" x14ac:dyDescent="0.45">
      <c r="A1583" t="s">
        <v>5114</v>
      </c>
      <c r="B1583" t="s">
        <v>132</v>
      </c>
    </row>
    <row r="1584" spans="1:2" x14ac:dyDescent="0.45">
      <c r="A1584" t="s">
        <v>5116</v>
      </c>
      <c r="B1584" t="s">
        <v>132</v>
      </c>
    </row>
    <row r="1585" spans="1:2" x14ac:dyDescent="0.45">
      <c r="A1585" t="s">
        <v>5118</v>
      </c>
      <c r="B1585" t="s">
        <v>132</v>
      </c>
    </row>
    <row r="1586" spans="1:2" x14ac:dyDescent="0.45">
      <c r="A1586" t="s">
        <v>5122</v>
      </c>
      <c r="B1586" t="s">
        <v>132</v>
      </c>
    </row>
    <row r="1587" spans="1:2" x14ac:dyDescent="0.45">
      <c r="A1587" t="s">
        <v>5124</v>
      </c>
      <c r="B1587" t="s">
        <v>132</v>
      </c>
    </row>
    <row r="1588" spans="1:2" x14ac:dyDescent="0.45">
      <c r="A1588" t="s">
        <v>5127</v>
      </c>
      <c r="B1588" t="s">
        <v>132</v>
      </c>
    </row>
    <row r="1589" spans="1:2" x14ac:dyDescent="0.45">
      <c r="A1589" t="s">
        <v>5129</v>
      </c>
      <c r="B1589" t="s">
        <v>94</v>
      </c>
    </row>
    <row r="1590" spans="1:2" x14ac:dyDescent="0.45">
      <c r="A1590" t="s">
        <v>5131</v>
      </c>
      <c r="B1590" t="s">
        <v>132</v>
      </c>
    </row>
    <row r="1591" spans="1:2" x14ac:dyDescent="0.45">
      <c r="A1591" t="s">
        <v>5133</v>
      </c>
      <c r="B1591" t="s">
        <v>94</v>
      </c>
    </row>
    <row r="1592" spans="1:2" x14ac:dyDescent="0.45">
      <c r="A1592" t="s">
        <v>5135</v>
      </c>
      <c r="B1592" t="s">
        <v>94</v>
      </c>
    </row>
    <row r="1593" spans="1:2" x14ac:dyDescent="0.45">
      <c r="A1593" t="s">
        <v>5138</v>
      </c>
      <c r="B1593" t="s">
        <v>128</v>
      </c>
    </row>
    <row r="1594" spans="1:2" x14ac:dyDescent="0.45">
      <c r="A1594" t="s">
        <v>5144</v>
      </c>
      <c r="B1594" t="s">
        <v>132</v>
      </c>
    </row>
    <row r="1595" spans="1:2" x14ac:dyDescent="0.45">
      <c r="A1595" t="s">
        <v>5149</v>
      </c>
      <c r="B1595" t="s">
        <v>132</v>
      </c>
    </row>
    <row r="1596" spans="1:2" x14ac:dyDescent="0.45">
      <c r="A1596" t="s">
        <v>5151</v>
      </c>
      <c r="B1596" t="s">
        <v>132</v>
      </c>
    </row>
    <row r="1597" spans="1:2" x14ac:dyDescent="0.45">
      <c r="A1597" t="s">
        <v>5152</v>
      </c>
      <c r="B1597" t="s">
        <v>132</v>
      </c>
    </row>
    <row r="1598" spans="1:2" x14ac:dyDescent="0.45">
      <c r="A1598" t="s">
        <v>5154</v>
      </c>
      <c r="B1598" t="s">
        <v>267</v>
      </c>
    </row>
    <row r="1599" spans="1:2" x14ac:dyDescent="0.45">
      <c r="A1599" t="s">
        <v>5157</v>
      </c>
      <c r="B1599" t="s">
        <v>132</v>
      </c>
    </row>
    <row r="1600" spans="1:2" x14ac:dyDescent="0.45">
      <c r="A1600" t="s">
        <v>5159</v>
      </c>
      <c r="B1600" t="s">
        <v>132</v>
      </c>
    </row>
    <row r="1601" spans="1:2" x14ac:dyDescent="0.45">
      <c r="A1601" t="s">
        <v>5163</v>
      </c>
      <c r="B1601" t="s">
        <v>132</v>
      </c>
    </row>
    <row r="1602" spans="1:2" x14ac:dyDescent="0.45">
      <c r="A1602" t="s">
        <v>5165</v>
      </c>
      <c r="B1602" t="s">
        <v>132</v>
      </c>
    </row>
    <row r="1603" spans="1:2" x14ac:dyDescent="0.45">
      <c r="A1603" t="s">
        <v>5167</v>
      </c>
      <c r="B1603" t="s">
        <v>132</v>
      </c>
    </row>
    <row r="1604" spans="1:2" x14ac:dyDescent="0.45">
      <c r="A1604" t="s">
        <v>5171</v>
      </c>
      <c r="B1604" t="s">
        <v>132</v>
      </c>
    </row>
    <row r="1605" spans="1:2" x14ac:dyDescent="0.45">
      <c r="A1605" t="s">
        <v>5173</v>
      </c>
      <c r="B1605" t="s">
        <v>132</v>
      </c>
    </row>
    <row r="1606" spans="1:2" x14ac:dyDescent="0.45">
      <c r="A1606" t="s">
        <v>5175</v>
      </c>
      <c r="B1606" t="s">
        <v>132</v>
      </c>
    </row>
    <row r="1607" spans="1:2" x14ac:dyDescent="0.45">
      <c r="A1607" t="s">
        <v>5177</v>
      </c>
      <c r="B1607" t="s">
        <v>132</v>
      </c>
    </row>
    <row r="1608" spans="1:2" x14ac:dyDescent="0.45">
      <c r="A1608" t="s">
        <v>5180</v>
      </c>
      <c r="B1608" t="s">
        <v>132</v>
      </c>
    </row>
    <row r="1609" spans="1:2" x14ac:dyDescent="0.45">
      <c r="A1609" t="s">
        <v>5181</v>
      </c>
      <c r="B1609" t="s">
        <v>132</v>
      </c>
    </row>
    <row r="1610" spans="1:2" x14ac:dyDescent="0.45">
      <c r="A1610" t="s">
        <v>5183</v>
      </c>
      <c r="B1610" t="s">
        <v>132</v>
      </c>
    </row>
    <row r="1611" spans="1:2" x14ac:dyDescent="0.45">
      <c r="A1611" t="s">
        <v>5185</v>
      </c>
      <c r="B1611" t="s">
        <v>132</v>
      </c>
    </row>
    <row r="1612" spans="1:2" x14ac:dyDescent="0.45">
      <c r="A1612" t="s">
        <v>5187</v>
      </c>
      <c r="B1612" t="s">
        <v>132</v>
      </c>
    </row>
    <row r="1613" spans="1:2" x14ac:dyDescent="0.45">
      <c r="A1613" t="s">
        <v>5190</v>
      </c>
      <c r="B1613" t="s">
        <v>132</v>
      </c>
    </row>
    <row r="1614" spans="1:2" x14ac:dyDescent="0.45">
      <c r="A1614" t="s">
        <v>5192</v>
      </c>
      <c r="B1614" t="s">
        <v>132</v>
      </c>
    </row>
    <row r="1615" spans="1:2" x14ac:dyDescent="0.45">
      <c r="A1615" t="s">
        <v>5195</v>
      </c>
      <c r="B1615" t="s">
        <v>132</v>
      </c>
    </row>
    <row r="1616" spans="1:2" x14ac:dyDescent="0.45">
      <c r="A1616" t="s">
        <v>5201</v>
      </c>
      <c r="B1616" t="s">
        <v>89</v>
      </c>
    </row>
    <row r="1617" spans="1:2" x14ac:dyDescent="0.45">
      <c r="A1617" t="s">
        <v>5207</v>
      </c>
      <c r="B1617" t="s">
        <v>94</v>
      </c>
    </row>
    <row r="1618" spans="1:2" x14ac:dyDescent="0.45">
      <c r="A1618" t="s">
        <v>5210</v>
      </c>
      <c r="B1618" t="s">
        <v>89</v>
      </c>
    </row>
    <row r="1619" spans="1:2" x14ac:dyDescent="0.45">
      <c r="A1619" t="s">
        <v>5212</v>
      </c>
      <c r="B1619" t="s">
        <v>89</v>
      </c>
    </row>
    <row r="1620" spans="1:2" x14ac:dyDescent="0.45">
      <c r="A1620" t="s">
        <v>5213</v>
      </c>
      <c r="B1620" t="s">
        <v>89</v>
      </c>
    </row>
    <row r="1621" spans="1:2" x14ac:dyDescent="0.45">
      <c r="A1621" t="s">
        <v>5215</v>
      </c>
      <c r="B1621" t="s">
        <v>94</v>
      </c>
    </row>
    <row r="1622" spans="1:2" x14ac:dyDescent="0.45">
      <c r="A1622" t="s">
        <v>5217</v>
      </c>
      <c r="B1622" t="s">
        <v>267</v>
      </c>
    </row>
    <row r="1623" spans="1:2" x14ac:dyDescent="0.45">
      <c r="A1623" t="s">
        <v>5222</v>
      </c>
      <c r="B1623" t="s">
        <v>267</v>
      </c>
    </row>
    <row r="1624" spans="1:2" x14ac:dyDescent="0.45">
      <c r="A1624" t="s">
        <v>5225</v>
      </c>
      <c r="B1624" t="s">
        <v>89</v>
      </c>
    </row>
    <row r="1625" spans="1:2" x14ac:dyDescent="0.45">
      <c r="A1625" t="s">
        <v>5227</v>
      </c>
      <c r="B1625" t="s">
        <v>89</v>
      </c>
    </row>
    <row r="1626" spans="1:2" x14ac:dyDescent="0.45">
      <c r="A1626" t="s">
        <v>5230</v>
      </c>
      <c r="B1626" t="s">
        <v>108</v>
      </c>
    </row>
    <row r="1627" spans="1:2" x14ac:dyDescent="0.45">
      <c r="A1627" t="s">
        <v>5238</v>
      </c>
      <c r="B1627" t="s">
        <v>128</v>
      </c>
    </row>
    <row r="1628" spans="1:2" x14ac:dyDescent="0.45">
      <c r="A1628" t="s">
        <v>5241</v>
      </c>
      <c r="B1628" t="s">
        <v>108</v>
      </c>
    </row>
    <row r="1629" spans="1:2" x14ac:dyDescent="0.45">
      <c r="A1629" t="s">
        <v>5244</v>
      </c>
      <c r="B1629" t="s">
        <v>108</v>
      </c>
    </row>
    <row r="1630" spans="1:2" x14ac:dyDescent="0.45">
      <c r="A1630" t="s">
        <v>5245</v>
      </c>
      <c r="B1630" t="s">
        <v>108</v>
      </c>
    </row>
    <row r="1631" spans="1:2" x14ac:dyDescent="0.45">
      <c r="A1631" t="s">
        <v>5248</v>
      </c>
      <c r="B1631" t="s">
        <v>108</v>
      </c>
    </row>
    <row r="1632" spans="1:2" x14ac:dyDescent="0.45">
      <c r="A1632" t="s">
        <v>5252</v>
      </c>
      <c r="B1632" t="s">
        <v>94</v>
      </c>
    </row>
    <row r="1633" spans="1:2" x14ac:dyDescent="0.45">
      <c r="A1633" t="s">
        <v>5254</v>
      </c>
      <c r="B1633" t="s">
        <v>94</v>
      </c>
    </row>
    <row r="1634" spans="1:2" x14ac:dyDescent="0.45">
      <c r="A1634" t="s">
        <v>5256</v>
      </c>
      <c r="B1634" t="s">
        <v>94</v>
      </c>
    </row>
    <row r="1635" spans="1:2" x14ac:dyDescent="0.45">
      <c r="A1635" t="s">
        <v>5258</v>
      </c>
      <c r="B1635" t="s">
        <v>89</v>
      </c>
    </row>
    <row r="1636" spans="1:2" x14ac:dyDescent="0.45">
      <c r="A1636" t="s">
        <v>5260</v>
      </c>
      <c r="B1636" t="s">
        <v>89</v>
      </c>
    </row>
    <row r="1637" spans="1:2" x14ac:dyDescent="0.45">
      <c r="A1637" t="s">
        <v>5262</v>
      </c>
      <c r="B1637" t="s">
        <v>128</v>
      </c>
    </row>
    <row r="1638" spans="1:2" x14ac:dyDescent="0.45">
      <c r="A1638" t="s">
        <v>5265</v>
      </c>
      <c r="B1638" t="s">
        <v>267</v>
      </c>
    </row>
    <row r="1639" spans="1:2" x14ac:dyDescent="0.45">
      <c r="A1639" t="s">
        <v>5268</v>
      </c>
      <c r="B1639" t="s">
        <v>89</v>
      </c>
    </row>
    <row r="1640" spans="1:2" x14ac:dyDescent="0.45">
      <c r="A1640" t="s">
        <v>5270</v>
      </c>
      <c r="B1640" t="s">
        <v>128</v>
      </c>
    </row>
    <row r="1641" spans="1:2" x14ac:dyDescent="0.45">
      <c r="A1641" t="s">
        <v>5272</v>
      </c>
      <c r="B1641" t="s">
        <v>108</v>
      </c>
    </row>
    <row r="1642" spans="1:2" x14ac:dyDescent="0.45">
      <c r="A1642" t="s">
        <v>5274</v>
      </c>
      <c r="B1642" t="s">
        <v>128</v>
      </c>
    </row>
    <row r="1643" spans="1:2" x14ac:dyDescent="0.45">
      <c r="A1643" t="s">
        <v>5278</v>
      </c>
      <c r="B1643" t="s">
        <v>128</v>
      </c>
    </row>
    <row r="1644" spans="1:2" x14ac:dyDescent="0.45">
      <c r="A1644" t="s">
        <v>5281</v>
      </c>
      <c r="B1644" t="s">
        <v>94</v>
      </c>
    </row>
    <row r="1645" spans="1:2" x14ac:dyDescent="0.45">
      <c r="A1645" t="s">
        <v>5284</v>
      </c>
      <c r="B1645" t="s">
        <v>128</v>
      </c>
    </row>
    <row r="1646" spans="1:2" x14ac:dyDescent="0.45">
      <c r="A1646" t="s">
        <v>5287</v>
      </c>
      <c r="B1646" t="s">
        <v>128</v>
      </c>
    </row>
    <row r="1647" spans="1:2" x14ac:dyDescent="0.45">
      <c r="A1647" t="s">
        <v>5290</v>
      </c>
      <c r="B1647" t="s">
        <v>89</v>
      </c>
    </row>
    <row r="1648" spans="1:2" x14ac:dyDescent="0.45">
      <c r="A1648" t="s">
        <v>5293</v>
      </c>
      <c r="B1648" t="s">
        <v>128</v>
      </c>
    </row>
    <row r="1649" spans="1:2" x14ac:dyDescent="0.45">
      <c r="A1649" t="s">
        <v>5296</v>
      </c>
      <c r="B1649" t="s">
        <v>267</v>
      </c>
    </row>
    <row r="1650" spans="1:2" x14ac:dyDescent="0.45">
      <c r="A1650" t="s">
        <v>5301</v>
      </c>
      <c r="B1650" t="s">
        <v>89</v>
      </c>
    </row>
    <row r="1651" spans="1:2" x14ac:dyDescent="0.45">
      <c r="A1651" t="s">
        <v>5304</v>
      </c>
      <c r="B1651" t="s">
        <v>267</v>
      </c>
    </row>
    <row r="1652" spans="1:2" x14ac:dyDescent="0.45">
      <c r="A1652" t="s">
        <v>5307</v>
      </c>
      <c r="B1652" t="s">
        <v>128</v>
      </c>
    </row>
    <row r="1653" spans="1:2" x14ac:dyDescent="0.45">
      <c r="A1653" t="s">
        <v>5312</v>
      </c>
      <c r="B1653" t="s">
        <v>267</v>
      </c>
    </row>
    <row r="1654" spans="1:2" x14ac:dyDescent="0.45">
      <c r="A1654" t="s">
        <v>5314</v>
      </c>
      <c r="B1654" t="s">
        <v>128</v>
      </c>
    </row>
    <row r="1655" spans="1:2" x14ac:dyDescent="0.45">
      <c r="A1655" t="s">
        <v>5316</v>
      </c>
      <c r="B1655" t="s">
        <v>267</v>
      </c>
    </row>
    <row r="1656" spans="1:2" x14ac:dyDescent="0.45">
      <c r="A1656" t="s">
        <v>5319</v>
      </c>
      <c r="B1656" t="s">
        <v>267</v>
      </c>
    </row>
    <row r="1657" spans="1:2" x14ac:dyDescent="0.45">
      <c r="A1657" t="s">
        <v>5322</v>
      </c>
      <c r="B1657" t="s">
        <v>267</v>
      </c>
    </row>
    <row r="1658" spans="1:2" x14ac:dyDescent="0.45">
      <c r="A1658" t="s">
        <v>5323</v>
      </c>
      <c r="B1658" t="s">
        <v>267</v>
      </c>
    </row>
    <row r="1659" spans="1:2" x14ac:dyDescent="0.45">
      <c r="A1659" t="s">
        <v>5326</v>
      </c>
      <c r="B1659" t="s">
        <v>267</v>
      </c>
    </row>
    <row r="1660" spans="1:2" x14ac:dyDescent="0.45">
      <c r="A1660" t="s">
        <v>5329</v>
      </c>
      <c r="B1660" t="s">
        <v>267</v>
      </c>
    </row>
    <row r="1661" spans="1:2" x14ac:dyDescent="0.45">
      <c r="A1661" t="s">
        <v>5331</v>
      </c>
      <c r="B1661" t="s">
        <v>128</v>
      </c>
    </row>
    <row r="1662" spans="1:2" x14ac:dyDescent="0.45">
      <c r="A1662" t="s">
        <v>5334</v>
      </c>
      <c r="B1662" t="s">
        <v>267</v>
      </c>
    </row>
    <row r="1663" spans="1:2" x14ac:dyDescent="0.45">
      <c r="A1663" t="s">
        <v>5337</v>
      </c>
      <c r="B1663" t="s">
        <v>267</v>
      </c>
    </row>
    <row r="1664" spans="1:2" x14ac:dyDescent="0.45">
      <c r="A1664" t="s">
        <v>5339</v>
      </c>
      <c r="B1664" t="s">
        <v>128</v>
      </c>
    </row>
    <row r="1665" spans="1:2" x14ac:dyDescent="0.45">
      <c r="A1665" t="s">
        <v>5341</v>
      </c>
      <c r="B1665" t="s">
        <v>128</v>
      </c>
    </row>
    <row r="1666" spans="1:2" x14ac:dyDescent="0.45">
      <c r="A1666" t="s">
        <v>5344</v>
      </c>
      <c r="B1666" t="s">
        <v>267</v>
      </c>
    </row>
    <row r="1667" spans="1:2" x14ac:dyDescent="0.45">
      <c r="A1667" t="s">
        <v>5347</v>
      </c>
      <c r="B1667" t="s">
        <v>267</v>
      </c>
    </row>
    <row r="1668" spans="1:2" x14ac:dyDescent="0.45">
      <c r="A1668" t="s">
        <v>5349</v>
      </c>
      <c r="B1668" t="s">
        <v>267</v>
      </c>
    </row>
    <row r="1669" spans="1:2" x14ac:dyDescent="0.45">
      <c r="A1669" t="s">
        <v>5352</v>
      </c>
      <c r="B1669" t="s">
        <v>267</v>
      </c>
    </row>
    <row r="1670" spans="1:2" x14ac:dyDescent="0.45">
      <c r="A1670" t="s">
        <v>5355</v>
      </c>
      <c r="B1670" t="s">
        <v>128</v>
      </c>
    </row>
    <row r="1671" spans="1:2" x14ac:dyDescent="0.45">
      <c r="A1671" t="s">
        <v>5358</v>
      </c>
      <c r="B1671" t="s">
        <v>267</v>
      </c>
    </row>
    <row r="1672" spans="1:2" x14ac:dyDescent="0.45">
      <c r="A1672" t="s">
        <v>5361</v>
      </c>
      <c r="B1672" t="s">
        <v>128</v>
      </c>
    </row>
    <row r="1673" spans="1:2" x14ac:dyDescent="0.45">
      <c r="A1673" t="s">
        <v>5364</v>
      </c>
      <c r="B1673" t="s">
        <v>128</v>
      </c>
    </row>
    <row r="1674" spans="1:2" x14ac:dyDescent="0.45">
      <c r="A1674" t="s">
        <v>5367</v>
      </c>
      <c r="B1674" t="s">
        <v>128</v>
      </c>
    </row>
    <row r="1675" spans="1:2" x14ac:dyDescent="0.45">
      <c r="A1675" t="s">
        <v>5370</v>
      </c>
      <c r="B1675" t="s">
        <v>128</v>
      </c>
    </row>
    <row r="1676" spans="1:2" x14ac:dyDescent="0.45">
      <c r="A1676" t="s">
        <v>5373</v>
      </c>
      <c r="B1676" t="s">
        <v>267</v>
      </c>
    </row>
    <row r="1677" spans="1:2" x14ac:dyDescent="0.45">
      <c r="A1677" t="s">
        <v>5375</v>
      </c>
      <c r="B1677" t="s">
        <v>267</v>
      </c>
    </row>
    <row r="1678" spans="1:2" x14ac:dyDescent="0.45">
      <c r="A1678" t="s">
        <v>5377</v>
      </c>
      <c r="B1678" t="s">
        <v>128</v>
      </c>
    </row>
    <row r="1679" spans="1:2" x14ac:dyDescent="0.45">
      <c r="A1679" t="s">
        <v>5379</v>
      </c>
      <c r="B1679" t="s">
        <v>267</v>
      </c>
    </row>
    <row r="1680" spans="1:2" x14ac:dyDescent="0.45">
      <c r="A1680" t="s">
        <v>5382</v>
      </c>
      <c r="B1680" t="s">
        <v>128</v>
      </c>
    </row>
    <row r="1681" spans="1:2" x14ac:dyDescent="0.45">
      <c r="A1681" t="s">
        <v>5384</v>
      </c>
      <c r="B1681" t="s">
        <v>267</v>
      </c>
    </row>
    <row r="1682" spans="1:2" x14ac:dyDescent="0.45">
      <c r="A1682" t="s">
        <v>5386</v>
      </c>
      <c r="B1682" t="s">
        <v>267</v>
      </c>
    </row>
    <row r="1683" spans="1:2" x14ac:dyDescent="0.45">
      <c r="A1683" t="s">
        <v>5388</v>
      </c>
      <c r="B1683" t="s">
        <v>267</v>
      </c>
    </row>
    <row r="1684" spans="1:2" x14ac:dyDescent="0.45">
      <c r="A1684" t="s">
        <v>5393</v>
      </c>
      <c r="B1684" t="s">
        <v>267</v>
      </c>
    </row>
    <row r="1685" spans="1:2" x14ac:dyDescent="0.45">
      <c r="A1685" t="s">
        <v>5395</v>
      </c>
      <c r="B1685" t="s">
        <v>267</v>
      </c>
    </row>
    <row r="1686" spans="1:2" x14ac:dyDescent="0.45">
      <c r="A1686" t="s">
        <v>5398</v>
      </c>
      <c r="B1686" t="s">
        <v>128</v>
      </c>
    </row>
    <row r="1687" spans="1:2" x14ac:dyDescent="0.45">
      <c r="A1687" t="s">
        <v>5399</v>
      </c>
      <c r="B1687" t="s">
        <v>267</v>
      </c>
    </row>
    <row r="1688" spans="1:2" x14ac:dyDescent="0.45">
      <c r="A1688" t="s">
        <v>5401</v>
      </c>
      <c r="B1688" t="s">
        <v>267</v>
      </c>
    </row>
    <row r="1689" spans="1:2" x14ac:dyDescent="0.45">
      <c r="A1689" t="s">
        <v>5404</v>
      </c>
      <c r="B1689" t="s">
        <v>267</v>
      </c>
    </row>
    <row r="1690" spans="1:2" x14ac:dyDescent="0.45">
      <c r="A1690" t="s">
        <v>5406</v>
      </c>
      <c r="B1690" t="s">
        <v>128</v>
      </c>
    </row>
    <row r="1691" spans="1:2" x14ac:dyDescent="0.45">
      <c r="A1691" t="s">
        <v>5408</v>
      </c>
      <c r="B1691" t="s">
        <v>267</v>
      </c>
    </row>
    <row r="1692" spans="1:2" x14ac:dyDescent="0.45">
      <c r="A1692" t="s">
        <v>5411</v>
      </c>
      <c r="B1692" t="s">
        <v>128</v>
      </c>
    </row>
    <row r="1693" spans="1:2" x14ac:dyDescent="0.45">
      <c r="A1693" t="s">
        <v>5413</v>
      </c>
      <c r="B1693" t="s">
        <v>267</v>
      </c>
    </row>
    <row r="1694" spans="1:2" x14ac:dyDescent="0.45">
      <c r="A1694" t="s">
        <v>5415</v>
      </c>
      <c r="B1694" t="s">
        <v>128</v>
      </c>
    </row>
    <row r="1695" spans="1:2" x14ac:dyDescent="0.45">
      <c r="A1695" t="s">
        <v>5419</v>
      </c>
      <c r="B1695" t="s">
        <v>128</v>
      </c>
    </row>
    <row r="1696" spans="1:2" x14ac:dyDescent="0.45">
      <c r="A1696" t="s">
        <v>5427</v>
      </c>
      <c r="B1696" t="s">
        <v>128</v>
      </c>
    </row>
    <row r="1697" spans="1:2" x14ac:dyDescent="0.45">
      <c r="A1697" t="s">
        <v>5430</v>
      </c>
      <c r="B1697" t="s">
        <v>267</v>
      </c>
    </row>
    <row r="1698" spans="1:2" x14ac:dyDescent="0.45">
      <c r="A1698" t="s">
        <v>5431</v>
      </c>
      <c r="B1698" t="s">
        <v>128</v>
      </c>
    </row>
    <row r="1699" spans="1:2" x14ac:dyDescent="0.45">
      <c r="A1699" t="s">
        <v>5434</v>
      </c>
      <c r="B1699" t="s">
        <v>128</v>
      </c>
    </row>
    <row r="1700" spans="1:2" x14ac:dyDescent="0.45">
      <c r="A1700" t="s">
        <v>5438</v>
      </c>
      <c r="B1700" t="s">
        <v>255</v>
      </c>
    </row>
    <row r="1701" spans="1:2" x14ac:dyDescent="0.45">
      <c r="A1701" t="s">
        <v>5440</v>
      </c>
      <c r="B1701" t="s">
        <v>267</v>
      </c>
    </row>
    <row r="1702" spans="1:2" x14ac:dyDescent="0.45">
      <c r="A1702" t="s">
        <v>5443</v>
      </c>
      <c r="B1702" t="s">
        <v>267</v>
      </c>
    </row>
    <row r="1703" spans="1:2" x14ac:dyDescent="0.45">
      <c r="A1703" t="s">
        <v>5444</v>
      </c>
      <c r="B1703" t="s">
        <v>128</v>
      </c>
    </row>
    <row r="1704" spans="1:2" x14ac:dyDescent="0.45">
      <c r="A1704" t="s">
        <v>5446</v>
      </c>
      <c r="B1704" t="s">
        <v>94</v>
      </c>
    </row>
    <row r="1705" spans="1:2" x14ac:dyDescent="0.45">
      <c r="A1705" t="s">
        <v>5449</v>
      </c>
      <c r="B1705" t="s">
        <v>128</v>
      </c>
    </row>
    <row r="1706" spans="1:2" x14ac:dyDescent="0.45">
      <c r="A1706" t="s">
        <v>5450</v>
      </c>
      <c r="B1706" t="s">
        <v>128</v>
      </c>
    </row>
    <row r="1707" spans="1:2" x14ac:dyDescent="0.45">
      <c r="A1707" t="s">
        <v>5452</v>
      </c>
      <c r="B1707" t="s">
        <v>128</v>
      </c>
    </row>
    <row r="1708" spans="1:2" x14ac:dyDescent="0.45">
      <c r="A1708" t="s">
        <v>5454</v>
      </c>
      <c r="B1708" t="s">
        <v>267</v>
      </c>
    </row>
    <row r="1709" spans="1:2" x14ac:dyDescent="0.45">
      <c r="A1709" t="s">
        <v>5456</v>
      </c>
      <c r="B1709" t="s">
        <v>267</v>
      </c>
    </row>
    <row r="1710" spans="1:2" x14ac:dyDescent="0.45">
      <c r="A1710" t="s">
        <v>5460</v>
      </c>
      <c r="B1710" t="s">
        <v>267</v>
      </c>
    </row>
    <row r="1711" spans="1:2" x14ac:dyDescent="0.45">
      <c r="A1711" t="s">
        <v>5465</v>
      </c>
      <c r="B1711" t="s">
        <v>267</v>
      </c>
    </row>
    <row r="1712" spans="1:2" x14ac:dyDescent="0.45">
      <c r="A1712" t="s">
        <v>5468</v>
      </c>
      <c r="B1712" t="s">
        <v>128</v>
      </c>
    </row>
    <row r="1713" spans="1:2" x14ac:dyDescent="0.45">
      <c r="A1713" t="s">
        <v>5470</v>
      </c>
      <c r="B1713" t="s">
        <v>267</v>
      </c>
    </row>
    <row r="1714" spans="1:2" x14ac:dyDescent="0.45">
      <c r="A1714" t="s">
        <v>5474</v>
      </c>
      <c r="B1714" t="s">
        <v>267</v>
      </c>
    </row>
    <row r="1715" spans="1:2" x14ac:dyDescent="0.45">
      <c r="A1715" t="s">
        <v>5476</v>
      </c>
      <c r="B1715" t="s">
        <v>267</v>
      </c>
    </row>
    <row r="1716" spans="1:2" x14ac:dyDescent="0.45">
      <c r="A1716" t="s">
        <v>5478</v>
      </c>
      <c r="B1716" t="s">
        <v>267</v>
      </c>
    </row>
    <row r="1717" spans="1:2" x14ac:dyDescent="0.45">
      <c r="A1717" t="s">
        <v>5479</v>
      </c>
      <c r="B1717" t="s">
        <v>267</v>
      </c>
    </row>
    <row r="1718" spans="1:2" x14ac:dyDescent="0.45">
      <c r="A1718" t="s">
        <v>5483</v>
      </c>
      <c r="B1718" t="s">
        <v>267</v>
      </c>
    </row>
    <row r="1719" spans="1:2" x14ac:dyDescent="0.45">
      <c r="A1719" t="s">
        <v>5486</v>
      </c>
      <c r="B1719" t="s">
        <v>128</v>
      </c>
    </row>
    <row r="1720" spans="1:2" x14ac:dyDescent="0.45">
      <c r="A1720" t="s">
        <v>5488</v>
      </c>
      <c r="B1720" t="s">
        <v>128</v>
      </c>
    </row>
    <row r="1721" spans="1:2" x14ac:dyDescent="0.45">
      <c r="A1721" t="s">
        <v>5490</v>
      </c>
      <c r="B1721" t="s">
        <v>128</v>
      </c>
    </row>
    <row r="1722" spans="1:2" x14ac:dyDescent="0.45">
      <c r="A1722" t="s">
        <v>5493</v>
      </c>
      <c r="B1722" t="s">
        <v>267</v>
      </c>
    </row>
    <row r="1723" spans="1:2" x14ac:dyDescent="0.45">
      <c r="A1723" t="s">
        <v>5495</v>
      </c>
      <c r="B1723" t="s">
        <v>267</v>
      </c>
    </row>
    <row r="1724" spans="1:2" x14ac:dyDescent="0.45">
      <c r="A1724" t="s">
        <v>5497</v>
      </c>
      <c r="B1724" t="s">
        <v>128</v>
      </c>
    </row>
    <row r="1725" spans="1:2" x14ac:dyDescent="0.45">
      <c r="A1725" t="s">
        <v>5499</v>
      </c>
      <c r="B1725" t="s">
        <v>267</v>
      </c>
    </row>
    <row r="1726" spans="1:2" x14ac:dyDescent="0.45">
      <c r="A1726" t="s">
        <v>5501</v>
      </c>
      <c r="B1726" t="s">
        <v>128</v>
      </c>
    </row>
    <row r="1727" spans="1:2" x14ac:dyDescent="0.45">
      <c r="A1727" t="s">
        <v>5505</v>
      </c>
      <c r="B1727" t="s">
        <v>267</v>
      </c>
    </row>
    <row r="1728" spans="1:2" x14ac:dyDescent="0.45">
      <c r="A1728" t="s">
        <v>5507</v>
      </c>
      <c r="B1728" t="s">
        <v>147</v>
      </c>
    </row>
    <row r="1729" spans="1:2" x14ac:dyDescent="0.45">
      <c r="A1729" t="s">
        <v>5510</v>
      </c>
      <c r="B1729" t="s">
        <v>128</v>
      </c>
    </row>
    <row r="1730" spans="1:2" x14ac:dyDescent="0.45">
      <c r="A1730" t="s">
        <v>5512</v>
      </c>
      <c r="B1730" t="s">
        <v>147</v>
      </c>
    </row>
    <row r="1731" spans="1:2" x14ac:dyDescent="0.45">
      <c r="A1731" t="s">
        <v>5514</v>
      </c>
      <c r="B1731" t="s">
        <v>128</v>
      </c>
    </row>
    <row r="1732" spans="1:2" x14ac:dyDescent="0.45">
      <c r="A1732" t="s">
        <v>5519</v>
      </c>
      <c r="B1732" t="s">
        <v>267</v>
      </c>
    </row>
    <row r="1733" spans="1:2" x14ac:dyDescent="0.45">
      <c r="A1733" t="s">
        <v>5524</v>
      </c>
      <c r="B1733" t="s">
        <v>267</v>
      </c>
    </row>
    <row r="1734" spans="1:2" x14ac:dyDescent="0.45">
      <c r="A1734" t="s">
        <v>5526</v>
      </c>
      <c r="B1734" t="s">
        <v>267</v>
      </c>
    </row>
    <row r="1735" spans="1:2" x14ac:dyDescent="0.45">
      <c r="A1735" t="s">
        <v>5530</v>
      </c>
      <c r="B1735" t="s">
        <v>147</v>
      </c>
    </row>
    <row r="1736" spans="1:2" x14ac:dyDescent="0.45">
      <c r="A1736" t="s">
        <v>5531</v>
      </c>
      <c r="B1736" t="s">
        <v>128</v>
      </c>
    </row>
    <row r="1737" spans="1:2" x14ac:dyDescent="0.45">
      <c r="A1737" t="s">
        <v>5533</v>
      </c>
      <c r="B1737" t="s">
        <v>128</v>
      </c>
    </row>
    <row r="1738" spans="1:2" x14ac:dyDescent="0.45">
      <c r="A1738" t="s">
        <v>5535</v>
      </c>
      <c r="B1738" t="s">
        <v>128</v>
      </c>
    </row>
    <row r="1739" spans="1:2" x14ac:dyDescent="0.45">
      <c r="A1739" t="s">
        <v>5537</v>
      </c>
      <c r="B1739" t="s">
        <v>128</v>
      </c>
    </row>
    <row r="1740" spans="1:2" x14ac:dyDescent="0.45">
      <c r="A1740" t="s">
        <v>5539</v>
      </c>
      <c r="B1740" t="s">
        <v>128</v>
      </c>
    </row>
    <row r="1741" spans="1:2" x14ac:dyDescent="0.45">
      <c r="A1741" t="s">
        <v>5541</v>
      </c>
      <c r="B1741" t="s">
        <v>128</v>
      </c>
    </row>
    <row r="1742" spans="1:2" x14ac:dyDescent="0.45">
      <c r="A1742" t="s">
        <v>5543</v>
      </c>
      <c r="B1742" t="s">
        <v>128</v>
      </c>
    </row>
    <row r="1743" spans="1:2" x14ac:dyDescent="0.45">
      <c r="A1743" t="s">
        <v>5545</v>
      </c>
      <c r="B1743" t="s">
        <v>128</v>
      </c>
    </row>
    <row r="1744" spans="1:2" x14ac:dyDescent="0.45">
      <c r="A1744" t="s">
        <v>5549</v>
      </c>
      <c r="B1744" t="s">
        <v>128</v>
      </c>
    </row>
    <row r="1745" spans="1:2" x14ac:dyDescent="0.45">
      <c r="A1745" t="s">
        <v>5551</v>
      </c>
      <c r="B1745" t="s">
        <v>128</v>
      </c>
    </row>
    <row r="1746" spans="1:2" x14ac:dyDescent="0.45">
      <c r="A1746" t="s">
        <v>5554</v>
      </c>
      <c r="B1746" t="s">
        <v>128</v>
      </c>
    </row>
    <row r="1747" spans="1:2" x14ac:dyDescent="0.45">
      <c r="A1747" t="s">
        <v>5556</v>
      </c>
      <c r="B1747" t="s">
        <v>128</v>
      </c>
    </row>
    <row r="1748" spans="1:2" x14ac:dyDescent="0.45">
      <c r="A1748" t="s">
        <v>5558</v>
      </c>
      <c r="B1748" t="s">
        <v>128</v>
      </c>
    </row>
    <row r="1749" spans="1:2" x14ac:dyDescent="0.45">
      <c r="A1749" t="s">
        <v>5561</v>
      </c>
      <c r="B1749" t="s">
        <v>128</v>
      </c>
    </row>
    <row r="1750" spans="1:2" x14ac:dyDescent="0.45">
      <c r="A1750" t="s">
        <v>5566</v>
      </c>
      <c r="B1750" t="s">
        <v>128</v>
      </c>
    </row>
    <row r="1751" spans="1:2" x14ac:dyDescent="0.45">
      <c r="A1751" t="s">
        <v>5568</v>
      </c>
      <c r="B1751" t="s">
        <v>128</v>
      </c>
    </row>
    <row r="1752" spans="1:2" x14ac:dyDescent="0.45">
      <c r="A1752" t="s">
        <v>5570</v>
      </c>
      <c r="B1752" t="s">
        <v>128</v>
      </c>
    </row>
    <row r="1753" spans="1:2" x14ac:dyDescent="0.45">
      <c r="A1753" t="s">
        <v>5572</v>
      </c>
      <c r="B1753" t="s">
        <v>128</v>
      </c>
    </row>
    <row r="1754" spans="1:2" x14ac:dyDescent="0.45">
      <c r="A1754" t="s">
        <v>5574</v>
      </c>
      <c r="B1754" t="s">
        <v>267</v>
      </c>
    </row>
    <row r="1755" spans="1:2" x14ac:dyDescent="0.45">
      <c r="A1755" t="s">
        <v>5576</v>
      </c>
      <c r="B1755" t="s">
        <v>267</v>
      </c>
    </row>
    <row r="1756" spans="1:2" x14ac:dyDescent="0.45">
      <c r="A1756" t="s">
        <v>5578</v>
      </c>
      <c r="B1756" t="s">
        <v>147</v>
      </c>
    </row>
    <row r="1757" spans="1:2" x14ac:dyDescent="0.45">
      <c r="A1757" t="s">
        <v>5580</v>
      </c>
      <c r="B1757" t="s">
        <v>267</v>
      </c>
    </row>
    <row r="1758" spans="1:2" x14ac:dyDescent="0.45">
      <c r="A1758" t="s">
        <v>5582</v>
      </c>
      <c r="B1758" t="s">
        <v>267</v>
      </c>
    </row>
    <row r="1759" spans="1:2" x14ac:dyDescent="0.45">
      <c r="A1759" t="s">
        <v>5584</v>
      </c>
      <c r="B1759" t="s">
        <v>267</v>
      </c>
    </row>
    <row r="1760" spans="1:2" x14ac:dyDescent="0.45">
      <c r="A1760" t="s">
        <v>5588</v>
      </c>
      <c r="B1760" t="s">
        <v>267</v>
      </c>
    </row>
    <row r="1761" spans="1:2" x14ac:dyDescent="0.45">
      <c r="A1761" t="s">
        <v>5591</v>
      </c>
      <c r="B1761" t="s">
        <v>128</v>
      </c>
    </row>
    <row r="1762" spans="1:2" x14ac:dyDescent="0.45">
      <c r="A1762" t="s">
        <v>5593</v>
      </c>
      <c r="B1762" t="s">
        <v>147</v>
      </c>
    </row>
    <row r="1763" spans="1:2" x14ac:dyDescent="0.45">
      <c r="A1763" t="s">
        <v>5598</v>
      </c>
      <c r="B1763" t="s">
        <v>267</v>
      </c>
    </row>
    <row r="1764" spans="1:2" x14ac:dyDescent="0.45">
      <c r="A1764" t="s">
        <v>5605</v>
      </c>
      <c r="B1764" t="s">
        <v>267</v>
      </c>
    </row>
    <row r="1765" spans="1:2" x14ac:dyDescent="0.45">
      <c r="A1765" t="s">
        <v>5607</v>
      </c>
      <c r="B1765" t="s">
        <v>267</v>
      </c>
    </row>
    <row r="1766" spans="1:2" x14ac:dyDescent="0.45">
      <c r="A1766" t="s">
        <v>5608</v>
      </c>
      <c r="B1766" t="s">
        <v>128</v>
      </c>
    </row>
    <row r="1767" spans="1:2" x14ac:dyDescent="0.45">
      <c r="A1767" t="s">
        <v>5609</v>
      </c>
      <c r="B1767" t="s">
        <v>128</v>
      </c>
    </row>
    <row r="1768" spans="1:2" x14ac:dyDescent="0.45">
      <c r="A1768" t="s">
        <v>5611</v>
      </c>
      <c r="B1768" t="s">
        <v>147</v>
      </c>
    </row>
    <row r="1769" spans="1:2" x14ac:dyDescent="0.45">
      <c r="A1769" t="s">
        <v>5613</v>
      </c>
      <c r="B1769" t="s">
        <v>147</v>
      </c>
    </row>
    <row r="1770" spans="1:2" x14ac:dyDescent="0.45">
      <c r="A1770" t="s">
        <v>5615</v>
      </c>
      <c r="B1770" t="s">
        <v>128</v>
      </c>
    </row>
    <row r="1771" spans="1:2" x14ac:dyDescent="0.45">
      <c r="A1771" t="s">
        <v>5618</v>
      </c>
      <c r="B1771" t="s">
        <v>147</v>
      </c>
    </row>
    <row r="1772" spans="1:2" x14ac:dyDescent="0.45">
      <c r="A1772" t="s">
        <v>5620</v>
      </c>
      <c r="B1772" t="s">
        <v>147</v>
      </c>
    </row>
    <row r="1773" spans="1:2" x14ac:dyDescent="0.45">
      <c r="A1773" t="s">
        <v>5622</v>
      </c>
      <c r="B1773" t="s">
        <v>147</v>
      </c>
    </row>
    <row r="1774" spans="1:2" x14ac:dyDescent="0.45">
      <c r="A1774" t="s">
        <v>5626</v>
      </c>
      <c r="B1774" t="s">
        <v>128</v>
      </c>
    </row>
    <row r="1775" spans="1:2" x14ac:dyDescent="0.45">
      <c r="A1775" t="s">
        <v>5629</v>
      </c>
      <c r="B1775" t="s">
        <v>147</v>
      </c>
    </row>
    <row r="1776" spans="1:2" x14ac:dyDescent="0.45">
      <c r="A1776" t="s">
        <v>5630</v>
      </c>
      <c r="B1776" t="s">
        <v>267</v>
      </c>
    </row>
    <row r="1777" spans="1:2" x14ac:dyDescent="0.45">
      <c r="A1777" t="s">
        <v>5633</v>
      </c>
      <c r="B1777" t="s">
        <v>147</v>
      </c>
    </row>
    <row r="1778" spans="1:2" x14ac:dyDescent="0.45">
      <c r="A1778" t="s">
        <v>5635</v>
      </c>
      <c r="B1778" t="s">
        <v>147</v>
      </c>
    </row>
    <row r="1779" spans="1:2" x14ac:dyDescent="0.45">
      <c r="A1779" t="s">
        <v>5638</v>
      </c>
      <c r="B1779" t="s">
        <v>128</v>
      </c>
    </row>
    <row r="1780" spans="1:2" x14ac:dyDescent="0.45">
      <c r="A1780" t="s">
        <v>5641</v>
      </c>
      <c r="B1780" t="s">
        <v>147</v>
      </c>
    </row>
    <row r="1781" spans="1:2" x14ac:dyDescent="0.45">
      <c r="A1781" t="s">
        <v>5643</v>
      </c>
      <c r="B1781" t="s">
        <v>147</v>
      </c>
    </row>
    <row r="1782" spans="1:2" x14ac:dyDescent="0.45">
      <c r="A1782" t="s">
        <v>5645</v>
      </c>
      <c r="B1782" t="s">
        <v>267</v>
      </c>
    </row>
    <row r="1783" spans="1:2" x14ac:dyDescent="0.45">
      <c r="A1783" t="s">
        <v>5646</v>
      </c>
      <c r="B1783" t="s">
        <v>267</v>
      </c>
    </row>
    <row r="1784" spans="1:2" x14ac:dyDescent="0.45">
      <c r="A1784" t="s">
        <v>5649</v>
      </c>
      <c r="B1784" t="s">
        <v>267</v>
      </c>
    </row>
    <row r="1785" spans="1:2" x14ac:dyDescent="0.45">
      <c r="A1785" t="s">
        <v>5651</v>
      </c>
      <c r="B1785" t="s">
        <v>147</v>
      </c>
    </row>
    <row r="1786" spans="1:2" x14ac:dyDescent="0.45">
      <c r="A1786" t="s">
        <v>5653</v>
      </c>
      <c r="B1786" t="s">
        <v>147</v>
      </c>
    </row>
    <row r="1787" spans="1:2" x14ac:dyDescent="0.45">
      <c r="A1787" t="s">
        <v>5658</v>
      </c>
      <c r="B1787" t="s">
        <v>94</v>
      </c>
    </row>
    <row r="1788" spans="1:2" x14ac:dyDescent="0.45">
      <c r="A1788" t="s">
        <v>5660</v>
      </c>
      <c r="B1788" t="s">
        <v>94</v>
      </c>
    </row>
    <row r="1789" spans="1:2" x14ac:dyDescent="0.45">
      <c r="A1789" t="s">
        <v>5662</v>
      </c>
      <c r="B1789" t="s">
        <v>108</v>
      </c>
    </row>
    <row r="1790" spans="1:2" x14ac:dyDescent="0.45">
      <c r="A1790" t="s">
        <v>5664</v>
      </c>
      <c r="B1790" t="s">
        <v>89</v>
      </c>
    </row>
    <row r="1791" spans="1:2" x14ac:dyDescent="0.45">
      <c r="A1791" t="s">
        <v>5666</v>
      </c>
      <c r="B1791" t="s">
        <v>108</v>
      </c>
    </row>
    <row r="1792" spans="1:2" x14ac:dyDescent="0.45">
      <c r="A1792" t="s">
        <v>5668</v>
      </c>
      <c r="B1792" t="s">
        <v>89</v>
      </c>
    </row>
    <row r="1793" spans="1:2" x14ac:dyDescent="0.45">
      <c r="A1793" t="s">
        <v>5672</v>
      </c>
      <c r="B1793" t="s">
        <v>108</v>
      </c>
    </row>
    <row r="1794" spans="1:2" x14ac:dyDescent="0.45">
      <c r="A1794" t="s">
        <v>5677</v>
      </c>
      <c r="B1794" t="s">
        <v>108</v>
      </c>
    </row>
    <row r="1795" spans="1:2" x14ac:dyDescent="0.45">
      <c r="A1795" t="s">
        <v>5680</v>
      </c>
      <c r="B1795" t="s">
        <v>89</v>
      </c>
    </row>
    <row r="1796" spans="1:2" x14ac:dyDescent="0.45">
      <c r="A1796" t="s">
        <v>5682</v>
      </c>
      <c r="B1796" t="s">
        <v>108</v>
      </c>
    </row>
    <row r="1797" spans="1:2" x14ac:dyDescent="0.45">
      <c r="A1797" t="s">
        <v>5687</v>
      </c>
      <c r="B1797" t="s">
        <v>108</v>
      </c>
    </row>
    <row r="1798" spans="1:2" x14ac:dyDescent="0.45">
      <c r="A1798" t="s">
        <v>5689</v>
      </c>
      <c r="B1798" t="s">
        <v>108</v>
      </c>
    </row>
    <row r="1799" spans="1:2" x14ac:dyDescent="0.45">
      <c r="A1799" t="s">
        <v>5696</v>
      </c>
      <c r="B1799" t="s">
        <v>108</v>
      </c>
    </row>
    <row r="1800" spans="1:2" x14ac:dyDescent="0.45">
      <c r="A1800" t="s">
        <v>5697</v>
      </c>
      <c r="B1800" t="s">
        <v>108</v>
      </c>
    </row>
    <row r="1801" spans="1:2" x14ac:dyDescent="0.45">
      <c r="A1801" t="s">
        <v>5698</v>
      </c>
      <c r="B1801" t="s">
        <v>89</v>
      </c>
    </row>
    <row r="1802" spans="1:2" x14ac:dyDescent="0.45">
      <c r="A1802" t="s">
        <v>5699</v>
      </c>
      <c r="B1802" t="s">
        <v>89</v>
      </c>
    </row>
    <row r="1803" spans="1:2" x14ac:dyDescent="0.45">
      <c r="A1803" t="s">
        <v>5704</v>
      </c>
      <c r="B1803" t="s">
        <v>89</v>
      </c>
    </row>
    <row r="1804" spans="1:2" x14ac:dyDescent="0.45">
      <c r="A1804" t="s">
        <v>5707</v>
      </c>
      <c r="B1804" t="s">
        <v>108</v>
      </c>
    </row>
    <row r="1805" spans="1:2" x14ac:dyDescent="0.45">
      <c r="A1805" t="s">
        <v>5712</v>
      </c>
      <c r="B1805" t="s">
        <v>94</v>
      </c>
    </row>
    <row r="1806" spans="1:2" x14ac:dyDescent="0.45">
      <c r="A1806" t="s">
        <v>5715</v>
      </c>
      <c r="B1806" t="s">
        <v>89</v>
      </c>
    </row>
    <row r="1807" spans="1:2" x14ac:dyDescent="0.45">
      <c r="A1807" t="s">
        <v>5720</v>
      </c>
      <c r="B1807" t="s">
        <v>89</v>
      </c>
    </row>
    <row r="1808" spans="1:2" x14ac:dyDescent="0.45">
      <c r="A1808" t="s">
        <v>5725</v>
      </c>
      <c r="B1808" t="s">
        <v>108</v>
      </c>
    </row>
    <row r="1809" spans="1:2" x14ac:dyDescent="0.45">
      <c r="A1809" t="s">
        <v>5735</v>
      </c>
      <c r="B1809" t="s">
        <v>94</v>
      </c>
    </row>
    <row r="1810" spans="1:2" x14ac:dyDescent="0.45">
      <c r="A1810" t="s">
        <v>5736</v>
      </c>
      <c r="B1810" t="s">
        <v>108</v>
      </c>
    </row>
    <row r="1811" spans="1:2" x14ac:dyDescent="0.45">
      <c r="A1811" t="s">
        <v>5745</v>
      </c>
      <c r="B1811" t="s">
        <v>108</v>
      </c>
    </row>
    <row r="1812" spans="1:2" x14ac:dyDescent="0.45">
      <c r="A1812" t="s">
        <v>5748</v>
      </c>
      <c r="B1812" t="s">
        <v>132</v>
      </c>
    </row>
    <row r="1813" spans="1:2" x14ac:dyDescent="0.45">
      <c r="A1813" t="s">
        <v>5751</v>
      </c>
      <c r="B1813" t="s">
        <v>108</v>
      </c>
    </row>
    <row r="1814" spans="1:2" x14ac:dyDescent="0.45">
      <c r="A1814" t="s">
        <v>5754</v>
      </c>
      <c r="B1814" t="s">
        <v>132</v>
      </c>
    </row>
    <row r="1815" spans="1:2" x14ac:dyDescent="0.45">
      <c r="A1815" t="s">
        <v>5757</v>
      </c>
      <c r="B1815" t="s">
        <v>132</v>
      </c>
    </row>
    <row r="1816" spans="1:2" x14ac:dyDescent="0.45">
      <c r="A1816" t="s">
        <v>5762</v>
      </c>
      <c r="B1816" t="s">
        <v>89</v>
      </c>
    </row>
    <row r="1817" spans="1:2" x14ac:dyDescent="0.45">
      <c r="A1817" t="s">
        <v>5768</v>
      </c>
      <c r="B1817" t="s">
        <v>132</v>
      </c>
    </row>
    <row r="1818" spans="1:2" x14ac:dyDescent="0.45">
      <c r="A1818" t="s">
        <v>5770</v>
      </c>
      <c r="B1818" t="s">
        <v>132</v>
      </c>
    </row>
    <row r="1819" spans="1:2" x14ac:dyDescent="0.45">
      <c r="A1819" t="s">
        <v>5777</v>
      </c>
      <c r="B1819" t="s">
        <v>128</v>
      </c>
    </row>
    <row r="1820" spans="1:2" x14ac:dyDescent="0.45">
      <c r="A1820" t="s">
        <v>5782</v>
      </c>
      <c r="B1820" t="s">
        <v>132</v>
      </c>
    </row>
    <row r="1821" spans="1:2" x14ac:dyDescent="0.45">
      <c r="A1821" t="s">
        <v>5783</v>
      </c>
      <c r="B1821" t="s">
        <v>132</v>
      </c>
    </row>
    <row r="1822" spans="1:2" x14ac:dyDescent="0.45">
      <c r="A1822" t="s">
        <v>5785</v>
      </c>
      <c r="B1822" t="s">
        <v>94</v>
      </c>
    </row>
    <row r="1823" spans="1:2" x14ac:dyDescent="0.45">
      <c r="A1823" t="s">
        <v>5787</v>
      </c>
      <c r="B1823" t="s">
        <v>128</v>
      </c>
    </row>
    <row r="1824" spans="1:2" x14ac:dyDescent="0.45">
      <c r="A1824" t="s">
        <v>5790</v>
      </c>
      <c r="B1824" t="s">
        <v>147</v>
      </c>
    </row>
    <row r="1825" spans="1:2" x14ac:dyDescent="0.45">
      <c r="A1825" t="s">
        <v>5793</v>
      </c>
      <c r="B1825" t="s">
        <v>132</v>
      </c>
    </row>
    <row r="1826" spans="1:2" x14ac:dyDescent="0.45">
      <c r="A1826" t="s">
        <v>5799</v>
      </c>
      <c r="B1826" t="s">
        <v>132</v>
      </c>
    </row>
    <row r="1827" spans="1:2" x14ac:dyDescent="0.45">
      <c r="A1827" t="s">
        <v>5802</v>
      </c>
      <c r="B1827" t="s">
        <v>89</v>
      </c>
    </row>
    <row r="1828" spans="1:2" x14ac:dyDescent="0.45">
      <c r="A1828" t="s">
        <v>5807</v>
      </c>
      <c r="B1828" t="s">
        <v>132</v>
      </c>
    </row>
    <row r="1829" spans="1:2" x14ac:dyDescent="0.45">
      <c r="A1829" t="s">
        <v>5810</v>
      </c>
      <c r="B1829" t="s">
        <v>128</v>
      </c>
    </row>
    <row r="1830" spans="1:2" x14ac:dyDescent="0.45">
      <c r="A1830" t="s">
        <v>5813</v>
      </c>
      <c r="B1830" t="s">
        <v>147</v>
      </c>
    </row>
    <row r="1831" spans="1:2" x14ac:dyDescent="0.45">
      <c r="A1831" t="s">
        <v>5815</v>
      </c>
      <c r="B1831" t="s">
        <v>132</v>
      </c>
    </row>
    <row r="1832" spans="1:2" x14ac:dyDescent="0.45">
      <c r="A1832" t="s">
        <v>5818</v>
      </c>
      <c r="B1832" t="s">
        <v>94</v>
      </c>
    </row>
    <row r="1833" spans="1:2" x14ac:dyDescent="0.45">
      <c r="A1833" t="s">
        <v>5820</v>
      </c>
      <c r="B1833" t="s">
        <v>94</v>
      </c>
    </row>
    <row r="1834" spans="1:2" x14ac:dyDescent="0.45">
      <c r="A1834" t="s">
        <v>5822</v>
      </c>
      <c r="B1834" t="s">
        <v>267</v>
      </c>
    </row>
    <row r="1835" spans="1:2" x14ac:dyDescent="0.45">
      <c r="A1835" t="s">
        <v>5826</v>
      </c>
      <c r="B1835" t="s">
        <v>147</v>
      </c>
    </row>
    <row r="1836" spans="1:2" x14ac:dyDescent="0.45">
      <c r="A1836" t="s">
        <v>5828</v>
      </c>
      <c r="B1836" t="s">
        <v>132</v>
      </c>
    </row>
    <row r="1837" spans="1:2" x14ac:dyDescent="0.45">
      <c r="A1837" t="s">
        <v>5833</v>
      </c>
      <c r="B1837" t="s">
        <v>267</v>
      </c>
    </row>
    <row r="1838" spans="1:2" x14ac:dyDescent="0.45">
      <c r="A1838" t="s">
        <v>5836</v>
      </c>
      <c r="B1838" t="s">
        <v>132</v>
      </c>
    </row>
    <row r="1839" spans="1:2" x14ac:dyDescent="0.45">
      <c r="A1839" t="s">
        <v>5838</v>
      </c>
      <c r="B1839" t="s">
        <v>132</v>
      </c>
    </row>
    <row r="1840" spans="1:2" x14ac:dyDescent="0.45">
      <c r="A1840" t="s">
        <v>5841</v>
      </c>
      <c r="B1840" t="s">
        <v>128</v>
      </c>
    </row>
    <row r="1841" spans="1:2" x14ac:dyDescent="0.45">
      <c r="A1841" t="s">
        <v>5844</v>
      </c>
      <c r="B1841" t="s">
        <v>267</v>
      </c>
    </row>
    <row r="1842" spans="1:2" x14ac:dyDescent="0.45">
      <c r="A1842" t="s">
        <v>5846</v>
      </c>
      <c r="B1842" t="s">
        <v>132</v>
      </c>
    </row>
    <row r="1843" spans="1:2" x14ac:dyDescent="0.45">
      <c r="A1843" t="s">
        <v>5849</v>
      </c>
      <c r="B1843" t="s">
        <v>128</v>
      </c>
    </row>
    <row r="1844" spans="1:2" x14ac:dyDescent="0.45">
      <c r="A1844" t="s">
        <v>5854</v>
      </c>
      <c r="B1844" t="s">
        <v>128</v>
      </c>
    </row>
    <row r="1845" spans="1:2" x14ac:dyDescent="0.45">
      <c r="A1845" t="s">
        <v>5860</v>
      </c>
      <c r="B1845" t="s">
        <v>132</v>
      </c>
    </row>
    <row r="1846" spans="1:2" x14ac:dyDescent="0.45">
      <c r="A1846" t="s">
        <v>5861</v>
      </c>
      <c r="B1846" t="s">
        <v>128</v>
      </c>
    </row>
    <row r="1847" spans="1:2" x14ac:dyDescent="0.45">
      <c r="A1847" t="s">
        <v>5862</v>
      </c>
      <c r="B1847" t="s">
        <v>132</v>
      </c>
    </row>
    <row r="1848" spans="1:2" x14ac:dyDescent="0.45">
      <c r="A1848" t="s">
        <v>5872</v>
      </c>
      <c r="B1848" t="s">
        <v>267</v>
      </c>
    </row>
    <row r="1849" spans="1:2" x14ac:dyDescent="0.45">
      <c r="A1849" t="s">
        <v>5874</v>
      </c>
      <c r="B1849" t="s">
        <v>132</v>
      </c>
    </row>
    <row r="1850" spans="1:2" x14ac:dyDescent="0.45">
      <c r="A1850" t="s">
        <v>5877</v>
      </c>
      <c r="B1850" t="s">
        <v>132</v>
      </c>
    </row>
    <row r="1851" spans="1:2" x14ac:dyDescent="0.45">
      <c r="A1851" t="s">
        <v>5880</v>
      </c>
      <c r="B1851" t="s">
        <v>132</v>
      </c>
    </row>
    <row r="1852" spans="1:2" x14ac:dyDescent="0.45">
      <c r="A1852" t="s">
        <v>5883</v>
      </c>
      <c r="B1852" t="s">
        <v>132</v>
      </c>
    </row>
    <row r="1853" spans="1:2" x14ac:dyDescent="0.45">
      <c r="A1853" t="s">
        <v>5889</v>
      </c>
      <c r="B1853" t="s">
        <v>132</v>
      </c>
    </row>
    <row r="1854" spans="1:2" x14ac:dyDescent="0.45">
      <c r="A1854" t="s">
        <v>5892</v>
      </c>
      <c r="B1854" t="s">
        <v>132</v>
      </c>
    </row>
    <row r="1855" spans="1:2" x14ac:dyDescent="0.45">
      <c r="A1855" t="s">
        <v>5894</v>
      </c>
      <c r="B1855" t="s">
        <v>132</v>
      </c>
    </row>
    <row r="1856" spans="1:2" x14ac:dyDescent="0.45">
      <c r="A1856" t="s">
        <v>5897</v>
      </c>
      <c r="B1856" t="s">
        <v>128</v>
      </c>
    </row>
    <row r="1857" spans="1:2" x14ac:dyDescent="0.45">
      <c r="A1857" t="s">
        <v>5900</v>
      </c>
      <c r="B1857" t="s">
        <v>132</v>
      </c>
    </row>
    <row r="1858" spans="1:2" x14ac:dyDescent="0.45">
      <c r="A1858" t="s">
        <v>5901</v>
      </c>
      <c r="B1858" t="s">
        <v>132</v>
      </c>
    </row>
    <row r="1859" spans="1:2" x14ac:dyDescent="0.45">
      <c r="A1859" t="s">
        <v>5904</v>
      </c>
      <c r="B1859" t="s">
        <v>132</v>
      </c>
    </row>
    <row r="1860" spans="1:2" x14ac:dyDescent="0.45">
      <c r="A1860" t="s">
        <v>5905</v>
      </c>
      <c r="B1860" t="s">
        <v>128</v>
      </c>
    </row>
    <row r="1861" spans="1:2" x14ac:dyDescent="0.45">
      <c r="A1861" t="s">
        <v>5910</v>
      </c>
      <c r="B1861" t="s">
        <v>128</v>
      </c>
    </row>
    <row r="1862" spans="1:2" x14ac:dyDescent="0.45">
      <c r="A1862" t="s">
        <v>5913</v>
      </c>
      <c r="B1862" t="s">
        <v>132</v>
      </c>
    </row>
    <row r="1863" spans="1:2" x14ac:dyDescent="0.45">
      <c r="A1863" t="s">
        <v>5916</v>
      </c>
      <c r="B1863" t="s">
        <v>94</v>
      </c>
    </row>
    <row r="1864" spans="1:2" x14ac:dyDescent="0.45">
      <c r="A1864" t="s">
        <v>5918</v>
      </c>
      <c r="B1864" t="s">
        <v>132</v>
      </c>
    </row>
    <row r="1865" spans="1:2" x14ac:dyDescent="0.45">
      <c r="A1865" t="s">
        <v>5924</v>
      </c>
      <c r="B1865" t="s">
        <v>94</v>
      </c>
    </row>
    <row r="1866" spans="1:2" x14ac:dyDescent="0.45">
      <c r="A1866" t="s">
        <v>5931</v>
      </c>
      <c r="B1866" t="s">
        <v>128</v>
      </c>
    </row>
    <row r="1867" spans="1:2" x14ac:dyDescent="0.45">
      <c r="A1867" t="s">
        <v>5933</v>
      </c>
      <c r="B1867" t="s">
        <v>128</v>
      </c>
    </row>
    <row r="1868" spans="1:2" x14ac:dyDescent="0.45">
      <c r="A1868" t="s">
        <v>5937</v>
      </c>
      <c r="B1868" t="s">
        <v>128</v>
      </c>
    </row>
    <row r="1869" spans="1:2" x14ac:dyDescent="0.45">
      <c r="A1869" t="s">
        <v>5938</v>
      </c>
      <c r="B1869" t="s">
        <v>132</v>
      </c>
    </row>
    <row r="1870" spans="1:2" x14ac:dyDescent="0.45">
      <c r="A1870" t="s">
        <v>5941</v>
      </c>
      <c r="B1870" t="s">
        <v>128</v>
      </c>
    </row>
    <row r="1871" spans="1:2" x14ac:dyDescent="0.45">
      <c r="A1871" t="s">
        <v>5947</v>
      </c>
      <c r="B1871" t="s">
        <v>132</v>
      </c>
    </row>
    <row r="1872" spans="1:2" x14ac:dyDescent="0.45">
      <c r="A1872" t="s">
        <v>5949</v>
      </c>
      <c r="B1872" t="s">
        <v>132</v>
      </c>
    </row>
    <row r="1873" spans="1:2" x14ac:dyDescent="0.45">
      <c r="A1873" t="s">
        <v>5952</v>
      </c>
      <c r="B1873" t="s">
        <v>132</v>
      </c>
    </row>
    <row r="1874" spans="1:2" x14ac:dyDescent="0.45">
      <c r="A1874" t="s">
        <v>5955</v>
      </c>
      <c r="B1874" t="s">
        <v>132</v>
      </c>
    </row>
    <row r="1875" spans="1:2" x14ac:dyDescent="0.45">
      <c r="A1875" t="s">
        <v>5957</v>
      </c>
      <c r="B1875" t="s">
        <v>128</v>
      </c>
    </row>
    <row r="1876" spans="1:2" x14ac:dyDescent="0.45">
      <c r="A1876" t="s">
        <v>5959</v>
      </c>
      <c r="B1876" t="s">
        <v>132</v>
      </c>
    </row>
    <row r="1877" spans="1:2" x14ac:dyDescent="0.45">
      <c r="A1877" t="s">
        <v>5965</v>
      </c>
      <c r="B1877" t="s">
        <v>132</v>
      </c>
    </row>
    <row r="1878" spans="1:2" x14ac:dyDescent="0.45">
      <c r="A1878" t="s">
        <v>5968</v>
      </c>
      <c r="B1878" t="s">
        <v>128</v>
      </c>
    </row>
    <row r="1879" spans="1:2" x14ac:dyDescent="0.45">
      <c r="A1879" t="s">
        <v>5977</v>
      </c>
      <c r="B1879" t="s">
        <v>132</v>
      </c>
    </row>
    <row r="1880" spans="1:2" x14ac:dyDescent="0.45">
      <c r="A1880" t="s">
        <v>5979</v>
      </c>
      <c r="B1880" t="s">
        <v>132</v>
      </c>
    </row>
    <row r="1881" spans="1:2" x14ac:dyDescent="0.45">
      <c r="A1881" t="s">
        <v>5984</v>
      </c>
      <c r="B1881" t="s">
        <v>132</v>
      </c>
    </row>
    <row r="1882" spans="1:2" x14ac:dyDescent="0.45">
      <c r="A1882" t="s">
        <v>5986</v>
      </c>
      <c r="B1882" t="s">
        <v>132</v>
      </c>
    </row>
    <row r="1883" spans="1:2" x14ac:dyDescent="0.45">
      <c r="A1883" t="s">
        <v>5993</v>
      </c>
      <c r="B1883" t="s">
        <v>147</v>
      </c>
    </row>
    <row r="1884" spans="1:2" x14ac:dyDescent="0.45">
      <c r="A1884" t="s">
        <v>5994</v>
      </c>
      <c r="B1884" t="s">
        <v>128</v>
      </c>
    </row>
    <row r="1885" spans="1:2" x14ac:dyDescent="0.45">
      <c r="A1885" t="s">
        <v>5995</v>
      </c>
      <c r="B1885" t="s">
        <v>132</v>
      </c>
    </row>
    <row r="1886" spans="1:2" x14ac:dyDescent="0.45">
      <c r="A1886" t="s">
        <v>5997</v>
      </c>
      <c r="B1886" t="s">
        <v>132</v>
      </c>
    </row>
    <row r="1887" spans="1:2" x14ac:dyDescent="0.45">
      <c r="A1887" t="s">
        <v>6001</v>
      </c>
      <c r="B1887" t="s">
        <v>128</v>
      </c>
    </row>
    <row r="1888" spans="1:2" x14ac:dyDescent="0.45">
      <c r="A1888" t="s">
        <v>6003</v>
      </c>
      <c r="B1888" t="s">
        <v>147</v>
      </c>
    </row>
    <row r="1889" spans="1:2" x14ac:dyDescent="0.45">
      <c r="A1889" t="s">
        <v>6004</v>
      </c>
      <c r="B1889" t="s">
        <v>147</v>
      </c>
    </row>
    <row r="1890" spans="1:2" x14ac:dyDescent="0.45">
      <c r="A1890" t="s">
        <v>6006</v>
      </c>
      <c r="B1890" t="s">
        <v>132</v>
      </c>
    </row>
    <row r="1891" spans="1:2" x14ac:dyDescent="0.45">
      <c r="A1891" t="s">
        <v>6007</v>
      </c>
      <c r="B1891" t="s">
        <v>128</v>
      </c>
    </row>
    <row r="1892" spans="1:2" x14ac:dyDescent="0.45">
      <c r="A1892" t="s">
        <v>6009</v>
      </c>
      <c r="B1892" t="s">
        <v>128</v>
      </c>
    </row>
    <row r="1893" spans="1:2" x14ac:dyDescent="0.45">
      <c r="A1893" t="s">
        <v>6017</v>
      </c>
      <c r="B1893" t="s">
        <v>128</v>
      </c>
    </row>
    <row r="1894" spans="1:2" x14ac:dyDescent="0.45">
      <c r="A1894" t="s">
        <v>6019</v>
      </c>
      <c r="B1894" t="s">
        <v>132</v>
      </c>
    </row>
    <row r="1895" spans="1:2" x14ac:dyDescent="0.45">
      <c r="A1895" t="s">
        <v>6021</v>
      </c>
      <c r="B1895" t="s">
        <v>132</v>
      </c>
    </row>
    <row r="1896" spans="1:2" x14ac:dyDescent="0.45">
      <c r="A1896" t="s">
        <v>6022</v>
      </c>
      <c r="B1896" t="s">
        <v>128</v>
      </c>
    </row>
    <row r="1897" spans="1:2" x14ac:dyDescent="0.45">
      <c r="A1897" t="s">
        <v>6025</v>
      </c>
      <c r="B1897" t="s">
        <v>128</v>
      </c>
    </row>
    <row r="1898" spans="1:2" x14ac:dyDescent="0.45">
      <c r="A1898" t="s">
        <v>6027</v>
      </c>
      <c r="B1898" t="s">
        <v>128</v>
      </c>
    </row>
    <row r="1899" spans="1:2" x14ac:dyDescent="0.45">
      <c r="A1899" t="s">
        <v>6032</v>
      </c>
      <c r="B1899" t="s">
        <v>147</v>
      </c>
    </row>
    <row r="1900" spans="1:2" x14ac:dyDescent="0.45">
      <c r="A1900" t="s">
        <v>6034</v>
      </c>
      <c r="B1900" t="s">
        <v>147</v>
      </c>
    </row>
    <row r="1901" spans="1:2" x14ac:dyDescent="0.45">
      <c r="A1901" t="s">
        <v>6036</v>
      </c>
      <c r="B1901" t="s">
        <v>132</v>
      </c>
    </row>
    <row r="1902" spans="1:2" x14ac:dyDescent="0.45">
      <c r="A1902" t="s">
        <v>6038</v>
      </c>
      <c r="B1902" t="s">
        <v>132</v>
      </c>
    </row>
    <row r="1903" spans="1:2" x14ac:dyDescent="0.45">
      <c r="A1903" t="s">
        <v>6041</v>
      </c>
      <c r="B1903" t="s">
        <v>128</v>
      </c>
    </row>
    <row r="1904" spans="1:2" x14ac:dyDescent="0.45">
      <c r="A1904" t="s">
        <v>6044</v>
      </c>
      <c r="B1904" t="s">
        <v>132</v>
      </c>
    </row>
    <row r="1905" spans="1:2" x14ac:dyDescent="0.45">
      <c r="A1905" t="s">
        <v>6046</v>
      </c>
      <c r="B1905" t="s">
        <v>132</v>
      </c>
    </row>
    <row r="1906" spans="1:2" x14ac:dyDescent="0.45">
      <c r="A1906" t="s">
        <v>6049</v>
      </c>
      <c r="B1906" t="s">
        <v>128</v>
      </c>
    </row>
    <row r="1907" spans="1:2" x14ac:dyDescent="0.45">
      <c r="A1907" t="s">
        <v>6051</v>
      </c>
      <c r="B1907" t="s">
        <v>94</v>
      </c>
    </row>
    <row r="1908" spans="1:2" x14ac:dyDescent="0.45">
      <c r="A1908" t="s">
        <v>6054</v>
      </c>
      <c r="B1908" t="s">
        <v>132</v>
      </c>
    </row>
    <row r="1909" spans="1:2" x14ac:dyDescent="0.45">
      <c r="A1909" t="s">
        <v>6058</v>
      </c>
      <c r="B1909" t="s">
        <v>132</v>
      </c>
    </row>
    <row r="1910" spans="1:2" x14ac:dyDescent="0.45">
      <c r="A1910" t="s">
        <v>6063</v>
      </c>
      <c r="B1910" t="s">
        <v>267</v>
      </c>
    </row>
    <row r="1911" spans="1:2" x14ac:dyDescent="0.45">
      <c r="A1911" t="s">
        <v>6067</v>
      </c>
      <c r="B1911" t="s">
        <v>128</v>
      </c>
    </row>
    <row r="1912" spans="1:2" x14ac:dyDescent="0.45">
      <c r="A1912" t="s">
        <v>6069</v>
      </c>
      <c r="B1912" t="s">
        <v>128</v>
      </c>
    </row>
    <row r="1913" spans="1:2" x14ac:dyDescent="0.45">
      <c r="A1913" t="s">
        <v>6072</v>
      </c>
      <c r="B1913" t="s">
        <v>128</v>
      </c>
    </row>
    <row r="1914" spans="1:2" x14ac:dyDescent="0.45">
      <c r="A1914" t="s">
        <v>6073</v>
      </c>
      <c r="B1914" t="s">
        <v>128</v>
      </c>
    </row>
    <row r="1915" spans="1:2" x14ac:dyDescent="0.45">
      <c r="A1915" t="s">
        <v>6075</v>
      </c>
      <c r="B1915" t="s">
        <v>132</v>
      </c>
    </row>
    <row r="1916" spans="1:2" x14ac:dyDescent="0.45">
      <c r="A1916" t="s">
        <v>6077</v>
      </c>
      <c r="B1916" t="s">
        <v>132</v>
      </c>
    </row>
    <row r="1917" spans="1:2" x14ac:dyDescent="0.45">
      <c r="A1917" t="s">
        <v>6078</v>
      </c>
      <c r="B1917" t="s">
        <v>132</v>
      </c>
    </row>
    <row r="1918" spans="1:2" x14ac:dyDescent="0.45">
      <c r="A1918" t="s">
        <v>6081</v>
      </c>
      <c r="B1918" t="s">
        <v>132</v>
      </c>
    </row>
    <row r="1919" spans="1:2" x14ac:dyDescent="0.45">
      <c r="A1919" t="s">
        <v>6085</v>
      </c>
      <c r="B1919" t="s">
        <v>128</v>
      </c>
    </row>
    <row r="1920" spans="1:2" x14ac:dyDescent="0.45">
      <c r="A1920" t="s">
        <v>6088</v>
      </c>
      <c r="B1920" t="s">
        <v>132</v>
      </c>
    </row>
    <row r="1921" spans="1:2" x14ac:dyDescent="0.45">
      <c r="A1921" t="s">
        <v>6089</v>
      </c>
      <c r="B1921" t="s">
        <v>132</v>
      </c>
    </row>
    <row r="1922" spans="1:2" x14ac:dyDescent="0.45">
      <c r="A1922" t="s">
        <v>6092</v>
      </c>
      <c r="B1922" t="s">
        <v>147</v>
      </c>
    </row>
    <row r="1923" spans="1:2" x14ac:dyDescent="0.45">
      <c r="A1923" t="s">
        <v>6094</v>
      </c>
      <c r="B1923" t="s">
        <v>128</v>
      </c>
    </row>
    <row r="1924" spans="1:2" x14ac:dyDescent="0.45">
      <c r="A1924" t="s">
        <v>6096</v>
      </c>
      <c r="B1924" t="s">
        <v>128</v>
      </c>
    </row>
    <row r="1925" spans="1:2" x14ac:dyDescent="0.45">
      <c r="A1925" t="s">
        <v>6098</v>
      </c>
      <c r="B1925" t="s">
        <v>147</v>
      </c>
    </row>
    <row r="1926" spans="1:2" x14ac:dyDescent="0.45">
      <c r="A1926" t="s">
        <v>6102</v>
      </c>
      <c r="B1926" t="s">
        <v>128</v>
      </c>
    </row>
    <row r="1927" spans="1:2" x14ac:dyDescent="0.45">
      <c r="A1927" t="s">
        <v>6104</v>
      </c>
      <c r="B1927" t="s">
        <v>132</v>
      </c>
    </row>
    <row r="1928" spans="1:2" ht="28.5" x14ac:dyDescent="0.45">
      <c r="A1928" s="4" t="s">
        <v>6106</v>
      </c>
      <c r="B1928" t="s">
        <v>147</v>
      </c>
    </row>
    <row r="1929" spans="1:2" x14ac:dyDescent="0.45">
      <c r="A1929" t="s">
        <v>6107</v>
      </c>
      <c r="B1929" t="s">
        <v>147</v>
      </c>
    </row>
    <row r="1930" spans="1:2" ht="28.5" x14ac:dyDescent="0.45">
      <c r="A1930" s="4" t="s">
        <v>6106</v>
      </c>
      <c r="B1930" t="s">
        <v>132</v>
      </c>
    </row>
    <row r="1931" spans="1:2" x14ac:dyDescent="0.45">
      <c r="A1931" t="s">
        <v>6112</v>
      </c>
      <c r="B1931" t="s">
        <v>132</v>
      </c>
    </row>
    <row r="1932" spans="1:2" x14ac:dyDescent="0.45">
      <c r="A1932" t="s">
        <v>6115</v>
      </c>
      <c r="B1932" t="s">
        <v>132</v>
      </c>
    </row>
    <row r="1933" spans="1:2" x14ac:dyDescent="0.45">
      <c r="A1933" t="s">
        <v>6117</v>
      </c>
      <c r="B1933" t="s">
        <v>132</v>
      </c>
    </row>
    <row r="1934" spans="1:2" x14ac:dyDescent="0.45">
      <c r="A1934" t="s">
        <v>6121</v>
      </c>
      <c r="B1934" t="s">
        <v>128</v>
      </c>
    </row>
    <row r="1935" spans="1:2" x14ac:dyDescent="0.45">
      <c r="A1935" t="s">
        <v>6126</v>
      </c>
      <c r="B1935" t="s">
        <v>132</v>
      </c>
    </row>
    <row r="1936" spans="1:2" x14ac:dyDescent="0.45">
      <c r="A1936" t="s">
        <v>6128</v>
      </c>
      <c r="B1936" t="s">
        <v>132</v>
      </c>
    </row>
    <row r="1937" spans="1:2" x14ac:dyDescent="0.45">
      <c r="A1937" t="s">
        <v>6130</v>
      </c>
      <c r="B1937" t="s">
        <v>132</v>
      </c>
    </row>
    <row r="1938" spans="1:2" x14ac:dyDescent="0.45">
      <c r="A1938" t="s">
        <v>6133</v>
      </c>
      <c r="B1938" t="s">
        <v>132</v>
      </c>
    </row>
    <row r="1939" spans="1:2" x14ac:dyDescent="0.45">
      <c r="A1939" t="s">
        <v>6135</v>
      </c>
      <c r="B1939" t="s">
        <v>132</v>
      </c>
    </row>
    <row r="1940" spans="1:2" x14ac:dyDescent="0.45">
      <c r="A1940" t="s">
        <v>6138</v>
      </c>
      <c r="B1940" t="s">
        <v>132</v>
      </c>
    </row>
    <row r="1941" spans="1:2" x14ac:dyDescent="0.45">
      <c r="A1941" t="s">
        <v>6140</v>
      </c>
      <c r="B1941" t="s">
        <v>267</v>
      </c>
    </row>
    <row r="1942" spans="1:2" x14ac:dyDescent="0.45">
      <c r="A1942" t="s">
        <v>6142</v>
      </c>
      <c r="B1942" t="s">
        <v>132</v>
      </c>
    </row>
    <row r="1943" spans="1:2" x14ac:dyDescent="0.45">
      <c r="A1943" t="s">
        <v>6144</v>
      </c>
      <c r="B1943" t="s">
        <v>147</v>
      </c>
    </row>
    <row r="1944" spans="1:2" x14ac:dyDescent="0.45">
      <c r="A1944" t="s">
        <v>6147</v>
      </c>
      <c r="B1944" t="s">
        <v>147</v>
      </c>
    </row>
    <row r="1945" spans="1:2" x14ac:dyDescent="0.45">
      <c r="A1945" t="s">
        <v>6149</v>
      </c>
      <c r="B1945" t="s">
        <v>147</v>
      </c>
    </row>
    <row r="1946" spans="1:2" x14ac:dyDescent="0.45">
      <c r="A1946" t="s">
        <v>6153</v>
      </c>
      <c r="B1946" t="s">
        <v>147</v>
      </c>
    </row>
    <row r="1947" spans="1:2" x14ac:dyDescent="0.45">
      <c r="A1947" t="s">
        <v>6155</v>
      </c>
      <c r="B1947" t="s">
        <v>147</v>
      </c>
    </row>
    <row r="1948" spans="1:2" x14ac:dyDescent="0.45">
      <c r="A1948" t="s">
        <v>6157</v>
      </c>
      <c r="B1948" t="s">
        <v>147</v>
      </c>
    </row>
    <row r="1949" spans="1:2" x14ac:dyDescent="0.45">
      <c r="A1949" t="s">
        <v>6161</v>
      </c>
      <c r="B1949" t="s">
        <v>147</v>
      </c>
    </row>
    <row r="1950" spans="1:2" x14ac:dyDescent="0.45">
      <c r="A1950" t="s">
        <v>6163</v>
      </c>
      <c r="B1950" t="s">
        <v>147</v>
      </c>
    </row>
    <row r="1951" spans="1:2" x14ac:dyDescent="0.45">
      <c r="A1951" t="s">
        <v>6165</v>
      </c>
      <c r="B1951" t="s">
        <v>147</v>
      </c>
    </row>
    <row r="1952" spans="1:2" x14ac:dyDescent="0.45">
      <c r="A1952" t="s">
        <v>6167</v>
      </c>
      <c r="B1952" t="s">
        <v>132</v>
      </c>
    </row>
    <row r="1953" spans="1:2" x14ac:dyDescent="0.45">
      <c r="A1953" t="s">
        <v>6172</v>
      </c>
      <c r="B1953" t="s">
        <v>267</v>
      </c>
    </row>
    <row r="1954" spans="1:2" x14ac:dyDescent="0.45">
      <c r="A1954" t="s">
        <v>6174</v>
      </c>
      <c r="B1954" t="s">
        <v>147</v>
      </c>
    </row>
    <row r="1955" spans="1:2" x14ac:dyDescent="0.45">
      <c r="A1955" t="s">
        <v>6176</v>
      </c>
      <c r="B1955" t="s">
        <v>132</v>
      </c>
    </row>
    <row r="1956" spans="1:2" x14ac:dyDescent="0.45">
      <c r="A1956" t="s">
        <v>6181</v>
      </c>
      <c r="B1956" t="s">
        <v>132</v>
      </c>
    </row>
    <row r="1957" spans="1:2" x14ac:dyDescent="0.45">
      <c r="A1957" t="s">
        <v>6183</v>
      </c>
      <c r="B1957" t="s">
        <v>132</v>
      </c>
    </row>
    <row r="1958" spans="1:2" x14ac:dyDescent="0.45">
      <c r="A1958" t="s">
        <v>6187</v>
      </c>
      <c r="B1958" t="s">
        <v>267</v>
      </c>
    </row>
    <row r="1959" spans="1:2" x14ac:dyDescent="0.45">
      <c r="A1959" t="s">
        <v>6189</v>
      </c>
      <c r="B1959" t="s">
        <v>89</v>
      </c>
    </row>
    <row r="1960" spans="1:2" x14ac:dyDescent="0.45">
      <c r="A1960" t="s">
        <v>6191</v>
      </c>
      <c r="B1960" t="s">
        <v>108</v>
      </c>
    </row>
    <row r="1961" spans="1:2" x14ac:dyDescent="0.45">
      <c r="A1961" t="s">
        <v>6194</v>
      </c>
      <c r="B1961" t="s">
        <v>108</v>
      </c>
    </row>
    <row r="1962" spans="1:2" x14ac:dyDescent="0.45">
      <c r="A1962" t="s">
        <v>6196</v>
      </c>
      <c r="B1962" t="s">
        <v>89</v>
      </c>
    </row>
    <row r="1963" spans="1:2" x14ac:dyDescent="0.45">
      <c r="A1963" t="s">
        <v>6198</v>
      </c>
      <c r="B1963" t="s">
        <v>89</v>
      </c>
    </row>
    <row r="1964" spans="1:2" x14ac:dyDescent="0.45">
      <c r="A1964" t="s">
        <v>6200</v>
      </c>
      <c r="B1964" t="s">
        <v>108</v>
      </c>
    </row>
    <row r="1965" spans="1:2" x14ac:dyDescent="0.45">
      <c r="A1965" t="s">
        <v>6202</v>
      </c>
      <c r="B1965" t="s">
        <v>108</v>
      </c>
    </row>
    <row r="1966" spans="1:2" x14ac:dyDescent="0.45">
      <c r="A1966" t="s">
        <v>6204</v>
      </c>
      <c r="B1966" t="s">
        <v>94</v>
      </c>
    </row>
    <row r="1967" spans="1:2" x14ac:dyDescent="0.45">
      <c r="A1967" t="s">
        <v>6206</v>
      </c>
      <c r="B1967" t="s">
        <v>108</v>
      </c>
    </row>
    <row r="1968" spans="1:2" x14ac:dyDescent="0.45">
      <c r="A1968" t="s">
        <v>6211</v>
      </c>
      <c r="B1968" t="s">
        <v>108</v>
      </c>
    </row>
    <row r="1969" spans="1:2" x14ac:dyDescent="0.45">
      <c r="A1969" t="s">
        <v>6213</v>
      </c>
      <c r="B1969" t="s">
        <v>94</v>
      </c>
    </row>
    <row r="1970" spans="1:2" x14ac:dyDescent="0.45">
      <c r="A1970" t="s">
        <v>6215</v>
      </c>
      <c r="B1970" t="s">
        <v>108</v>
      </c>
    </row>
    <row r="1971" spans="1:2" x14ac:dyDescent="0.45">
      <c r="A1971" t="s">
        <v>6217</v>
      </c>
      <c r="B1971" t="s">
        <v>108</v>
      </c>
    </row>
    <row r="1972" spans="1:2" x14ac:dyDescent="0.45">
      <c r="A1972" t="s">
        <v>6219</v>
      </c>
      <c r="B1972" t="s">
        <v>89</v>
      </c>
    </row>
    <row r="1973" spans="1:2" x14ac:dyDescent="0.45">
      <c r="A1973" t="s">
        <v>6221</v>
      </c>
      <c r="B1973" t="s">
        <v>108</v>
      </c>
    </row>
    <row r="1974" spans="1:2" x14ac:dyDescent="0.45">
      <c r="A1974" t="s">
        <v>6223</v>
      </c>
      <c r="B1974" t="s">
        <v>108</v>
      </c>
    </row>
    <row r="1975" spans="1:2" x14ac:dyDescent="0.45">
      <c r="A1975" t="s">
        <v>6225</v>
      </c>
      <c r="B1975" t="s">
        <v>89</v>
      </c>
    </row>
    <row r="1976" spans="1:2" x14ac:dyDescent="0.45">
      <c r="A1976" t="s">
        <v>6227</v>
      </c>
      <c r="B1976" t="s">
        <v>108</v>
      </c>
    </row>
    <row r="1977" spans="1:2" x14ac:dyDescent="0.45">
      <c r="A1977" t="s">
        <v>6229</v>
      </c>
      <c r="B1977" t="s">
        <v>108</v>
      </c>
    </row>
    <row r="1978" spans="1:2" x14ac:dyDescent="0.45">
      <c r="A1978" t="s">
        <v>6236</v>
      </c>
      <c r="B1978" t="s">
        <v>267</v>
      </c>
    </row>
    <row r="1979" spans="1:2" x14ac:dyDescent="0.45">
      <c r="A1979" t="s">
        <v>6238</v>
      </c>
      <c r="B1979" t="s">
        <v>108</v>
      </c>
    </row>
    <row r="1980" spans="1:2" x14ac:dyDescent="0.45">
      <c r="A1980" t="s">
        <v>6240</v>
      </c>
      <c r="B1980" t="s">
        <v>108</v>
      </c>
    </row>
    <row r="1981" spans="1:2" x14ac:dyDescent="0.45">
      <c r="A1981" t="s">
        <v>6242</v>
      </c>
      <c r="B1981" t="s">
        <v>94</v>
      </c>
    </row>
    <row r="1982" spans="1:2" x14ac:dyDescent="0.45">
      <c r="A1982" t="s">
        <v>6245</v>
      </c>
      <c r="B1982" t="s">
        <v>89</v>
      </c>
    </row>
    <row r="1983" spans="1:2" x14ac:dyDescent="0.45">
      <c r="A1983" t="s">
        <v>6246</v>
      </c>
      <c r="B1983" t="s">
        <v>94</v>
      </c>
    </row>
    <row r="1984" spans="1:2" x14ac:dyDescent="0.45">
      <c r="A1984" t="s">
        <v>6250</v>
      </c>
      <c r="B1984" t="s">
        <v>89</v>
      </c>
    </row>
    <row r="1985" spans="1:2" x14ac:dyDescent="0.45">
      <c r="A1985" t="s">
        <v>6252</v>
      </c>
      <c r="B1985" t="s">
        <v>89</v>
      </c>
    </row>
    <row r="1986" spans="1:2" x14ac:dyDescent="0.45">
      <c r="A1986" t="s">
        <v>6255</v>
      </c>
      <c r="B1986" t="s">
        <v>89</v>
      </c>
    </row>
    <row r="1987" spans="1:2" x14ac:dyDescent="0.45">
      <c r="A1987" t="s">
        <v>6258</v>
      </c>
      <c r="B1987" t="s">
        <v>94</v>
      </c>
    </row>
    <row r="1988" spans="1:2" x14ac:dyDescent="0.45">
      <c r="A1988" t="s">
        <v>6274</v>
      </c>
      <c r="B1988" t="s">
        <v>108</v>
      </c>
    </row>
    <row r="1989" spans="1:2" x14ac:dyDescent="0.45">
      <c r="A1989" t="s">
        <v>6276</v>
      </c>
      <c r="B1989" t="s">
        <v>89</v>
      </c>
    </row>
    <row r="1990" spans="1:2" x14ac:dyDescent="0.45">
      <c r="A1990" t="s">
        <v>6277</v>
      </c>
      <c r="B1990" t="s">
        <v>89</v>
      </c>
    </row>
    <row r="1991" spans="1:2" x14ac:dyDescent="0.45">
      <c r="A1991" t="s">
        <v>6278</v>
      </c>
      <c r="B1991" t="s">
        <v>89</v>
      </c>
    </row>
    <row r="1992" spans="1:2" x14ac:dyDescent="0.45">
      <c r="A1992" t="s">
        <v>6281</v>
      </c>
      <c r="B1992" t="s">
        <v>108</v>
      </c>
    </row>
    <row r="1993" spans="1:2" x14ac:dyDescent="0.45">
      <c r="A1993" t="s">
        <v>6286</v>
      </c>
      <c r="B1993" t="s">
        <v>108</v>
      </c>
    </row>
    <row r="1994" spans="1:2" x14ac:dyDescent="0.45">
      <c r="A1994" t="s">
        <v>6287</v>
      </c>
      <c r="B1994" t="s">
        <v>94</v>
      </c>
    </row>
    <row r="1995" spans="1:2" x14ac:dyDescent="0.45">
      <c r="A1995" t="s">
        <v>6290</v>
      </c>
      <c r="B1995" t="s">
        <v>89</v>
      </c>
    </row>
    <row r="1996" spans="1:2" x14ac:dyDescent="0.45">
      <c r="A1996" t="s">
        <v>6293</v>
      </c>
      <c r="B1996" t="s">
        <v>108</v>
      </c>
    </row>
    <row r="1997" spans="1:2" x14ac:dyDescent="0.45">
      <c r="A1997" t="s">
        <v>6295</v>
      </c>
      <c r="B1997" t="s">
        <v>89</v>
      </c>
    </row>
    <row r="1998" spans="1:2" x14ac:dyDescent="0.45">
      <c r="A1998" t="s">
        <v>6297</v>
      </c>
      <c r="B1998" t="s">
        <v>108</v>
      </c>
    </row>
    <row r="1999" spans="1:2" x14ac:dyDescent="0.45">
      <c r="A1999" t="s">
        <v>6299</v>
      </c>
      <c r="B1999" t="s">
        <v>108</v>
      </c>
    </row>
    <row r="2000" spans="1:2" x14ac:dyDescent="0.45">
      <c r="A2000" t="s">
        <v>6304</v>
      </c>
      <c r="B2000" t="s">
        <v>89</v>
      </c>
    </row>
    <row r="2001" spans="1:2" x14ac:dyDescent="0.45">
      <c r="A2001" t="s">
        <v>6306</v>
      </c>
      <c r="B2001" t="s">
        <v>128</v>
      </c>
    </row>
    <row r="2002" spans="1:2" x14ac:dyDescent="0.45">
      <c r="A2002" t="s">
        <v>6309</v>
      </c>
      <c r="B2002" t="s">
        <v>128</v>
      </c>
    </row>
    <row r="2003" spans="1:2" x14ac:dyDescent="0.45">
      <c r="A2003" t="s">
        <v>6316</v>
      </c>
      <c r="B2003" t="s">
        <v>108</v>
      </c>
    </row>
    <row r="2004" spans="1:2" x14ac:dyDescent="0.45">
      <c r="A2004" t="s">
        <v>6321</v>
      </c>
      <c r="B2004" t="s">
        <v>132</v>
      </c>
    </row>
    <row r="2005" spans="1:2" x14ac:dyDescent="0.45">
      <c r="A2005" t="s">
        <v>6327</v>
      </c>
      <c r="B2005" t="s">
        <v>108</v>
      </c>
    </row>
    <row r="2006" spans="1:2" x14ac:dyDescent="0.45">
      <c r="A2006" t="s">
        <v>6328</v>
      </c>
      <c r="B2006" t="s">
        <v>94</v>
      </c>
    </row>
    <row r="2007" spans="1:2" x14ac:dyDescent="0.45">
      <c r="A2007" t="s">
        <v>6331</v>
      </c>
      <c r="B2007" t="s">
        <v>132</v>
      </c>
    </row>
    <row r="2008" spans="1:2" x14ac:dyDescent="0.45">
      <c r="A2008" t="s">
        <v>6333</v>
      </c>
      <c r="B2008" t="s">
        <v>132</v>
      </c>
    </row>
    <row r="2009" spans="1:2" x14ac:dyDescent="0.45">
      <c r="A2009" t="s">
        <v>6336</v>
      </c>
      <c r="B2009" t="s">
        <v>128</v>
      </c>
    </row>
    <row r="2010" spans="1:2" x14ac:dyDescent="0.45">
      <c r="A2010" t="s">
        <v>6339</v>
      </c>
      <c r="B2010" t="s">
        <v>94</v>
      </c>
    </row>
    <row r="2011" spans="1:2" x14ac:dyDescent="0.45">
      <c r="A2011" t="s">
        <v>6344</v>
      </c>
      <c r="B2011" t="s">
        <v>89</v>
      </c>
    </row>
    <row r="2012" spans="1:2" x14ac:dyDescent="0.45">
      <c r="A2012" t="s">
        <v>6351</v>
      </c>
      <c r="B2012" t="s">
        <v>132</v>
      </c>
    </row>
    <row r="2013" spans="1:2" x14ac:dyDescent="0.45">
      <c r="A2013" t="s">
        <v>6354</v>
      </c>
      <c r="B2013" t="s">
        <v>94</v>
      </c>
    </row>
    <row r="2014" spans="1:2" x14ac:dyDescent="0.45">
      <c r="A2014" t="s">
        <v>6356</v>
      </c>
      <c r="B2014" t="s">
        <v>132</v>
      </c>
    </row>
    <row r="2015" spans="1:2" x14ac:dyDescent="0.45">
      <c r="A2015" t="s">
        <v>6358</v>
      </c>
      <c r="B2015" t="s">
        <v>267</v>
      </c>
    </row>
    <row r="2016" spans="1:2" x14ac:dyDescent="0.45">
      <c r="A2016" t="s">
        <v>6360</v>
      </c>
      <c r="B2016" t="s">
        <v>132</v>
      </c>
    </row>
    <row r="2017" spans="1:2" x14ac:dyDescent="0.45">
      <c r="A2017" t="s">
        <v>6363</v>
      </c>
      <c r="B2017" t="s">
        <v>132</v>
      </c>
    </row>
    <row r="2018" spans="1:2" x14ac:dyDescent="0.45">
      <c r="A2018" t="s">
        <v>6366</v>
      </c>
      <c r="B2018" t="s">
        <v>108</v>
      </c>
    </row>
    <row r="2019" spans="1:2" x14ac:dyDescent="0.45">
      <c r="A2019" t="s">
        <v>6373</v>
      </c>
      <c r="B2019" t="s">
        <v>128</v>
      </c>
    </row>
    <row r="2020" spans="1:2" x14ac:dyDescent="0.45">
      <c r="A2020" t="s">
        <v>6375</v>
      </c>
      <c r="B2020" t="s">
        <v>128</v>
      </c>
    </row>
    <row r="2021" spans="1:2" x14ac:dyDescent="0.45">
      <c r="A2021" t="s">
        <v>6381</v>
      </c>
      <c r="B2021" t="s">
        <v>128</v>
      </c>
    </row>
    <row r="2022" spans="1:2" x14ac:dyDescent="0.45">
      <c r="A2022" t="s">
        <v>6382</v>
      </c>
      <c r="B2022" t="s">
        <v>132</v>
      </c>
    </row>
    <row r="2023" spans="1:2" x14ac:dyDescent="0.45">
      <c r="A2023" t="s">
        <v>6384</v>
      </c>
      <c r="B2023" t="s">
        <v>132</v>
      </c>
    </row>
    <row r="2024" spans="1:2" x14ac:dyDescent="0.45">
      <c r="A2024" t="s">
        <v>6389</v>
      </c>
      <c r="B2024" t="s">
        <v>132</v>
      </c>
    </row>
    <row r="2025" spans="1:2" x14ac:dyDescent="0.45">
      <c r="A2025" t="s">
        <v>6392</v>
      </c>
      <c r="B2025" t="s">
        <v>94</v>
      </c>
    </row>
    <row r="2026" spans="1:2" x14ac:dyDescent="0.45">
      <c r="A2026" t="s">
        <v>6396</v>
      </c>
      <c r="B2026" t="s">
        <v>132</v>
      </c>
    </row>
    <row r="2027" spans="1:2" x14ac:dyDescent="0.45">
      <c r="A2027" t="s">
        <v>6399</v>
      </c>
      <c r="B2027" t="s">
        <v>132</v>
      </c>
    </row>
    <row r="2028" spans="1:2" x14ac:dyDescent="0.45">
      <c r="A2028" t="s">
        <v>6404</v>
      </c>
      <c r="B2028" t="s">
        <v>132</v>
      </c>
    </row>
    <row r="2029" spans="1:2" x14ac:dyDescent="0.45">
      <c r="A2029" t="s">
        <v>6407</v>
      </c>
      <c r="B2029" t="s">
        <v>132</v>
      </c>
    </row>
    <row r="2030" spans="1:2" x14ac:dyDescent="0.45">
      <c r="A2030" t="s">
        <v>6409</v>
      </c>
      <c r="B2030" t="s">
        <v>132</v>
      </c>
    </row>
    <row r="2031" spans="1:2" x14ac:dyDescent="0.45">
      <c r="A2031" t="s">
        <v>6412</v>
      </c>
      <c r="B2031" t="s">
        <v>128</v>
      </c>
    </row>
    <row r="2032" spans="1:2" x14ac:dyDescent="0.45">
      <c r="A2032" t="s">
        <v>6427</v>
      </c>
      <c r="B2032" t="s">
        <v>94</v>
      </c>
    </row>
    <row r="2033" spans="1:2" x14ac:dyDescent="0.45">
      <c r="A2033" t="s">
        <v>6430</v>
      </c>
      <c r="B2033" t="s">
        <v>94</v>
      </c>
    </row>
    <row r="2034" spans="1:2" x14ac:dyDescent="0.45">
      <c r="A2034" t="s">
        <v>6433</v>
      </c>
      <c r="B2034" t="s">
        <v>128</v>
      </c>
    </row>
    <row r="2035" spans="1:2" x14ac:dyDescent="0.45">
      <c r="A2035" t="s">
        <v>6435</v>
      </c>
      <c r="B2035" t="s">
        <v>94</v>
      </c>
    </row>
    <row r="2036" spans="1:2" x14ac:dyDescent="0.45">
      <c r="A2036" t="s">
        <v>6438</v>
      </c>
      <c r="B2036" t="s">
        <v>128</v>
      </c>
    </row>
    <row r="2037" spans="1:2" x14ac:dyDescent="0.45">
      <c r="A2037" t="s">
        <v>6443</v>
      </c>
      <c r="B2037" t="s">
        <v>128</v>
      </c>
    </row>
    <row r="2038" spans="1:2" x14ac:dyDescent="0.45">
      <c r="A2038" t="s">
        <v>6445</v>
      </c>
      <c r="B2038" t="s">
        <v>132</v>
      </c>
    </row>
    <row r="2039" spans="1:2" x14ac:dyDescent="0.45">
      <c r="A2039" t="s">
        <v>6447</v>
      </c>
      <c r="B2039" t="s">
        <v>132</v>
      </c>
    </row>
    <row r="2040" spans="1:2" x14ac:dyDescent="0.45">
      <c r="A2040" t="s">
        <v>6449</v>
      </c>
      <c r="B2040" t="s">
        <v>132</v>
      </c>
    </row>
    <row r="2041" spans="1:2" x14ac:dyDescent="0.45">
      <c r="A2041" t="s">
        <v>6451</v>
      </c>
      <c r="B2041" t="s">
        <v>128</v>
      </c>
    </row>
    <row r="2042" spans="1:2" x14ac:dyDescent="0.45">
      <c r="A2042" t="s">
        <v>6455</v>
      </c>
      <c r="B2042" t="s">
        <v>132</v>
      </c>
    </row>
    <row r="2043" spans="1:2" x14ac:dyDescent="0.45">
      <c r="A2043" t="s">
        <v>6460</v>
      </c>
      <c r="B2043" t="s">
        <v>267</v>
      </c>
    </row>
    <row r="2044" spans="1:2" x14ac:dyDescent="0.45">
      <c r="A2044" t="s">
        <v>6462</v>
      </c>
      <c r="B2044" t="s">
        <v>128</v>
      </c>
    </row>
    <row r="2045" spans="1:2" x14ac:dyDescent="0.45">
      <c r="A2045" t="s">
        <v>6467</v>
      </c>
      <c r="B2045" t="s">
        <v>132</v>
      </c>
    </row>
    <row r="2046" spans="1:2" x14ac:dyDescent="0.45">
      <c r="A2046" t="s">
        <v>6471</v>
      </c>
      <c r="B2046" t="s">
        <v>132</v>
      </c>
    </row>
    <row r="2047" spans="1:2" x14ac:dyDescent="0.45">
      <c r="A2047" t="s">
        <v>6473</v>
      </c>
      <c r="B2047" t="s">
        <v>128</v>
      </c>
    </row>
    <row r="2048" spans="1:2" x14ac:dyDescent="0.45">
      <c r="A2048" t="s">
        <v>6476</v>
      </c>
      <c r="B2048" t="s">
        <v>128</v>
      </c>
    </row>
    <row r="2049" spans="1:2" x14ac:dyDescent="0.45">
      <c r="A2049" t="s">
        <v>6479</v>
      </c>
      <c r="B2049" t="s">
        <v>132</v>
      </c>
    </row>
    <row r="2050" spans="1:2" x14ac:dyDescent="0.45">
      <c r="A2050" t="s">
        <v>6484</v>
      </c>
      <c r="B2050" t="s">
        <v>132</v>
      </c>
    </row>
    <row r="2051" spans="1:2" x14ac:dyDescent="0.45">
      <c r="A2051" t="s">
        <v>6486</v>
      </c>
      <c r="B2051" t="s">
        <v>128</v>
      </c>
    </row>
    <row r="2052" spans="1:2" x14ac:dyDescent="0.45">
      <c r="A2052" t="s">
        <v>6488</v>
      </c>
      <c r="B2052" t="s">
        <v>132</v>
      </c>
    </row>
    <row r="2053" spans="1:2" x14ac:dyDescent="0.45">
      <c r="A2053" t="s">
        <v>6493</v>
      </c>
      <c r="B2053" t="s">
        <v>128</v>
      </c>
    </row>
    <row r="2054" spans="1:2" x14ac:dyDescent="0.45">
      <c r="A2054" t="s">
        <v>6495</v>
      </c>
      <c r="B2054" t="s">
        <v>128</v>
      </c>
    </row>
    <row r="2055" spans="1:2" x14ac:dyDescent="0.45">
      <c r="A2055" t="s">
        <v>6497</v>
      </c>
      <c r="B2055" t="s">
        <v>147</v>
      </c>
    </row>
    <row r="2056" spans="1:2" x14ac:dyDescent="0.45">
      <c r="A2056" t="s">
        <v>6501</v>
      </c>
      <c r="B2056" t="s">
        <v>132</v>
      </c>
    </row>
    <row r="2057" spans="1:2" x14ac:dyDescent="0.45">
      <c r="A2057" t="s">
        <v>6504</v>
      </c>
      <c r="B2057" t="s">
        <v>128</v>
      </c>
    </row>
    <row r="2058" spans="1:2" x14ac:dyDescent="0.45">
      <c r="A2058" t="s">
        <v>6506</v>
      </c>
      <c r="B2058" t="s">
        <v>132</v>
      </c>
    </row>
    <row r="2059" spans="1:2" x14ac:dyDescent="0.45">
      <c r="A2059" t="s">
        <v>6509</v>
      </c>
      <c r="B2059" t="s">
        <v>128</v>
      </c>
    </row>
    <row r="2060" spans="1:2" x14ac:dyDescent="0.45">
      <c r="A2060" t="s">
        <v>6512</v>
      </c>
      <c r="B2060" t="s">
        <v>128</v>
      </c>
    </row>
    <row r="2061" spans="1:2" x14ac:dyDescent="0.45">
      <c r="A2061" t="s">
        <v>6516</v>
      </c>
      <c r="B2061" t="s">
        <v>132</v>
      </c>
    </row>
    <row r="2062" spans="1:2" x14ac:dyDescent="0.45">
      <c r="A2062" t="s">
        <v>6518</v>
      </c>
      <c r="B2062" t="s">
        <v>132</v>
      </c>
    </row>
    <row r="2063" spans="1:2" x14ac:dyDescent="0.45">
      <c r="A2063" t="s">
        <v>6519</v>
      </c>
      <c r="B2063" t="s">
        <v>128</v>
      </c>
    </row>
    <row r="2064" spans="1:2" x14ac:dyDescent="0.45">
      <c r="A2064" t="s">
        <v>6523</v>
      </c>
      <c r="B2064" t="s">
        <v>132</v>
      </c>
    </row>
    <row r="2065" spans="1:2" x14ac:dyDescent="0.45">
      <c r="A2065" t="s">
        <v>6526</v>
      </c>
      <c r="B2065" t="s">
        <v>132</v>
      </c>
    </row>
    <row r="2066" spans="1:2" x14ac:dyDescent="0.45">
      <c r="A2066" t="s">
        <v>6529</v>
      </c>
      <c r="B2066" t="s">
        <v>128</v>
      </c>
    </row>
    <row r="2067" spans="1:2" x14ac:dyDescent="0.45">
      <c r="A2067" t="s">
        <v>6532</v>
      </c>
      <c r="B2067" t="s">
        <v>132</v>
      </c>
    </row>
    <row r="2068" spans="1:2" x14ac:dyDescent="0.45">
      <c r="A2068" t="s">
        <v>6537</v>
      </c>
      <c r="B2068" t="s">
        <v>128</v>
      </c>
    </row>
    <row r="2069" spans="1:2" x14ac:dyDescent="0.45">
      <c r="A2069" t="s">
        <v>6539</v>
      </c>
      <c r="B2069" t="s">
        <v>132</v>
      </c>
    </row>
    <row r="2070" spans="1:2" x14ac:dyDescent="0.45">
      <c r="A2070" t="s">
        <v>6542</v>
      </c>
      <c r="B2070" t="s">
        <v>132</v>
      </c>
    </row>
    <row r="2071" spans="1:2" x14ac:dyDescent="0.45">
      <c r="A2071" t="s">
        <v>6544</v>
      </c>
      <c r="B2071" t="s">
        <v>132</v>
      </c>
    </row>
    <row r="2072" spans="1:2" x14ac:dyDescent="0.45">
      <c r="A2072" t="s">
        <v>6546</v>
      </c>
      <c r="B2072" t="s">
        <v>132</v>
      </c>
    </row>
    <row r="2073" spans="1:2" x14ac:dyDescent="0.45">
      <c r="A2073" t="s">
        <v>6548</v>
      </c>
      <c r="B2073" t="s">
        <v>128</v>
      </c>
    </row>
    <row r="2074" spans="1:2" x14ac:dyDescent="0.45">
      <c r="A2074" t="s">
        <v>6553</v>
      </c>
      <c r="B2074" t="s">
        <v>132</v>
      </c>
    </row>
    <row r="2075" spans="1:2" x14ac:dyDescent="0.45">
      <c r="A2075" t="s">
        <v>6555</v>
      </c>
      <c r="B2075" t="s">
        <v>128</v>
      </c>
    </row>
    <row r="2076" spans="1:2" x14ac:dyDescent="0.45">
      <c r="A2076" t="s">
        <v>6558</v>
      </c>
      <c r="B2076" t="s">
        <v>128</v>
      </c>
    </row>
    <row r="2077" spans="1:2" x14ac:dyDescent="0.45">
      <c r="A2077" t="s">
        <v>6565</v>
      </c>
      <c r="B2077" t="s">
        <v>128</v>
      </c>
    </row>
    <row r="2078" spans="1:2" x14ac:dyDescent="0.45">
      <c r="A2078" t="s">
        <v>6566</v>
      </c>
      <c r="B2078" t="s">
        <v>132</v>
      </c>
    </row>
    <row r="2079" spans="1:2" x14ac:dyDescent="0.45">
      <c r="A2079" t="s">
        <v>6571</v>
      </c>
      <c r="B2079" t="s">
        <v>132</v>
      </c>
    </row>
    <row r="2080" spans="1:2" x14ac:dyDescent="0.45">
      <c r="A2080" t="s">
        <v>6573</v>
      </c>
      <c r="B2080" t="s">
        <v>128</v>
      </c>
    </row>
    <row r="2081" spans="1:2" x14ac:dyDescent="0.45">
      <c r="A2081" t="s">
        <v>6576</v>
      </c>
      <c r="B2081" t="s">
        <v>128</v>
      </c>
    </row>
    <row r="2082" spans="1:2" x14ac:dyDescent="0.45">
      <c r="A2082" t="s">
        <v>6577</v>
      </c>
      <c r="B2082" t="s">
        <v>132</v>
      </c>
    </row>
    <row r="2083" spans="1:2" x14ac:dyDescent="0.45">
      <c r="A2083" t="s">
        <v>6585</v>
      </c>
      <c r="B2083" t="s">
        <v>128</v>
      </c>
    </row>
    <row r="2084" spans="1:2" x14ac:dyDescent="0.45">
      <c r="A2084" t="s">
        <v>6586</v>
      </c>
      <c r="B2084" t="s">
        <v>132</v>
      </c>
    </row>
    <row r="2085" spans="1:2" x14ac:dyDescent="0.45">
      <c r="A2085" t="s">
        <v>6592</v>
      </c>
      <c r="B2085" t="s">
        <v>132</v>
      </c>
    </row>
    <row r="2086" spans="1:2" x14ac:dyDescent="0.45">
      <c r="A2086" t="s">
        <v>6595</v>
      </c>
      <c r="B2086" t="s">
        <v>132</v>
      </c>
    </row>
    <row r="2087" spans="1:2" x14ac:dyDescent="0.45">
      <c r="A2087" t="s">
        <v>6597</v>
      </c>
      <c r="B2087" t="s">
        <v>132</v>
      </c>
    </row>
    <row r="2088" spans="1:2" x14ac:dyDescent="0.45">
      <c r="A2088" t="s">
        <v>6598</v>
      </c>
      <c r="B2088" t="s">
        <v>128</v>
      </c>
    </row>
    <row r="2089" spans="1:2" x14ac:dyDescent="0.45">
      <c r="A2089" t="s">
        <v>6600</v>
      </c>
      <c r="B2089" t="s">
        <v>128</v>
      </c>
    </row>
    <row r="2090" spans="1:2" x14ac:dyDescent="0.45">
      <c r="A2090" t="s">
        <v>6603</v>
      </c>
      <c r="B2090" t="s">
        <v>128</v>
      </c>
    </row>
    <row r="2091" spans="1:2" x14ac:dyDescent="0.45">
      <c r="A2091" t="s">
        <v>6606</v>
      </c>
      <c r="B2091" t="s">
        <v>128</v>
      </c>
    </row>
    <row r="2092" spans="1:2" x14ac:dyDescent="0.45">
      <c r="A2092" t="s">
        <v>6610</v>
      </c>
      <c r="B2092" t="s">
        <v>128</v>
      </c>
    </row>
    <row r="2093" spans="1:2" x14ac:dyDescent="0.45">
      <c r="A2093" t="s">
        <v>6618</v>
      </c>
      <c r="B2093" t="s">
        <v>132</v>
      </c>
    </row>
    <row r="2094" spans="1:2" x14ac:dyDescent="0.45">
      <c r="A2094" t="s">
        <v>6619</v>
      </c>
      <c r="B2094" t="s">
        <v>132</v>
      </c>
    </row>
    <row r="2095" spans="1:2" x14ac:dyDescent="0.45">
      <c r="A2095" t="s">
        <v>6626</v>
      </c>
      <c r="B2095" t="s">
        <v>128</v>
      </c>
    </row>
    <row r="2096" spans="1:2" x14ac:dyDescent="0.45">
      <c r="A2096" t="s">
        <v>6629</v>
      </c>
      <c r="B2096" t="s">
        <v>128</v>
      </c>
    </row>
    <row r="2097" spans="1:2" x14ac:dyDescent="0.45">
      <c r="A2097" t="s">
        <v>6638</v>
      </c>
      <c r="B2097" t="s">
        <v>128</v>
      </c>
    </row>
    <row r="2098" spans="1:2" x14ac:dyDescent="0.45">
      <c r="A2098" t="s">
        <v>6640</v>
      </c>
      <c r="B2098" t="s">
        <v>128</v>
      </c>
    </row>
    <row r="2099" spans="1:2" x14ac:dyDescent="0.45">
      <c r="A2099" t="s">
        <v>6644</v>
      </c>
      <c r="B2099" t="s">
        <v>132</v>
      </c>
    </row>
    <row r="2100" spans="1:2" x14ac:dyDescent="0.45">
      <c r="A2100" t="s">
        <v>6646</v>
      </c>
      <c r="B2100" t="s">
        <v>128</v>
      </c>
    </row>
    <row r="2101" spans="1:2" x14ac:dyDescent="0.45">
      <c r="A2101" t="s">
        <v>6647</v>
      </c>
      <c r="B2101" t="s">
        <v>128</v>
      </c>
    </row>
    <row r="2102" spans="1:2" x14ac:dyDescent="0.45">
      <c r="A2102" t="s">
        <v>6650</v>
      </c>
      <c r="B2102" t="s">
        <v>128</v>
      </c>
    </row>
    <row r="2103" spans="1:2" x14ac:dyDescent="0.45">
      <c r="A2103" t="s">
        <v>6652</v>
      </c>
      <c r="B2103" t="s">
        <v>132</v>
      </c>
    </row>
    <row r="2104" spans="1:2" x14ac:dyDescent="0.45">
      <c r="A2104" t="s">
        <v>6654</v>
      </c>
      <c r="B2104" t="s">
        <v>128</v>
      </c>
    </row>
    <row r="2105" spans="1:2" x14ac:dyDescent="0.45">
      <c r="A2105" t="s">
        <v>6657</v>
      </c>
      <c r="B2105" t="s">
        <v>128</v>
      </c>
    </row>
    <row r="2106" spans="1:2" x14ac:dyDescent="0.45">
      <c r="A2106" t="s">
        <v>6659</v>
      </c>
      <c r="B2106" t="s">
        <v>132</v>
      </c>
    </row>
    <row r="2107" spans="1:2" x14ac:dyDescent="0.45">
      <c r="A2107" t="s">
        <v>6661</v>
      </c>
      <c r="B2107" t="s">
        <v>128</v>
      </c>
    </row>
    <row r="2108" spans="1:2" x14ac:dyDescent="0.45">
      <c r="A2108" t="s">
        <v>6663</v>
      </c>
      <c r="B2108" t="s">
        <v>128</v>
      </c>
    </row>
    <row r="2109" spans="1:2" x14ac:dyDescent="0.45">
      <c r="A2109" t="s">
        <v>6665</v>
      </c>
      <c r="B2109" t="s">
        <v>128</v>
      </c>
    </row>
    <row r="2110" spans="1:2" x14ac:dyDescent="0.45">
      <c r="A2110" t="s">
        <v>6667</v>
      </c>
      <c r="B2110" t="s">
        <v>128</v>
      </c>
    </row>
    <row r="2111" spans="1:2" x14ac:dyDescent="0.45">
      <c r="A2111" t="s">
        <v>6680</v>
      </c>
      <c r="B2111" t="s">
        <v>132</v>
      </c>
    </row>
    <row r="2112" spans="1:2" x14ac:dyDescent="0.45">
      <c r="A2112" t="s">
        <v>6681</v>
      </c>
      <c r="B2112" t="s">
        <v>94</v>
      </c>
    </row>
    <row r="2113" spans="1:2" x14ac:dyDescent="0.45">
      <c r="A2113" t="s">
        <v>6683</v>
      </c>
      <c r="B2113" t="s">
        <v>132</v>
      </c>
    </row>
    <row r="2114" spans="1:2" x14ac:dyDescent="0.45">
      <c r="A2114" t="s">
        <v>6686</v>
      </c>
      <c r="B2114" t="s">
        <v>267</v>
      </c>
    </row>
    <row r="2115" spans="1:2" x14ac:dyDescent="0.45">
      <c r="A2115" t="s">
        <v>6690</v>
      </c>
      <c r="B2115" t="s">
        <v>267</v>
      </c>
    </row>
    <row r="2116" spans="1:2" x14ac:dyDescent="0.45">
      <c r="A2116" t="s">
        <v>6692</v>
      </c>
      <c r="B2116" t="s">
        <v>132</v>
      </c>
    </row>
    <row r="2117" spans="1:2" x14ac:dyDescent="0.45">
      <c r="A2117" t="s">
        <v>6695</v>
      </c>
      <c r="B2117" t="s">
        <v>132</v>
      </c>
    </row>
    <row r="2118" spans="1:2" x14ac:dyDescent="0.45">
      <c r="A2118" t="s">
        <v>6697</v>
      </c>
      <c r="B2118" t="s">
        <v>132</v>
      </c>
    </row>
    <row r="2119" spans="1:2" x14ac:dyDescent="0.45">
      <c r="A2119" t="s">
        <v>6699</v>
      </c>
      <c r="B2119" t="s">
        <v>94</v>
      </c>
    </row>
    <row r="2120" spans="1:2" x14ac:dyDescent="0.45">
      <c r="A2120" t="s">
        <v>6701</v>
      </c>
      <c r="B2120" t="s">
        <v>132</v>
      </c>
    </row>
    <row r="2121" spans="1:2" x14ac:dyDescent="0.45">
      <c r="A2121" t="s">
        <v>6703</v>
      </c>
      <c r="B2121" t="s">
        <v>267</v>
      </c>
    </row>
    <row r="2122" spans="1:2" x14ac:dyDescent="0.45">
      <c r="A2122" t="s">
        <v>6709</v>
      </c>
      <c r="B2122" t="s">
        <v>132</v>
      </c>
    </row>
    <row r="2123" spans="1:2" x14ac:dyDescent="0.45">
      <c r="A2123" t="s">
        <v>6712</v>
      </c>
      <c r="B2123" t="s">
        <v>132</v>
      </c>
    </row>
    <row r="2124" spans="1:2" x14ac:dyDescent="0.45">
      <c r="A2124" t="s">
        <v>6714</v>
      </c>
      <c r="B2124" t="s">
        <v>132</v>
      </c>
    </row>
    <row r="2125" spans="1:2" x14ac:dyDescent="0.45">
      <c r="A2125" t="s">
        <v>6716</v>
      </c>
      <c r="B2125" t="s">
        <v>89</v>
      </c>
    </row>
    <row r="2126" spans="1:2" x14ac:dyDescent="0.45">
      <c r="A2126" t="s">
        <v>6718</v>
      </c>
      <c r="B2126" t="s">
        <v>108</v>
      </c>
    </row>
    <row r="2127" spans="1:2" x14ac:dyDescent="0.45">
      <c r="A2127" t="s">
        <v>6720</v>
      </c>
      <c r="B2127" t="s">
        <v>132</v>
      </c>
    </row>
    <row r="2128" spans="1:2" x14ac:dyDescent="0.45">
      <c r="A2128" t="s">
        <v>6721</v>
      </c>
      <c r="B2128" t="s">
        <v>132</v>
      </c>
    </row>
    <row r="2129" spans="1:2" x14ac:dyDescent="0.45">
      <c r="A2129" t="s">
        <v>6724</v>
      </c>
      <c r="B2129" t="s">
        <v>267</v>
      </c>
    </row>
    <row r="2130" spans="1:2" x14ac:dyDescent="0.45">
      <c r="A2130" t="s">
        <v>6726</v>
      </c>
      <c r="B2130" t="s">
        <v>108</v>
      </c>
    </row>
    <row r="2131" spans="1:2" x14ac:dyDescent="0.45">
      <c r="A2131" t="s">
        <v>6727</v>
      </c>
      <c r="B2131" t="s">
        <v>89</v>
      </c>
    </row>
    <row r="2132" spans="1:2" x14ac:dyDescent="0.45">
      <c r="A2132" t="s">
        <v>6731</v>
      </c>
      <c r="B2132" t="s">
        <v>89</v>
      </c>
    </row>
    <row r="2133" spans="1:2" x14ac:dyDescent="0.45">
      <c r="A2133" t="s">
        <v>6733</v>
      </c>
      <c r="B2133" t="s">
        <v>108</v>
      </c>
    </row>
    <row r="2134" spans="1:2" x14ac:dyDescent="0.45">
      <c r="A2134" t="s">
        <v>6734</v>
      </c>
      <c r="B2134" t="s">
        <v>89</v>
      </c>
    </row>
    <row r="2135" spans="1:2" x14ac:dyDescent="0.45">
      <c r="A2135" t="s">
        <v>6736</v>
      </c>
      <c r="B2135" t="s">
        <v>108</v>
      </c>
    </row>
    <row r="2136" spans="1:2" x14ac:dyDescent="0.45">
      <c r="A2136" t="s">
        <v>6741</v>
      </c>
      <c r="B2136" t="s">
        <v>108</v>
      </c>
    </row>
    <row r="2137" spans="1:2" x14ac:dyDescent="0.45">
      <c r="A2137" t="s">
        <v>6743</v>
      </c>
      <c r="B2137" t="s">
        <v>94</v>
      </c>
    </row>
    <row r="2138" spans="1:2" x14ac:dyDescent="0.45">
      <c r="A2138" t="s">
        <v>6745</v>
      </c>
      <c r="B2138" t="s">
        <v>89</v>
      </c>
    </row>
    <row r="2139" spans="1:2" x14ac:dyDescent="0.45">
      <c r="A2139" t="s">
        <v>6747</v>
      </c>
      <c r="B2139" t="s">
        <v>94</v>
      </c>
    </row>
    <row r="2140" spans="1:2" x14ac:dyDescent="0.45">
      <c r="A2140" t="s">
        <v>6749</v>
      </c>
      <c r="B2140" t="s">
        <v>108</v>
      </c>
    </row>
    <row r="2141" spans="1:2" x14ac:dyDescent="0.45">
      <c r="A2141" t="s">
        <v>6751</v>
      </c>
      <c r="B2141" t="s">
        <v>94</v>
      </c>
    </row>
    <row r="2142" spans="1:2" x14ac:dyDescent="0.45">
      <c r="A2142" t="s">
        <v>6753</v>
      </c>
      <c r="B2142" t="s">
        <v>89</v>
      </c>
    </row>
    <row r="2143" spans="1:2" x14ac:dyDescent="0.45">
      <c r="A2143" t="s">
        <v>6756</v>
      </c>
      <c r="B2143" t="s">
        <v>89</v>
      </c>
    </row>
    <row r="2144" spans="1:2" x14ac:dyDescent="0.45">
      <c r="A2144" t="s">
        <v>6761</v>
      </c>
      <c r="B2144" t="s">
        <v>108</v>
      </c>
    </row>
    <row r="2145" spans="1:2" x14ac:dyDescent="0.45">
      <c r="A2145" t="s">
        <v>6763</v>
      </c>
      <c r="B2145" t="s">
        <v>94</v>
      </c>
    </row>
    <row r="2146" spans="1:2" x14ac:dyDescent="0.45">
      <c r="A2146" t="s">
        <v>6767</v>
      </c>
      <c r="B2146" t="s">
        <v>108</v>
      </c>
    </row>
    <row r="2147" spans="1:2" x14ac:dyDescent="0.45">
      <c r="A2147" t="s">
        <v>6775</v>
      </c>
      <c r="B2147" t="s">
        <v>94</v>
      </c>
    </row>
    <row r="2148" spans="1:2" x14ac:dyDescent="0.45">
      <c r="A2148" t="s">
        <v>6777</v>
      </c>
      <c r="B2148" t="s">
        <v>108</v>
      </c>
    </row>
    <row r="2149" spans="1:2" x14ac:dyDescent="0.45">
      <c r="A2149" t="s">
        <v>6781</v>
      </c>
      <c r="B2149" t="s">
        <v>89</v>
      </c>
    </row>
    <row r="2150" spans="1:2" x14ac:dyDescent="0.45">
      <c r="A2150" t="s">
        <v>6784</v>
      </c>
      <c r="B2150" t="s">
        <v>128</v>
      </c>
    </row>
    <row r="2151" spans="1:2" x14ac:dyDescent="0.45">
      <c r="A2151" t="s">
        <v>6787</v>
      </c>
      <c r="B2151" t="s">
        <v>128</v>
      </c>
    </row>
    <row r="2152" spans="1:2" x14ac:dyDescent="0.45">
      <c r="A2152" t="s">
        <v>6789</v>
      </c>
      <c r="B2152" t="s">
        <v>94</v>
      </c>
    </row>
    <row r="2153" spans="1:2" x14ac:dyDescent="0.45">
      <c r="A2153" t="s">
        <v>6791</v>
      </c>
      <c r="B2153" t="s">
        <v>108</v>
      </c>
    </row>
    <row r="2154" spans="1:2" x14ac:dyDescent="0.45">
      <c r="A2154" t="s">
        <v>6794</v>
      </c>
      <c r="B2154" t="s">
        <v>128</v>
      </c>
    </row>
    <row r="2155" spans="1:2" x14ac:dyDescent="0.45">
      <c r="A2155" t="s">
        <v>6803</v>
      </c>
      <c r="B2155" t="s">
        <v>94</v>
      </c>
    </row>
    <row r="2156" spans="1:2" x14ac:dyDescent="0.45">
      <c r="A2156" t="s">
        <v>6805</v>
      </c>
      <c r="B2156" t="s">
        <v>108</v>
      </c>
    </row>
    <row r="2157" spans="1:2" x14ac:dyDescent="0.45">
      <c r="A2157" t="s">
        <v>6806</v>
      </c>
      <c r="B2157" t="s">
        <v>128</v>
      </c>
    </row>
    <row r="2158" spans="1:2" x14ac:dyDescent="0.45">
      <c r="A2158" t="s">
        <v>6810</v>
      </c>
      <c r="B2158" t="s">
        <v>94</v>
      </c>
    </row>
    <row r="2159" spans="1:2" x14ac:dyDescent="0.45">
      <c r="A2159" t="s">
        <v>6812</v>
      </c>
      <c r="B2159" t="s">
        <v>128</v>
      </c>
    </row>
    <row r="2160" spans="1:2" x14ac:dyDescent="0.45">
      <c r="A2160" t="s">
        <v>6814</v>
      </c>
      <c r="B2160" t="s">
        <v>128</v>
      </c>
    </row>
    <row r="2161" spans="1:2" x14ac:dyDescent="0.45">
      <c r="A2161" t="s">
        <v>6816</v>
      </c>
      <c r="B2161" t="s">
        <v>89</v>
      </c>
    </row>
    <row r="2162" spans="1:2" x14ac:dyDescent="0.45">
      <c r="A2162" t="s">
        <v>6817</v>
      </c>
      <c r="B2162" t="s">
        <v>108</v>
      </c>
    </row>
    <row r="2163" spans="1:2" x14ac:dyDescent="0.45">
      <c r="A2163" t="s">
        <v>6820</v>
      </c>
      <c r="B2163" t="s">
        <v>128</v>
      </c>
    </row>
    <row r="2164" spans="1:2" x14ac:dyDescent="0.45">
      <c r="A2164" t="s">
        <v>6823</v>
      </c>
      <c r="B2164" t="s">
        <v>108</v>
      </c>
    </row>
    <row r="2165" spans="1:2" x14ac:dyDescent="0.45">
      <c r="A2165" t="s">
        <v>6830</v>
      </c>
      <c r="B2165" t="s">
        <v>128</v>
      </c>
    </row>
    <row r="2166" spans="1:2" x14ac:dyDescent="0.45">
      <c r="A2166" t="s">
        <v>6833</v>
      </c>
      <c r="B2166" t="s">
        <v>132</v>
      </c>
    </row>
    <row r="2167" spans="1:2" x14ac:dyDescent="0.45">
      <c r="A2167" t="s">
        <v>6835</v>
      </c>
      <c r="B2167" t="s">
        <v>132</v>
      </c>
    </row>
    <row r="2168" spans="1:2" x14ac:dyDescent="0.45">
      <c r="A2168" t="s">
        <v>6838</v>
      </c>
      <c r="B2168" t="s">
        <v>128</v>
      </c>
    </row>
    <row r="2169" spans="1:2" x14ac:dyDescent="0.45">
      <c r="A2169" t="s">
        <v>6841</v>
      </c>
      <c r="B2169" t="s">
        <v>132</v>
      </c>
    </row>
    <row r="2170" spans="1:2" x14ac:dyDescent="0.45">
      <c r="A2170" t="s">
        <v>6843</v>
      </c>
      <c r="B2170" t="s">
        <v>267</v>
      </c>
    </row>
    <row r="2171" spans="1:2" x14ac:dyDescent="0.45">
      <c r="A2171" t="s">
        <v>6847</v>
      </c>
      <c r="B2171" t="s">
        <v>128</v>
      </c>
    </row>
    <row r="2172" spans="1:2" x14ac:dyDescent="0.45">
      <c r="A2172" t="s">
        <v>6850</v>
      </c>
      <c r="B2172" t="s">
        <v>132</v>
      </c>
    </row>
    <row r="2173" spans="1:2" x14ac:dyDescent="0.45">
      <c r="A2173" t="s">
        <v>6853</v>
      </c>
      <c r="B2173" t="s">
        <v>89</v>
      </c>
    </row>
    <row r="2174" spans="1:2" x14ac:dyDescent="0.45">
      <c r="A2174" t="s">
        <v>6855</v>
      </c>
      <c r="B2174" t="s">
        <v>128</v>
      </c>
    </row>
    <row r="2175" spans="1:2" x14ac:dyDescent="0.45">
      <c r="A2175" t="s">
        <v>6859</v>
      </c>
      <c r="B2175" t="s">
        <v>128</v>
      </c>
    </row>
    <row r="2176" spans="1:2" x14ac:dyDescent="0.45">
      <c r="A2176" t="s">
        <v>6862</v>
      </c>
      <c r="B2176" t="s">
        <v>128</v>
      </c>
    </row>
    <row r="2177" spans="1:2" x14ac:dyDescent="0.45">
      <c r="A2177" t="s">
        <v>6863</v>
      </c>
      <c r="B2177" t="s">
        <v>267</v>
      </c>
    </row>
    <row r="2178" spans="1:2" x14ac:dyDescent="0.45">
      <c r="A2178" t="s">
        <v>6870</v>
      </c>
      <c r="B2178" t="s">
        <v>89</v>
      </c>
    </row>
    <row r="2179" spans="1:2" x14ac:dyDescent="0.45">
      <c r="A2179" t="s">
        <v>6877</v>
      </c>
      <c r="B2179" t="s">
        <v>128</v>
      </c>
    </row>
    <row r="2180" spans="1:2" x14ac:dyDescent="0.45">
      <c r="A2180" t="s">
        <v>6880</v>
      </c>
      <c r="B2180" t="s">
        <v>108</v>
      </c>
    </row>
    <row r="2181" spans="1:2" x14ac:dyDescent="0.45">
      <c r="A2181" t="s">
        <v>6882</v>
      </c>
      <c r="B2181" t="s">
        <v>267</v>
      </c>
    </row>
    <row r="2182" spans="1:2" x14ac:dyDescent="0.45">
      <c r="A2182" t="s">
        <v>6885</v>
      </c>
      <c r="B2182" t="s">
        <v>128</v>
      </c>
    </row>
    <row r="2183" spans="1:2" x14ac:dyDescent="0.45">
      <c r="A2183" t="s">
        <v>6886</v>
      </c>
      <c r="B2183" t="s">
        <v>128</v>
      </c>
    </row>
    <row r="2184" spans="1:2" x14ac:dyDescent="0.45">
      <c r="A2184" t="s">
        <v>6889</v>
      </c>
      <c r="B2184" t="s">
        <v>94</v>
      </c>
    </row>
    <row r="2185" spans="1:2" x14ac:dyDescent="0.45">
      <c r="A2185" t="s">
        <v>6892</v>
      </c>
      <c r="B2185" t="s">
        <v>132</v>
      </c>
    </row>
    <row r="2186" spans="1:2" x14ac:dyDescent="0.45">
      <c r="A2186" t="s">
        <v>6897</v>
      </c>
      <c r="B2186" t="s">
        <v>132</v>
      </c>
    </row>
    <row r="2187" spans="1:2" x14ac:dyDescent="0.45">
      <c r="A2187" t="s">
        <v>6899</v>
      </c>
      <c r="B2187" t="s">
        <v>128</v>
      </c>
    </row>
    <row r="2188" spans="1:2" x14ac:dyDescent="0.45">
      <c r="A2188" t="s">
        <v>6901</v>
      </c>
      <c r="B2188" t="s">
        <v>132</v>
      </c>
    </row>
    <row r="2189" spans="1:2" x14ac:dyDescent="0.45">
      <c r="A2189" t="s">
        <v>6904</v>
      </c>
      <c r="B2189" t="s">
        <v>128</v>
      </c>
    </row>
    <row r="2190" spans="1:2" x14ac:dyDescent="0.45">
      <c r="A2190" t="s">
        <v>6917</v>
      </c>
      <c r="B2190" t="s">
        <v>128</v>
      </c>
    </row>
    <row r="2191" spans="1:2" x14ac:dyDescent="0.45">
      <c r="A2191" t="s">
        <v>6919</v>
      </c>
      <c r="B2191" t="s">
        <v>128</v>
      </c>
    </row>
    <row r="2192" spans="1:2" x14ac:dyDescent="0.45">
      <c r="A2192" t="s">
        <v>6927</v>
      </c>
      <c r="B2192" t="s">
        <v>128</v>
      </c>
    </row>
    <row r="2193" spans="1:2" x14ac:dyDescent="0.45">
      <c r="A2193" t="s">
        <v>6930</v>
      </c>
      <c r="B2193" t="s">
        <v>128</v>
      </c>
    </row>
    <row r="2194" spans="1:2" x14ac:dyDescent="0.45">
      <c r="A2194" t="s">
        <v>6933</v>
      </c>
      <c r="B2194" t="s">
        <v>128</v>
      </c>
    </row>
    <row r="2195" spans="1:2" x14ac:dyDescent="0.45">
      <c r="A2195" t="s">
        <v>6937</v>
      </c>
      <c r="B2195" t="s">
        <v>128</v>
      </c>
    </row>
    <row r="2196" spans="1:2" x14ac:dyDescent="0.45">
      <c r="A2196" t="s">
        <v>6940</v>
      </c>
      <c r="B2196" t="s">
        <v>128</v>
      </c>
    </row>
    <row r="2197" spans="1:2" x14ac:dyDescent="0.45">
      <c r="A2197" t="s">
        <v>6943</v>
      </c>
      <c r="B2197" t="s">
        <v>132</v>
      </c>
    </row>
    <row r="2198" spans="1:2" x14ac:dyDescent="0.45">
      <c r="A2198" t="s">
        <v>6945</v>
      </c>
      <c r="B2198" t="s">
        <v>132</v>
      </c>
    </row>
    <row r="2199" spans="1:2" x14ac:dyDescent="0.45">
      <c r="A2199" t="s">
        <v>6947</v>
      </c>
      <c r="B2199" t="s">
        <v>132</v>
      </c>
    </row>
    <row r="2200" spans="1:2" x14ac:dyDescent="0.45">
      <c r="A2200" t="s">
        <v>6949</v>
      </c>
      <c r="B2200" t="s">
        <v>132</v>
      </c>
    </row>
    <row r="2201" spans="1:2" x14ac:dyDescent="0.45">
      <c r="A2201" t="s">
        <v>6953</v>
      </c>
      <c r="B2201" t="s">
        <v>128</v>
      </c>
    </row>
    <row r="2202" spans="1:2" x14ac:dyDescent="0.45">
      <c r="A2202" t="s">
        <v>6955</v>
      </c>
      <c r="B2202" t="s">
        <v>132</v>
      </c>
    </row>
    <row r="2203" spans="1:2" x14ac:dyDescent="0.45">
      <c r="A2203" t="s">
        <v>6959</v>
      </c>
      <c r="B2203" t="s">
        <v>132</v>
      </c>
    </row>
    <row r="2204" spans="1:2" x14ac:dyDescent="0.45">
      <c r="A2204" t="s">
        <v>6964</v>
      </c>
      <c r="B2204" t="s">
        <v>128</v>
      </c>
    </row>
    <row r="2205" spans="1:2" x14ac:dyDescent="0.45">
      <c r="A2205" t="s">
        <v>6969</v>
      </c>
      <c r="B2205" t="s">
        <v>128</v>
      </c>
    </row>
    <row r="2206" spans="1:2" x14ac:dyDescent="0.45">
      <c r="A2206" t="s">
        <v>6970</v>
      </c>
      <c r="B2206" t="s">
        <v>132</v>
      </c>
    </row>
    <row r="2207" spans="1:2" x14ac:dyDescent="0.45">
      <c r="A2207" t="s">
        <v>6973</v>
      </c>
      <c r="B2207" t="s">
        <v>128</v>
      </c>
    </row>
    <row r="2208" spans="1:2" x14ac:dyDescent="0.45">
      <c r="A2208" t="s">
        <v>6978</v>
      </c>
      <c r="B2208" t="s">
        <v>128</v>
      </c>
    </row>
    <row r="2209" spans="1:2" x14ac:dyDescent="0.45">
      <c r="A2209" t="s">
        <v>6981</v>
      </c>
      <c r="B2209" t="s">
        <v>128</v>
      </c>
    </row>
    <row r="2210" spans="1:2" x14ac:dyDescent="0.45">
      <c r="A2210" t="s">
        <v>6982</v>
      </c>
      <c r="B2210" t="s">
        <v>128</v>
      </c>
    </row>
    <row r="2211" spans="1:2" x14ac:dyDescent="0.45">
      <c r="A2211" t="s">
        <v>6990</v>
      </c>
      <c r="B2211" t="s">
        <v>132</v>
      </c>
    </row>
    <row r="2212" spans="1:2" x14ac:dyDescent="0.45">
      <c r="A2212" t="s">
        <v>6992</v>
      </c>
      <c r="B2212" t="s">
        <v>132</v>
      </c>
    </row>
    <row r="2213" spans="1:2" x14ac:dyDescent="0.45">
      <c r="A2213" t="s">
        <v>6993</v>
      </c>
      <c r="B2213" t="s">
        <v>132</v>
      </c>
    </row>
    <row r="2214" spans="1:2" x14ac:dyDescent="0.45">
      <c r="A2214" t="s">
        <v>6995</v>
      </c>
      <c r="B2214" t="s">
        <v>128</v>
      </c>
    </row>
    <row r="2215" spans="1:2" x14ac:dyDescent="0.45">
      <c r="A2215" t="s">
        <v>6997</v>
      </c>
      <c r="B2215" t="s">
        <v>128</v>
      </c>
    </row>
    <row r="2216" spans="1:2" x14ac:dyDescent="0.45">
      <c r="A2216" t="s">
        <v>7005</v>
      </c>
      <c r="B2216" t="s">
        <v>132</v>
      </c>
    </row>
    <row r="2217" spans="1:2" x14ac:dyDescent="0.45">
      <c r="A2217" t="s">
        <v>7008</v>
      </c>
      <c r="B2217" t="s">
        <v>132</v>
      </c>
    </row>
    <row r="2218" spans="1:2" x14ac:dyDescent="0.45">
      <c r="A2218" t="s">
        <v>7010</v>
      </c>
      <c r="B2218" t="s">
        <v>128</v>
      </c>
    </row>
    <row r="2219" spans="1:2" x14ac:dyDescent="0.45">
      <c r="A2219" t="s">
        <v>7015</v>
      </c>
      <c r="B2219" t="s">
        <v>132</v>
      </c>
    </row>
    <row r="2220" spans="1:2" x14ac:dyDescent="0.45">
      <c r="A2220" t="s">
        <v>7016</v>
      </c>
      <c r="B2220" t="s">
        <v>128</v>
      </c>
    </row>
    <row r="2221" spans="1:2" x14ac:dyDescent="0.45">
      <c r="A2221" t="s">
        <v>7018</v>
      </c>
      <c r="B2221" t="s">
        <v>128</v>
      </c>
    </row>
    <row r="2222" spans="1:2" x14ac:dyDescent="0.45">
      <c r="A2222" t="s">
        <v>7021</v>
      </c>
      <c r="B2222" t="s">
        <v>132</v>
      </c>
    </row>
    <row r="2223" spans="1:2" x14ac:dyDescent="0.45">
      <c r="A2223" t="s">
        <v>7024</v>
      </c>
      <c r="B2223" t="s">
        <v>128</v>
      </c>
    </row>
    <row r="2224" spans="1:2" x14ac:dyDescent="0.45">
      <c r="A2224" t="s">
        <v>7029</v>
      </c>
      <c r="B2224" t="s">
        <v>132</v>
      </c>
    </row>
    <row r="2225" spans="1:2" x14ac:dyDescent="0.45">
      <c r="A2225" t="s">
        <v>7033</v>
      </c>
      <c r="B2225" t="s">
        <v>128</v>
      </c>
    </row>
    <row r="2226" spans="1:2" x14ac:dyDescent="0.45">
      <c r="A2226" t="s">
        <v>7038</v>
      </c>
      <c r="B2226" t="s">
        <v>128</v>
      </c>
    </row>
    <row r="2227" spans="1:2" x14ac:dyDescent="0.45">
      <c r="A2227" t="s">
        <v>7039</v>
      </c>
      <c r="B2227" t="s">
        <v>128</v>
      </c>
    </row>
    <row r="2228" spans="1:2" x14ac:dyDescent="0.45">
      <c r="A2228" t="s">
        <v>7042</v>
      </c>
      <c r="B2228" t="s">
        <v>128</v>
      </c>
    </row>
    <row r="2229" spans="1:2" x14ac:dyDescent="0.45">
      <c r="A2229" t="s">
        <v>7045</v>
      </c>
      <c r="B2229" t="s">
        <v>128</v>
      </c>
    </row>
    <row r="2230" spans="1:2" x14ac:dyDescent="0.45">
      <c r="A2230" t="s">
        <v>7050</v>
      </c>
      <c r="B2230" t="s">
        <v>132</v>
      </c>
    </row>
    <row r="2231" spans="1:2" x14ac:dyDescent="0.45">
      <c r="A2231" t="s">
        <v>7052</v>
      </c>
      <c r="B2231" t="s">
        <v>132</v>
      </c>
    </row>
    <row r="2232" spans="1:2" x14ac:dyDescent="0.45">
      <c r="A2232" t="s">
        <v>7054</v>
      </c>
      <c r="B2232" t="s">
        <v>132</v>
      </c>
    </row>
    <row r="2233" spans="1:2" x14ac:dyDescent="0.45">
      <c r="A2233" t="s">
        <v>7056</v>
      </c>
      <c r="B2233" t="s">
        <v>128</v>
      </c>
    </row>
    <row r="2234" spans="1:2" x14ac:dyDescent="0.45">
      <c r="A2234" t="s">
        <v>7060</v>
      </c>
      <c r="B2234" t="s">
        <v>128</v>
      </c>
    </row>
    <row r="2235" spans="1:2" x14ac:dyDescent="0.45">
      <c r="A2235" t="s">
        <v>7061</v>
      </c>
      <c r="B2235" t="s">
        <v>128</v>
      </c>
    </row>
    <row r="2236" spans="1:2" x14ac:dyDescent="0.45">
      <c r="A2236" t="s">
        <v>7064</v>
      </c>
      <c r="B2236" t="s">
        <v>128</v>
      </c>
    </row>
    <row r="2237" spans="1:2" x14ac:dyDescent="0.45">
      <c r="A2237" t="s">
        <v>7070</v>
      </c>
      <c r="B2237" t="s">
        <v>128</v>
      </c>
    </row>
    <row r="2238" spans="1:2" x14ac:dyDescent="0.45">
      <c r="A2238" t="s">
        <v>7073</v>
      </c>
      <c r="B2238" t="s">
        <v>128</v>
      </c>
    </row>
    <row r="2239" spans="1:2" x14ac:dyDescent="0.45">
      <c r="A2239" t="s">
        <v>7074</v>
      </c>
      <c r="B2239" t="s">
        <v>128</v>
      </c>
    </row>
    <row r="2240" spans="1:2" x14ac:dyDescent="0.45">
      <c r="A2240" t="s">
        <v>7076</v>
      </c>
      <c r="B2240" t="s">
        <v>128</v>
      </c>
    </row>
    <row r="2241" spans="1:2" x14ac:dyDescent="0.45">
      <c r="A2241" t="s">
        <v>7078</v>
      </c>
      <c r="B2241" t="s">
        <v>128</v>
      </c>
    </row>
    <row r="2242" spans="1:2" x14ac:dyDescent="0.45">
      <c r="A2242" t="s">
        <v>7080</v>
      </c>
      <c r="B2242" t="s">
        <v>128</v>
      </c>
    </row>
    <row r="2243" spans="1:2" x14ac:dyDescent="0.45">
      <c r="A2243" t="s">
        <v>7082</v>
      </c>
      <c r="B2243" t="s">
        <v>128</v>
      </c>
    </row>
    <row r="2244" spans="1:2" x14ac:dyDescent="0.45">
      <c r="A2244" t="s">
        <v>7084</v>
      </c>
      <c r="B2244" t="s">
        <v>147</v>
      </c>
    </row>
    <row r="2245" spans="1:2" x14ac:dyDescent="0.45">
      <c r="A2245" t="s">
        <v>7086</v>
      </c>
      <c r="B2245" t="s">
        <v>128</v>
      </c>
    </row>
    <row r="2246" spans="1:2" x14ac:dyDescent="0.45">
      <c r="A2246" t="s">
        <v>7092</v>
      </c>
      <c r="B2246" t="s">
        <v>147</v>
      </c>
    </row>
    <row r="2247" spans="1:2" x14ac:dyDescent="0.45">
      <c r="A2247" t="s">
        <v>7094</v>
      </c>
      <c r="B2247" t="s">
        <v>267</v>
      </c>
    </row>
    <row r="2248" spans="1:2" x14ac:dyDescent="0.45">
      <c r="A2248" t="s">
        <v>7097</v>
      </c>
      <c r="B2248" t="s">
        <v>147</v>
      </c>
    </row>
    <row r="2249" spans="1:2" x14ac:dyDescent="0.45">
      <c r="A2249" t="s">
        <v>7098</v>
      </c>
      <c r="B2249" t="s">
        <v>267</v>
      </c>
    </row>
    <row r="2250" spans="1:2" x14ac:dyDescent="0.45">
      <c r="A2250" t="s">
        <v>7100</v>
      </c>
      <c r="B2250" t="s">
        <v>147</v>
      </c>
    </row>
    <row r="2251" spans="1:2" x14ac:dyDescent="0.45">
      <c r="A2251" t="s">
        <v>7105</v>
      </c>
      <c r="B2251" t="s">
        <v>132</v>
      </c>
    </row>
    <row r="2252" spans="1:2" x14ac:dyDescent="0.45">
      <c r="A2252" t="s">
        <v>7106</v>
      </c>
      <c r="B2252" t="s">
        <v>128</v>
      </c>
    </row>
    <row r="2253" spans="1:2" x14ac:dyDescent="0.45">
      <c r="A2253" t="s">
        <v>7108</v>
      </c>
      <c r="B2253" t="s">
        <v>108</v>
      </c>
    </row>
    <row r="2254" spans="1:2" x14ac:dyDescent="0.45">
      <c r="A2254" t="s">
        <v>7111</v>
      </c>
      <c r="B2254" t="s">
        <v>108</v>
      </c>
    </row>
    <row r="2255" spans="1:2" x14ac:dyDescent="0.45">
      <c r="A2255" t="s">
        <v>7114</v>
      </c>
      <c r="B2255" t="s">
        <v>94</v>
      </c>
    </row>
    <row r="2256" spans="1:2" x14ac:dyDescent="0.45">
      <c r="A2256" t="s">
        <v>7116</v>
      </c>
      <c r="B2256" t="s">
        <v>89</v>
      </c>
    </row>
    <row r="2257" spans="1:2" x14ac:dyDescent="0.45">
      <c r="A2257" t="s">
        <v>7118</v>
      </c>
      <c r="B2257" t="s">
        <v>108</v>
      </c>
    </row>
    <row r="2258" spans="1:2" x14ac:dyDescent="0.45">
      <c r="A2258" t="s">
        <v>7120</v>
      </c>
      <c r="B2258" t="s">
        <v>94</v>
      </c>
    </row>
    <row r="2259" spans="1:2" x14ac:dyDescent="0.45">
      <c r="A2259" t="s">
        <v>7122</v>
      </c>
      <c r="B2259" t="s">
        <v>108</v>
      </c>
    </row>
    <row r="2260" spans="1:2" x14ac:dyDescent="0.45">
      <c r="A2260" t="s">
        <v>7129</v>
      </c>
      <c r="B2260" t="s">
        <v>267</v>
      </c>
    </row>
    <row r="2261" spans="1:2" x14ac:dyDescent="0.45">
      <c r="A2261" t="s">
        <v>7131</v>
      </c>
      <c r="B2261" t="s">
        <v>89</v>
      </c>
    </row>
    <row r="2262" spans="1:2" x14ac:dyDescent="0.45">
      <c r="A2262" t="s">
        <v>7132</v>
      </c>
      <c r="B2262" t="s">
        <v>89</v>
      </c>
    </row>
    <row r="2263" spans="1:2" x14ac:dyDescent="0.45">
      <c r="A2263" t="s">
        <v>7133</v>
      </c>
      <c r="B2263" t="s">
        <v>94</v>
      </c>
    </row>
    <row r="2264" spans="1:2" x14ac:dyDescent="0.45">
      <c r="A2264" t="s">
        <v>7135</v>
      </c>
      <c r="B2264" t="s">
        <v>108</v>
      </c>
    </row>
    <row r="2265" spans="1:2" x14ac:dyDescent="0.45">
      <c r="A2265" t="s">
        <v>7138</v>
      </c>
      <c r="B2265" t="s">
        <v>89</v>
      </c>
    </row>
    <row r="2266" spans="1:2" x14ac:dyDescent="0.45">
      <c r="A2266" t="s">
        <v>7145</v>
      </c>
      <c r="B2266" t="s">
        <v>108</v>
      </c>
    </row>
    <row r="2267" spans="1:2" x14ac:dyDescent="0.45">
      <c r="A2267" t="s">
        <v>7148</v>
      </c>
      <c r="B2267" t="s">
        <v>108</v>
      </c>
    </row>
    <row r="2268" spans="1:2" x14ac:dyDescent="0.45">
      <c r="A2268" t="s">
        <v>7149</v>
      </c>
      <c r="B2268" t="s">
        <v>94</v>
      </c>
    </row>
    <row r="2269" spans="1:2" x14ac:dyDescent="0.45">
      <c r="A2269" t="s">
        <v>7154</v>
      </c>
      <c r="B2269" t="s">
        <v>108</v>
      </c>
    </row>
    <row r="2270" spans="1:2" x14ac:dyDescent="0.45">
      <c r="A2270" t="s">
        <v>7157</v>
      </c>
      <c r="B2270" t="s">
        <v>94</v>
      </c>
    </row>
    <row r="2271" spans="1:2" x14ac:dyDescent="0.45">
      <c r="A2271" t="s">
        <v>7160</v>
      </c>
      <c r="B2271" t="s">
        <v>267</v>
      </c>
    </row>
    <row r="2272" spans="1:2" x14ac:dyDescent="0.45">
      <c r="A2272" t="s">
        <v>7163</v>
      </c>
      <c r="B2272" t="s">
        <v>94</v>
      </c>
    </row>
    <row r="2273" spans="1:2" x14ac:dyDescent="0.45">
      <c r="A2273" t="s">
        <v>7168</v>
      </c>
      <c r="B2273" t="s">
        <v>108</v>
      </c>
    </row>
    <row r="2274" spans="1:2" x14ac:dyDescent="0.45">
      <c r="A2274" t="s">
        <v>7172</v>
      </c>
      <c r="B2274" t="s">
        <v>89</v>
      </c>
    </row>
    <row r="2275" spans="1:2" x14ac:dyDescent="0.45">
      <c r="A2275" t="s">
        <v>7176</v>
      </c>
      <c r="B2275" t="s">
        <v>94</v>
      </c>
    </row>
    <row r="2276" spans="1:2" x14ac:dyDescent="0.45">
      <c r="A2276" t="s">
        <v>7178</v>
      </c>
      <c r="B2276" t="s">
        <v>108</v>
      </c>
    </row>
    <row r="2277" spans="1:2" x14ac:dyDescent="0.45">
      <c r="A2277" t="s">
        <v>7182</v>
      </c>
      <c r="B2277" t="s">
        <v>94</v>
      </c>
    </row>
    <row r="2278" spans="1:2" x14ac:dyDescent="0.45">
      <c r="A2278" t="s">
        <v>7183</v>
      </c>
      <c r="B2278" t="s">
        <v>132</v>
      </c>
    </row>
    <row r="2279" spans="1:2" x14ac:dyDescent="0.45">
      <c r="A2279" t="s">
        <v>7192</v>
      </c>
      <c r="B2279" t="s">
        <v>89</v>
      </c>
    </row>
    <row r="2280" spans="1:2" x14ac:dyDescent="0.45">
      <c r="A2280" t="s">
        <v>7197</v>
      </c>
      <c r="B2280" t="s">
        <v>108</v>
      </c>
    </row>
    <row r="2281" spans="1:2" x14ac:dyDescent="0.45">
      <c r="A2281" t="s">
        <v>7198</v>
      </c>
      <c r="B2281" t="s">
        <v>128</v>
      </c>
    </row>
    <row r="2282" spans="1:2" x14ac:dyDescent="0.45">
      <c r="A2282" t="s">
        <v>7201</v>
      </c>
      <c r="B2282" t="s">
        <v>128</v>
      </c>
    </row>
    <row r="2283" spans="1:2" x14ac:dyDescent="0.45">
      <c r="A2283" t="s">
        <v>7204</v>
      </c>
      <c r="B2283" t="s">
        <v>128</v>
      </c>
    </row>
    <row r="2284" spans="1:2" x14ac:dyDescent="0.45">
      <c r="A2284" t="s">
        <v>6106</v>
      </c>
      <c r="B2284" t="s">
        <v>132</v>
      </c>
    </row>
    <row r="2285" spans="1:2" x14ac:dyDescent="0.45">
      <c r="A2285" t="s">
        <v>7210</v>
      </c>
      <c r="B2285" t="s">
        <v>132</v>
      </c>
    </row>
    <row r="2286" spans="1:2" x14ac:dyDescent="0.45">
      <c r="A2286" t="s">
        <v>7213</v>
      </c>
      <c r="B2286" t="s">
        <v>128</v>
      </c>
    </row>
    <row r="2287" spans="1:2" x14ac:dyDescent="0.45">
      <c r="A2287" t="s">
        <v>7214</v>
      </c>
      <c r="B2287" t="s">
        <v>108</v>
      </c>
    </row>
    <row r="2288" spans="1:2" x14ac:dyDescent="0.45">
      <c r="A2288" t="s">
        <v>7217</v>
      </c>
      <c r="B2288" t="s">
        <v>132</v>
      </c>
    </row>
    <row r="2289" spans="1:2" x14ac:dyDescent="0.45">
      <c r="A2289" t="s">
        <v>7222</v>
      </c>
      <c r="B2289" t="s">
        <v>132</v>
      </c>
    </row>
    <row r="2290" spans="1:2" x14ac:dyDescent="0.45">
      <c r="A2290" t="s">
        <v>7223</v>
      </c>
      <c r="B2290" t="s">
        <v>128</v>
      </c>
    </row>
    <row r="2291" spans="1:2" x14ac:dyDescent="0.45">
      <c r="A2291" t="s">
        <v>7227</v>
      </c>
      <c r="B2291" t="s">
        <v>94</v>
      </c>
    </row>
    <row r="2292" spans="1:2" x14ac:dyDescent="0.45">
      <c r="A2292" t="s">
        <v>7228</v>
      </c>
      <c r="B2292" t="s">
        <v>128</v>
      </c>
    </row>
    <row r="2293" spans="1:2" x14ac:dyDescent="0.45">
      <c r="A2293" t="s">
        <v>7231</v>
      </c>
      <c r="B2293" t="s">
        <v>108</v>
      </c>
    </row>
    <row r="2294" spans="1:2" x14ac:dyDescent="0.45">
      <c r="A2294" t="s">
        <v>7234</v>
      </c>
      <c r="B2294" t="s">
        <v>128</v>
      </c>
    </row>
    <row r="2295" spans="1:2" x14ac:dyDescent="0.45">
      <c r="A2295" t="s">
        <v>7239</v>
      </c>
      <c r="B2295" t="s">
        <v>132</v>
      </c>
    </row>
    <row r="2296" spans="1:2" x14ac:dyDescent="0.45">
      <c r="A2296" t="s">
        <v>7241</v>
      </c>
      <c r="B2296" t="s">
        <v>94</v>
      </c>
    </row>
    <row r="2297" spans="1:2" x14ac:dyDescent="0.45">
      <c r="A2297" t="s">
        <v>7242</v>
      </c>
      <c r="B2297" t="s">
        <v>94</v>
      </c>
    </row>
    <row r="2298" spans="1:2" x14ac:dyDescent="0.45">
      <c r="A2298" t="s">
        <v>7248</v>
      </c>
      <c r="B2298" t="s">
        <v>128</v>
      </c>
    </row>
    <row r="2299" spans="1:2" x14ac:dyDescent="0.45">
      <c r="A2299" t="s">
        <v>7249</v>
      </c>
      <c r="B2299" t="s">
        <v>89</v>
      </c>
    </row>
    <row r="2300" spans="1:2" x14ac:dyDescent="0.45">
      <c r="A2300" t="s">
        <v>7252</v>
      </c>
      <c r="B2300" t="s">
        <v>132</v>
      </c>
    </row>
    <row r="2301" spans="1:2" x14ac:dyDescent="0.45">
      <c r="A2301" t="s">
        <v>7257</v>
      </c>
      <c r="B2301" t="s">
        <v>132</v>
      </c>
    </row>
    <row r="2302" spans="1:2" x14ac:dyDescent="0.45">
      <c r="A2302" t="s">
        <v>7259</v>
      </c>
      <c r="B2302" t="s">
        <v>132</v>
      </c>
    </row>
    <row r="2303" spans="1:2" x14ac:dyDescent="0.45">
      <c r="A2303" t="s">
        <v>7261</v>
      </c>
      <c r="B2303" t="s">
        <v>132</v>
      </c>
    </row>
    <row r="2304" spans="1:2" x14ac:dyDescent="0.45">
      <c r="A2304" t="s">
        <v>7263</v>
      </c>
      <c r="B2304" t="s">
        <v>132</v>
      </c>
    </row>
    <row r="2305" spans="1:2" x14ac:dyDescent="0.45">
      <c r="A2305" t="s">
        <v>7265</v>
      </c>
      <c r="B2305" t="s">
        <v>128</v>
      </c>
    </row>
    <row r="2306" spans="1:2" x14ac:dyDescent="0.45">
      <c r="A2306" t="s">
        <v>7267</v>
      </c>
      <c r="B2306" t="s">
        <v>267</v>
      </c>
    </row>
    <row r="2307" spans="1:2" x14ac:dyDescent="0.45">
      <c r="A2307" t="s">
        <v>7269</v>
      </c>
      <c r="B2307" t="s">
        <v>132</v>
      </c>
    </row>
    <row r="2308" spans="1:2" x14ac:dyDescent="0.45">
      <c r="A2308" t="s">
        <v>7272</v>
      </c>
      <c r="B2308" t="s">
        <v>128</v>
      </c>
    </row>
    <row r="2309" spans="1:2" x14ac:dyDescent="0.45">
      <c r="A2309" t="s">
        <v>7279</v>
      </c>
      <c r="B2309" t="s">
        <v>132</v>
      </c>
    </row>
    <row r="2310" spans="1:2" x14ac:dyDescent="0.45">
      <c r="A2310" t="s">
        <v>7282</v>
      </c>
      <c r="B2310" t="s">
        <v>128</v>
      </c>
    </row>
    <row r="2311" spans="1:2" x14ac:dyDescent="0.45">
      <c r="A2311" t="s">
        <v>7287</v>
      </c>
      <c r="B2311" t="s">
        <v>128</v>
      </c>
    </row>
    <row r="2312" spans="1:2" x14ac:dyDescent="0.45">
      <c r="A2312" t="s">
        <v>7290</v>
      </c>
      <c r="B2312" t="s">
        <v>132</v>
      </c>
    </row>
    <row r="2313" spans="1:2" x14ac:dyDescent="0.45">
      <c r="A2313" t="s">
        <v>7292</v>
      </c>
      <c r="B2313" t="s">
        <v>132</v>
      </c>
    </row>
    <row r="2314" spans="1:2" x14ac:dyDescent="0.45">
      <c r="A2314" t="s">
        <v>7294</v>
      </c>
      <c r="B2314" t="s">
        <v>128</v>
      </c>
    </row>
    <row r="2315" spans="1:2" x14ac:dyDescent="0.45">
      <c r="A2315" t="s">
        <v>7296</v>
      </c>
      <c r="B2315" t="s">
        <v>132</v>
      </c>
    </row>
    <row r="2316" spans="1:2" x14ac:dyDescent="0.45">
      <c r="A2316" t="s">
        <v>7299</v>
      </c>
      <c r="B2316" t="s">
        <v>128</v>
      </c>
    </row>
    <row r="2317" spans="1:2" x14ac:dyDescent="0.45">
      <c r="A2317" t="s">
        <v>7301</v>
      </c>
      <c r="B2317" t="s">
        <v>132</v>
      </c>
    </row>
    <row r="2318" spans="1:2" x14ac:dyDescent="0.45">
      <c r="A2318" t="s">
        <v>7304</v>
      </c>
      <c r="B2318" t="s">
        <v>128</v>
      </c>
    </row>
    <row r="2319" spans="1:2" x14ac:dyDescent="0.45">
      <c r="A2319" t="s">
        <v>7310</v>
      </c>
      <c r="B2319" t="s">
        <v>132</v>
      </c>
    </row>
    <row r="2320" spans="1:2" x14ac:dyDescent="0.45">
      <c r="A2320" t="s">
        <v>7311</v>
      </c>
      <c r="B2320" t="s">
        <v>132</v>
      </c>
    </row>
    <row r="2321" spans="1:2" x14ac:dyDescent="0.45">
      <c r="A2321" t="s">
        <v>7314</v>
      </c>
      <c r="B2321" t="s">
        <v>132</v>
      </c>
    </row>
    <row r="2322" spans="1:2" x14ac:dyDescent="0.45">
      <c r="A2322" t="s">
        <v>7316</v>
      </c>
      <c r="B2322" t="s">
        <v>128</v>
      </c>
    </row>
    <row r="2323" spans="1:2" x14ac:dyDescent="0.45">
      <c r="A2323" t="s">
        <v>7318</v>
      </c>
      <c r="B2323" t="s">
        <v>132</v>
      </c>
    </row>
    <row r="2324" spans="1:2" x14ac:dyDescent="0.45">
      <c r="A2324" t="s">
        <v>7322</v>
      </c>
      <c r="B2324" t="s">
        <v>128</v>
      </c>
    </row>
    <row r="2325" spans="1:2" x14ac:dyDescent="0.45">
      <c r="A2325" t="s">
        <v>7325</v>
      </c>
      <c r="B2325" t="s">
        <v>128</v>
      </c>
    </row>
    <row r="2326" spans="1:2" x14ac:dyDescent="0.45">
      <c r="A2326" t="s">
        <v>7328</v>
      </c>
      <c r="B2326" t="s">
        <v>132</v>
      </c>
    </row>
    <row r="2327" spans="1:2" x14ac:dyDescent="0.45">
      <c r="A2327" t="s">
        <v>7331</v>
      </c>
      <c r="B2327" t="s">
        <v>132</v>
      </c>
    </row>
    <row r="2328" spans="1:2" x14ac:dyDescent="0.45">
      <c r="A2328" t="s">
        <v>7333</v>
      </c>
      <c r="B2328" t="s">
        <v>132</v>
      </c>
    </row>
    <row r="2329" spans="1:2" x14ac:dyDescent="0.45">
      <c r="A2329" t="s">
        <v>7336</v>
      </c>
      <c r="B2329" t="s">
        <v>128</v>
      </c>
    </row>
    <row r="2330" spans="1:2" x14ac:dyDescent="0.45">
      <c r="A2330" t="s">
        <v>7340</v>
      </c>
      <c r="B2330" t="s">
        <v>128</v>
      </c>
    </row>
    <row r="2331" spans="1:2" x14ac:dyDescent="0.45">
      <c r="A2331" t="s">
        <v>7342</v>
      </c>
      <c r="B2331" t="s">
        <v>132</v>
      </c>
    </row>
    <row r="2332" spans="1:2" x14ac:dyDescent="0.45">
      <c r="A2332" t="s">
        <v>7343</v>
      </c>
      <c r="B2332" t="s">
        <v>132</v>
      </c>
    </row>
    <row r="2333" spans="1:2" x14ac:dyDescent="0.45">
      <c r="A2333" t="s">
        <v>7345</v>
      </c>
      <c r="B2333" t="s">
        <v>132</v>
      </c>
    </row>
    <row r="2334" spans="1:2" x14ac:dyDescent="0.45">
      <c r="A2334" t="s">
        <v>7347</v>
      </c>
      <c r="B2334" t="s">
        <v>128</v>
      </c>
    </row>
    <row r="2335" spans="1:2" x14ac:dyDescent="0.45">
      <c r="A2335" t="s">
        <v>7350</v>
      </c>
      <c r="B2335" t="s">
        <v>128</v>
      </c>
    </row>
    <row r="2336" spans="1:2" x14ac:dyDescent="0.45">
      <c r="A2336" t="s">
        <v>7353</v>
      </c>
      <c r="B2336" t="s">
        <v>128</v>
      </c>
    </row>
    <row r="2337" spans="1:2" x14ac:dyDescent="0.45">
      <c r="A2337" t="s">
        <v>7355</v>
      </c>
      <c r="B2337" t="s">
        <v>128</v>
      </c>
    </row>
    <row r="2338" spans="1:2" x14ac:dyDescent="0.45">
      <c r="A2338" t="s">
        <v>7357</v>
      </c>
      <c r="B2338" t="s">
        <v>132</v>
      </c>
    </row>
    <row r="2339" spans="1:2" x14ac:dyDescent="0.45">
      <c r="A2339" t="s">
        <v>7359</v>
      </c>
      <c r="B2339" t="s">
        <v>128</v>
      </c>
    </row>
    <row r="2340" spans="1:2" x14ac:dyDescent="0.45">
      <c r="A2340" t="s">
        <v>7361</v>
      </c>
      <c r="B2340" t="s">
        <v>132</v>
      </c>
    </row>
    <row r="2341" spans="1:2" x14ac:dyDescent="0.45">
      <c r="A2341" t="s">
        <v>7366</v>
      </c>
      <c r="B2341" t="s">
        <v>132</v>
      </c>
    </row>
    <row r="2342" spans="1:2" x14ac:dyDescent="0.45">
      <c r="A2342" t="s">
        <v>7369</v>
      </c>
      <c r="B2342" t="s">
        <v>132</v>
      </c>
    </row>
    <row r="2343" spans="1:2" x14ac:dyDescent="0.45">
      <c r="A2343" t="s">
        <v>7371</v>
      </c>
      <c r="B2343" t="s">
        <v>128</v>
      </c>
    </row>
    <row r="2344" spans="1:2" x14ac:dyDescent="0.45">
      <c r="A2344" t="s">
        <v>7377</v>
      </c>
      <c r="B2344" t="s">
        <v>132</v>
      </c>
    </row>
    <row r="2345" spans="1:2" x14ac:dyDescent="0.45">
      <c r="A2345" t="s">
        <v>7384</v>
      </c>
      <c r="B2345" t="s">
        <v>132</v>
      </c>
    </row>
    <row r="2346" spans="1:2" x14ac:dyDescent="0.45">
      <c r="A2346" t="s">
        <v>7385</v>
      </c>
      <c r="B2346" t="s">
        <v>128</v>
      </c>
    </row>
    <row r="2347" spans="1:2" x14ac:dyDescent="0.45">
      <c r="A2347" t="s">
        <v>7386</v>
      </c>
      <c r="B2347" t="s">
        <v>128</v>
      </c>
    </row>
    <row r="2348" spans="1:2" x14ac:dyDescent="0.45">
      <c r="A2348" t="s">
        <v>7388</v>
      </c>
      <c r="B2348" t="s">
        <v>132</v>
      </c>
    </row>
    <row r="2349" spans="1:2" x14ac:dyDescent="0.45">
      <c r="A2349" t="s">
        <v>7391</v>
      </c>
      <c r="B2349" t="s">
        <v>132</v>
      </c>
    </row>
    <row r="2350" spans="1:2" x14ac:dyDescent="0.45">
      <c r="A2350" t="s">
        <v>7393</v>
      </c>
      <c r="B2350" t="s">
        <v>132</v>
      </c>
    </row>
    <row r="2351" spans="1:2" x14ac:dyDescent="0.45">
      <c r="A2351" t="s">
        <v>7395</v>
      </c>
      <c r="B2351" t="s">
        <v>132</v>
      </c>
    </row>
    <row r="2352" spans="1:2" x14ac:dyDescent="0.45">
      <c r="A2352" t="s">
        <v>7401</v>
      </c>
      <c r="B2352" t="s">
        <v>132</v>
      </c>
    </row>
    <row r="2353" spans="1:2" x14ac:dyDescent="0.45">
      <c r="A2353" t="s">
        <v>7404</v>
      </c>
      <c r="B2353" t="s">
        <v>128</v>
      </c>
    </row>
    <row r="2354" spans="1:2" x14ac:dyDescent="0.45">
      <c r="A2354" t="s">
        <v>7406</v>
      </c>
      <c r="B2354" t="s">
        <v>128</v>
      </c>
    </row>
    <row r="2355" spans="1:2" x14ac:dyDescent="0.45">
      <c r="A2355" t="s">
        <v>7408</v>
      </c>
      <c r="B2355" t="s">
        <v>132</v>
      </c>
    </row>
    <row r="2356" spans="1:2" x14ac:dyDescent="0.45">
      <c r="A2356" t="s">
        <v>7410</v>
      </c>
      <c r="B2356" t="s">
        <v>128</v>
      </c>
    </row>
    <row r="2357" spans="1:2" x14ac:dyDescent="0.45">
      <c r="A2357" t="s">
        <v>7412</v>
      </c>
      <c r="B2357" t="s">
        <v>132</v>
      </c>
    </row>
    <row r="2358" spans="1:2" x14ac:dyDescent="0.45">
      <c r="A2358" t="s">
        <v>7414</v>
      </c>
      <c r="B2358" t="s">
        <v>128</v>
      </c>
    </row>
    <row r="2359" spans="1:2" x14ac:dyDescent="0.45">
      <c r="A2359" t="s">
        <v>7419</v>
      </c>
      <c r="B2359" t="s">
        <v>132</v>
      </c>
    </row>
    <row r="2360" spans="1:2" x14ac:dyDescent="0.45">
      <c r="A2360" t="s">
        <v>7420</v>
      </c>
      <c r="B2360" t="s">
        <v>128</v>
      </c>
    </row>
    <row r="2361" spans="1:2" x14ac:dyDescent="0.45">
      <c r="A2361" t="s">
        <v>7422</v>
      </c>
      <c r="B2361" t="s">
        <v>132</v>
      </c>
    </row>
    <row r="2362" spans="1:2" x14ac:dyDescent="0.45">
      <c r="A2362" t="s">
        <v>7426</v>
      </c>
      <c r="B2362" t="s">
        <v>147</v>
      </c>
    </row>
    <row r="2363" spans="1:2" x14ac:dyDescent="0.45">
      <c r="A2363" t="s">
        <v>7428</v>
      </c>
      <c r="B2363" t="s">
        <v>147</v>
      </c>
    </row>
    <row r="2364" spans="1:2" x14ac:dyDescent="0.45">
      <c r="A2364" t="s">
        <v>7430</v>
      </c>
      <c r="B2364" t="s">
        <v>128</v>
      </c>
    </row>
    <row r="2365" spans="1:2" x14ac:dyDescent="0.45">
      <c r="A2365" t="s">
        <v>7431</v>
      </c>
      <c r="B2365" t="s">
        <v>147</v>
      </c>
    </row>
    <row r="2366" spans="1:2" x14ac:dyDescent="0.45">
      <c r="A2366" t="s">
        <v>7433</v>
      </c>
      <c r="B2366" t="s">
        <v>147</v>
      </c>
    </row>
    <row r="2367" spans="1:2" x14ac:dyDescent="0.45">
      <c r="A2367" t="s">
        <v>7435</v>
      </c>
      <c r="B2367" t="s">
        <v>147</v>
      </c>
    </row>
    <row r="2368" spans="1:2" x14ac:dyDescent="0.45">
      <c r="A2368" t="s">
        <v>7437</v>
      </c>
      <c r="B2368" t="s">
        <v>147</v>
      </c>
    </row>
    <row r="2369" spans="1:2" x14ac:dyDescent="0.45">
      <c r="A2369" t="s">
        <v>7439</v>
      </c>
      <c r="B2369" t="s">
        <v>147</v>
      </c>
    </row>
    <row r="2370" spans="1:2" x14ac:dyDescent="0.45">
      <c r="A2370" t="s">
        <v>7441</v>
      </c>
      <c r="B2370" t="s">
        <v>147</v>
      </c>
    </row>
    <row r="2371" spans="1:2" x14ac:dyDescent="0.45">
      <c r="A2371" t="s">
        <v>7443</v>
      </c>
      <c r="B2371" t="s">
        <v>89</v>
      </c>
    </row>
    <row r="2372" spans="1:2" x14ac:dyDescent="0.45">
      <c r="A2372" t="s">
        <v>7445</v>
      </c>
      <c r="B2372" t="s">
        <v>108</v>
      </c>
    </row>
    <row r="2373" spans="1:2" x14ac:dyDescent="0.45">
      <c r="A2373" t="s">
        <v>7447</v>
      </c>
      <c r="B2373" t="s">
        <v>267</v>
      </c>
    </row>
    <row r="2374" spans="1:2" x14ac:dyDescent="0.45">
      <c r="A2374" t="s">
        <v>7449</v>
      </c>
      <c r="B2374" t="s">
        <v>267</v>
      </c>
    </row>
    <row r="2375" spans="1:2" x14ac:dyDescent="0.45">
      <c r="A2375" t="s">
        <v>7451</v>
      </c>
      <c r="B2375" t="s">
        <v>128</v>
      </c>
    </row>
    <row r="2376" spans="1:2" x14ac:dyDescent="0.45">
      <c r="A2376" t="s">
        <v>7453</v>
      </c>
      <c r="B2376" t="s">
        <v>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 Properties</vt:lpstr>
      <vt:lpstr>DATA_VALIDATION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Ashish Rajaram Sutar</cp:lastModifiedBy>
  <cp:revision/>
  <dcterms:created xsi:type="dcterms:W3CDTF">2021-01-31T16:00:00Z</dcterms:created>
  <dcterms:modified xsi:type="dcterms:W3CDTF">2021-11-08T17:00:33Z</dcterms:modified>
  <cp:category/>
  <cp:contentStatus/>
</cp:coreProperties>
</file>